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Ex1.xml" ContentType="application/vnd.ms-office.chartex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+xml"/>
  <Override PartName="/xl/charts/chartEx2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Ex3.xml" ContentType="application/vnd.ms-office.chartex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9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harts/chart11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2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valde\Downloads\"/>
    </mc:Choice>
  </mc:AlternateContent>
  <xr:revisionPtr revIDLastSave="0" documentId="8_{8EC62FBE-6102-4CEB-8E9F-D9898A07E86D}" xr6:coauthVersionLast="47" xr6:coauthVersionMax="47" xr10:uidLastSave="{00000000-0000-0000-0000-000000000000}"/>
  <bookViews>
    <workbookView xWindow="-28920" yWindow="1110" windowWidth="29040" windowHeight="15720" tabRatio="874" xr2:uid="{00000000-000D-0000-FFFF-FFFF00000000}"/>
  </bookViews>
  <sheets>
    <sheet name="Inicio" sheetId="63" r:id="rId1"/>
    <sheet name="Cap1. R Gotham Capital" sheetId="43" r:id="rId2"/>
    <sheet name="Cap1. Retornos Buffett" sheetId="62" r:id="rId3"/>
    <sheet name="Cap2. Rentabilidad" sheetId="27" r:id="rId4"/>
    <sheet name="Cap3. Backtesting FM" sheetId="24" r:id="rId5"/>
    <sheet name="Cap3. Volatilidad" sheetId="28" r:id="rId6"/>
    <sheet name="Cap4. Cuenta de resultados" sheetId="64" r:id="rId7"/>
    <sheet name="Cap4. Cuenta resultados Apple" sheetId="79" r:id="rId8"/>
    <sheet name="Cap4. Balance familia" sheetId="25" r:id="rId9"/>
    <sheet name="Cap4. Balance Apple" sheetId="80" r:id="rId10"/>
    <sheet name="Cap4. ROA Apple" sheetId="82" r:id="rId11"/>
    <sheet name="Cap4. Goodwill The Best" sheetId="30" r:id="rId12"/>
    <sheet name="Cap4. WC Apple" sheetId="83" r:id="rId13"/>
    <sheet name="Cap4. ROC Greenblatt Apple" sheetId="84" r:id="rId14"/>
    <sheet name="Cap4. Gastos en I+D (7 MAG)" sheetId="31" r:id="rId15"/>
    <sheet name="Cap4. Ajustes I+D Apple" sheetId="47" r:id="rId16"/>
    <sheet name="Cap4. ROCE Apple" sheetId="85" r:id="rId17"/>
    <sheet name="Cap4. ROCE Vs ROIC Apple" sheetId="86" r:id="rId18"/>
    <sheet name="Cap4. ROIC “La Cuchilla”" sheetId="32" r:id="rId19"/>
    <sheet name="Cap4. Cuadro Flujos familia" sheetId="65" r:id="rId20"/>
    <sheet name="Cap4. Cuadro resumen WC" sheetId="67" r:id="rId21"/>
    <sheet name="Cap4. CapEx-ventas industria" sheetId="68" r:id="rId22"/>
    <sheet name="Cap4. Flujo inversión Apple" sheetId="87" r:id="rId23"/>
    <sheet name="Cap4. Capital Allocation cuñado" sheetId="50" r:id="rId24"/>
    <sheet name="Cap4. Analisis flujos Apple" sheetId="88" r:id="rId25"/>
    <sheet name="Cap4. Buffett y los dividendos" sheetId="69" r:id="rId26"/>
    <sheet name="Cap4. Ejemplos Yield On Cost" sheetId="70" r:id="rId27"/>
    <sheet name="Cap4. FCFF academico Apple" sheetId="89" r:id="rId28"/>
    <sheet name="Cap4. FCFE académico Apple" sheetId="90" r:id="rId29"/>
    <sheet name="Cap4. Remunera accionista FCFE " sheetId="91" r:id="rId30"/>
    <sheet name="Cap4. FCFE YoC Apple" sheetId="74" r:id="rId31"/>
    <sheet name="Cap4. ROE Apple" sheetId="92" r:id="rId32"/>
    <sheet name="Cap4. ROE Stuppazuck" sheetId="34" r:id="rId33"/>
    <sheet name="Cap5. V múltiplos AAPL" sheetId="55" r:id="rId34"/>
    <sheet name="Cap5. Cálculo EV Apple" sheetId="94" r:id="rId35"/>
    <sheet name="Cap5. Valoración EVFCFF (ejemp)" sheetId="95" r:id="rId36"/>
    <sheet name="Cap5. Valor EVFCFF Apple" sheetId="56" r:id="rId37"/>
    <sheet name="Cap5. Múltiplo McKinsey The foo" sheetId="93" r:id="rId38"/>
    <sheet name="Cap5. DFCF restauración padel" sheetId="37" r:id="rId39"/>
    <sheet name="Cap5. DFCF apartamento" sheetId="38" r:id="rId40"/>
    <sheet name="Cap5. DFCF Apple" sheetId="39" r:id="rId41"/>
    <sheet name="EEFF Apple y cálculo ratios" sheetId="81" r:id="rId42"/>
    <sheet name="Capital Allocation Apple" sheetId="33" r:id="rId43"/>
    <sheet name="Cap6. Ranking FM Tikr" sheetId="1" r:id="rId44"/>
    <sheet name="Cap6. Cartera FM Tikr" sheetId="2" r:id="rId45"/>
    <sheet name="Cap7. Empresas con moats" sheetId="59" r:id="rId46"/>
    <sheet name="Cap7. Calculo ROE Wisesheets" sheetId="6" r:id="rId47"/>
    <sheet name="Cap7. Dashboard Wisesheets" sheetId="13" r:id="rId48"/>
    <sheet name="Cap7. Filtros iniciales cartera" sheetId="77" r:id="rId49"/>
    <sheet name="Cap7. Formula Mágica Wide moats" sheetId="14" r:id="rId50"/>
    <sheet name="Cap7. Cartera Wide Moats MS" sheetId="15" r:id="rId51"/>
    <sheet name="Cap8. Coste oportunidad" sheetId="16" r:id="rId52"/>
    <sheet name="Cap8. Rent Bolsa por decadas" sheetId="78" r:id="rId53"/>
    <sheet name="Cap8. DCA Vs Lump Sum" sheetId="22" r:id="rId54"/>
  </sheets>
  <externalReferences>
    <externalReference r:id="rId55"/>
  </externalReferences>
  <definedNames>
    <definedName name="_xlnm._FilterDatabase" localSheetId="21" hidden="1">'Cap4. CapEx-ventas industria'!$G$3:$J$23</definedName>
    <definedName name="_xlnm._FilterDatabase" localSheetId="43" hidden="1">'Cap6. Ranking FM Tikr'!$B$2:$AF$2</definedName>
    <definedName name="_xlnm._FilterDatabase" localSheetId="49" hidden="1">'Cap7. Formula Mágica Wide moats'!$B$2:$W$169</definedName>
    <definedName name="_ftn1" localSheetId="9">'Cap4. Balance Apple'!#REF!</definedName>
    <definedName name="_ftn1" localSheetId="7">'Cap4. Cuenta resultados Apple'!#REF!</definedName>
    <definedName name="_ftn1" localSheetId="41">'EEFF Apple y cálculo ratios'!#REF!</definedName>
    <definedName name="_ftnref1" localSheetId="9">'Cap4. Balance Apple'!#REF!</definedName>
    <definedName name="_ftnref1" localSheetId="7">'Cap4. Cuenta resultados Apple'!#REF!</definedName>
    <definedName name="_ftnref1" localSheetId="41">'EEFF Apple y cálculo ratios'!$B$329</definedName>
    <definedName name="_xlchart.v1.0" hidden="1">'Cap4. Capital Allocation cuñado'!$C$5:$C$13</definedName>
    <definedName name="_xlchart.v1.1" hidden="1">'Cap4. Capital Allocation cuñado'!$D$4</definedName>
    <definedName name="_xlchart.v1.2" hidden="1">'Cap4. Capital Allocation cuñado'!$D$5:$D$13</definedName>
    <definedName name="_xlchart.v1.3" hidden="1">'Capital Allocation Apple'!$B$98:$B$107</definedName>
    <definedName name="_xlchart.v1.4" hidden="1">'Capital Allocation Apple'!$C$98:$C$107</definedName>
    <definedName name="_xlchart.v1.5" hidden="1">'Capital Allocation Apple'!$B$98:$B$107</definedName>
    <definedName name="_xlchart.v1.6" hidden="1">'Capital Allocation Apple'!$C$98:$C$107</definedName>
    <definedName name="ExternalData_1" localSheetId="53" hidden="1">'Cap8. DCA Vs Lump Sum'!$B$2:$H$1244</definedName>
  </definedNames>
  <calcPr calcId="191028" iterate="1" iterateDelta="9.999999999999445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38" l="1"/>
  <c r="D48" i="38"/>
  <c r="D30" i="38"/>
  <c r="F11" i="80"/>
  <c r="F10" i="80"/>
  <c r="F7" i="80"/>
  <c r="F8" i="80"/>
  <c r="F6" i="80"/>
  <c r="F4" i="80"/>
  <c r="C11" i="80"/>
  <c r="C12" i="80"/>
  <c r="C10" i="80"/>
  <c r="C8" i="80"/>
  <c r="C5" i="80"/>
  <c r="C6" i="80"/>
  <c r="C7" i="80"/>
  <c r="C4" i="80"/>
  <c r="C7" i="56"/>
  <c r="D11" i="39"/>
  <c r="D7" i="39"/>
  <c r="D6" i="39"/>
  <c r="D212" i="81"/>
  <c r="E212" i="81"/>
  <c r="F212" i="81"/>
  <c r="G212" i="81"/>
  <c r="C212" i="81"/>
  <c r="D16" i="47"/>
  <c r="E16" i="47"/>
  <c r="C16" i="47"/>
  <c r="F148" i="81"/>
  <c r="G148" i="81"/>
  <c r="E148" i="81"/>
  <c r="D13" i="81"/>
  <c r="E13" i="81"/>
  <c r="F13" i="81"/>
  <c r="G13" i="81"/>
  <c r="C13" i="81"/>
  <c r="C4" i="55" l="1"/>
  <c r="D4" i="39"/>
  <c r="F98" i="81"/>
  <c r="F101" i="81" s="1"/>
  <c r="F24" i="83" s="1"/>
  <c r="G98" i="81"/>
  <c r="G101" i="81" s="1"/>
  <c r="G24" i="83" s="1"/>
  <c r="E95" i="81"/>
  <c r="E18" i="83" s="1"/>
  <c r="F95" i="81"/>
  <c r="F18" i="83" s="1"/>
  <c r="G95" i="81"/>
  <c r="G18" i="83" s="1"/>
  <c r="D95" i="81"/>
  <c r="D18" i="83" s="1"/>
  <c r="E343" i="81"/>
  <c r="F343" i="81"/>
  <c r="G343" i="81"/>
  <c r="D343" i="81"/>
  <c r="F356" i="81"/>
  <c r="G356" i="81"/>
  <c r="Y12" i="39" s="1"/>
  <c r="E356" i="81"/>
  <c r="E313" i="81"/>
  <c r="E315" i="81" s="1"/>
  <c r="F313" i="81"/>
  <c r="F315" i="81" s="1"/>
  <c r="G313" i="81"/>
  <c r="G315" i="81" s="1"/>
  <c r="D313" i="81"/>
  <c r="D315" i="81" s="1"/>
  <c r="G1291" i="22"/>
  <c r="G1292" i="22"/>
  <c r="G1293" i="22"/>
  <c r="G1294" i="22"/>
  <c r="G1295" i="22"/>
  <c r="H87" i="62"/>
  <c r="H86" i="62"/>
  <c r="H85" i="62"/>
  <c r="H84" i="62"/>
  <c r="H83" i="62"/>
  <c r="H82" i="62"/>
  <c r="H81" i="62"/>
  <c r="H80" i="62"/>
  <c r="W9" i="39"/>
  <c r="W7" i="39"/>
  <c r="D73" i="38"/>
  <c r="C19" i="95"/>
  <c r="D19" i="95" s="1"/>
  <c r="E19" i="95" s="1"/>
  <c r="F19" i="95" s="1"/>
  <c r="C13" i="95"/>
  <c r="C12" i="95"/>
  <c r="C24" i="95" s="1"/>
  <c r="C27" i="95" s="1"/>
  <c r="J9" i="95"/>
  <c r="J12" i="95" s="1"/>
  <c r="J8" i="95"/>
  <c r="J11" i="95" s="1"/>
  <c r="J7" i="95"/>
  <c r="C6" i="95"/>
  <c r="C7" i="95" s="1"/>
  <c r="J5" i="95"/>
  <c r="J10" i="95" s="1"/>
  <c r="G23" i="93"/>
  <c r="D14" i="93"/>
  <c r="G12" i="93"/>
  <c r="G25" i="93" s="1"/>
  <c r="G10" i="93"/>
  <c r="D10" i="93"/>
  <c r="G12" i="86"/>
  <c r="G83" i="55"/>
  <c r="G96" i="55" s="1"/>
  <c r="G353" i="81"/>
  <c r="Y9" i="39" s="1"/>
  <c r="E351" i="81"/>
  <c r="G351" i="81"/>
  <c r="Y7" i="39" s="1"/>
  <c r="G348" i="81"/>
  <c r="Y4" i="39" s="1"/>
  <c r="E33" i="39"/>
  <c r="P13" i="39"/>
  <c r="C325" i="81"/>
  <c r="C328" i="81" s="1"/>
  <c r="C329" i="81"/>
  <c r="C5" i="94" s="1"/>
  <c r="G7" i="90"/>
  <c r="F7" i="90"/>
  <c r="E7" i="90"/>
  <c r="G47" i="89"/>
  <c r="F47" i="89"/>
  <c r="E47" i="89"/>
  <c r="C291" i="81"/>
  <c r="D291" i="81"/>
  <c r="C292" i="81"/>
  <c r="D292" i="81"/>
  <c r="C294" i="81"/>
  <c r="D294" i="81"/>
  <c r="C19" i="88"/>
  <c r="C99" i="33"/>
  <c r="C11" i="88"/>
  <c r="C10" i="88"/>
  <c r="C9" i="88"/>
  <c r="C8" i="88"/>
  <c r="C7" i="88"/>
  <c r="C6" i="88"/>
  <c r="C18" i="88" s="1"/>
  <c r="C5" i="88"/>
  <c r="C4" i="88"/>
  <c r="C16" i="88" s="1"/>
  <c r="C24" i="88"/>
  <c r="C23" i="88"/>
  <c r="C22" i="88"/>
  <c r="C20" i="88"/>
  <c r="C21" i="88" s="1"/>
  <c r="F9" i="87"/>
  <c r="F23" i="87" s="1"/>
  <c r="E9" i="87"/>
  <c r="E23" i="87" s="1"/>
  <c r="G5" i="87"/>
  <c r="G19" i="87" s="1"/>
  <c r="F5" i="87"/>
  <c r="E5" i="87"/>
  <c r="D5" i="87"/>
  <c r="C5" i="87"/>
  <c r="G22" i="87"/>
  <c r="F22" i="87"/>
  <c r="E22" i="87"/>
  <c r="E10" i="86"/>
  <c r="D10" i="86"/>
  <c r="C10" i="86"/>
  <c r="E17" i="47"/>
  <c r="D17" i="47"/>
  <c r="C17" i="47"/>
  <c r="F8" i="47"/>
  <c r="E8" i="47"/>
  <c r="C11" i="47"/>
  <c r="C28" i="47" s="1"/>
  <c r="C10" i="47"/>
  <c r="C27" i="47" s="1"/>
  <c r="C9" i="47"/>
  <c r="C26" i="47" s="1"/>
  <c r="C8" i="47"/>
  <c r="C25" i="47" s="1"/>
  <c r="C7" i="47"/>
  <c r="F7" i="47" s="1"/>
  <c r="C333" i="81"/>
  <c r="C9" i="94" s="1"/>
  <c r="C332" i="81"/>
  <c r="C8" i="94" s="1"/>
  <c r="C331" i="81"/>
  <c r="C7" i="94" s="1"/>
  <c r="G319" i="81"/>
  <c r="G23" i="92" s="1"/>
  <c r="E319" i="81"/>
  <c r="E23" i="92" s="1"/>
  <c r="D319" i="81"/>
  <c r="D23" i="92" s="1"/>
  <c r="G300" i="81"/>
  <c r="G5" i="92" s="1"/>
  <c r="E300" i="81"/>
  <c r="E5" i="92" s="1"/>
  <c r="D300" i="81"/>
  <c r="D5" i="92" s="1"/>
  <c r="G283" i="81"/>
  <c r="G291" i="81" s="1"/>
  <c r="F283" i="81"/>
  <c r="F5" i="91" s="1"/>
  <c r="E283" i="81"/>
  <c r="E291" i="81" s="1"/>
  <c r="G278" i="81"/>
  <c r="G284" i="81" s="1"/>
  <c r="G292" i="81" s="1"/>
  <c r="F278" i="81"/>
  <c r="E278" i="81"/>
  <c r="E284" i="81" s="1"/>
  <c r="E292" i="81" s="1"/>
  <c r="G269" i="81"/>
  <c r="F269" i="81"/>
  <c r="E269" i="81"/>
  <c r="G263" i="81"/>
  <c r="G273" i="81" s="1"/>
  <c r="F263" i="81"/>
  <c r="F273" i="81" s="1"/>
  <c r="E263" i="81"/>
  <c r="E273" i="81" s="1"/>
  <c r="G223" i="81"/>
  <c r="G247" i="81" s="1"/>
  <c r="G260" i="81" s="1"/>
  <c r="G270" i="81" s="1"/>
  <c r="F223" i="81"/>
  <c r="F247" i="81" s="1"/>
  <c r="F260" i="81" s="1"/>
  <c r="F270" i="81" s="1"/>
  <c r="E223" i="81"/>
  <c r="E247" i="81" s="1"/>
  <c r="E260" i="81" s="1"/>
  <c r="E270" i="81" s="1"/>
  <c r="G221" i="81"/>
  <c r="G24" i="89" s="1"/>
  <c r="F221" i="81"/>
  <c r="F24" i="89" s="1"/>
  <c r="E221" i="81"/>
  <c r="E24" i="89" s="1"/>
  <c r="G220" i="81"/>
  <c r="G244" i="81" s="1"/>
  <c r="G258" i="81" s="1"/>
  <c r="G268" i="81" s="1"/>
  <c r="F220" i="81"/>
  <c r="F244" i="81" s="1"/>
  <c r="F258" i="81" s="1"/>
  <c r="F268" i="81" s="1"/>
  <c r="E220" i="81"/>
  <c r="E244" i="81" s="1"/>
  <c r="E258" i="81" s="1"/>
  <c r="E268" i="81" s="1"/>
  <c r="X12" i="39"/>
  <c r="E353" i="81"/>
  <c r="G350" i="81"/>
  <c r="Y6" i="39" s="1"/>
  <c r="E350" i="81"/>
  <c r="W6" i="39" s="1"/>
  <c r="E348" i="81"/>
  <c r="W4" i="39" s="1"/>
  <c r="G174" i="81"/>
  <c r="J14" i="86" s="1"/>
  <c r="E174" i="81"/>
  <c r="H14" i="86" s="1"/>
  <c r="G155" i="81"/>
  <c r="E13" i="85" s="1"/>
  <c r="E155" i="81"/>
  <c r="C13" i="85" s="1"/>
  <c r="G172" i="81"/>
  <c r="E172" i="81"/>
  <c r="G171" i="81"/>
  <c r="J11" i="86" s="1"/>
  <c r="E171" i="81"/>
  <c r="H11" i="86" s="1"/>
  <c r="B171" i="81"/>
  <c r="G11" i="86" s="1"/>
  <c r="G153" i="81"/>
  <c r="E11" i="85" s="1"/>
  <c r="E153" i="81"/>
  <c r="C11" i="85" s="1"/>
  <c r="B170" i="81"/>
  <c r="G10" i="86" s="1"/>
  <c r="G169" i="81"/>
  <c r="J9" i="86" s="1"/>
  <c r="E169" i="81"/>
  <c r="H9" i="86" s="1"/>
  <c r="E6" i="85"/>
  <c r="D6" i="85"/>
  <c r="C6" i="85"/>
  <c r="G137" i="81"/>
  <c r="E137" i="81"/>
  <c r="G135" i="81"/>
  <c r="E135" i="81"/>
  <c r="G112" i="81"/>
  <c r="F9" i="84" s="1"/>
  <c r="E112" i="81"/>
  <c r="D9" i="84" s="1"/>
  <c r="D112" i="81"/>
  <c r="C9" i="84" s="1"/>
  <c r="G111" i="81"/>
  <c r="F8" i="84" s="1"/>
  <c r="E111" i="81"/>
  <c r="D8" i="84" s="1"/>
  <c r="D111" i="81"/>
  <c r="C8" i="84" s="1"/>
  <c r="G110" i="81"/>
  <c r="F7" i="84" s="1"/>
  <c r="E110" i="81"/>
  <c r="D7" i="84" s="1"/>
  <c r="D110" i="81"/>
  <c r="C7" i="84" s="1"/>
  <c r="G102" i="81"/>
  <c r="G25" i="83" s="1"/>
  <c r="E102" i="81"/>
  <c r="E25" i="83" s="1"/>
  <c r="D102" i="81"/>
  <c r="D25" i="83" s="1"/>
  <c r="G99" i="81"/>
  <c r="G22" i="83" s="1"/>
  <c r="E99" i="81"/>
  <c r="E22" i="83" s="1"/>
  <c r="D99" i="81"/>
  <c r="D22" i="83" s="1"/>
  <c r="G96" i="81"/>
  <c r="G19" i="83" s="1"/>
  <c r="F96" i="81"/>
  <c r="F19" i="83" s="1"/>
  <c r="E96" i="81"/>
  <c r="E19" i="83" s="1"/>
  <c r="D96" i="81"/>
  <c r="D19" i="83" s="1"/>
  <c r="B88" i="81"/>
  <c r="B11" i="83" s="1"/>
  <c r="G87" i="81"/>
  <c r="G10" i="83" s="1"/>
  <c r="E87" i="81"/>
  <c r="E10" i="83" s="1"/>
  <c r="D87" i="81"/>
  <c r="D10" i="83" s="1"/>
  <c r="B87" i="81"/>
  <c r="B10" i="83" s="1"/>
  <c r="B85" i="81"/>
  <c r="B8" i="89" s="1"/>
  <c r="G84" i="81"/>
  <c r="G7" i="83" s="1"/>
  <c r="E84" i="81"/>
  <c r="E7" i="83" s="1"/>
  <c r="D84" i="81"/>
  <c r="D7" i="83" s="1"/>
  <c r="B84" i="81"/>
  <c r="B7" i="83" s="1"/>
  <c r="G83" i="81"/>
  <c r="G6" i="83" s="1"/>
  <c r="F83" i="81"/>
  <c r="F6" i="83" s="1"/>
  <c r="E83" i="81"/>
  <c r="E6" i="83" s="1"/>
  <c r="D83" i="81"/>
  <c r="D6" i="83" s="1"/>
  <c r="B83" i="81"/>
  <c r="B6" i="83" s="1"/>
  <c r="G82" i="81"/>
  <c r="G5" i="83" s="1"/>
  <c r="E82" i="81"/>
  <c r="E5" i="83" s="1"/>
  <c r="D82" i="81"/>
  <c r="D5" i="83" s="1"/>
  <c r="B82" i="81"/>
  <c r="B5" i="83" s="1"/>
  <c r="G211" i="81"/>
  <c r="F211" i="81"/>
  <c r="E211" i="81"/>
  <c r="D211" i="81"/>
  <c r="C211" i="81"/>
  <c r="F203" i="81"/>
  <c r="E203" i="81"/>
  <c r="G202" i="81"/>
  <c r="F202" i="81"/>
  <c r="E202" i="81"/>
  <c r="G199" i="81"/>
  <c r="F199" i="81"/>
  <c r="E199" i="81"/>
  <c r="G190" i="81"/>
  <c r="G204" i="81" s="1"/>
  <c r="F190" i="81"/>
  <c r="F191" i="81" s="1"/>
  <c r="F205" i="81" s="1"/>
  <c r="E190" i="81"/>
  <c r="E191" i="81" s="1"/>
  <c r="E205" i="81" s="1"/>
  <c r="D190" i="81"/>
  <c r="D10" i="87" s="1"/>
  <c r="C190" i="81"/>
  <c r="C10" i="87" s="1"/>
  <c r="G189" i="81"/>
  <c r="G203" i="81" s="1"/>
  <c r="D189" i="81"/>
  <c r="D9" i="87" s="1"/>
  <c r="C189" i="81"/>
  <c r="C9" i="87" s="1"/>
  <c r="G186" i="81"/>
  <c r="G187" i="81" s="1"/>
  <c r="G201" i="81" s="1"/>
  <c r="F186" i="81"/>
  <c r="F200" i="81" s="1"/>
  <c r="E186" i="81"/>
  <c r="E200" i="81" s="1"/>
  <c r="D186" i="81"/>
  <c r="D187" i="81" s="1"/>
  <c r="C186" i="81"/>
  <c r="C187" i="81" s="1"/>
  <c r="G61" i="81"/>
  <c r="F61" i="81"/>
  <c r="E61" i="81"/>
  <c r="D61" i="81"/>
  <c r="C61" i="81"/>
  <c r="G53" i="81"/>
  <c r="F53" i="81"/>
  <c r="E53" i="81"/>
  <c r="D53" i="81"/>
  <c r="C53" i="81"/>
  <c r="G49" i="81"/>
  <c r="G229" i="81" s="1"/>
  <c r="G31" i="89" s="1"/>
  <c r="F49" i="81"/>
  <c r="F229" i="81" s="1"/>
  <c r="F31" i="89" s="1"/>
  <c r="E49" i="81"/>
  <c r="E229" i="81" s="1"/>
  <c r="E31" i="89" s="1"/>
  <c r="D49" i="81"/>
  <c r="C49" i="81"/>
  <c r="F36" i="81"/>
  <c r="F319" i="81" s="1"/>
  <c r="F23" i="92" s="1"/>
  <c r="G34" i="81"/>
  <c r="E34" i="81"/>
  <c r="D34" i="81"/>
  <c r="F33" i="81"/>
  <c r="F353" i="81" s="1"/>
  <c r="X9" i="39" s="1"/>
  <c r="F32" i="81"/>
  <c r="F350" i="81" s="1"/>
  <c r="X6" i="39" s="1"/>
  <c r="G30" i="81"/>
  <c r="G88" i="81" s="1"/>
  <c r="G11" i="83" s="1"/>
  <c r="F30" i="81"/>
  <c r="E30" i="81"/>
  <c r="E88" i="81" s="1"/>
  <c r="E11" i="83" s="1"/>
  <c r="D30" i="81"/>
  <c r="D88" i="81" s="1"/>
  <c r="D11" i="83" s="1"/>
  <c r="G29" i="81"/>
  <c r="G349" i="81" s="1"/>
  <c r="Y5" i="39" s="1"/>
  <c r="F29" i="81"/>
  <c r="F349" i="81" s="1"/>
  <c r="X5" i="39" s="1"/>
  <c r="E29" i="81"/>
  <c r="D29" i="81"/>
  <c r="F28" i="81"/>
  <c r="G26" i="81"/>
  <c r="G109" i="81" s="1"/>
  <c r="F6" i="84" s="1"/>
  <c r="E26" i="81"/>
  <c r="D26" i="81"/>
  <c r="D109" i="81" s="1"/>
  <c r="C6" i="84" s="1"/>
  <c r="F25" i="81"/>
  <c r="F137" i="81" s="1"/>
  <c r="F24" i="81"/>
  <c r="F111" i="81" s="1"/>
  <c r="E8" i="84" s="1"/>
  <c r="F23" i="81"/>
  <c r="G21" i="81"/>
  <c r="G85" i="81" s="1"/>
  <c r="G8" i="83" s="1"/>
  <c r="F21" i="81"/>
  <c r="E21" i="81"/>
  <c r="E85" i="81" s="1"/>
  <c r="E8" i="83" s="1"/>
  <c r="D21" i="81"/>
  <c r="D85" i="81" s="1"/>
  <c r="D8" i="83" s="1"/>
  <c r="F20" i="81"/>
  <c r="F18" i="81"/>
  <c r="F17" i="81"/>
  <c r="F82" i="81" s="1"/>
  <c r="F5" i="83" s="1"/>
  <c r="G7" i="81"/>
  <c r="F7" i="81"/>
  <c r="E7" i="81"/>
  <c r="D7" i="81"/>
  <c r="C7" i="81"/>
  <c r="G6" i="81"/>
  <c r="F6" i="81"/>
  <c r="E5" i="81"/>
  <c r="E6" i="81" s="1"/>
  <c r="D5" i="81"/>
  <c r="D6" i="81" s="1"/>
  <c r="C5" i="81"/>
  <c r="C6" i="81" s="1"/>
  <c r="G7" i="79"/>
  <c r="F7" i="79"/>
  <c r="E7" i="79"/>
  <c r="D7" i="79"/>
  <c r="C7" i="79"/>
  <c r="G6" i="79"/>
  <c r="F6" i="79"/>
  <c r="E5" i="79"/>
  <c r="E6" i="79" s="1"/>
  <c r="D5" i="79"/>
  <c r="D6" i="79" s="1"/>
  <c r="C5" i="79"/>
  <c r="C6" i="79" s="1"/>
  <c r="D16" i="64"/>
  <c r="C15" i="64"/>
  <c r="D15" i="64" s="1"/>
  <c r="E15" i="64" s="1"/>
  <c r="C14" i="64"/>
  <c r="D14" i="64" s="1"/>
  <c r="C13" i="64"/>
  <c r="D13" i="64" s="1"/>
  <c r="E13" i="64" s="1"/>
  <c r="C11" i="64"/>
  <c r="D11" i="64" s="1"/>
  <c r="E11" i="64" s="1"/>
  <c r="C10" i="64"/>
  <c r="D10" i="64" s="1"/>
  <c r="E10" i="64" s="1"/>
  <c r="C9" i="64"/>
  <c r="D9" i="64" s="1"/>
  <c r="C8" i="64"/>
  <c r="D8" i="64" s="1"/>
  <c r="E8" i="64" s="1"/>
  <c r="E7" i="64"/>
  <c r="D7" i="64"/>
  <c r="C7" i="64"/>
  <c r="C6" i="64" s="1"/>
  <c r="D5" i="64"/>
  <c r="L21" i="24"/>
  <c r="L3" i="24"/>
  <c r="E20" i="24"/>
  <c r="J98" i="62"/>
  <c r="K76" i="62"/>
  <c r="I74" i="62"/>
  <c r="H74" i="62"/>
  <c r="F74" i="62"/>
  <c r="I73" i="62"/>
  <c r="H73" i="62"/>
  <c r="F73" i="62"/>
  <c r="I72" i="62"/>
  <c r="H72" i="62"/>
  <c r="F72" i="62"/>
  <c r="I71" i="62"/>
  <c r="H71" i="62"/>
  <c r="F71" i="62"/>
  <c r="I70" i="62"/>
  <c r="H70" i="62"/>
  <c r="F70" i="62"/>
  <c r="I69" i="62"/>
  <c r="H69" i="62"/>
  <c r="F69" i="62"/>
  <c r="I68" i="62"/>
  <c r="H68" i="62"/>
  <c r="F68" i="62"/>
  <c r="I67" i="62"/>
  <c r="H67" i="62"/>
  <c r="F67" i="62"/>
  <c r="I66" i="62"/>
  <c r="H66" i="62"/>
  <c r="F66" i="62"/>
  <c r="I65" i="62"/>
  <c r="H65" i="62"/>
  <c r="F65" i="62"/>
  <c r="I64" i="62"/>
  <c r="H64" i="62"/>
  <c r="F64" i="62"/>
  <c r="I63" i="62"/>
  <c r="H63" i="62"/>
  <c r="F63" i="62"/>
  <c r="I62" i="62"/>
  <c r="H62" i="62"/>
  <c r="F62" i="62"/>
  <c r="I61" i="62"/>
  <c r="H61" i="62"/>
  <c r="F61" i="62"/>
  <c r="I60" i="62"/>
  <c r="H60" i="62"/>
  <c r="F60" i="62"/>
  <c r="I59" i="62"/>
  <c r="H59" i="62"/>
  <c r="F59" i="62"/>
  <c r="I58" i="62"/>
  <c r="H58" i="62"/>
  <c r="F58" i="62"/>
  <c r="I57" i="62"/>
  <c r="H57" i="62"/>
  <c r="F57" i="62"/>
  <c r="I56" i="62"/>
  <c r="H56" i="62"/>
  <c r="F56" i="62"/>
  <c r="I55" i="62"/>
  <c r="H55" i="62"/>
  <c r="F55" i="62"/>
  <c r="I54" i="62"/>
  <c r="H54" i="62"/>
  <c r="F54" i="62"/>
  <c r="I53" i="62"/>
  <c r="H53" i="62"/>
  <c r="F53" i="62"/>
  <c r="I52" i="62"/>
  <c r="H52" i="62"/>
  <c r="F52" i="62"/>
  <c r="I51" i="62"/>
  <c r="H51" i="62"/>
  <c r="F51" i="62"/>
  <c r="I50" i="62"/>
  <c r="H50" i="62"/>
  <c r="F50" i="62"/>
  <c r="I49" i="62"/>
  <c r="H49" i="62"/>
  <c r="F49" i="62"/>
  <c r="I48" i="62"/>
  <c r="H48" i="62"/>
  <c r="F48" i="62"/>
  <c r="I47" i="62"/>
  <c r="H47" i="62"/>
  <c r="F47" i="62"/>
  <c r="I46" i="62"/>
  <c r="H46" i="62"/>
  <c r="F46" i="62"/>
  <c r="I45" i="62"/>
  <c r="H45" i="62"/>
  <c r="F45" i="62"/>
  <c r="I44" i="62"/>
  <c r="H44" i="62"/>
  <c r="F44" i="62"/>
  <c r="I43" i="62"/>
  <c r="H43" i="62"/>
  <c r="F43" i="62"/>
  <c r="I42" i="62"/>
  <c r="H42" i="62"/>
  <c r="F42" i="62"/>
  <c r="I41" i="62"/>
  <c r="H41" i="62"/>
  <c r="F41" i="62"/>
  <c r="I40" i="62"/>
  <c r="H40" i="62"/>
  <c r="F40" i="62"/>
  <c r="I39" i="62"/>
  <c r="H39" i="62"/>
  <c r="F39" i="62"/>
  <c r="I38" i="62"/>
  <c r="H38" i="62"/>
  <c r="F38" i="62"/>
  <c r="I37" i="62"/>
  <c r="H37" i="62"/>
  <c r="F37" i="62"/>
  <c r="I36" i="62"/>
  <c r="H36" i="62"/>
  <c r="F36" i="62"/>
  <c r="I35" i="62"/>
  <c r="H35" i="62"/>
  <c r="F35" i="62"/>
  <c r="I34" i="62"/>
  <c r="H34" i="62"/>
  <c r="F34" i="62"/>
  <c r="I33" i="62"/>
  <c r="H33" i="62"/>
  <c r="F33" i="62"/>
  <c r="I32" i="62"/>
  <c r="H32" i="62"/>
  <c r="F32" i="62"/>
  <c r="I31" i="62"/>
  <c r="H31" i="62"/>
  <c r="F31" i="62"/>
  <c r="I30" i="62"/>
  <c r="H30" i="62"/>
  <c r="F30" i="62"/>
  <c r="I29" i="62"/>
  <c r="H29" i="62"/>
  <c r="F29" i="62"/>
  <c r="I28" i="62"/>
  <c r="H28" i="62"/>
  <c r="F28" i="62"/>
  <c r="I27" i="62"/>
  <c r="H27" i="62"/>
  <c r="F27" i="62"/>
  <c r="I26" i="62"/>
  <c r="H26" i="62"/>
  <c r="F26" i="62"/>
  <c r="I25" i="62"/>
  <c r="H25" i="62"/>
  <c r="F25" i="62"/>
  <c r="I24" i="62"/>
  <c r="H24" i="62"/>
  <c r="F24" i="62"/>
  <c r="I23" i="62"/>
  <c r="H23" i="62"/>
  <c r="F23" i="62"/>
  <c r="I22" i="62"/>
  <c r="H22" i="62"/>
  <c r="F22" i="62"/>
  <c r="I21" i="62"/>
  <c r="H21" i="62"/>
  <c r="F21" i="62"/>
  <c r="I20" i="62"/>
  <c r="H20" i="62"/>
  <c r="F20" i="62"/>
  <c r="I19" i="62"/>
  <c r="H19" i="62"/>
  <c r="F19" i="62"/>
  <c r="I18" i="62"/>
  <c r="H18" i="62"/>
  <c r="F18" i="62"/>
  <c r="I17" i="62"/>
  <c r="H17" i="62"/>
  <c r="F17" i="62"/>
  <c r="I16" i="62"/>
  <c r="H16" i="62"/>
  <c r="F16" i="62"/>
  <c r="I15" i="62"/>
  <c r="H15" i="62"/>
  <c r="F15" i="62"/>
  <c r="I14" i="62"/>
  <c r="H14" i="62"/>
  <c r="F14" i="62"/>
  <c r="I13" i="62"/>
  <c r="H13" i="62"/>
  <c r="F13" i="62"/>
  <c r="I12" i="62"/>
  <c r="H12" i="62"/>
  <c r="F12" i="62"/>
  <c r="I11" i="62"/>
  <c r="H11" i="62"/>
  <c r="F11" i="62"/>
  <c r="I10" i="62"/>
  <c r="H10" i="62"/>
  <c r="F10" i="62"/>
  <c r="I9" i="62"/>
  <c r="H9" i="62"/>
  <c r="F9" i="62"/>
  <c r="I8" i="62"/>
  <c r="H8" i="62"/>
  <c r="F8" i="62"/>
  <c r="I7" i="62"/>
  <c r="H7" i="62"/>
  <c r="F7" i="62"/>
  <c r="L6" i="62"/>
  <c r="L7" i="62" s="1"/>
  <c r="L8" i="62" s="1"/>
  <c r="L9" i="62" s="1"/>
  <c r="L10" i="62" s="1"/>
  <c r="L11" i="62" s="1"/>
  <c r="L12" i="62" s="1"/>
  <c r="L13" i="62" s="1"/>
  <c r="L14" i="62" s="1"/>
  <c r="L15" i="62" s="1"/>
  <c r="L16" i="62" s="1"/>
  <c r="L17" i="62" s="1"/>
  <c r="L18" i="62" s="1"/>
  <c r="L19" i="62" s="1"/>
  <c r="L20" i="62" s="1"/>
  <c r="L21" i="62" s="1"/>
  <c r="L22" i="62" s="1"/>
  <c r="L23" i="62" s="1"/>
  <c r="L24" i="62" s="1"/>
  <c r="L25" i="62" s="1"/>
  <c r="L26" i="62" s="1"/>
  <c r="L27" i="62" s="1"/>
  <c r="L28" i="62" s="1"/>
  <c r="L29" i="62" s="1"/>
  <c r="L30" i="62" s="1"/>
  <c r="L31" i="62" s="1"/>
  <c r="L32" i="62" s="1"/>
  <c r="L33" i="62" s="1"/>
  <c r="L34" i="62" s="1"/>
  <c r="L35" i="62" s="1"/>
  <c r="L36" i="62" s="1"/>
  <c r="L37" i="62" s="1"/>
  <c r="L38" i="62" s="1"/>
  <c r="L39" i="62" s="1"/>
  <c r="L40" i="62" s="1"/>
  <c r="L41" i="62" s="1"/>
  <c r="L42" i="62" s="1"/>
  <c r="L43" i="62" s="1"/>
  <c r="L44" i="62" s="1"/>
  <c r="L45" i="62" s="1"/>
  <c r="L46" i="62" s="1"/>
  <c r="L47" i="62" s="1"/>
  <c r="L48" i="62" s="1"/>
  <c r="L49" i="62" s="1"/>
  <c r="L50" i="62" s="1"/>
  <c r="L51" i="62" s="1"/>
  <c r="L52" i="62" s="1"/>
  <c r="L53" i="62" s="1"/>
  <c r="L54" i="62" s="1"/>
  <c r="L55" i="62" s="1"/>
  <c r="L56" i="62" s="1"/>
  <c r="L57" i="62" s="1"/>
  <c r="L58" i="62" s="1"/>
  <c r="L59" i="62" s="1"/>
  <c r="L60" i="62" s="1"/>
  <c r="L61" i="62" s="1"/>
  <c r="L62" i="62" s="1"/>
  <c r="L63" i="62" s="1"/>
  <c r="L64" i="62" s="1"/>
  <c r="L65" i="62" s="1"/>
  <c r="L66" i="62" s="1"/>
  <c r="L67" i="62" s="1"/>
  <c r="L68" i="62" s="1"/>
  <c r="L69" i="62" s="1"/>
  <c r="L70" i="62" s="1"/>
  <c r="L71" i="62" s="1"/>
  <c r="L72" i="62" s="1"/>
  <c r="L73" i="62" s="1"/>
  <c r="L74" i="62" s="1"/>
  <c r="I6" i="62"/>
  <c r="F80" i="62" s="1"/>
  <c r="H6" i="62"/>
  <c r="F6" i="62"/>
  <c r="J63" i="16"/>
  <c r="O42" i="16" s="1"/>
  <c r="G43" i="16"/>
  <c r="I43" i="16" s="1"/>
  <c r="E103" i="59" a="1"/>
  <c r="E82" i="59" a="1"/>
  <c r="E83" i="59" a="1"/>
  <c r="E84" i="59" a="1"/>
  <c r="E85" i="59" a="1"/>
  <c r="E86" i="59" a="1"/>
  <c r="E87" i="59" a="1"/>
  <c r="E88" i="59" a="1"/>
  <c r="E89" i="59" a="1"/>
  <c r="E90" i="59" a="1"/>
  <c r="E91" i="59" a="1"/>
  <c r="E92" i="59" a="1"/>
  <c r="E93" i="59" a="1"/>
  <c r="E94" i="59" a="1"/>
  <c r="E95" i="59" a="1"/>
  <c r="E96" i="59" a="1"/>
  <c r="E97" i="59" a="1"/>
  <c r="E98" i="59" a="1"/>
  <c r="E99" i="59" a="1"/>
  <c r="E100" i="59" a="1"/>
  <c r="E101" i="59" a="1"/>
  <c r="E102" i="59" a="1"/>
  <c r="E104" i="59" a="1"/>
  <c r="E105" i="59" a="1"/>
  <c r="E106" i="59" a="1"/>
  <c r="E107" i="59" a="1"/>
  <c r="E108" i="59" a="1"/>
  <c r="E109" i="59" a="1"/>
  <c r="E110" i="59" a="1"/>
  <c r="E111" i="59" a="1"/>
  <c r="E112" i="59" a="1"/>
  <c r="E113" i="59" a="1"/>
  <c r="D103" i="59"/>
  <c r="C23" i="43"/>
  <c r="D7" i="43"/>
  <c r="W67" i="39"/>
  <c r="V62" i="39"/>
  <c r="D61" i="39"/>
  <c r="E62" i="39" s="1"/>
  <c r="D23" i="38"/>
  <c r="C93" i="33"/>
  <c r="H22" i="69"/>
  <c r="I23" i="69"/>
  <c r="H23" i="69"/>
  <c r="K17" i="69"/>
  <c r="O3" i="24"/>
  <c r="G140" i="27"/>
  <c r="G139" i="27"/>
  <c r="G142" i="27"/>
  <c r="G141" i="27"/>
  <c r="G143" i="27"/>
  <c r="D177" i="27"/>
  <c r="F4" i="78"/>
  <c r="F5" i="78"/>
  <c r="F6" i="78"/>
  <c r="F7" i="78"/>
  <c r="F8" i="78"/>
  <c r="F9" i="78"/>
  <c r="F10" i="78"/>
  <c r="F11" i="78"/>
  <c r="F3" i="78"/>
  <c r="O20" i="16"/>
  <c r="N21" i="16"/>
  <c r="N20" i="16"/>
  <c r="G20" i="16"/>
  <c r="I20" i="16" s="1"/>
  <c r="D50" i="39"/>
  <c r="D46" i="39"/>
  <c r="E4" i="39"/>
  <c r="E7" i="39" s="1"/>
  <c r="E9" i="39" s="1"/>
  <c r="G94" i="55"/>
  <c r="D85" i="55"/>
  <c r="G81" i="55"/>
  <c r="D81" i="55"/>
  <c r="I7" i="56"/>
  <c r="I10" i="56" s="1"/>
  <c r="I9" i="56"/>
  <c r="I11" i="56" s="1"/>
  <c r="C9" i="56"/>
  <c r="H44" i="55"/>
  <c r="G44" i="55"/>
  <c r="G46" i="55" s="1"/>
  <c r="F44" i="55"/>
  <c r="F46" i="55" s="1"/>
  <c r="E44" i="55"/>
  <c r="E46" i="55" s="1"/>
  <c r="D44" i="55"/>
  <c r="D46" i="55" s="1"/>
  <c r="C33" i="55"/>
  <c r="C15" i="55"/>
  <c r="C26" i="55" s="1"/>
  <c r="F9" i="80" l="1"/>
  <c r="C9" i="80"/>
  <c r="D98" i="81"/>
  <c r="D21" i="83" s="1"/>
  <c r="D23" i="83" s="1"/>
  <c r="F11" i="90"/>
  <c r="G5" i="91"/>
  <c r="G8" i="90"/>
  <c r="G11" i="90"/>
  <c r="E98" i="81"/>
  <c r="E5" i="89"/>
  <c r="G5" i="89"/>
  <c r="B6" i="89"/>
  <c r="D92" i="55"/>
  <c r="C5" i="55"/>
  <c r="C17" i="55" s="1"/>
  <c r="E36" i="39"/>
  <c r="D60" i="39" s="1"/>
  <c r="C4" i="94"/>
  <c r="D21" i="93"/>
  <c r="F351" i="81"/>
  <c r="X7" i="39" s="1"/>
  <c r="G6" i="91"/>
  <c r="D91" i="55"/>
  <c r="G46" i="89"/>
  <c r="E49" i="89"/>
  <c r="E6" i="91"/>
  <c r="D20" i="93"/>
  <c r="W12" i="39"/>
  <c r="G17" i="92"/>
  <c r="G19" i="92" s="1"/>
  <c r="E17" i="92"/>
  <c r="E19" i="92" s="1"/>
  <c r="E31" i="39"/>
  <c r="E8" i="90"/>
  <c r="J6" i="95"/>
  <c r="C20" i="95"/>
  <c r="C21" i="95" s="1"/>
  <c r="J13" i="95"/>
  <c r="J14" i="95" s="1"/>
  <c r="F26" i="95"/>
  <c r="J17" i="95"/>
  <c r="J16" i="95"/>
  <c r="D20" i="95"/>
  <c r="I13" i="56"/>
  <c r="G6" i="93"/>
  <c r="G8" i="93" s="1"/>
  <c r="G11" i="93" s="1"/>
  <c r="G14" i="93"/>
  <c r="G13" i="93"/>
  <c r="F11" i="56"/>
  <c r="F12" i="56"/>
  <c r="F13" i="56"/>
  <c r="G77" i="55"/>
  <c r="F5" i="89"/>
  <c r="F8" i="90"/>
  <c r="D17" i="92"/>
  <c r="D19" i="92" s="1"/>
  <c r="D6" i="89"/>
  <c r="F49" i="89"/>
  <c r="E6" i="89"/>
  <c r="G49" i="89"/>
  <c r="F17" i="92"/>
  <c r="F19" i="92" s="1"/>
  <c r="D5" i="89"/>
  <c r="E6" i="87"/>
  <c r="E20" i="87" s="1"/>
  <c r="B7" i="89"/>
  <c r="F46" i="89"/>
  <c r="G6" i="89"/>
  <c r="E46" i="89"/>
  <c r="D7" i="89"/>
  <c r="E7" i="89"/>
  <c r="D8" i="89"/>
  <c r="E11" i="90"/>
  <c r="E6" i="90"/>
  <c r="E11" i="89"/>
  <c r="F6" i="90"/>
  <c r="C293" i="81"/>
  <c r="E23" i="89"/>
  <c r="G6" i="90"/>
  <c r="E5" i="91"/>
  <c r="D11" i="89"/>
  <c r="B5" i="89"/>
  <c r="G26" i="89"/>
  <c r="C330" i="81"/>
  <c r="C8" i="56" s="1"/>
  <c r="B10" i="89"/>
  <c r="D10" i="89"/>
  <c r="F23" i="89"/>
  <c r="C6" i="86"/>
  <c r="E10" i="89"/>
  <c r="G23" i="89"/>
  <c r="E6" i="86"/>
  <c r="F6" i="89"/>
  <c r="G10" i="89"/>
  <c r="G8" i="89"/>
  <c r="B8" i="83"/>
  <c r="F10" i="87"/>
  <c r="F24" i="87" s="1"/>
  <c r="G10" i="87"/>
  <c r="G24" i="87" s="1"/>
  <c r="J12" i="86"/>
  <c r="E8" i="89"/>
  <c r="B11" i="89"/>
  <c r="C13" i="86"/>
  <c r="G11" i="89"/>
  <c r="E26" i="89"/>
  <c r="D293" i="81"/>
  <c r="G7" i="89"/>
  <c r="F26" i="89"/>
  <c r="C11" i="87"/>
  <c r="D11" i="87"/>
  <c r="C6" i="87"/>
  <c r="C7" i="87" s="1"/>
  <c r="D6" i="87"/>
  <c r="D7" i="87" s="1"/>
  <c r="F6" i="87"/>
  <c r="F20" i="87" s="1"/>
  <c r="G6" i="87"/>
  <c r="G20" i="87" s="1"/>
  <c r="H12" i="86"/>
  <c r="G9" i="87"/>
  <c r="E10" i="87"/>
  <c r="C12" i="88"/>
  <c r="C17" i="88"/>
  <c r="C25" i="88"/>
  <c r="E19" i="87"/>
  <c r="F19" i="87"/>
  <c r="D6" i="86"/>
  <c r="E13" i="86"/>
  <c r="C11" i="86"/>
  <c r="E11" i="86"/>
  <c r="G21" i="83"/>
  <c r="G23" i="83" s="1"/>
  <c r="G12" i="83"/>
  <c r="G8" i="47"/>
  <c r="F9" i="47"/>
  <c r="G9" i="47"/>
  <c r="H9" i="47" s="1"/>
  <c r="G10" i="47"/>
  <c r="D7" i="47"/>
  <c r="C24" i="47"/>
  <c r="E7" i="47"/>
  <c r="G26" i="83"/>
  <c r="D9" i="83"/>
  <c r="G9" i="83"/>
  <c r="E12" i="83"/>
  <c r="F21" i="83"/>
  <c r="G20" i="83"/>
  <c r="F20" i="83"/>
  <c r="E9" i="83"/>
  <c r="E20" i="83"/>
  <c r="D20" i="83"/>
  <c r="D12" i="83"/>
  <c r="E22" i="81"/>
  <c r="E27" i="81" s="1"/>
  <c r="E75" i="81" s="1"/>
  <c r="G8" i="81"/>
  <c r="D31" i="81"/>
  <c r="D35" i="81" s="1"/>
  <c r="D37" i="81" s="1"/>
  <c r="E31" i="81"/>
  <c r="E35" i="81" s="1"/>
  <c r="E37" i="81" s="1"/>
  <c r="F8" i="81"/>
  <c r="F310" i="81" s="1"/>
  <c r="F14" i="92" s="1"/>
  <c r="F174" i="81"/>
  <c r="I14" i="86" s="1"/>
  <c r="G200" i="81"/>
  <c r="F88" i="81"/>
  <c r="G352" i="81"/>
  <c r="Y8" i="39" s="1"/>
  <c r="G344" i="81"/>
  <c r="D191" i="81"/>
  <c r="D193" i="81" s="1"/>
  <c r="F172" i="81"/>
  <c r="C191" i="81"/>
  <c r="C193" i="81" s="1"/>
  <c r="E204" i="81"/>
  <c r="G293" i="81"/>
  <c r="E285" i="81"/>
  <c r="E7" i="91" s="1"/>
  <c r="F204" i="81"/>
  <c r="D89" i="81"/>
  <c r="F112" i="81"/>
  <c r="E9" i="84" s="1"/>
  <c r="E293" i="81"/>
  <c r="F102" i="81"/>
  <c r="E344" i="81"/>
  <c r="D22" i="81"/>
  <c r="D27" i="81" s="1"/>
  <c r="D75" i="81" s="1"/>
  <c r="C10" i="82" s="1"/>
  <c r="F84" i="81"/>
  <c r="F7" i="89" s="1"/>
  <c r="G103" i="81"/>
  <c r="F171" i="81"/>
  <c r="I11" i="86" s="1"/>
  <c r="F344" i="81"/>
  <c r="F187" i="81"/>
  <c r="F193" i="81" s="1"/>
  <c r="F207" i="81" s="1"/>
  <c r="C8" i="81"/>
  <c r="C10" i="81" s="1"/>
  <c r="C12" i="81" s="1"/>
  <c r="D97" i="81"/>
  <c r="D8" i="81"/>
  <c r="D310" i="81" s="1"/>
  <c r="E97" i="81"/>
  <c r="F348" i="81"/>
  <c r="X4" i="39" s="1"/>
  <c r="E8" i="81"/>
  <c r="E310" i="81" s="1"/>
  <c r="E14" i="92" s="1"/>
  <c r="F97" i="81"/>
  <c r="F22" i="81"/>
  <c r="F34" i="81"/>
  <c r="E86" i="81"/>
  <c r="E349" i="81"/>
  <c r="E100" i="81"/>
  <c r="G86" i="81"/>
  <c r="E89" i="81"/>
  <c r="F300" i="81"/>
  <c r="F5" i="92" s="1"/>
  <c r="F31" i="81"/>
  <c r="G89" i="81"/>
  <c r="F169" i="81"/>
  <c r="I9" i="86" s="1"/>
  <c r="F291" i="81"/>
  <c r="F170" i="81"/>
  <c r="I10" i="86" s="1"/>
  <c r="G31" i="81"/>
  <c r="G35" i="81" s="1"/>
  <c r="G37" i="81" s="1"/>
  <c r="G170" i="81"/>
  <c r="E170" i="81"/>
  <c r="G285" i="81"/>
  <c r="G7" i="91" s="1"/>
  <c r="G22" i="81"/>
  <c r="G27" i="81" s="1"/>
  <c r="F99" i="81"/>
  <c r="F110" i="81"/>
  <c r="E7" i="84" s="1"/>
  <c r="F26" i="81"/>
  <c r="G100" i="81"/>
  <c r="F85" i="81"/>
  <c r="F153" i="81"/>
  <c r="F135" i="81"/>
  <c r="G191" i="81"/>
  <c r="G205" i="81" s="1"/>
  <c r="G97" i="81"/>
  <c r="F87" i="81"/>
  <c r="E187" i="81"/>
  <c r="D86" i="81"/>
  <c r="F155" i="81"/>
  <c r="F284" i="81"/>
  <c r="E109" i="81"/>
  <c r="D6" i="84" s="1"/>
  <c r="C13" i="80"/>
  <c r="F12" i="80"/>
  <c r="F8" i="79"/>
  <c r="F10" i="79" s="1"/>
  <c r="E8" i="79"/>
  <c r="D8" i="79"/>
  <c r="D10" i="79" s="1"/>
  <c r="C8" i="79"/>
  <c r="E10" i="79"/>
  <c r="G8" i="79"/>
  <c r="C12" i="64"/>
  <c r="C17" i="64" s="1"/>
  <c r="C18" i="64" s="1"/>
  <c r="D6" i="64"/>
  <c r="D17" i="64" s="1"/>
  <c r="D18" i="64" s="1"/>
  <c r="E9" i="64"/>
  <c r="D12" i="64"/>
  <c r="E14" i="64"/>
  <c r="E12" i="64" s="1"/>
  <c r="E6" i="64"/>
  <c r="E5" i="64"/>
  <c r="E16" i="64"/>
  <c r="F82" i="62"/>
  <c r="E82" i="62"/>
  <c r="F86" i="62"/>
  <c r="D76" i="62"/>
  <c r="F83" i="62"/>
  <c r="E80" i="62"/>
  <c r="E84" i="62"/>
  <c r="F84" i="62"/>
  <c r="E83" i="62"/>
  <c r="E87" i="62"/>
  <c r="F85" i="62"/>
  <c r="E85" i="62"/>
  <c r="E81" i="62"/>
  <c r="E76" i="62"/>
  <c r="F87" i="62"/>
  <c r="E86" i="62"/>
  <c r="F81" i="62"/>
  <c r="E88" i="62"/>
  <c r="F88" i="62"/>
  <c r="G79" i="55"/>
  <c r="G82" i="55" s="1"/>
  <c r="N36" i="74"/>
  <c r="D44" i="74"/>
  <c r="E44" i="74"/>
  <c r="F44" i="74"/>
  <c r="F46" i="74" s="1"/>
  <c r="G44" i="74"/>
  <c r="G46" i="74" s="1"/>
  <c r="H44" i="74"/>
  <c r="H46" i="74" s="1"/>
  <c r="I44" i="74"/>
  <c r="J44" i="74"/>
  <c r="K44" i="74"/>
  <c r="L44" i="74"/>
  <c r="M44" i="74"/>
  <c r="C44" i="74"/>
  <c r="C46" i="74" s="1"/>
  <c r="M46" i="74"/>
  <c r="L46" i="74"/>
  <c r="K46" i="74"/>
  <c r="J46" i="74"/>
  <c r="I46" i="74"/>
  <c r="E46" i="74"/>
  <c r="D46" i="74"/>
  <c r="I34" i="74"/>
  <c r="I36" i="74" s="1"/>
  <c r="I40" i="74" s="1"/>
  <c r="D34" i="74"/>
  <c r="D36" i="74" s="1"/>
  <c r="D40" i="74" s="1"/>
  <c r="E34" i="74"/>
  <c r="E36" i="74" s="1"/>
  <c r="E40" i="74" s="1"/>
  <c r="F34" i="74"/>
  <c r="F36" i="74" s="1"/>
  <c r="F40" i="74" s="1"/>
  <c r="G34" i="74"/>
  <c r="G36" i="74" s="1"/>
  <c r="G40" i="74" s="1"/>
  <c r="H34" i="74"/>
  <c r="H36" i="74" s="1"/>
  <c r="H40" i="74" s="1"/>
  <c r="J34" i="74"/>
  <c r="J36" i="74" s="1"/>
  <c r="J40" i="74" s="1"/>
  <c r="K34" i="74"/>
  <c r="K36" i="74" s="1"/>
  <c r="K40" i="74" s="1"/>
  <c r="M34" i="74"/>
  <c r="M36" i="74" s="1"/>
  <c r="C34" i="74"/>
  <c r="C36" i="74" s="1"/>
  <c r="C40" i="74" s="1"/>
  <c r="L27" i="74"/>
  <c r="L20" i="74"/>
  <c r="L6" i="74"/>
  <c r="L14" i="74" s="1"/>
  <c r="L34" i="74" s="1"/>
  <c r="L36" i="74" s="1"/>
  <c r="L40" i="74" s="1"/>
  <c r="C14" i="80" l="1"/>
  <c r="D6" i="93"/>
  <c r="D22" i="93"/>
  <c r="D101" i="81"/>
  <c r="D24" i="83" s="1"/>
  <c r="D26" i="83" s="1"/>
  <c r="C10" i="56"/>
  <c r="C337" i="81"/>
  <c r="G310" i="81"/>
  <c r="G14" i="92" s="1"/>
  <c r="D100" i="81"/>
  <c r="D53" i="39"/>
  <c r="C334" i="81"/>
  <c r="C6" i="94"/>
  <c r="C10" i="94" s="1"/>
  <c r="E352" i="81"/>
  <c r="W8" i="39" s="1"/>
  <c r="W5" i="39"/>
  <c r="C13" i="87"/>
  <c r="D21" i="95"/>
  <c r="D25" i="95" s="1"/>
  <c r="D27" i="95" s="1"/>
  <c r="E20" i="95"/>
  <c r="D9" i="89"/>
  <c r="E9" i="89"/>
  <c r="E7" i="87"/>
  <c r="E21" i="87" s="1"/>
  <c r="G9" i="89"/>
  <c r="E12" i="89"/>
  <c r="F292" i="81"/>
  <c r="F6" i="91"/>
  <c r="D12" i="89"/>
  <c r="G12" i="89"/>
  <c r="F11" i="83"/>
  <c r="F11" i="89"/>
  <c r="D13" i="87"/>
  <c r="F11" i="87"/>
  <c r="F25" i="87" s="1"/>
  <c r="F10" i="83"/>
  <c r="F10" i="89"/>
  <c r="F8" i="83"/>
  <c r="F8" i="89"/>
  <c r="F9" i="89" s="1"/>
  <c r="F7" i="87"/>
  <c r="F21" i="87" s="1"/>
  <c r="E24" i="87"/>
  <c r="E11" i="87"/>
  <c r="G23" i="87"/>
  <c r="G11" i="87"/>
  <c r="G25" i="87" s="1"/>
  <c r="G7" i="87"/>
  <c r="G21" i="87" s="1"/>
  <c r="E173" i="81"/>
  <c r="H13" i="86" s="1"/>
  <c r="H10" i="86"/>
  <c r="D11" i="85"/>
  <c r="D11" i="86"/>
  <c r="G173" i="81"/>
  <c r="J13" i="86" s="1"/>
  <c r="J10" i="86"/>
  <c r="D13" i="85"/>
  <c r="D13" i="86"/>
  <c r="F352" i="81"/>
  <c r="X8" i="39" s="1"/>
  <c r="I12" i="86"/>
  <c r="G13" i="83"/>
  <c r="E13" i="83"/>
  <c r="F86" i="81"/>
  <c r="F7" i="83"/>
  <c r="F10" i="81"/>
  <c r="F116" i="81"/>
  <c r="E13" i="84" s="1"/>
  <c r="E10" i="81"/>
  <c r="E116" i="81"/>
  <c r="D13" i="84" s="1"/>
  <c r="G10" i="81"/>
  <c r="G116" i="81"/>
  <c r="F13" i="84" s="1"/>
  <c r="F103" i="81"/>
  <c r="F25" i="83"/>
  <c r="F26" i="83" s="1"/>
  <c r="F201" i="81"/>
  <c r="F100" i="81"/>
  <c r="F22" i="83"/>
  <c r="F23" i="83" s="1"/>
  <c r="D10" i="81"/>
  <c r="D116" i="81"/>
  <c r="C13" i="84" s="1"/>
  <c r="D13" i="83"/>
  <c r="E101" i="81"/>
  <c r="E21" i="83"/>
  <c r="E23" i="83" s="1"/>
  <c r="E316" i="81"/>
  <c r="D10" i="82"/>
  <c r="C213" i="81"/>
  <c r="F35" i="81"/>
  <c r="F37" i="81" s="1"/>
  <c r="F89" i="81"/>
  <c r="D90" i="81"/>
  <c r="D113" i="81" s="1"/>
  <c r="C10" i="84" s="1"/>
  <c r="E90" i="81"/>
  <c r="E113" i="81" s="1"/>
  <c r="F173" i="81"/>
  <c r="I13" i="86" s="1"/>
  <c r="G90" i="81"/>
  <c r="F312" i="81"/>
  <c r="G316" i="81"/>
  <c r="G20" i="92" s="1"/>
  <c r="G75" i="81"/>
  <c r="F10" i="82" s="1"/>
  <c r="G193" i="81"/>
  <c r="G207" i="81" s="1"/>
  <c r="F27" i="81"/>
  <c r="F109" i="81"/>
  <c r="E6" i="84" s="1"/>
  <c r="F293" i="81"/>
  <c r="F285" i="81"/>
  <c r="F7" i="91" s="1"/>
  <c r="E193" i="81"/>
  <c r="E207" i="81" s="1"/>
  <c r="E201" i="81"/>
  <c r="D316" i="81"/>
  <c r="D20" i="92" s="1"/>
  <c r="E312" i="81"/>
  <c r="F13" i="80"/>
  <c r="F14" i="80" s="1"/>
  <c r="C10" i="79"/>
  <c r="C12" i="79" s="1"/>
  <c r="D12" i="79"/>
  <c r="E12" i="79"/>
  <c r="F12" i="79"/>
  <c r="G10" i="79"/>
  <c r="E17" i="64"/>
  <c r="E18" i="64"/>
  <c r="G84" i="55"/>
  <c r="G85" i="55"/>
  <c r="C41" i="74"/>
  <c r="M40" i="74"/>
  <c r="L28" i="74"/>
  <c r="N67" i="70"/>
  <c r="N61" i="70"/>
  <c r="N62" i="70"/>
  <c r="G62" i="70"/>
  <c r="H62" i="70"/>
  <c r="I62" i="70"/>
  <c r="J62" i="70" s="1"/>
  <c r="K62" i="70" s="1"/>
  <c r="L62" i="70" s="1"/>
  <c r="M62" i="70" s="1"/>
  <c r="F62" i="70"/>
  <c r="E62" i="70"/>
  <c r="G61" i="70"/>
  <c r="H61" i="70"/>
  <c r="I61" i="70" s="1"/>
  <c r="J61" i="70" s="1"/>
  <c r="K61" i="70" s="1"/>
  <c r="L61" i="70" s="1"/>
  <c r="M61" i="70" s="1"/>
  <c r="F61" i="70"/>
  <c r="E61" i="70"/>
  <c r="D71" i="70"/>
  <c r="D70" i="70"/>
  <c r="D68" i="70"/>
  <c r="D65" i="70"/>
  <c r="N20" i="70"/>
  <c r="F20" i="70"/>
  <c r="D55" i="70"/>
  <c r="D54" i="70"/>
  <c r="F53" i="70"/>
  <c r="F52" i="70"/>
  <c r="E53" i="70"/>
  <c r="E52" i="70"/>
  <c r="D53" i="70"/>
  <c r="D52" i="70"/>
  <c r="F51" i="70"/>
  <c r="E51" i="70"/>
  <c r="D51" i="70"/>
  <c r="G20" i="70"/>
  <c r="H20" i="70" s="1"/>
  <c r="I20" i="70" s="1"/>
  <c r="J20" i="70" s="1"/>
  <c r="K20" i="70" s="1"/>
  <c r="L20" i="70" s="1"/>
  <c r="M20" i="70" s="1"/>
  <c r="E20" i="70"/>
  <c r="E19" i="70"/>
  <c r="F19" i="70" s="1"/>
  <c r="G19" i="70" s="1"/>
  <c r="H19" i="70" s="1"/>
  <c r="I19" i="70" s="1"/>
  <c r="J19" i="70" s="1"/>
  <c r="K19" i="70" s="1"/>
  <c r="L19" i="70" s="1"/>
  <c r="M19" i="70" s="1"/>
  <c r="N19" i="70" s="1"/>
  <c r="D29" i="70"/>
  <c r="D28" i="70"/>
  <c r="D23" i="70"/>
  <c r="D26" i="70" s="1"/>
  <c r="E34" i="70"/>
  <c r="E39" i="70" s="1"/>
  <c r="E44" i="70" s="1"/>
  <c r="E35" i="70"/>
  <c r="D44" i="70"/>
  <c r="D43" i="70"/>
  <c r="D38" i="70"/>
  <c r="D41" i="70" s="1"/>
  <c r="D13" i="70"/>
  <c r="E4" i="70"/>
  <c r="E5" i="70"/>
  <c r="F5" i="70" s="1"/>
  <c r="G5" i="70" s="1"/>
  <c r="H5" i="70" s="1"/>
  <c r="I5" i="70" s="1"/>
  <c r="J5" i="70" s="1"/>
  <c r="K5" i="70" s="1"/>
  <c r="L5" i="70" s="1"/>
  <c r="M5" i="70" s="1"/>
  <c r="N5" i="70" s="1"/>
  <c r="N10" i="70"/>
  <c r="D14" i="70"/>
  <c r="E9" i="70"/>
  <c r="E11" i="70" s="1"/>
  <c r="D8" i="70"/>
  <c r="D11" i="70"/>
  <c r="I24" i="69"/>
  <c r="I25" i="69" s="1"/>
  <c r="I26" i="69" s="1"/>
  <c r="D22" i="69"/>
  <c r="D23" i="69" s="1"/>
  <c r="E23" i="69" s="1"/>
  <c r="J23" i="69" s="1"/>
  <c r="D7" i="69"/>
  <c r="C106" i="33"/>
  <c r="C105" i="33"/>
  <c r="C104" i="33"/>
  <c r="C102" i="33"/>
  <c r="C103" i="33" s="1"/>
  <c r="C100" i="33"/>
  <c r="C101" i="33"/>
  <c r="M5" i="33"/>
  <c r="M8" i="33" s="1"/>
  <c r="M13" i="33" s="1"/>
  <c r="M17" i="33" s="1"/>
  <c r="C94" i="33"/>
  <c r="C92" i="33"/>
  <c r="C90" i="33"/>
  <c r="C89" i="33"/>
  <c r="C87" i="33"/>
  <c r="I8" i="65"/>
  <c r="I11" i="65" s="1"/>
  <c r="I13" i="65" s="1"/>
  <c r="D14" i="65"/>
  <c r="D18" i="65"/>
  <c r="D10" i="65"/>
  <c r="C339" i="81" l="1"/>
  <c r="G312" i="81"/>
  <c r="D103" i="81"/>
  <c r="G12" i="81"/>
  <c r="G307" i="81"/>
  <c r="E12" i="81"/>
  <c r="E307" i="81"/>
  <c r="F12" i="81"/>
  <c r="F70" i="81" s="1"/>
  <c r="E5" i="82" s="1"/>
  <c r="F307" i="81"/>
  <c r="F309" i="81" s="1"/>
  <c r="F311" i="81" s="1"/>
  <c r="D12" i="81"/>
  <c r="D307" i="81"/>
  <c r="D90" i="55"/>
  <c r="D19" i="93"/>
  <c r="D26" i="93" s="1"/>
  <c r="G19" i="93" s="1"/>
  <c r="G21" i="93" s="1"/>
  <c r="G24" i="93" s="1"/>
  <c r="D13" i="89"/>
  <c r="E14" i="89" s="1"/>
  <c r="F20" i="95"/>
  <c r="F21" i="95" s="1"/>
  <c r="F25" i="95" s="1"/>
  <c r="F27" i="95" s="1"/>
  <c r="E21" i="95"/>
  <c r="E25" i="95" s="1"/>
  <c r="E27" i="95" s="1"/>
  <c r="C29" i="95"/>
  <c r="E13" i="89"/>
  <c r="G13" i="89"/>
  <c r="D114" i="81"/>
  <c r="C11" i="84" s="1"/>
  <c r="C15" i="84" s="1"/>
  <c r="C20" i="84" s="1"/>
  <c r="E317" i="81"/>
  <c r="E20" i="92"/>
  <c r="F314" i="81"/>
  <c r="F16" i="92"/>
  <c r="F18" i="92" s="1"/>
  <c r="D22" i="92"/>
  <c r="D24" i="92" s="1"/>
  <c r="D21" i="92"/>
  <c r="F12" i="89"/>
  <c r="F13" i="89" s="1"/>
  <c r="E314" i="81"/>
  <c r="E16" i="92"/>
  <c r="E18" i="92" s="1"/>
  <c r="G314" i="81"/>
  <c r="G16" i="92"/>
  <c r="G18" i="92" s="1"/>
  <c r="F12" i="83"/>
  <c r="D312" i="81"/>
  <c r="D314" i="81" s="1"/>
  <c r="D14" i="92"/>
  <c r="D16" i="92" s="1"/>
  <c r="D18" i="92" s="1"/>
  <c r="G22" i="92"/>
  <c r="G24" i="92" s="1"/>
  <c r="G21" i="92"/>
  <c r="F9" i="83"/>
  <c r="E318" i="81"/>
  <c r="E320" i="81" s="1"/>
  <c r="F13" i="87"/>
  <c r="F27" i="87" s="1"/>
  <c r="G13" i="87"/>
  <c r="G27" i="87" s="1"/>
  <c r="E25" i="87"/>
  <c r="E13" i="87"/>
  <c r="E27" i="87" s="1"/>
  <c r="F90" i="81"/>
  <c r="F113" i="81" s="1"/>
  <c r="E10" i="84" s="1"/>
  <c r="E14" i="83"/>
  <c r="D70" i="81"/>
  <c r="C5" i="82" s="1"/>
  <c r="E140" i="81"/>
  <c r="E158" i="81" s="1"/>
  <c r="D10" i="84"/>
  <c r="E103" i="81"/>
  <c r="E24" i="83"/>
  <c r="E26" i="83" s="1"/>
  <c r="F213" i="81"/>
  <c r="E91" i="81"/>
  <c r="E114" i="81"/>
  <c r="D11" i="84" s="1"/>
  <c r="D15" i="84" s="1"/>
  <c r="D20" i="84" s="1"/>
  <c r="E222" i="81"/>
  <c r="G113" i="81"/>
  <c r="F10" i="84" s="1"/>
  <c r="G140" i="81"/>
  <c r="D318" i="81"/>
  <c r="D320" i="81" s="1"/>
  <c r="D317" i="81"/>
  <c r="F75" i="81"/>
  <c r="F316" i="81"/>
  <c r="F20" i="92" s="1"/>
  <c r="G318" i="81"/>
  <c r="G320" i="81" s="1"/>
  <c r="G317" i="81"/>
  <c r="G12" i="79"/>
  <c r="C98" i="33"/>
  <c r="D93" i="55"/>
  <c r="I27" i="69"/>
  <c r="I28" i="69" s="1"/>
  <c r="I29" i="69" s="1"/>
  <c r="I30" i="69" s="1"/>
  <c r="I31" i="69" s="1"/>
  <c r="I32" i="69" s="1"/>
  <c r="D8" i="69"/>
  <c r="D9" i="69" s="1"/>
  <c r="E70" i="70"/>
  <c r="E66" i="70"/>
  <c r="E43" i="70"/>
  <c r="N25" i="70"/>
  <c r="E28" i="70"/>
  <c r="F34" i="70"/>
  <c r="G34" i="70" s="1"/>
  <c r="H34" i="70" s="1"/>
  <c r="F35" i="70"/>
  <c r="G35" i="70" s="1"/>
  <c r="H35" i="70" s="1"/>
  <c r="I35" i="70" s="1"/>
  <c r="J35" i="70" s="1"/>
  <c r="K35" i="70" s="1"/>
  <c r="L35" i="70" s="1"/>
  <c r="M35" i="70" s="1"/>
  <c r="N35" i="70" s="1"/>
  <c r="N40" i="70" s="1"/>
  <c r="F24" i="70"/>
  <c r="F28" i="70"/>
  <c r="E24" i="70"/>
  <c r="E13" i="70"/>
  <c r="E41" i="70"/>
  <c r="F4" i="70"/>
  <c r="E14" i="70"/>
  <c r="F9" i="70"/>
  <c r="E8" i="69"/>
  <c r="E22" i="69"/>
  <c r="E7" i="69"/>
  <c r="H7" i="69"/>
  <c r="I7" i="69" s="1"/>
  <c r="D24" i="69"/>
  <c r="E24" i="69" s="1"/>
  <c r="J24" i="69" s="1"/>
  <c r="D20" i="65"/>
  <c r="D22" i="65" s="1"/>
  <c r="F11" i="92" l="1"/>
  <c r="F13" i="92" s="1"/>
  <c r="F15" i="92" s="1"/>
  <c r="D74" i="81"/>
  <c r="C9" i="82" s="1"/>
  <c r="D299" i="81"/>
  <c r="D306" i="81" s="1"/>
  <c r="F74" i="81"/>
  <c r="E9" i="82" s="1"/>
  <c r="F299" i="81"/>
  <c r="F306" i="81" s="1"/>
  <c r="F257" i="81"/>
  <c r="F279" i="81"/>
  <c r="F280" i="81" s="1"/>
  <c r="G74" i="81"/>
  <c r="F9" i="82" s="1"/>
  <c r="G279" i="81"/>
  <c r="G299" i="81"/>
  <c r="G306" i="81" s="1"/>
  <c r="G257" i="81"/>
  <c r="G70" i="81"/>
  <c r="F5" i="82" s="1"/>
  <c r="E70" i="81"/>
  <c r="E257" i="81"/>
  <c r="E5" i="90" s="1"/>
  <c r="E279" i="81"/>
  <c r="E280" i="81" s="1"/>
  <c r="E299" i="81"/>
  <c r="E306" i="81" s="1"/>
  <c r="E74" i="81"/>
  <c r="D118" i="81"/>
  <c r="D127" i="81" s="1"/>
  <c r="G27" i="93"/>
  <c r="G26" i="93"/>
  <c r="F14" i="89"/>
  <c r="G14" i="89"/>
  <c r="E309" i="81"/>
  <c r="E311" i="81" s="1"/>
  <c r="E11" i="92"/>
  <c r="E13" i="92" s="1"/>
  <c r="E15" i="92" s="1"/>
  <c r="F22" i="92"/>
  <c r="F24" i="92" s="1"/>
  <c r="F21" i="92"/>
  <c r="G309" i="81"/>
  <c r="G311" i="81" s="1"/>
  <c r="G11" i="92"/>
  <c r="G13" i="92" s="1"/>
  <c r="G15" i="92" s="1"/>
  <c r="D309" i="81"/>
  <c r="D311" i="81" s="1"/>
  <c r="D11" i="92"/>
  <c r="D13" i="92" s="1"/>
  <c r="D15" i="92" s="1"/>
  <c r="E21" i="84"/>
  <c r="F13" i="83"/>
  <c r="F123" i="81"/>
  <c r="F128" i="81" s="1"/>
  <c r="E22" i="92"/>
  <c r="E24" i="92" s="1"/>
  <c r="E21" i="92"/>
  <c r="E246" i="81"/>
  <c r="E25" i="89"/>
  <c r="G91" i="81"/>
  <c r="F91" i="81"/>
  <c r="F140" i="81"/>
  <c r="C21" i="84"/>
  <c r="E118" i="81"/>
  <c r="E127" i="81" s="1"/>
  <c r="C16" i="85"/>
  <c r="C16" i="86"/>
  <c r="D123" i="81"/>
  <c r="D128" i="81" s="1"/>
  <c r="E10" i="82"/>
  <c r="F76" i="81"/>
  <c r="G158" i="81"/>
  <c r="G114" i="81"/>
  <c r="F318" i="81"/>
  <c r="F320" i="81" s="1"/>
  <c r="F317" i="81"/>
  <c r="F222" i="81"/>
  <c r="F25" i="89" s="1"/>
  <c r="F158" i="81"/>
  <c r="G222" i="81"/>
  <c r="G25" i="89" s="1"/>
  <c r="F114" i="81"/>
  <c r="G280" i="81"/>
  <c r="G213" i="81"/>
  <c r="G76" i="81"/>
  <c r="G5" i="90"/>
  <c r="D213" i="81"/>
  <c r="E213" i="81"/>
  <c r="D10" i="69"/>
  <c r="H9" i="69"/>
  <c r="I9" i="69" s="1"/>
  <c r="E9" i="69"/>
  <c r="J7" i="69"/>
  <c r="K7" i="69"/>
  <c r="K8" i="69"/>
  <c r="J8" i="69"/>
  <c r="H8" i="69"/>
  <c r="I8" i="69" s="1"/>
  <c r="E71" i="70"/>
  <c r="E68" i="70"/>
  <c r="F70" i="70"/>
  <c r="F66" i="70"/>
  <c r="F43" i="70"/>
  <c r="F39" i="70"/>
  <c r="F44" i="70" s="1"/>
  <c r="G39" i="70"/>
  <c r="G28" i="70"/>
  <c r="G24" i="70"/>
  <c r="F29" i="70"/>
  <c r="F26" i="70"/>
  <c r="E29" i="70"/>
  <c r="E26" i="70"/>
  <c r="I34" i="70"/>
  <c r="H39" i="70"/>
  <c r="G43" i="70"/>
  <c r="G4" i="70"/>
  <c r="F13" i="70"/>
  <c r="G9" i="70"/>
  <c r="F14" i="70"/>
  <c r="F11" i="70"/>
  <c r="H24" i="69"/>
  <c r="J22" i="69"/>
  <c r="D25" i="69"/>
  <c r="E25" i="69" s="1"/>
  <c r="C89" i="47"/>
  <c r="D89" i="47"/>
  <c r="E89" i="47"/>
  <c r="C56" i="47"/>
  <c r="C53" i="47"/>
  <c r="C51" i="47"/>
  <c r="C47" i="47"/>
  <c r="C44" i="47"/>
  <c r="C42" i="47"/>
  <c r="C41" i="47"/>
  <c r="C38" i="47"/>
  <c r="C37" i="47"/>
  <c r="C36" i="47"/>
  <c r="C35" i="47"/>
  <c r="C13" i="31" a="1"/>
  <c r="C20" i="31" s="1"/>
  <c r="C3" i="31" a="1"/>
  <c r="C10" i="31" s="1"/>
  <c r="D9" i="82" l="1"/>
  <c r="D11" i="82" s="1"/>
  <c r="E76" i="81"/>
  <c r="D5" i="82"/>
  <c r="E123" i="81"/>
  <c r="E128" i="81" s="1"/>
  <c r="D21" i="84"/>
  <c r="G123" i="81"/>
  <c r="G128" i="81" s="1"/>
  <c r="F21" i="84"/>
  <c r="G301" i="81"/>
  <c r="G4" i="92"/>
  <c r="G6" i="92" s="1"/>
  <c r="F301" i="81"/>
  <c r="F4" i="92"/>
  <c r="F6" i="92" s="1"/>
  <c r="G14" i="83"/>
  <c r="F14" i="83"/>
  <c r="F267" i="81"/>
  <c r="F5" i="90"/>
  <c r="G308" i="81"/>
  <c r="G321" i="81" s="1"/>
  <c r="G10" i="92"/>
  <c r="G12" i="92" s="1"/>
  <c r="G25" i="92" s="1"/>
  <c r="E301" i="81"/>
  <c r="E4" i="92"/>
  <c r="E6" i="92" s="1"/>
  <c r="F308" i="81"/>
  <c r="F321" i="81" s="1"/>
  <c r="F10" i="92"/>
  <c r="F12" i="92" s="1"/>
  <c r="F25" i="92" s="1"/>
  <c r="E308" i="81"/>
  <c r="E321" i="81" s="1"/>
  <c r="E10" i="92"/>
  <c r="E12" i="92" s="1"/>
  <c r="E25" i="92" s="1"/>
  <c r="D301" i="81"/>
  <c r="D4" i="92"/>
  <c r="D6" i="92" s="1"/>
  <c r="D308" i="81"/>
  <c r="D321" i="81" s="1"/>
  <c r="D10" i="92"/>
  <c r="D12" i="92" s="1"/>
  <c r="D25" i="92" s="1"/>
  <c r="E261" i="81"/>
  <c r="E262" i="81" s="1"/>
  <c r="E48" i="89"/>
  <c r="E16" i="85"/>
  <c r="E16" i="86"/>
  <c r="D16" i="85"/>
  <c r="D16" i="86"/>
  <c r="G118" i="81"/>
  <c r="G127" i="81" s="1"/>
  <c r="F11" i="84"/>
  <c r="F15" i="84" s="1"/>
  <c r="F20" i="84" s="1"/>
  <c r="F118" i="81"/>
  <c r="F127" i="81" s="1"/>
  <c r="E11" i="84"/>
  <c r="E15" i="84" s="1"/>
  <c r="E20" i="84" s="1"/>
  <c r="F11" i="82"/>
  <c r="E11" i="82"/>
  <c r="G267" i="81"/>
  <c r="G246" i="81"/>
  <c r="G48" i="89" s="1"/>
  <c r="E267" i="81"/>
  <c r="F246" i="81"/>
  <c r="F48" i="89" s="1"/>
  <c r="L20" i="31"/>
  <c r="K10" i="31"/>
  <c r="I10" i="31"/>
  <c r="H10" i="31"/>
  <c r="D10" i="31"/>
  <c r="J10" i="31"/>
  <c r="G10" i="31"/>
  <c r="F10" i="31"/>
  <c r="E10" i="31"/>
  <c r="L10" i="31"/>
  <c r="K9" i="69"/>
  <c r="J9" i="69"/>
  <c r="D11" i="69"/>
  <c r="E10" i="69"/>
  <c r="H10" i="69"/>
  <c r="I10" i="69" s="1"/>
  <c r="G70" i="70"/>
  <c r="G66" i="70"/>
  <c r="F71" i="70"/>
  <c r="F68" i="70"/>
  <c r="F41" i="70"/>
  <c r="G26" i="70"/>
  <c r="G29" i="70"/>
  <c r="H28" i="70"/>
  <c r="H24" i="70"/>
  <c r="J34" i="70"/>
  <c r="I39" i="70"/>
  <c r="G44" i="70"/>
  <c r="G41" i="70"/>
  <c r="H43" i="70"/>
  <c r="H4" i="70"/>
  <c r="G13" i="70"/>
  <c r="G14" i="70"/>
  <c r="G11" i="70"/>
  <c r="H9" i="70"/>
  <c r="J25" i="69"/>
  <c r="H25" i="69"/>
  <c r="D26" i="69"/>
  <c r="E26" i="69" s="1"/>
  <c r="E83" i="47"/>
  <c r="C50" i="31"/>
  <c r="D20" i="31"/>
  <c r="K20" i="31"/>
  <c r="J20" i="31"/>
  <c r="I20" i="31"/>
  <c r="H20" i="31"/>
  <c r="G20" i="31"/>
  <c r="F20" i="31"/>
  <c r="E20" i="31"/>
  <c r="H50" i="31" l="1"/>
  <c r="E264" i="81"/>
  <c r="E286" i="81" s="1"/>
  <c r="E10" i="90"/>
  <c r="E12" i="90" s="1"/>
  <c r="E271" i="81"/>
  <c r="E272" i="81" s="1"/>
  <c r="E274" i="81" s="1"/>
  <c r="E294" i="81" s="1"/>
  <c r="E295" i="81" s="1"/>
  <c r="E9" i="90"/>
  <c r="G261" i="81"/>
  <c r="G9" i="90" s="1"/>
  <c r="F261" i="81"/>
  <c r="F9" i="90" s="1"/>
  <c r="J50" i="31"/>
  <c r="K50" i="31"/>
  <c r="I50" i="31"/>
  <c r="F50" i="31"/>
  <c r="G50" i="31"/>
  <c r="D50" i="31"/>
  <c r="L50" i="31"/>
  <c r="E50" i="31"/>
  <c r="D12" i="69"/>
  <c r="E11" i="69"/>
  <c r="H11" i="69"/>
  <c r="I11" i="69" s="1"/>
  <c r="K10" i="69"/>
  <c r="J10" i="69"/>
  <c r="H70" i="70"/>
  <c r="H66" i="70"/>
  <c r="G71" i="70"/>
  <c r="G68" i="70"/>
  <c r="I28" i="70"/>
  <c r="I24" i="70"/>
  <c r="H29" i="70"/>
  <c r="H26" i="70"/>
  <c r="J39" i="70"/>
  <c r="K34" i="70"/>
  <c r="H44" i="70"/>
  <c r="H41" i="70"/>
  <c r="I43" i="70"/>
  <c r="I4" i="70"/>
  <c r="H13" i="70"/>
  <c r="H14" i="70"/>
  <c r="I9" i="70"/>
  <c r="H11" i="70"/>
  <c r="J26" i="69"/>
  <c r="H26" i="69"/>
  <c r="D27" i="69"/>
  <c r="E27" i="69" s="1"/>
  <c r="C36" i="30"/>
  <c r="C32" i="30"/>
  <c r="C37" i="30" s="1"/>
  <c r="C20" i="30"/>
  <c r="C24" i="30"/>
  <c r="E287" i="81" l="1"/>
  <c r="E8" i="91"/>
  <c r="E9" i="91" s="1"/>
  <c r="F271" i="81"/>
  <c r="F272" i="81" s="1"/>
  <c r="F274" i="81" s="1"/>
  <c r="F294" i="81" s="1"/>
  <c r="F295" i="81" s="1"/>
  <c r="F262" i="81"/>
  <c r="G271" i="81"/>
  <c r="G272" i="81" s="1"/>
  <c r="G274" i="81" s="1"/>
  <c r="G294" i="81" s="1"/>
  <c r="G295" i="81" s="1"/>
  <c r="G262" i="81"/>
  <c r="K11" i="69"/>
  <c r="J11" i="69"/>
  <c r="D13" i="69"/>
  <c r="E12" i="69"/>
  <c r="H12" i="69"/>
  <c r="I12" i="69" s="1"/>
  <c r="I70" i="70"/>
  <c r="I66" i="70"/>
  <c r="H68" i="70"/>
  <c r="H71" i="70"/>
  <c r="I29" i="70"/>
  <c r="I26" i="70"/>
  <c r="J28" i="70"/>
  <c r="J24" i="70"/>
  <c r="K39" i="70"/>
  <c r="L34" i="70"/>
  <c r="J43" i="70"/>
  <c r="I44" i="70"/>
  <c r="I41" i="70"/>
  <c r="J4" i="70"/>
  <c r="I13" i="70"/>
  <c r="I14" i="70"/>
  <c r="J9" i="70"/>
  <c r="I11" i="70"/>
  <c r="J27" i="69"/>
  <c r="H27" i="69"/>
  <c r="D28" i="69"/>
  <c r="E28" i="69" s="1"/>
  <c r="F28" i="30"/>
  <c r="C35" i="30"/>
  <c r="C34" i="30"/>
  <c r="C33" i="30"/>
  <c r="C31" i="30"/>
  <c r="C30" i="30"/>
  <c r="C29" i="30"/>
  <c r="C28" i="30"/>
  <c r="E44" i="24"/>
  <c r="F44" i="24"/>
  <c r="G44" i="24"/>
  <c r="D44" i="24"/>
  <c r="D27" i="24"/>
  <c r="D28" i="24" s="1"/>
  <c r="D29" i="24" s="1"/>
  <c r="D30" i="24" s="1"/>
  <c r="D31" i="24" s="1"/>
  <c r="D32" i="24" s="1"/>
  <c r="D33" i="24" s="1"/>
  <c r="D34" i="24" s="1"/>
  <c r="D35" i="24" s="1"/>
  <c r="D36" i="24" s="1"/>
  <c r="D37" i="24" s="1"/>
  <c r="D38" i="24" s="1"/>
  <c r="D39" i="24" s="1"/>
  <c r="D40" i="24" s="1"/>
  <c r="D41" i="24" s="1"/>
  <c r="D42" i="24" s="1"/>
  <c r="D43" i="24" s="1"/>
  <c r="E27" i="24"/>
  <c r="E28" i="24" s="1"/>
  <c r="E29" i="24" s="1"/>
  <c r="E30" i="24" s="1"/>
  <c r="E31" i="24" s="1"/>
  <c r="E32" i="24" s="1"/>
  <c r="E33" i="24" s="1"/>
  <c r="E34" i="24" s="1"/>
  <c r="E35" i="24" s="1"/>
  <c r="E36" i="24" s="1"/>
  <c r="E37" i="24" s="1"/>
  <c r="E38" i="24" s="1"/>
  <c r="E39" i="24" s="1"/>
  <c r="E40" i="24" s="1"/>
  <c r="E41" i="24" s="1"/>
  <c r="E42" i="24" s="1"/>
  <c r="E43" i="24" s="1"/>
  <c r="F27" i="24"/>
  <c r="F28" i="24" s="1"/>
  <c r="F29" i="24" s="1"/>
  <c r="F30" i="24" s="1"/>
  <c r="F31" i="24" s="1"/>
  <c r="F32" i="24" s="1"/>
  <c r="F33" i="24" s="1"/>
  <c r="F34" i="24" s="1"/>
  <c r="F35" i="24" s="1"/>
  <c r="F36" i="24" s="1"/>
  <c r="F37" i="24" s="1"/>
  <c r="F38" i="24" s="1"/>
  <c r="F39" i="24" s="1"/>
  <c r="F40" i="24" s="1"/>
  <c r="F41" i="24" s="1"/>
  <c r="F42" i="24" s="1"/>
  <c r="F43" i="24" s="1"/>
  <c r="G27" i="24"/>
  <c r="H27" i="24"/>
  <c r="G28" i="24"/>
  <c r="G29" i="24" s="1"/>
  <c r="G30" i="24" s="1"/>
  <c r="G31" i="24" s="1"/>
  <c r="G32" i="24" s="1"/>
  <c r="G33" i="24" s="1"/>
  <c r="G34" i="24" s="1"/>
  <c r="G35" i="24" s="1"/>
  <c r="G36" i="24" s="1"/>
  <c r="G37" i="24" s="1"/>
  <c r="G38" i="24" s="1"/>
  <c r="G39" i="24" s="1"/>
  <c r="G40" i="24" s="1"/>
  <c r="G41" i="24" s="1"/>
  <c r="G42" i="24" s="1"/>
  <c r="G43" i="24" s="1"/>
  <c r="H28" i="24"/>
  <c r="H29" i="24" s="1"/>
  <c r="H30" i="24" s="1"/>
  <c r="H31" i="24" s="1"/>
  <c r="H32" i="24" s="1"/>
  <c r="H33" i="24" s="1"/>
  <c r="H34" i="24" s="1"/>
  <c r="H35" i="24" s="1"/>
  <c r="H36" i="24" s="1"/>
  <c r="H37" i="24" s="1"/>
  <c r="H38" i="24" s="1"/>
  <c r="H39" i="24" s="1"/>
  <c r="H40" i="24" s="1"/>
  <c r="H41" i="24" s="1"/>
  <c r="H42" i="24" s="1"/>
  <c r="H43" i="24" s="1"/>
  <c r="H44" i="24" s="1"/>
  <c r="H150" i="27"/>
  <c r="H151" i="27" s="1"/>
  <c r="H152" i="27" s="1"/>
  <c r="H153" i="27" s="1"/>
  <c r="H154" i="27" s="1"/>
  <c r="H155" i="27" s="1"/>
  <c r="H156" i="27" s="1"/>
  <c r="H157" i="27" s="1"/>
  <c r="H158" i="27" s="1"/>
  <c r="H159" i="27" s="1"/>
  <c r="H149" i="27"/>
  <c r="F159" i="27"/>
  <c r="F150" i="27"/>
  <c r="F151" i="27"/>
  <c r="F152" i="27"/>
  <c r="F153" i="27"/>
  <c r="F154" i="27"/>
  <c r="F155" i="27"/>
  <c r="F156" i="27"/>
  <c r="F157" i="27"/>
  <c r="F158" i="27"/>
  <c r="F149" i="27"/>
  <c r="C54" i="27"/>
  <c r="D54" i="27"/>
  <c r="J120" i="27"/>
  <c r="H82" i="59" a="1"/>
  <c r="I82" i="59" a="1"/>
  <c r="H83" i="59" a="1"/>
  <c r="I83" i="59" a="1"/>
  <c r="H84" i="59" a="1"/>
  <c r="I84" i="59" a="1"/>
  <c r="H85" i="59" a="1"/>
  <c r="I85" i="59" a="1"/>
  <c r="H86" i="59" a="1"/>
  <c r="I86" i="59" a="1"/>
  <c r="H87" i="59" a="1"/>
  <c r="I87" i="59" a="1"/>
  <c r="H88" i="59" a="1"/>
  <c r="I88" i="59" a="1"/>
  <c r="H89" i="59" a="1"/>
  <c r="I89" i="59" a="1"/>
  <c r="H90" i="59" a="1"/>
  <c r="I90" i="59" a="1"/>
  <c r="H91" i="59" a="1"/>
  <c r="I91" i="59" a="1"/>
  <c r="H92" i="59" a="1"/>
  <c r="I92" i="59" a="1"/>
  <c r="F92" i="59" s="1"/>
  <c r="H93" i="59" a="1"/>
  <c r="I93" i="59" a="1"/>
  <c r="H94" i="59" a="1"/>
  <c r="I94" i="59" a="1"/>
  <c r="H95" i="59" a="1"/>
  <c r="I95" i="59" a="1"/>
  <c r="H96" i="59" a="1"/>
  <c r="I96" i="59" a="1"/>
  <c r="H97" i="59" a="1"/>
  <c r="I97" i="59" a="1"/>
  <c r="H98" i="59" a="1"/>
  <c r="I98" i="59" a="1"/>
  <c r="H99" i="59" a="1"/>
  <c r="I99" i="59" a="1"/>
  <c r="H100" i="59" a="1"/>
  <c r="I100" i="59" a="1"/>
  <c r="H101" i="59" a="1"/>
  <c r="I101" i="59" a="1"/>
  <c r="H102" i="59" a="1"/>
  <c r="I102" i="59" a="1"/>
  <c r="F102" i="59" s="1"/>
  <c r="H103" i="59" a="1"/>
  <c r="I103" i="59" a="1"/>
  <c r="H104" i="59" a="1"/>
  <c r="I104" i="59" a="1"/>
  <c r="H105" i="59" a="1"/>
  <c r="I105" i="59" a="1"/>
  <c r="H106" i="59" a="1"/>
  <c r="I106" i="59" a="1"/>
  <c r="H107" i="59" a="1"/>
  <c r="I107" i="59" a="1"/>
  <c r="H108" i="59" a="1"/>
  <c r="I108" i="59" a="1"/>
  <c r="H109" i="59" a="1"/>
  <c r="I109" i="59" a="1"/>
  <c r="H110" i="59" a="1"/>
  <c r="I110" i="59" a="1"/>
  <c r="H111" i="59" a="1"/>
  <c r="I111" i="59" a="1"/>
  <c r="H112" i="59" a="1"/>
  <c r="I112" i="59" a="1"/>
  <c r="H113" i="59" a="1"/>
  <c r="I113" i="59" a="1"/>
  <c r="H114" i="59" a="1"/>
  <c r="I114" i="59" a="1"/>
  <c r="E114" i="59" a="1"/>
  <c r="D107" i="59"/>
  <c r="D108" i="59"/>
  <c r="D109" i="59"/>
  <c r="D110" i="59"/>
  <c r="D111" i="59"/>
  <c r="D112" i="59"/>
  <c r="D113" i="59"/>
  <c r="D114" i="59"/>
  <c r="H50" i="59" a="1"/>
  <c r="F50" i="59" a="1"/>
  <c r="D81" i="59"/>
  <c r="I81" i="59" a="1"/>
  <c r="H81" i="59" a="1"/>
  <c r="E81" i="59" a="1"/>
  <c r="D82" i="59"/>
  <c r="D83" i="59"/>
  <c r="D84" i="59"/>
  <c r="D85" i="59"/>
  <c r="D86" i="59"/>
  <c r="D88" i="59"/>
  <c r="D89" i="59"/>
  <c r="D90" i="59"/>
  <c r="D91" i="59"/>
  <c r="D92" i="59"/>
  <c r="D93" i="59"/>
  <c r="D94" i="59"/>
  <c r="D95" i="59"/>
  <c r="D96" i="59"/>
  <c r="D97" i="59"/>
  <c r="D98" i="59"/>
  <c r="D99" i="59"/>
  <c r="D100" i="59"/>
  <c r="D101" i="59"/>
  <c r="D102" i="59"/>
  <c r="D104" i="59"/>
  <c r="D105" i="59"/>
  <c r="D106" i="59"/>
  <c r="E50" i="59" a="1"/>
  <c r="G50" i="59" a="1"/>
  <c r="I50" i="59" a="1"/>
  <c r="J50" i="59" a="1"/>
  <c r="K50" i="59" a="1"/>
  <c r="L50" i="59" a="1"/>
  <c r="D50" i="59" a="1"/>
  <c r="D87" i="59" s="1"/>
  <c r="L37" i="59" a="1"/>
  <c r="L36" i="59" a="1"/>
  <c r="L34" i="59" a="1"/>
  <c r="L33" i="59" a="1"/>
  <c r="K37" i="59" a="1"/>
  <c r="K38" i="59" s="1"/>
  <c r="K36" i="59" a="1"/>
  <c r="K34" i="59" a="1"/>
  <c r="K33" i="59" a="1"/>
  <c r="I37" i="59" a="1"/>
  <c r="I36" i="59" a="1"/>
  <c r="I34" i="59" a="1"/>
  <c r="I33" i="59" a="1"/>
  <c r="I35" i="59" s="1"/>
  <c r="H37" i="59" a="1"/>
  <c r="H34" i="59" a="1"/>
  <c r="H33" i="59" a="1"/>
  <c r="G36" i="59" a="1"/>
  <c r="G34" i="59" a="1"/>
  <c r="G33" i="59" a="1"/>
  <c r="F37" i="59" a="1"/>
  <c r="F36" i="59" a="1"/>
  <c r="F34" i="59" a="1"/>
  <c r="E37" i="59" a="1"/>
  <c r="E36" i="59" a="1"/>
  <c r="E38" i="59" s="1"/>
  <c r="E33" i="59" a="1"/>
  <c r="F33" i="59" a="1"/>
  <c r="J33" i="59" a="1"/>
  <c r="E34" i="59" a="1"/>
  <c r="J34" i="59" a="1"/>
  <c r="H36" i="59" a="1"/>
  <c r="J36" i="59" a="1"/>
  <c r="G37" i="59" a="1"/>
  <c r="J37" i="59" a="1"/>
  <c r="D37" i="59" a="1"/>
  <c r="D36" i="59" a="1"/>
  <c r="D34" i="59" a="1"/>
  <c r="D33" i="59" a="1"/>
  <c r="H9" i="59" a="1"/>
  <c r="E3" i="59" a="1"/>
  <c r="F3" i="59" a="1"/>
  <c r="G3" i="59" a="1"/>
  <c r="H3" i="59" a="1"/>
  <c r="I3" i="59" a="1"/>
  <c r="J3" i="59" a="1"/>
  <c r="K3" i="59" a="1"/>
  <c r="L3" i="59" a="1"/>
  <c r="M3" i="59" a="1"/>
  <c r="N3" i="59" a="1"/>
  <c r="E4" i="59" a="1"/>
  <c r="F4" i="59" a="1"/>
  <c r="G4" i="59" a="1"/>
  <c r="H4" i="59" a="1"/>
  <c r="I4" i="59" a="1"/>
  <c r="J4" i="59" a="1"/>
  <c r="K4" i="59" a="1"/>
  <c r="L4" i="59" a="1"/>
  <c r="M4" i="59" a="1"/>
  <c r="N4" i="59" a="1"/>
  <c r="E5" i="59" a="1"/>
  <c r="F5" i="59" a="1"/>
  <c r="G5" i="59" a="1"/>
  <c r="H5" i="59" a="1"/>
  <c r="I5" i="59" a="1"/>
  <c r="J5" i="59" a="1"/>
  <c r="K5" i="59" a="1"/>
  <c r="L5" i="59" a="1"/>
  <c r="M5" i="59" a="1"/>
  <c r="N5" i="59" a="1"/>
  <c r="E6" i="59" a="1"/>
  <c r="F6" i="59" a="1"/>
  <c r="G6" i="59" a="1"/>
  <c r="H6" i="59" a="1"/>
  <c r="I6" i="59" a="1"/>
  <c r="J6" i="59" a="1"/>
  <c r="K6" i="59" a="1"/>
  <c r="L6" i="59" a="1"/>
  <c r="M6" i="59" a="1"/>
  <c r="N6" i="59" a="1"/>
  <c r="E7" i="59" a="1"/>
  <c r="F7" i="59" a="1"/>
  <c r="G7" i="59" a="1"/>
  <c r="H7" i="59" a="1"/>
  <c r="I7" i="59" a="1"/>
  <c r="J7" i="59" a="1"/>
  <c r="K7" i="59" a="1"/>
  <c r="L7" i="59" a="1"/>
  <c r="M7" i="59" a="1"/>
  <c r="N7" i="59" a="1"/>
  <c r="E8" i="59" a="1"/>
  <c r="F8" i="59" a="1"/>
  <c r="G8" i="59" a="1"/>
  <c r="H8" i="59" a="1"/>
  <c r="I8" i="59" a="1"/>
  <c r="J8" i="59" a="1"/>
  <c r="K8" i="59" a="1"/>
  <c r="L8" i="59" a="1"/>
  <c r="M8" i="59" a="1"/>
  <c r="N8" i="59" a="1"/>
  <c r="E9" i="59" a="1"/>
  <c r="F9" i="59" a="1"/>
  <c r="G9" i="59" a="1"/>
  <c r="I9" i="59" a="1"/>
  <c r="J9" i="59" a="1"/>
  <c r="K9" i="59" a="1"/>
  <c r="L9" i="59" a="1"/>
  <c r="M9" i="59" a="1"/>
  <c r="N9" i="59" a="1"/>
  <c r="E10" i="59" a="1"/>
  <c r="F10" i="59" a="1"/>
  <c r="G10" i="59" a="1"/>
  <c r="H10" i="59" a="1"/>
  <c r="I10" i="59" a="1"/>
  <c r="J10" i="59" a="1"/>
  <c r="K10" i="59" a="1"/>
  <c r="L10" i="59" a="1"/>
  <c r="M10" i="59" a="1"/>
  <c r="N10" i="59" a="1"/>
  <c r="E11" i="59" a="1"/>
  <c r="F11" i="59" a="1"/>
  <c r="G11" i="59" a="1"/>
  <c r="H11" i="59" a="1"/>
  <c r="I11" i="59" a="1"/>
  <c r="J11" i="59" a="1"/>
  <c r="K11" i="59" a="1"/>
  <c r="L11" i="59" a="1"/>
  <c r="M11" i="59" a="1"/>
  <c r="N11" i="59" a="1"/>
  <c r="E12" i="59" a="1"/>
  <c r="F12" i="59" a="1"/>
  <c r="G12" i="59" a="1"/>
  <c r="H12" i="59" a="1"/>
  <c r="I12" i="59" a="1"/>
  <c r="J12" i="59" a="1"/>
  <c r="K12" i="59" a="1"/>
  <c r="L12" i="59" a="1"/>
  <c r="M12" i="59" a="1"/>
  <c r="N12" i="59" a="1"/>
  <c r="E13" i="59" a="1"/>
  <c r="F13" i="59" a="1"/>
  <c r="G13" i="59" a="1"/>
  <c r="H13" i="59" a="1"/>
  <c r="I13" i="59" a="1"/>
  <c r="J13" i="59" a="1"/>
  <c r="K13" i="59" a="1"/>
  <c r="L13" i="59" a="1"/>
  <c r="M13" i="59" a="1"/>
  <c r="N13" i="59" a="1"/>
  <c r="E14" i="59" a="1"/>
  <c r="F14" i="59" a="1"/>
  <c r="G14" i="59" a="1"/>
  <c r="H14" i="59" a="1"/>
  <c r="I14" i="59" a="1"/>
  <c r="J14" i="59" a="1"/>
  <c r="K14" i="59" a="1"/>
  <c r="L14" i="59" a="1"/>
  <c r="M14" i="59" a="1"/>
  <c r="N14" i="59" a="1"/>
  <c r="E15" i="59" a="1"/>
  <c r="F15" i="59" a="1"/>
  <c r="G15" i="59" a="1"/>
  <c r="H15" i="59" a="1"/>
  <c r="I15" i="59" a="1"/>
  <c r="J15" i="59" a="1"/>
  <c r="K15" i="59" a="1"/>
  <c r="L15" i="59" a="1"/>
  <c r="M15" i="59" a="1"/>
  <c r="N15" i="59" a="1"/>
  <c r="E16" i="59" a="1"/>
  <c r="F16" i="59" a="1"/>
  <c r="G16" i="59" a="1"/>
  <c r="H16" i="59" a="1"/>
  <c r="I16" i="59" a="1"/>
  <c r="J16" i="59" a="1"/>
  <c r="K16" i="59" a="1"/>
  <c r="L16" i="59" a="1"/>
  <c r="M16" i="59" a="1"/>
  <c r="N16" i="59" a="1"/>
  <c r="E17" i="59" a="1"/>
  <c r="F17" i="59" a="1"/>
  <c r="G17" i="59" a="1"/>
  <c r="H17" i="59" a="1"/>
  <c r="I17" i="59" a="1"/>
  <c r="J17" i="59" a="1"/>
  <c r="K17" i="59" a="1"/>
  <c r="L17" i="59" a="1"/>
  <c r="M17" i="59" a="1"/>
  <c r="N17" i="59" a="1"/>
  <c r="E18" i="59" a="1"/>
  <c r="F18" i="59" a="1"/>
  <c r="G18" i="59" a="1"/>
  <c r="H18" i="59" a="1"/>
  <c r="I18" i="59" a="1"/>
  <c r="J18" i="59" a="1"/>
  <c r="K18" i="59" a="1"/>
  <c r="L18" i="59" a="1"/>
  <c r="M18" i="59" a="1"/>
  <c r="N18" i="59" a="1"/>
  <c r="E19" i="59" a="1"/>
  <c r="F19" i="59" a="1"/>
  <c r="G19" i="59" a="1"/>
  <c r="H19" i="59" a="1"/>
  <c r="I19" i="59" a="1"/>
  <c r="J19" i="59" a="1"/>
  <c r="K19" i="59" a="1"/>
  <c r="L19" i="59" a="1"/>
  <c r="M19" i="59" a="1"/>
  <c r="N19" i="59" a="1"/>
  <c r="E20" i="59" a="1"/>
  <c r="F20" i="59" a="1"/>
  <c r="G20" i="59" a="1"/>
  <c r="H20" i="59" a="1"/>
  <c r="I20" i="59" a="1"/>
  <c r="J20" i="59" a="1"/>
  <c r="K20" i="59" a="1"/>
  <c r="L20" i="59" a="1"/>
  <c r="M20" i="59" a="1"/>
  <c r="N20" i="59" a="1"/>
  <c r="E21" i="59" a="1"/>
  <c r="F21" i="59" a="1"/>
  <c r="G21" i="59" a="1"/>
  <c r="H21" i="59" a="1"/>
  <c r="I21" i="59" a="1"/>
  <c r="J21" i="59" a="1"/>
  <c r="K21" i="59" a="1"/>
  <c r="L21" i="59" a="1"/>
  <c r="M21" i="59" a="1"/>
  <c r="N21" i="59" a="1"/>
  <c r="E22" i="59" a="1"/>
  <c r="F22" i="59" a="1"/>
  <c r="G22" i="59" a="1"/>
  <c r="H22" i="59" a="1"/>
  <c r="I22" i="59" a="1"/>
  <c r="J22" i="59" a="1"/>
  <c r="K22" i="59" a="1"/>
  <c r="L22" i="59" a="1"/>
  <c r="M22" i="59" a="1"/>
  <c r="N22" i="59" a="1"/>
  <c r="E23" i="59" a="1"/>
  <c r="F23" i="59" a="1"/>
  <c r="G23" i="59" a="1"/>
  <c r="H23" i="59" a="1"/>
  <c r="I23" i="59" a="1"/>
  <c r="J23" i="59" a="1"/>
  <c r="K23" i="59" a="1"/>
  <c r="L23" i="59" a="1"/>
  <c r="M23" i="59" a="1"/>
  <c r="N23" i="59" a="1"/>
  <c r="E24" i="59" a="1"/>
  <c r="F24" i="59" a="1"/>
  <c r="G24" i="59" a="1"/>
  <c r="H24" i="59" a="1"/>
  <c r="I24" i="59" a="1"/>
  <c r="J24" i="59" a="1"/>
  <c r="K24" i="59" a="1"/>
  <c r="L24" i="59" a="1"/>
  <c r="M24" i="59" a="1"/>
  <c r="N24" i="59" a="1"/>
  <c r="E25" i="59" a="1"/>
  <c r="F25" i="59" a="1"/>
  <c r="G25" i="59" a="1"/>
  <c r="H25" i="59" a="1"/>
  <c r="I25" i="59" a="1"/>
  <c r="J25" i="59" a="1"/>
  <c r="K25" i="59" a="1"/>
  <c r="L25" i="59" a="1"/>
  <c r="M25" i="59" a="1"/>
  <c r="N25" i="59" a="1"/>
  <c r="E26" i="59" a="1"/>
  <c r="F26" i="59" a="1"/>
  <c r="G26" i="59" a="1"/>
  <c r="H26" i="59" a="1"/>
  <c r="I26" i="59" a="1"/>
  <c r="J26" i="59" a="1"/>
  <c r="K26" i="59" a="1"/>
  <c r="L26" i="59" a="1"/>
  <c r="M26" i="59" a="1"/>
  <c r="N26" i="59" a="1"/>
  <c r="E27" i="59" a="1"/>
  <c r="F27" i="59" a="1"/>
  <c r="G27" i="59" a="1"/>
  <c r="H27" i="59" a="1"/>
  <c r="I27" i="59" a="1"/>
  <c r="J27" i="59" a="1"/>
  <c r="K27" i="59" a="1"/>
  <c r="L27" i="59" a="1"/>
  <c r="M27" i="59" a="1"/>
  <c r="N27" i="59" a="1"/>
  <c r="E28" i="59" a="1"/>
  <c r="F28" i="59" a="1"/>
  <c r="G28" i="59" a="1"/>
  <c r="H28" i="59" a="1"/>
  <c r="I28" i="59" a="1"/>
  <c r="J28" i="59" a="1"/>
  <c r="K28" i="59" a="1"/>
  <c r="L28" i="59" a="1"/>
  <c r="M28" i="59" a="1"/>
  <c r="N28" i="59" a="1"/>
  <c r="E29" i="59" a="1"/>
  <c r="F29" i="59" a="1"/>
  <c r="G29" i="59" a="1"/>
  <c r="H29" i="59" a="1"/>
  <c r="I29" i="59" a="1"/>
  <c r="J29" i="59" a="1"/>
  <c r="K29" i="59" a="1"/>
  <c r="L29" i="59" a="1"/>
  <c r="M29" i="59" a="1"/>
  <c r="N29" i="59" a="1"/>
  <c r="D4" i="59" a="1"/>
  <c r="D5" i="59" a="1"/>
  <c r="D6" i="59" a="1"/>
  <c r="D7" i="59" a="1"/>
  <c r="D8" i="59" a="1"/>
  <c r="D9" i="59" a="1"/>
  <c r="D10" i="59" a="1"/>
  <c r="D11" i="59" a="1"/>
  <c r="D12" i="59" a="1"/>
  <c r="D13" i="59" a="1"/>
  <c r="D14" i="59" a="1"/>
  <c r="D15" i="59" a="1"/>
  <c r="D16" i="59" a="1"/>
  <c r="D17" i="59" a="1"/>
  <c r="D18" i="59" a="1"/>
  <c r="D19" i="59" a="1"/>
  <c r="D20" i="59" a="1"/>
  <c r="D21" i="59" a="1"/>
  <c r="D22" i="59" a="1"/>
  <c r="D23" i="59" a="1"/>
  <c r="D24" i="59" a="1"/>
  <c r="D25" i="59" a="1"/>
  <c r="D26" i="59" a="1"/>
  <c r="D27" i="59" a="1"/>
  <c r="D28" i="59" a="1"/>
  <c r="D29" i="59" a="1"/>
  <c r="D3" i="59" a="1"/>
  <c r="F25" i="56"/>
  <c r="F29" i="56" s="1"/>
  <c r="E25" i="56"/>
  <c r="E29" i="56" s="1"/>
  <c r="E31" i="56" s="1"/>
  <c r="D25" i="56"/>
  <c r="D29" i="56" s="1"/>
  <c r="D31" i="56" s="1"/>
  <c r="I8" i="56"/>
  <c r="I14" i="56" s="1"/>
  <c r="F30" i="56" s="1"/>
  <c r="C11" i="56"/>
  <c r="C24" i="56"/>
  <c r="D24" i="56" s="1"/>
  <c r="E24" i="56" s="1"/>
  <c r="F24" i="56" s="1"/>
  <c r="E53" i="55"/>
  <c r="C37" i="55"/>
  <c r="C43" i="55" s="1"/>
  <c r="F6" i="55"/>
  <c r="C18" i="55" s="1"/>
  <c r="C20" i="55" s="1"/>
  <c r="C34" i="55"/>
  <c r="C35" i="55" s="1"/>
  <c r="F53" i="55"/>
  <c r="F5" i="39"/>
  <c r="G5" i="39" s="1"/>
  <c r="H5" i="39" s="1"/>
  <c r="I5" i="39" s="1"/>
  <c r="J5" i="39" s="1"/>
  <c r="K5" i="39" s="1"/>
  <c r="L5" i="39" s="1"/>
  <c r="M5" i="39" s="1"/>
  <c r="N5" i="39" s="1"/>
  <c r="F6" i="39"/>
  <c r="G6" i="39" s="1"/>
  <c r="H6" i="39" s="1"/>
  <c r="I6" i="39" s="1"/>
  <c r="J6" i="39" s="1"/>
  <c r="K6" i="39" s="1"/>
  <c r="L6" i="39" s="1"/>
  <c r="M6" i="39" s="1"/>
  <c r="N6" i="39" s="1"/>
  <c r="P6" i="39" s="1"/>
  <c r="F8" i="39"/>
  <c r="G8" i="39" s="1"/>
  <c r="H8" i="39" s="1"/>
  <c r="I8" i="39" s="1"/>
  <c r="J8" i="39" s="1"/>
  <c r="K8" i="39" s="1"/>
  <c r="L8" i="39" s="1"/>
  <c r="M8" i="39" s="1"/>
  <c r="N8" i="39" s="1"/>
  <c r="P8" i="39" s="1"/>
  <c r="E15" i="39"/>
  <c r="F15" i="39" s="1"/>
  <c r="G15" i="39" s="1"/>
  <c r="H15" i="39" s="1"/>
  <c r="I15" i="39" s="1"/>
  <c r="J15" i="39" s="1"/>
  <c r="K15" i="39" s="1"/>
  <c r="L15" i="39" s="1"/>
  <c r="M15" i="39" s="1"/>
  <c r="N15" i="39" s="1"/>
  <c r="D62" i="39"/>
  <c r="D121" i="39"/>
  <c r="E121" i="39"/>
  <c r="F121" i="39"/>
  <c r="G121" i="39"/>
  <c r="H121" i="39"/>
  <c r="I121" i="39"/>
  <c r="J121" i="39"/>
  <c r="K121" i="39"/>
  <c r="L121" i="39"/>
  <c r="M121" i="39"/>
  <c r="N121" i="39"/>
  <c r="D106" i="39"/>
  <c r="P90" i="39"/>
  <c r="P92" i="39" s="1"/>
  <c r="O90" i="39"/>
  <c r="O92" i="39" s="1"/>
  <c r="N90" i="39"/>
  <c r="N92" i="39"/>
  <c r="M90" i="39"/>
  <c r="M92" i="39" s="1"/>
  <c r="L90" i="39"/>
  <c r="L92" i="39" s="1"/>
  <c r="K90" i="39"/>
  <c r="K92" i="39" s="1"/>
  <c r="J90" i="39"/>
  <c r="J92" i="39" s="1"/>
  <c r="I90" i="39"/>
  <c r="I92" i="39" s="1"/>
  <c r="H90" i="39"/>
  <c r="H92" i="39" s="1"/>
  <c r="G90" i="39"/>
  <c r="G92" i="39" s="1"/>
  <c r="F92" i="39"/>
  <c r="E9" i="38"/>
  <c r="E10" i="38"/>
  <c r="E4" i="38"/>
  <c r="E5" i="38" s="1"/>
  <c r="E43" i="38"/>
  <c r="F43" i="38" s="1"/>
  <c r="G43" i="38" s="1"/>
  <c r="H43" i="38" s="1"/>
  <c r="I43" i="38" s="1"/>
  <c r="J43" i="38" s="1"/>
  <c r="K43" i="38" s="1"/>
  <c r="L43" i="38" s="1"/>
  <c r="M43" i="38" s="1"/>
  <c r="N43" i="38" s="1"/>
  <c r="E22" i="38"/>
  <c r="F22" i="38" s="1"/>
  <c r="G22" i="38" s="1"/>
  <c r="H22" i="38" s="1"/>
  <c r="I22" i="38" s="1"/>
  <c r="J22" i="38" s="1"/>
  <c r="K22" i="38" s="1"/>
  <c r="L22" i="38" s="1"/>
  <c r="M22" i="38" s="1"/>
  <c r="N22" i="38" s="1"/>
  <c r="D9" i="38"/>
  <c r="D10" i="38"/>
  <c r="E23" i="38"/>
  <c r="F23" i="38"/>
  <c r="G23" i="38"/>
  <c r="H23" i="38"/>
  <c r="I23" i="38"/>
  <c r="J23" i="38"/>
  <c r="K23" i="38"/>
  <c r="L23" i="38"/>
  <c r="M23" i="38"/>
  <c r="H11" i="47"/>
  <c r="C83" i="47"/>
  <c r="D6" i="50"/>
  <c r="D7" i="50"/>
  <c r="D8" i="50"/>
  <c r="D9" i="50"/>
  <c r="D10" i="50"/>
  <c r="D11" i="50"/>
  <c r="D13" i="50"/>
  <c r="C74" i="47"/>
  <c r="C66" i="47"/>
  <c r="D213" i="33"/>
  <c r="D193" i="33"/>
  <c r="D194" i="33"/>
  <c r="C194" i="33"/>
  <c r="C193" i="33"/>
  <c r="D184" i="33"/>
  <c r="D212" i="33" s="1"/>
  <c r="C184" i="33"/>
  <c r="C212" i="33" s="1"/>
  <c r="C188" i="33"/>
  <c r="D188" i="33"/>
  <c r="L142" i="33"/>
  <c r="L139" i="33"/>
  <c r="L150" i="33" s="1"/>
  <c r="D185" i="33"/>
  <c r="C185" i="33"/>
  <c r="D183" i="33"/>
  <c r="C183" i="33"/>
  <c r="C91" i="33"/>
  <c r="F41" i="32"/>
  <c r="D72" i="47"/>
  <c r="D71" i="47"/>
  <c r="C70" i="47"/>
  <c r="D70" i="47" s="1"/>
  <c r="C65" i="47"/>
  <c r="D65" i="47" s="1"/>
  <c r="C63" i="47"/>
  <c r="D63" i="47" s="1"/>
  <c r="C62" i="47"/>
  <c r="D62" i="47" s="1"/>
  <c r="D53" i="47"/>
  <c r="D51" i="47"/>
  <c r="D44" i="47"/>
  <c r="D42" i="47"/>
  <c r="D36" i="47"/>
  <c r="D37" i="47"/>
  <c r="D38" i="47"/>
  <c r="D8" i="43"/>
  <c r="D9" i="43" s="1"/>
  <c r="D10" i="43" s="1"/>
  <c r="D11" i="43" s="1"/>
  <c r="D12" i="43" s="1"/>
  <c r="D13" i="43" s="1"/>
  <c r="D14" i="43" s="1"/>
  <c r="D15" i="43" s="1"/>
  <c r="D16" i="43" s="1"/>
  <c r="M315" i="33"/>
  <c r="F62" i="39" s="1"/>
  <c r="G62" i="39" s="1"/>
  <c r="H62" i="39" s="1"/>
  <c r="I62" i="39" s="1"/>
  <c r="J62" i="39" s="1"/>
  <c r="K62" i="39" s="1"/>
  <c r="L62" i="39" s="1"/>
  <c r="M62" i="39" s="1"/>
  <c r="N62" i="39" s="1"/>
  <c r="H319" i="33"/>
  <c r="H5" i="33"/>
  <c r="H227" i="33" s="1"/>
  <c r="H147" i="33"/>
  <c r="H138" i="33"/>
  <c r="H149" i="33" s="1"/>
  <c r="H139" i="33"/>
  <c r="H150" i="33" s="1"/>
  <c r="H159" i="33"/>
  <c r="H160" i="33"/>
  <c r="H161" i="33"/>
  <c r="H162" i="33"/>
  <c r="H164" i="33"/>
  <c r="H165" i="33"/>
  <c r="G159" i="33"/>
  <c r="G160" i="33"/>
  <c r="G161" i="33"/>
  <c r="G162" i="33"/>
  <c r="G164" i="33"/>
  <c r="G165" i="33"/>
  <c r="I319" i="33"/>
  <c r="I5" i="33"/>
  <c r="I227" i="33" s="1"/>
  <c r="I147" i="33"/>
  <c r="I138" i="33"/>
  <c r="I149" i="33" s="1"/>
  <c r="I139" i="33"/>
  <c r="I150" i="33" s="1"/>
  <c r="I159" i="33"/>
  <c r="I160" i="33"/>
  <c r="I161" i="33"/>
  <c r="I162" i="33"/>
  <c r="I164" i="33"/>
  <c r="I165" i="33"/>
  <c r="J319" i="33"/>
  <c r="J5" i="33"/>
  <c r="J8" i="33" s="1"/>
  <c r="J16" i="33" s="1"/>
  <c r="J147" i="33"/>
  <c r="J138" i="33"/>
  <c r="J149" i="33" s="1"/>
  <c r="J139" i="33"/>
  <c r="J150" i="33" s="1"/>
  <c r="J159" i="33"/>
  <c r="J160" i="33"/>
  <c r="J161" i="33"/>
  <c r="J162" i="33"/>
  <c r="J164" i="33"/>
  <c r="J165" i="33"/>
  <c r="K319" i="33"/>
  <c r="K5" i="33"/>
  <c r="K8" i="33" s="1"/>
  <c r="K265" i="33" s="1"/>
  <c r="K147" i="33"/>
  <c r="K138" i="33"/>
  <c r="K149" i="33" s="1"/>
  <c r="K139" i="33"/>
  <c r="K150" i="33" s="1"/>
  <c r="K159" i="33"/>
  <c r="K160" i="33"/>
  <c r="K161" i="33"/>
  <c r="K162" i="33"/>
  <c r="K164" i="33"/>
  <c r="K165" i="33"/>
  <c r="L319" i="33"/>
  <c r="L5" i="33"/>
  <c r="L227" i="33" s="1"/>
  <c r="L147" i="33"/>
  <c r="L138" i="33"/>
  <c r="L149" i="33" s="1"/>
  <c r="L159" i="33"/>
  <c r="L160" i="33"/>
  <c r="L161" i="33"/>
  <c r="L162" i="33"/>
  <c r="L164" i="33"/>
  <c r="L40" i="33"/>
  <c r="E319" i="33"/>
  <c r="E5" i="33"/>
  <c r="E8" i="33" s="1"/>
  <c r="E16" i="33" s="1"/>
  <c r="E147" i="33"/>
  <c r="E138" i="33"/>
  <c r="E149" i="33" s="1"/>
  <c r="E139" i="33"/>
  <c r="E150" i="33" s="1"/>
  <c r="E159" i="33"/>
  <c r="E160" i="33"/>
  <c r="E161" i="33"/>
  <c r="E162" i="33"/>
  <c r="E164" i="33"/>
  <c r="E165" i="33"/>
  <c r="D159" i="33"/>
  <c r="D160" i="33"/>
  <c r="D161" i="33"/>
  <c r="D162" i="33"/>
  <c r="D164" i="33"/>
  <c r="D165" i="33"/>
  <c r="F319" i="33"/>
  <c r="F5" i="33"/>
  <c r="F8" i="33" s="1"/>
  <c r="F147" i="33"/>
  <c r="F138" i="33"/>
  <c r="F149" i="33" s="1"/>
  <c r="F139" i="33"/>
  <c r="F150" i="33" s="1"/>
  <c r="F159" i="33"/>
  <c r="F160" i="33"/>
  <c r="F161" i="33"/>
  <c r="F162" i="33"/>
  <c r="F164" i="33"/>
  <c r="F165" i="33"/>
  <c r="G319" i="33"/>
  <c r="G5" i="33"/>
  <c r="G8" i="33" s="1"/>
  <c r="G147" i="33"/>
  <c r="G138" i="33"/>
  <c r="G149" i="33" s="1"/>
  <c r="G139" i="33"/>
  <c r="G150" i="33" s="1"/>
  <c r="D319" i="33"/>
  <c r="D5" i="33"/>
  <c r="D8" i="33" s="1"/>
  <c r="D147" i="33"/>
  <c r="D138" i="33"/>
  <c r="D149" i="33" s="1"/>
  <c r="D139" i="33"/>
  <c r="D150" i="33" s="1"/>
  <c r="C159" i="33"/>
  <c r="C160" i="33"/>
  <c r="C161" i="33"/>
  <c r="C162" i="33"/>
  <c r="C164" i="33"/>
  <c r="C165" i="33"/>
  <c r="C320" i="33"/>
  <c r="C319" i="33"/>
  <c r="D315" i="33"/>
  <c r="E315" i="33"/>
  <c r="F315" i="33"/>
  <c r="G315" i="33"/>
  <c r="H315" i="33"/>
  <c r="I315" i="33"/>
  <c r="J315" i="33"/>
  <c r="K315" i="33"/>
  <c r="L315" i="33"/>
  <c r="E72" i="38"/>
  <c r="F72" i="38" s="1"/>
  <c r="G72" i="38" s="1"/>
  <c r="H72" i="38" s="1"/>
  <c r="I72" i="38" s="1"/>
  <c r="J72" i="38" s="1"/>
  <c r="K72" i="38" s="1"/>
  <c r="L72" i="38" s="1"/>
  <c r="M72" i="38" s="1"/>
  <c r="E73" i="38"/>
  <c r="F73" i="38"/>
  <c r="G73" i="38"/>
  <c r="H73" i="38"/>
  <c r="I73" i="38"/>
  <c r="J73" i="38"/>
  <c r="K73" i="38"/>
  <c r="L73" i="38"/>
  <c r="M73" i="38"/>
  <c r="D79" i="38"/>
  <c r="D80" i="38" s="1"/>
  <c r="D85" i="38"/>
  <c r="C306" i="33"/>
  <c r="D306" i="33" s="1"/>
  <c r="D305" i="33"/>
  <c r="L52" i="33"/>
  <c r="D56" i="47"/>
  <c r="C5" i="33"/>
  <c r="C8" i="33" s="1"/>
  <c r="L59" i="33"/>
  <c r="L67" i="33" s="1"/>
  <c r="C88" i="33" s="1"/>
  <c r="G60" i="38"/>
  <c r="D63" i="38"/>
  <c r="D10" i="37"/>
  <c r="D12" i="37" s="1"/>
  <c r="K234" i="33"/>
  <c r="L32" i="33"/>
  <c r="L26" i="33"/>
  <c r="K32" i="33"/>
  <c r="K33" i="33" s="1"/>
  <c r="L80" i="33"/>
  <c r="L73" i="33"/>
  <c r="L47" i="33"/>
  <c r="J32" i="33"/>
  <c r="J33" i="33" s="1"/>
  <c r="I32" i="33"/>
  <c r="I33" i="33" s="1"/>
  <c r="H32" i="33"/>
  <c r="H33" i="33" s="1"/>
  <c r="G32" i="33"/>
  <c r="G33" i="33" s="1"/>
  <c r="F32" i="33"/>
  <c r="F33" i="33" s="1"/>
  <c r="E32" i="33"/>
  <c r="E33" i="33" s="1"/>
  <c r="D32" i="33"/>
  <c r="D33" i="33" s="1"/>
  <c r="C32" i="33"/>
  <c r="C33" i="33" s="1"/>
  <c r="C267" i="33" s="1"/>
  <c r="C251" i="33"/>
  <c r="C253" i="33" s="1"/>
  <c r="C257" i="33"/>
  <c r="C30" i="34"/>
  <c r="F25" i="34"/>
  <c r="F24" i="34"/>
  <c r="F22" i="34"/>
  <c r="F19" i="34"/>
  <c r="F23" i="34"/>
  <c r="C29" i="34"/>
  <c r="F26" i="34"/>
  <c r="C25" i="34"/>
  <c r="C22" i="34"/>
  <c r="C26" i="34"/>
  <c r="C9" i="34"/>
  <c r="C11" i="34"/>
  <c r="C13" i="34"/>
  <c r="C15" i="34"/>
  <c r="J234" i="33"/>
  <c r="I234" i="33"/>
  <c r="H234" i="33"/>
  <c r="G234" i="33"/>
  <c r="F234" i="33"/>
  <c r="E234" i="33"/>
  <c r="D234" i="33"/>
  <c r="C234" i="33"/>
  <c r="D142" i="33"/>
  <c r="J142" i="33"/>
  <c r="I142" i="33"/>
  <c r="H142" i="33"/>
  <c r="G142" i="33"/>
  <c r="F142" i="33"/>
  <c r="E142" i="33"/>
  <c r="K142" i="33"/>
  <c r="K47" i="33"/>
  <c r="K48" i="33" s="1"/>
  <c r="J47" i="33"/>
  <c r="J48" i="33" s="1"/>
  <c r="I47" i="33"/>
  <c r="I48" i="33" s="1"/>
  <c r="H47" i="33"/>
  <c r="H48" i="33" s="1"/>
  <c r="G47" i="33"/>
  <c r="G48" i="33" s="1"/>
  <c r="F47" i="33"/>
  <c r="F48" i="33" s="1"/>
  <c r="E47" i="33"/>
  <c r="E48" i="33" s="1"/>
  <c r="D47" i="33"/>
  <c r="D48" i="33" s="1"/>
  <c r="C47" i="33"/>
  <c r="C48" i="33" s="1"/>
  <c r="C24" i="32"/>
  <c r="F39" i="32" s="1"/>
  <c r="B25" i="32"/>
  <c r="B26" i="32"/>
  <c r="B27" i="32"/>
  <c r="B29" i="32"/>
  <c r="B30" i="32"/>
  <c r="C9" i="32"/>
  <c r="C11" i="32" s="1"/>
  <c r="F37" i="32"/>
  <c r="F38" i="32"/>
  <c r="F36" i="32"/>
  <c r="C27" i="32"/>
  <c r="C25" i="32"/>
  <c r="C26" i="32"/>
  <c r="C28" i="32"/>
  <c r="C30" i="32"/>
  <c r="C29" i="32"/>
  <c r="C31" i="32" s="1"/>
  <c r="F16" i="32"/>
  <c r="F12" i="32"/>
  <c r="F17" i="32"/>
  <c r="C38" i="32"/>
  <c r="I15" i="32"/>
  <c r="I12" i="32"/>
  <c r="I16" i="32"/>
  <c r="I17" i="32" s="1"/>
  <c r="H23" i="32" s="1"/>
  <c r="C37" i="32"/>
  <c r="E34" i="31" a="1"/>
  <c r="D34" i="31" a="1"/>
  <c r="E35" i="31" a="1"/>
  <c r="D35" i="31" a="1"/>
  <c r="E36" i="31" a="1"/>
  <c r="D36" i="31" a="1"/>
  <c r="E37" i="31" a="1"/>
  <c r="D37" i="31" a="1"/>
  <c r="E38" i="31" a="1"/>
  <c r="D38" i="31" a="1"/>
  <c r="E39" i="31" a="1"/>
  <c r="D39" i="31" a="1"/>
  <c r="E33" i="31" a="1"/>
  <c r="D33" i="31" a="1"/>
  <c r="N14" i="31"/>
  <c r="C29" i="31"/>
  <c r="C28" i="31"/>
  <c r="C27" i="31"/>
  <c r="C25" i="31"/>
  <c r="C24" i="31"/>
  <c r="C23" i="31"/>
  <c r="E27" i="31"/>
  <c r="H27" i="31"/>
  <c r="C8" i="30"/>
  <c r="C11" i="30"/>
  <c r="C12" i="30"/>
  <c r="F4" i="30" s="1"/>
  <c r="C23" i="30"/>
  <c r="G24" i="28"/>
  <c r="G23" i="28"/>
  <c r="G22" i="28"/>
  <c r="G21" i="28"/>
  <c r="G20" i="28"/>
  <c r="G19" i="28"/>
  <c r="G18" i="28"/>
  <c r="G17" i="28"/>
  <c r="G16" i="28"/>
  <c r="G15" i="28"/>
  <c r="G14" i="28"/>
  <c r="G13" i="28"/>
  <c r="G12" i="28"/>
  <c r="G11" i="28"/>
  <c r="G10" i="28"/>
  <c r="G9" i="28"/>
  <c r="G8" i="28"/>
  <c r="G7" i="28"/>
  <c r="G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F6" i="28"/>
  <c r="E132" i="24"/>
  <c r="E130" i="24"/>
  <c r="E131" i="24" s="1"/>
  <c r="D132" i="24"/>
  <c r="D130" i="24"/>
  <c r="D131" i="24" s="1"/>
  <c r="F190" i="27"/>
  <c r="F191" i="27" s="1"/>
  <c r="G188" i="27"/>
  <c r="G189" i="27" s="1"/>
  <c r="G190" i="27" s="1"/>
  <c r="G191" i="27" s="1"/>
  <c r="G192" i="27" s="1"/>
  <c r="G193" i="27" s="1"/>
  <c r="G194" i="27" s="1"/>
  <c r="G195" i="27" s="1"/>
  <c r="G196" i="27" s="1"/>
  <c r="G197" i="27" s="1"/>
  <c r="F198" i="27" s="1"/>
  <c r="D190" i="27"/>
  <c r="D191" i="27" s="1"/>
  <c r="D192" i="27" s="1"/>
  <c r="D193" i="27" s="1"/>
  <c r="D194" i="27" s="1"/>
  <c r="D195" i="27" s="1"/>
  <c r="D196" i="27" s="1"/>
  <c r="D197" i="27" s="1"/>
  <c r="E188" i="27"/>
  <c r="E189" i="27" s="1"/>
  <c r="E190" i="27" s="1"/>
  <c r="E191" i="27" s="1"/>
  <c r="E192" i="27" s="1"/>
  <c r="E193" i="27" s="1"/>
  <c r="E194" i="27" s="1"/>
  <c r="E195" i="27" s="1"/>
  <c r="E196" i="27" s="1"/>
  <c r="E197" i="27" s="1"/>
  <c r="D198" i="27" s="1"/>
  <c r="D167" i="27"/>
  <c r="D168" i="27" s="1"/>
  <c r="G108" i="27"/>
  <c r="D109" i="27" s="1"/>
  <c r="K120" i="27"/>
  <c r="C129" i="27"/>
  <c r="C130" i="27" s="1"/>
  <c r="G128" i="27"/>
  <c r="K3" i="24"/>
  <c r="K4" i="24"/>
  <c r="K5" i="24"/>
  <c r="K6" i="24"/>
  <c r="K7" i="24"/>
  <c r="K8" i="24"/>
  <c r="K9" i="24"/>
  <c r="K10" i="24"/>
  <c r="K11" i="24"/>
  <c r="K12" i="24"/>
  <c r="K13" i="24"/>
  <c r="K14" i="24"/>
  <c r="K15" i="24"/>
  <c r="K16" i="24"/>
  <c r="K17" i="24"/>
  <c r="K18" i="24"/>
  <c r="K19" i="24"/>
  <c r="D98" i="27"/>
  <c r="E98" i="27" s="1"/>
  <c r="E99" i="27" s="1"/>
  <c r="C99" i="27"/>
  <c r="C92" i="27"/>
  <c r="C91" i="27"/>
  <c r="C71" i="27"/>
  <c r="C70" i="27"/>
  <c r="C69" i="27"/>
  <c r="C68" i="27"/>
  <c r="C67" i="27"/>
  <c r="D86" i="27"/>
  <c r="D85" i="27"/>
  <c r="D84" i="27"/>
  <c r="D83" i="27"/>
  <c r="D82" i="27"/>
  <c r="D81" i="27"/>
  <c r="D80" i="27"/>
  <c r="D79" i="27"/>
  <c r="D78" i="27"/>
  <c r="D77" i="27"/>
  <c r="D76" i="27"/>
  <c r="D75" i="27"/>
  <c r="D74" i="27"/>
  <c r="D73" i="27"/>
  <c r="D72" i="27"/>
  <c r="D71" i="27"/>
  <c r="D70" i="27"/>
  <c r="D69" i="27"/>
  <c r="D68" i="27"/>
  <c r="D67" i="27"/>
  <c r="D61" i="27"/>
  <c r="C61" i="27"/>
  <c r="F43" i="27"/>
  <c r="F42" i="27"/>
  <c r="F41" i="27"/>
  <c r="F40" i="27"/>
  <c r="F39" i="27"/>
  <c r="F38" i="27"/>
  <c r="F37" i="27"/>
  <c r="F36" i="27"/>
  <c r="F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E14" i="27"/>
  <c r="C15" i="27" s="1"/>
  <c r="D15" i="27"/>
  <c r="D16" i="27" s="1"/>
  <c r="D17" i="27" s="1"/>
  <c r="D18" i="27" s="1"/>
  <c r="D19" i="27" s="1"/>
  <c r="D20" i="27" s="1"/>
  <c r="D21" i="27" s="1"/>
  <c r="D22" i="27" s="1"/>
  <c r="D23" i="27" s="1"/>
  <c r="D24" i="27" s="1"/>
  <c r="D25" i="27" s="1"/>
  <c r="D26" i="27" s="1"/>
  <c r="D27" i="27" s="1"/>
  <c r="D28" i="27" s="1"/>
  <c r="D29" i="27" s="1"/>
  <c r="D30" i="27" s="1"/>
  <c r="D31" i="27" s="1"/>
  <c r="D32" i="27" s="1"/>
  <c r="D33" i="27" s="1"/>
  <c r="D34" i="27" s="1"/>
  <c r="D35" i="27" s="1"/>
  <c r="D36" i="27" s="1"/>
  <c r="D37" i="27" s="1"/>
  <c r="D38" i="27" s="1"/>
  <c r="D39" i="27" s="1"/>
  <c r="D40" i="27" s="1"/>
  <c r="D41" i="27" s="1"/>
  <c r="D42" i="27" s="1"/>
  <c r="D43" i="27" s="1"/>
  <c r="D9" i="27"/>
  <c r="C9" i="27"/>
  <c r="D7" i="27"/>
  <c r="C7" i="27"/>
  <c r="F128" i="27"/>
  <c r="F108" i="27"/>
  <c r="C13" i="25"/>
  <c r="E8" i="25"/>
  <c r="E13" i="25"/>
  <c r="O4" i="24"/>
  <c r="O20" i="24" s="1"/>
  <c r="O21" i="24" s="1"/>
  <c r="H20" i="24" s="1"/>
  <c r="O5" i="24"/>
  <c r="O6" i="24"/>
  <c r="O7" i="24"/>
  <c r="O8" i="24"/>
  <c r="O9" i="24"/>
  <c r="O10" i="24"/>
  <c r="O11" i="24"/>
  <c r="O12" i="24"/>
  <c r="O13" i="24"/>
  <c r="O14" i="24"/>
  <c r="O15" i="24"/>
  <c r="O16" i="24"/>
  <c r="O17" i="24"/>
  <c r="O18" i="24"/>
  <c r="O19" i="24"/>
  <c r="N3" i="24"/>
  <c r="N4" i="24"/>
  <c r="N5" i="24"/>
  <c r="N6" i="24"/>
  <c r="N7" i="24"/>
  <c r="N8" i="24"/>
  <c r="N9" i="24"/>
  <c r="N10" i="24"/>
  <c r="N11" i="24"/>
  <c r="N12" i="24"/>
  <c r="N13" i="24"/>
  <c r="N14" i="24"/>
  <c r="N15" i="24"/>
  <c r="N16" i="24"/>
  <c r="N17" i="24"/>
  <c r="N18" i="24"/>
  <c r="N19" i="24"/>
  <c r="M3" i="24"/>
  <c r="M4" i="24"/>
  <c r="M5" i="24"/>
  <c r="M6" i="24"/>
  <c r="M7" i="24"/>
  <c r="M8" i="24"/>
  <c r="M9" i="24"/>
  <c r="M10" i="24"/>
  <c r="M11" i="24"/>
  <c r="M12" i="24"/>
  <c r="M13" i="24"/>
  <c r="M14" i="24"/>
  <c r="M15" i="24"/>
  <c r="M16" i="24"/>
  <c r="M17" i="24"/>
  <c r="M18" i="24"/>
  <c r="M19" i="24"/>
  <c r="L4" i="24"/>
  <c r="L5" i="24"/>
  <c r="L6" i="24"/>
  <c r="L7" i="24"/>
  <c r="L8" i="24"/>
  <c r="L9" i="24"/>
  <c r="L10" i="24"/>
  <c r="L11" i="24"/>
  <c r="L12" i="24"/>
  <c r="L13" i="24"/>
  <c r="L14" i="24"/>
  <c r="L15" i="24"/>
  <c r="L16" i="24"/>
  <c r="L17" i="24"/>
  <c r="L18" i="24"/>
  <c r="L19" i="24"/>
  <c r="E45" i="16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F44" i="16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56" i="16" s="1"/>
  <c r="F57" i="16" s="1"/>
  <c r="F58" i="16" s="1"/>
  <c r="F59" i="16" s="1"/>
  <c r="F60" i="16" s="1"/>
  <c r="F61" i="16" s="1"/>
  <c r="F62" i="16" s="1"/>
  <c r="D44" i="16"/>
  <c r="E22" i="16"/>
  <c r="C21" i="16"/>
  <c r="AM444" i="22"/>
  <c r="AM472" i="22"/>
  <c r="AM577" i="22"/>
  <c r="AM768" i="22"/>
  <c r="AM823" i="22"/>
  <c r="AD429" i="22"/>
  <c r="AD459" i="22"/>
  <c r="AD563" i="22"/>
  <c r="AD596" i="22"/>
  <c r="AD649" i="22"/>
  <c r="AD709" i="22"/>
  <c r="AD763" i="22"/>
  <c r="AD815" i="22"/>
  <c r="AM815" i="22" s="1"/>
  <c r="AD817" i="22"/>
  <c r="AD879" i="22"/>
  <c r="AD903" i="22"/>
  <c r="AD908" i="22"/>
  <c r="AD921" i="22"/>
  <c r="AD927" i="22"/>
  <c r="AD937" i="22"/>
  <c r="AD951" i="22"/>
  <c r="AD987" i="22"/>
  <c r="AD1097" i="22"/>
  <c r="AD1127" i="22"/>
  <c r="AD1143" i="22"/>
  <c r="AM1143" i="22" s="1"/>
  <c r="AD1152" i="22"/>
  <c r="AD1175" i="22"/>
  <c r="AD1207" i="22"/>
  <c r="AM1207" i="22" s="1"/>
  <c r="M4" i="22"/>
  <c r="M5" i="22"/>
  <c r="V5" i="22" s="1"/>
  <c r="M6" i="22"/>
  <c r="V6" i="22" s="1"/>
  <c r="M7" i="22"/>
  <c r="V7" i="22" s="1"/>
  <c r="M8" i="22"/>
  <c r="V8" i="22"/>
  <c r="M9" i="22"/>
  <c r="M10" i="22"/>
  <c r="V10" i="22"/>
  <c r="M11" i="22"/>
  <c r="V11" i="22" s="1"/>
  <c r="M12" i="22"/>
  <c r="M13" i="22"/>
  <c r="V13" i="22" s="1"/>
  <c r="M14" i="22"/>
  <c r="V14" i="22" s="1"/>
  <c r="M15" i="22"/>
  <c r="V15" i="22" s="1"/>
  <c r="M16" i="22"/>
  <c r="V16" i="22" s="1"/>
  <c r="M17" i="22"/>
  <c r="M18" i="22"/>
  <c r="V18" i="22" s="1"/>
  <c r="M19" i="22"/>
  <c r="V19" i="22" s="1"/>
  <c r="M20" i="22"/>
  <c r="V20" i="22" s="1"/>
  <c r="M21" i="22"/>
  <c r="V21" i="22"/>
  <c r="M22" i="22"/>
  <c r="V22" i="22" s="1"/>
  <c r="M23" i="22"/>
  <c r="V23" i="22" s="1"/>
  <c r="M24" i="22"/>
  <c r="M25" i="22"/>
  <c r="V25" i="22" s="1"/>
  <c r="M26" i="22"/>
  <c r="V26" i="22" s="1"/>
  <c r="M27" i="22"/>
  <c r="M28" i="22"/>
  <c r="M29" i="22"/>
  <c r="V29" i="22" s="1"/>
  <c r="M30" i="22"/>
  <c r="V30" i="22" s="1"/>
  <c r="M31" i="22"/>
  <c r="V31" i="22" s="1"/>
  <c r="M32" i="22"/>
  <c r="V32" i="22" s="1"/>
  <c r="M33" i="22"/>
  <c r="V33" i="22" s="1"/>
  <c r="M34" i="22"/>
  <c r="M35" i="22"/>
  <c r="V35" i="22" s="1"/>
  <c r="M36" i="22"/>
  <c r="M37" i="22"/>
  <c r="V37" i="22" s="1"/>
  <c r="M38" i="22"/>
  <c r="V38" i="22" s="1"/>
  <c r="M39" i="22"/>
  <c r="V39" i="22"/>
  <c r="M40" i="22"/>
  <c r="V40" i="22" s="1"/>
  <c r="M41" i="22"/>
  <c r="M42" i="22"/>
  <c r="M43" i="22"/>
  <c r="V43" i="22" s="1"/>
  <c r="M44" i="22"/>
  <c r="M45" i="22"/>
  <c r="V45" i="22" s="1"/>
  <c r="M46" i="22"/>
  <c r="M47" i="22"/>
  <c r="V47" i="22"/>
  <c r="M48" i="22"/>
  <c r="V48" i="22" s="1"/>
  <c r="M49" i="22"/>
  <c r="V49" i="22" s="1"/>
  <c r="M50" i="22"/>
  <c r="M51" i="22"/>
  <c r="V51" i="22" s="1"/>
  <c r="M52" i="22"/>
  <c r="M53" i="22"/>
  <c r="M54" i="22"/>
  <c r="M55" i="22"/>
  <c r="M56" i="22"/>
  <c r="V56" i="22" s="1"/>
  <c r="M57" i="22"/>
  <c r="V57" i="22" s="1"/>
  <c r="M58" i="22"/>
  <c r="V58" i="22" s="1"/>
  <c r="M59" i="22"/>
  <c r="V59" i="22" s="1"/>
  <c r="M60" i="22"/>
  <c r="V60" i="22"/>
  <c r="M61" i="22"/>
  <c r="V61" i="22" s="1"/>
  <c r="M62" i="22"/>
  <c r="M63" i="22"/>
  <c r="V63" i="22"/>
  <c r="M64" i="22"/>
  <c r="V64" i="22" s="1"/>
  <c r="M65" i="22"/>
  <c r="M66" i="22"/>
  <c r="M67" i="22"/>
  <c r="M68" i="22"/>
  <c r="M69" i="22"/>
  <c r="M70" i="22"/>
  <c r="V70" i="22" s="1"/>
  <c r="M71" i="22"/>
  <c r="M72" i="22"/>
  <c r="M73" i="22"/>
  <c r="V73" i="22" s="1"/>
  <c r="M74" i="22"/>
  <c r="V74" i="22" s="1"/>
  <c r="M75" i="22"/>
  <c r="V75" i="22"/>
  <c r="M76" i="22"/>
  <c r="V76" i="22" s="1"/>
  <c r="M77" i="22"/>
  <c r="V77" i="22" s="1"/>
  <c r="M78" i="22"/>
  <c r="M79" i="22"/>
  <c r="V79" i="22" s="1"/>
  <c r="M80" i="22"/>
  <c r="M81" i="22"/>
  <c r="M82" i="22"/>
  <c r="M83" i="22"/>
  <c r="V83" i="22" s="1"/>
  <c r="M84" i="22"/>
  <c r="M85" i="22"/>
  <c r="M86" i="22"/>
  <c r="V86" i="22" s="1"/>
  <c r="M87" i="22"/>
  <c r="M88" i="22"/>
  <c r="M89" i="22"/>
  <c r="V89" i="22" s="1"/>
  <c r="M90" i="22"/>
  <c r="V90" i="22" s="1"/>
  <c r="M91" i="22"/>
  <c r="M92" i="22"/>
  <c r="V92" i="22" s="1"/>
  <c r="M93" i="22"/>
  <c r="V93" i="22" s="1"/>
  <c r="M94" i="22"/>
  <c r="V94" i="22" s="1"/>
  <c r="M95" i="22"/>
  <c r="V95" i="22" s="1"/>
  <c r="M96" i="22"/>
  <c r="V96" i="22"/>
  <c r="M97" i="22"/>
  <c r="M98" i="22"/>
  <c r="V98" i="22"/>
  <c r="M99" i="22"/>
  <c r="V99" i="22" s="1"/>
  <c r="M100" i="22"/>
  <c r="V100" i="22" s="1"/>
  <c r="M101" i="22"/>
  <c r="M102" i="22"/>
  <c r="M103" i="22"/>
  <c r="V103" i="22" s="1"/>
  <c r="M104" i="22"/>
  <c r="V104" i="22" s="1"/>
  <c r="M105" i="22"/>
  <c r="V105" i="22" s="1"/>
  <c r="M106" i="22"/>
  <c r="M107" i="22"/>
  <c r="V107" i="22" s="1"/>
  <c r="M108" i="22"/>
  <c r="M109" i="22"/>
  <c r="V109" i="22" s="1"/>
  <c r="M110" i="22"/>
  <c r="M111" i="22"/>
  <c r="M112" i="22"/>
  <c r="M113" i="22"/>
  <c r="M114" i="22"/>
  <c r="V114" i="22" s="1"/>
  <c r="M115" i="22"/>
  <c r="V115" i="22" s="1"/>
  <c r="M116" i="22"/>
  <c r="V116" i="22"/>
  <c r="M117" i="22"/>
  <c r="M118" i="22"/>
  <c r="V118" i="22" s="1"/>
  <c r="M119" i="22"/>
  <c r="M120" i="22"/>
  <c r="M121" i="22"/>
  <c r="V121" i="22" s="1"/>
  <c r="M122" i="22"/>
  <c r="M123" i="22"/>
  <c r="V123" i="22" s="1"/>
  <c r="M124" i="22"/>
  <c r="V124" i="22" s="1"/>
  <c r="M125" i="22"/>
  <c r="V125" i="22" s="1"/>
  <c r="M126" i="22"/>
  <c r="V126" i="22" s="1"/>
  <c r="M127" i="22"/>
  <c r="M128" i="22"/>
  <c r="M129" i="22"/>
  <c r="V129" i="22" s="1"/>
  <c r="M130" i="22"/>
  <c r="M131" i="22"/>
  <c r="V131" i="22" s="1"/>
  <c r="M132" i="22"/>
  <c r="V132" i="22" s="1"/>
  <c r="M133" i="22"/>
  <c r="V133" i="22" s="1"/>
  <c r="M134" i="22"/>
  <c r="V134" i="22"/>
  <c r="M135" i="22"/>
  <c r="V135" i="22" s="1"/>
  <c r="M136" i="22"/>
  <c r="V136" i="22"/>
  <c r="M137" i="22"/>
  <c r="M138" i="22"/>
  <c r="V138" i="22" s="1"/>
  <c r="M139" i="22"/>
  <c r="V139" i="22" s="1"/>
  <c r="M140" i="22"/>
  <c r="V140" i="22" s="1"/>
  <c r="M141" i="22"/>
  <c r="V141" i="22" s="1"/>
  <c r="M142" i="22"/>
  <c r="M143" i="22"/>
  <c r="M144" i="22"/>
  <c r="V144" i="22" s="1"/>
  <c r="M145" i="22"/>
  <c r="V145" i="22" s="1"/>
  <c r="M146" i="22"/>
  <c r="M147" i="22"/>
  <c r="V147" i="22" s="1"/>
  <c r="M148" i="22"/>
  <c r="V148" i="22" s="1"/>
  <c r="M149" i="22"/>
  <c r="V149" i="22" s="1"/>
  <c r="M150" i="22"/>
  <c r="V150" i="22" s="1"/>
  <c r="M151" i="22"/>
  <c r="M152" i="22"/>
  <c r="V152" i="22"/>
  <c r="M153" i="22"/>
  <c r="V153" i="22" s="1"/>
  <c r="M154" i="22"/>
  <c r="M155" i="22"/>
  <c r="V155" i="22" s="1"/>
  <c r="M156" i="22"/>
  <c r="V156" i="22" s="1"/>
  <c r="M157" i="22"/>
  <c r="V157" i="22" s="1"/>
  <c r="M158" i="22"/>
  <c r="V158" i="22"/>
  <c r="M159" i="22"/>
  <c r="V159" i="22" s="1"/>
  <c r="M160" i="22"/>
  <c r="V160" i="22" s="1"/>
  <c r="M161" i="22"/>
  <c r="V161" i="22"/>
  <c r="M162" i="22"/>
  <c r="V162" i="22" s="1"/>
  <c r="M163" i="22"/>
  <c r="M164" i="22"/>
  <c r="M165" i="22"/>
  <c r="M166" i="22"/>
  <c r="V166" i="22" s="1"/>
  <c r="M167" i="22"/>
  <c r="M168" i="22"/>
  <c r="V168" i="22"/>
  <c r="M169" i="22"/>
  <c r="V169" i="22" s="1"/>
  <c r="M170" i="22"/>
  <c r="M171" i="22"/>
  <c r="M172" i="22"/>
  <c r="V172" i="22" s="1"/>
  <c r="M173" i="22"/>
  <c r="V173" i="22" s="1"/>
  <c r="M174" i="22"/>
  <c r="V174" i="22" s="1"/>
  <c r="M175" i="22"/>
  <c r="M176" i="22"/>
  <c r="V176" i="22"/>
  <c r="M177" i="22"/>
  <c r="V177" i="22" s="1"/>
  <c r="M178" i="22"/>
  <c r="V178" i="22" s="1"/>
  <c r="M179" i="22"/>
  <c r="M180" i="22"/>
  <c r="V180" i="22" s="1"/>
  <c r="M181" i="22"/>
  <c r="V181" i="22" s="1"/>
  <c r="M182" i="22"/>
  <c r="V182" i="22" s="1"/>
  <c r="M183" i="22"/>
  <c r="V183" i="22" s="1"/>
  <c r="M184" i="22"/>
  <c r="M185" i="22"/>
  <c r="V185" i="22" s="1"/>
  <c r="M186" i="22"/>
  <c r="V186" i="22" s="1"/>
  <c r="M187" i="22"/>
  <c r="V187" i="22" s="1"/>
  <c r="M188" i="22"/>
  <c r="M189" i="22"/>
  <c r="M190" i="22"/>
  <c r="V190" i="22" s="1"/>
  <c r="M191" i="22"/>
  <c r="M192" i="22"/>
  <c r="S192" i="22" s="1"/>
  <c r="M193" i="22"/>
  <c r="M194" i="22"/>
  <c r="M195" i="22"/>
  <c r="V195" i="22" s="1"/>
  <c r="M196" i="22"/>
  <c r="M197" i="22"/>
  <c r="V197" i="22" s="1"/>
  <c r="M198" i="22"/>
  <c r="V198" i="22" s="1"/>
  <c r="M199" i="22"/>
  <c r="V199" i="22" s="1"/>
  <c r="M200" i="22"/>
  <c r="V200" i="22" s="1"/>
  <c r="M201" i="22"/>
  <c r="M202" i="22"/>
  <c r="V202" i="22"/>
  <c r="M203" i="22"/>
  <c r="V203" i="22" s="1"/>
  <c r="M204" i="22"/>
  <c r="V204" i="22" s="1"/>
  <c r="M205" i="22"/>
  <c r="V205" i="22" s="1"/>
  <c r="M206" i="22"/>
  <c r="V206" i="22" s="1"/>
  <c r="M207" i="22"/>
  <c r="M208" i="22"/>
  <c r="V208" i="22" s="1"/>
  <c r="M209" i="22"/>
  <c r="V209" i="22" s="1"/>
  <c r="M210" i="22"/>
  <c r="V210" i="22" s="1"/>
  <c r="M211" i="22"/>
  <c r="V211" i="22"/>
  <c r="M212" i="22"/>
  <c r="V212" i="22" s="1"/>
  <c r="M213" i="22"/>
  <c r="M214" i="22"/>
  <c r="V214" i="22" s="1"/>
  <c r="M215" i="22"/>
  <c r="V215" i="22" s="1"/>
  <c r="M216" i="22"/>
  <c r="M217" i="22"/>
  <c r="V217" i="22" s="1"/>
  <c r="M218" i="22"/>
  <c r="M219" i="22"/>
  <c r="V219" i="22" s="1"/>
  <c r="M220" i="22"/>
  <c r="M221" i="22"/>
  <c r="V221" i="22" s="1"/>
  <c r="M222" i="22"/>
  <c r="M223" i="22"/>
  <c r="V223" i="22" s="1"/>
  <c r="M224" i="22"/>
  <c r="V224" i="22" s="1"/>
  <c r="M225" i="22"/>
  <c r="V225" i="22" s="1"/>
  <c r="M226" i="22"/>
  <c r="M227" i="22"/>
  <c r="M228" i="22"/>
  <c r="V228" i="22" s="1"/>
  <c r="M229" i="22"/>
  <c r="V229" i="22" s="1"/>
  <c r="M230" i="22"/>
  <c r="V230" i="22" s="1"/>
  <c r="M231" i="22"/>
  <c r="V231" i="22"/>
  <c r="M232" i="22"/>
  <c r="M233" i="22"/>
  <c r="M234" i="22"/>
  <c r="V234" i="22"/>
  <c r="M235" i="22"/>
  <c r="V235" i="22" s="1"/>
  <c r="M236" i="22"/>
  <c r="V236" i="22" s="1"/>
  <c r="M237" i="22"/>
  <c r="V237" i="22" s="1"/>
  <c r="M238" i="22"/>
  <c r="M239" i="22"/>
  <c r="V239" i="22" s="1"/>
  <c r="M240" i="22"/>
  <c r="M241" i="22"/>
  <c r="V241" i="22" s="1"/>
  <c r="M242" i="22"/>
  <c r="M243" i="22"/>
  <c r="V243" i="22"/>
  <c r="M244" i="22"/>
  <c r="V244" i="22" s="1"/>
  <c r="M245" i="22"/>
  <c r="V245" i="22" s="1"/>
  <c r="M246" i="22"/>
  <c r="V246" i="22" s="1"/>
  <c r="M247" i="22"/>
  <c r="V247" i="22" s="1"/>
  <c r="M248" i="22"/>
  <c r="V248" i="22" s="1"/>
  <c r="M249" i="22"/>
  <c r="V249" i="22" s="1"/>
  <c r="M250" i="22"/>
  <c r="V250" i="22"/>
  <c r="M251" i="22"/>
  <c r="M252" i="22"/>
  <c r="V252" i="22"/>
  <c r="M253" i="22"/>
  <c r="M254" i="22"/>
  <c r="M255" i="22"/>
  <c r="M256" i="22"/>
  <c r="V256" i="22" s="1"/>
  <c r="M257" i="22"/>
  <c r="M258" i="22"/>
  <c r="V258" i="22"/>
  <c r="M259" i="22"/>
  <c r="V259" i="22" s="1"/>
  <c r="M260" i="22"/>
  <c r="M261" i="22"/>
  <c r="V261" i="22" s="1"/>
  <c r="M262" i="22"/>
  <c r="V262" i="22" s="1"/>
  <c r="M263" i="22"/>
  <c r="V263" i="22"/>
  <c r="M264" i="22"/>
  <c r="M265" i="22"/>
  <c r="M266" i="22"/>
  <c r="V266" i="22" s="1"/>
  <c r="M267" i="22"/>
  <c r="M268" i="22"/>
  <c r="V268" i="22" s="1"/>
  <c r="M269" i="22"/>
  <c r="M270" i="22"/>
  <c r="M271" i="22"/>
  <c r="V271" i="22" s="1"/>
  <c r="M272" i="22"/>
  <c r="V272" i="22" s="1"/>
  <c r="M273" i="22"/>
  <c r="M274" i="22"/>
  <c r="M275" i="22"/>
  <c r="V275" i="22" s="1"/>
  <c r="M276" i="22"/>
  <c r="V276" i="22" s="1"/>
  <c r="M277" i="22"/>
  <c r="V277" i="22" s="1"/>
  <c r="M278" i="22"/>
  <c r="M279" i="22"/>
  <c r="M280" i="22"/>
  <c r="M281" i="22"/>
  <c r="M282" i="22"/>
  <c r="M283" i="22"/>
  <c r="M284" i="22"/>
  <c r="V284" i="22" s="1"/>
  <c r="M285" i="22"/>
  <c r="V285" i="22" s="1"/>
  <c r="M286" i="22"/>
  <c r="V286" i="22" s="1"/>
  <c r="M287" i="22"/>
  <c r="M288" i="22"/>
  <c r="M289" i="22"/>
  <c r="M290" i="22"/>
  <c r="M291" i="22"/>
  <c r="V291" i="22" s="1"/>
  <c r="M292" i="22"/>
  <c r="V292" i="22" s="1"/>
  <c r="M293" i="22"/>
  <c r="V293" i="22"/>
  <c r="M294" i="22"/>
  <c r="M295" i="22"/>
  <c r="V295" i="22" s="1"/>
  <c r="M296" i="22"/>
  <c r="M297" i="22"/>
  <c r="M298" i="22"/>
  <c r="V298" i="22" s="1"/>
  <c r="M299" i="22"/>
  <c r="M300" i="22"/>
  <c r="M301" i="22"/>
  <c r="V301" i="22" s="1"/>
  <c r="M302" i="22"/>
  <c r="M303" i="22"/>
  <c r="V303" i="22" s="1"/>
  <c r="M304" i="22"/>
  <c r="V304" i="22" s="1"/>
  <c r="M305" i="22"/>
  <c r="M306" i="22"/>
  <c r="V306" i="22" s="1"/>
  <c r="M307" i="22"/>
  <c r="V307" i="22" s="1"/>
  <c r="M308" i="22"/>
  <c r="M309" i="22"/>
  <c r="M310" i="22"/>
  <c r="M311" i="22"/>
  <c r="V311" i="22" s="1"/>
  <c r="M312" i="22"/>
  <c r="V312" i="22" s="1"/>
  <c r="M313" i="22"/>
  <c r="V313" i="22" s="1"/>
  <c r="M314" i="22"/>
  <c r="V314" i="22" s="1"/>
  <c r="M315" i="22"/>
  <c r="M316" i="22"/>
  <c r="V316" i="22"/>
  <c r="M317" i="22"/>
  <c r="V317" i="22" s="1"/>
  <c r="M318" i="22"/>
  <c r="M319" i="22"/>
  <c r="V319" i="22" s="1"/>
  <c r="M320" i="22"/>
  <c r="M321" i="22"/>
  <c r="M322" i="22"/>
  <c r="V322" i="22" s="1"/>
  <c r="M323" i="22"/>
  <c r="M324" i="22"/>
  <c r="V324" i="22" s="1"/>
  <c r="M325" i="22"/>
  <c r="V325" i="22" s="1"/>
  <c r="M326" i="22"/>
  <c r="V326" i="22" s="1"/>
  <c r="M327" i="22"/>
  <c r="V327" i="22"/>
  <c r="M328" i="22"/>
  <c r="M329" i="22"/>
  <c r="V329" i="22"/>
  <c r="M330" i="22"/>
  <c r="V330" i="22" s="1"/>
  <c r="M331" i="22"/>
  <c r="M332" i="22"/>
  <c r="M333" i="22"/>
  <c r="V333" i="22" s="1"/>
  <c r="M334" i="22"/>
  <c r="V334" i="22" s="1"/>
  <c r="M335" i="22"/>
  <c r="V335" i="22" s="1"/>
  <c r="M336" i="22"/>
  <c r="V336" i="22" s="1"/>
  <c r="M337" i="22"/>
  <c r="V337" i="22" s="1"/>
  <c r="M338" i="22"/>
  <c r="V338" i="22" s="1"/>
  <c r="M339" i="22"/>
  <c r="M340" i="22"/>
  <c r="V340" i="22" s="1"/>
  <c r="M341" i="22"/>
  <c r="V341" i="22" s="1"/>
  <c r="M342" i="22"/>
  <c r="M343" i="22"/>
  <c r="V343" i="22" s="1"/>
  <c r="M344" i="22"/>
  <c r="M345" i="22"/>
  <c r="M346" i="22"/>
  <c r="V346" i="22" s="1"/>
  <c r="M347" i="22"/>
  <c r="V347" i="22" s="1"/>
  <c r="M348" i="22"/>
  <c r="M349" i="22"/>
  <c r="V349" i="22" s="1"/>
  <c r="M350" i="22"/>
  <c r="V350" i="22" s="1"/>
  <c r="M351" i="22"/>
  <c r="M352" i="22"/>
  <c r="V352" i="22" s="1"/>
  <c r="M353" i="22"/>
  <c r="V353" i="22" s="1"/>
  <c r="M354" i="22"/>
  <c r="V354" i="22" s="1"/>
  <c r="M355" i="22"/>
  <c r="M356" i="22"/>
  <c r="V356" i="22" s="1"/>
  <c r="M357" i="22"/>
  <c r="V357" i="22" s="1"/>
  <c r="M358" i="22"/>
  <c r="V358" i="22" s="1"/>
  <c r="M359" i="22"/>
  <c r="V359" i="22" s="1"/>
  <c r="M360" i="22"/>
  <c r="M361" i="22"/>
  <c r="M362" i="22"/>
  <c r="V362" i="22"/>
  <c r="M363" i="22"/>
  <c r="M364" i="22"/>
  <c r="V364" i="22" s="1"/>
  <c r="M365" i="22"/>
  <c r="M366" i="22"/>
  <c r="M367" i="22"/>
  <c r="V367" i="22" s="1"/>
  <c r="AD367" i="22" s="1"/>
  <c r="AM367" i="22" s="1"/>
  <c r="M368" i="22"/>
  <c r="M369" i="22"/>
  <c r="V369" i="22"/>
  <c r="AD369" i="22" s="1"/>
  <c r="M370" i="22"/>
  <c r="M371" i="22"/>
  <c r="V371" i="22" s="1"/>
  <c r="M372" i="22"/>
  <c r="V372" i="22" s="1"/>
  <c r="AD372" i="22" s="1"/>
  <c r="M373" i="22"/>
  <c r="M374" i="22"/>
  <c r="M375" i="22"/>
  <c r="V375" i="22" s="1"/>
  <c r="M376" i="22"/>
  <c r="M377" i="22"/>
  <c r="V377" i="22" s="1"/>
  <c r="M378" i="22"/>
  <c r="V378" i="22"/>
  <c r="AD378" i="22" s="1"/>
  <c r="AM378" i="22" s="1"/>
  <c r="M379" i="22"/>
  <c r="M380" i="22"/>
  <c r="V380" i="22"/>
  <c r="AD380" i="22" s="1"/>
  <c r="AM380" i="22" s="1"/>
  <c r="M381" i="22"/>
  <c r="M382" i="22"/>
  <c r="M383" i="22"/>
  <c r="M384" i="22"/>
  <c r="M385" i="22"/>
  <c r="M386" i="22"/>
  <c r="V386" i="22"/>
  <c r="M387" i="22"/>
  <c r="V387" i="22" s="1"/>
  <c r="M388" i="22"/>
  <c r="M389" i="22"/>
  <c r="V389" i="22" s="1"/>
  <c r="AD389" i="22" s="1"/>
  <c r="M390" i="22"/>
  <c r="V390" i="22" s="1"/>
  <c r="AD390" i="22" s="1"/>
  <c r="M391" i="22"/>
  <c r="V391" i="22" s="1"/>
  <c r="AD391" i="22" s="1"/>
  <c r="M392" i="22"/>
  <c r="V392" i="22" s="1"/>
  <c r="AD392" i="22" s="1"/>
  <c r="M393" i="22"/>
  <c r="V393" i="22" s="1"/>
  <c r="AD393" i="22" s="1"/>
  <c r="M394" i="22"/>
  <c r="V394" i="22" s="1"/>
  <c r="AD394" i="22" s="1"/>
  <c r="M395" i="22"/>
  <c r="M396" i="22"/>
  <c r="M397" i="22"/>
  <c r="M398" i="22"/>
  <c r="V398" i="22" s="1"/>
  <c r="M399" i="22"/>
  <c r="M400" i="22"/>
  <c r="M401" i="22"/>
  <c r="V401" i="22" s="1"/>
  <c r="AD401" i="22" s="1"/>
  <c r="M402" i="22"/>
  <c r="V402" i="22" s="1"/>
  <c r="AD402" i="22" s="1"/>
  <c r="M403" i="22"/>
  <c r="M404" i="22"/>
  <c r="V404" i="22" s="1"/>
  <c r="AD404" i="22" s="1"/>
  <c r="M405" i="22"/>
  <c r="V405" i="22" s="1"/>
  <c r="M406" i="22"/>
  <c r="V406" i="22" s="1"/>
  <c r="AD406" i="22" s="1"/>
  <c r="M407" i="22"/>
  <c r="V407" i="22" s="1"/>
  <c r="M408" i="22"/>
  <c r="V408" i="22" s="1"/>
  <c r="AD408" i="22" s="1"/>
  <c r="M409" i="22"/>
  <c r="M410" i="22"/>
  <c r="M411" i="22"/>
  <c r="M412" i="22"/>
  <c r="V412" i="22"/>
  <c r="AD412" i="22" s="1"/>
  <c r="M413" i="22"/>
  <c r="M414" i="22"/>
  <c r="M415" i="22"/>
  <c r="V415" i="22"/>
  <c r="AD415" i="22" s="1"/>
  <c r="M416" i="22"/>
  <c r="V416" i="22" s="1"/>
  <c r="AD416" i="22" s="1"/>
  <c r="AM416" i="22" s="1"/>
  <c r="M417" i="22"/>
  <c r="M418" i="22"/>
  <c r="V418" i="22" s="1"/>
  <c r="AD418" i="22" s="1"/>
  <c r="M419" i="22"/>
  <c r="V419" i="22" s="1"/>
  <c r="M420" i="22"/>
  <c r="V420" i="22" s="1"/>
  <c r="AD420" i="22" s="1"/>
  <c r="M421" i="22"/>
  <c r="M422" i="22"/>
  <c r="V422" i="22" s="1"/>
  <c r="M423" i="22"/>
  <c r="V423" i="22" s="1"/>
  <c r="AD423" i="22" s="1"/>
  <c r="M424" i="22"/>
  <c r="V424" i="22" s="1"/>
  <c r="AD424" i="22" s="1"/>
  <c r="AM424" i="22" s="1"/>
  <c r="M425" i="22"/>
  <c r="V425" i="22" s="1"/>
  <c r="AD425" i="22" s="1"/>
  <c r="AM425" i="22" s="1"/>
  <c r="M426" i="22"/>
  <c r="M427" i="22"/>
  <c r="V427" i="22"/>
  <c r="M428" i="22"/>
  <c r="V428" i="22" s="1"/>
  <c r="AD428" i="22" s="1"/>
  <c r="M429" i="22"/>
  <c r="V429" i="22" s="1"/>
  <c r="M430" i="22"/>
  <c r="V430" i="22" s="1"/>
  <c r="AD430" i="22" s="1"/>
  <c r="M431" i="22"/>
  <c r="M432" i="22"/>
  <c r="V432" i="22" s="1"/>
  <c r="AD432" i="22" s="1"/>
  <c r="M433" i="22"/>
  <c r="M434" i="22"/>
  <c r="V434" i="22" s="1"/>
  <c r="AD434" i="22" s="1"/>
  <c r="M435" i="22"/>
  <c r="V435" i="22" s="1"/>
  <c r="M436" i="22"/>
  <c r="M437" i="22"/>
  <c r="V437" i="22" s="1"/>
  <c r="AD437" i="22" s="1"/>
  <c r="M438" i="22"/>
  <c r="V438" i="22" s="1"/>
  <c r="M439" i="22"/>
  <c r="V439" i="22"/>
  <c r="AD439" i="22" s="1"/>
  <c r="M440" i="22"/>
  <c r="V440" i="22" s="1"/>
  <c r="AD440" i="22" s="1"/>
  <c r="M441" i="22"/>
  <c r="M442" i="22"/>
  <c r="V442" i="22" s="1"/>
  <c r="M443" i="22"/>
  <c r="M444" i="22"/>
  <c r="V444" i="22" s="1"/>
  <c r="AD444" i="22" s="1"/>
  <c r="M445" i="22"/>
  <c r="V445" i="22" s="1"/>
  <c r="AD445" i="22" s="1"/>
  <c r="M446" i="22"/>
  <c r="M447" i="22"/>
  <c r="V447" i="22" s="1"/>
  <c r="M448" i="22"/>
  <c r="M449" i="22"/>
  <c r="V449" i="22" s="1"/>
  <c r="AD449" i="22" s="1"/>
  <c r="AM449" i="22" s="1"/>
  <c r="M450" i="22"/>
  <c r="V450" i="22"/>
  <c r="M451" i="22"/>
  <c r="V451" i="22"/>
  <c r="M452" i="22"/>
  <c r="M453" i="22"/>
  <c r="V453" i="22" s="1"/>
  <c r="M454" i="22"/>
  <c r="M455" i="22"/>
  <c r="V455" i="22" s="1"/>
  <c r="AD455" i="22" s="1"/>
  <c r="M456" i="22"/>
  <c r="M457" i="22"/>
  <c r="M458" i="22"/>
  <c r="V458" i="22" s="1"/>
  <c r="M459" i="22"/>
  <c r="V459" i="22" s="1"/>
  <c r="M460" i="22"/>
  <c r="V460" i="22" s="1"/>
  <c r="AD460" i="22" s="1"/>
  <c r="M461" i="22"/>
  <c r="V461" i="22" s="1"/>
  <c r="AD461" i="22" s="1"/>
  <c r="M462" i="22"/>
  <c r="V462" i="22" s="1"/>
  <c r="AD462" i="22" s="1"/>
  <c r="M463" i="22"/>
  <c r="M464" i="22"/>
  <c r="V464" i="22" s="1"/>
  <c r="AD464" i="22" s="1"/>
  <c r="M465" i="22"/>
  <c r="M466" i="22"/>
  <c r="V466" i="22" s="1"/>
  <c r="AD466" i="22" s="1"/>
  <c r="M467" i="22"/>
  <c r="M468" i="22"/>
  <c r="V468" i="22"/>
  <c r="AD468" i="22" s="1"/>
  <c r="M469" i="22"/>
  <c r="V469" i="22" s="1"/>
  <c r="M470" i="22"/>
  <c r="M471" i="22"/>
  <c r="V471" i="22" s="1"/>
  <c r="AD471" i="22" s="1"/>
  <c r="M472" i="22"/>
  <c r="V472" i="22" s="1"/>
  <c r="AD472" i="22" s="1"/>
  <c r="M473" i="22"/>
  <c r="V473" i="22"/>
  <c r="M474" i="22"/>
  <c r="M475" i="22"/>
  <c r="V475" i="22" s="1"/>
  <c r="M476" i="22"/>
  <c r="M477" i="22"/>
  <c r="V477" i="22"/>
  <c r="AD477" i="22" s="1"/>
  <c r="M478" i="22"/>
  <c r="M479" i="22"/>
  <c r="V479" i="22" s="1"/>
  <c r="AD479" i="22" s="1"/>
  <c r="M480" i="22"/>
  <c r="V480" i="22" s="1"/>
  <c r="AD480" i="22" s="1"/>
  <c r="M481" i="22"/>
  <c r="V481" i="22" s="1"/>
  <c r="M482" i="22"/>
  <c r="V482" i="22" s="1"/>
  <c r="M483" i="22"/>
  <c r="V483" i="22" s="1"/>
  <c r="AD483" i="22" s="1"/>
  <c r="M484" i="22"/>
  <c r="V484" i="22"/>
  <c r="M485" i="22"/>
  <c r="V485" i="22" s="1"/>
  <c r="AD485" i="22" s="1"/>
  <c r="M486" i="22"/>
  <c r="V486" i="22" s="1"/>
  <c r="AD486" i="22" s="1"/>
  <c r="AM486" i="22" s="1"/>
  <c r="M487" i="22"/>
  <c r="M488" i="22"/>
  <c r="V488" i="22" s="1"/>
  <c r="AD488" i="22" s="1"/>
  <c r="AM488" i="22" s="1"/>
  <c r="M489" i="22"/>
  <c r="V489" i="22" s="1"/>
  <c r="AD489" i="22" s="1"/>
  <c r="M490" i="22"/>
  <c r="M491" i="22"/>
  <c r="M492" i="22"/>
  <c r="V492" i="22"/>
  <c r="M493" i="22"/>
  <c r="M494" i="22"/>
  <c r="V494" i="22" s="1"/>
  <c r="M495" i="22"/>
  <c r="V495" i="22"/>
  <c r="AD495" i="22" s="1"/>
  <c r="M496" i="22"/>
  <c r="M497" i="22"/>
  <c r="M498" i="22"/>
  <c r="M499" i="22"/>
  <c r="V499" i="22" s="1"/>
  <c r="AD499" i="22" s="1"/>
  <c r="M500" i="22"/>
  <c r="V500" i="22" s="1"/>
  <c r="AD500" i="22" s="1"/>
  <c r="M501" i="22"/>
  <c r="V501" i="22"/>
  <c r="M502" i="22"/>
  <c r="V502" i="22"/>
  <c r="M503" i="22"/>
  <c r="V503" i="22"/>
  <c r="M504" i="22"/>
  <c r="M505" i="22"/>
  <c r="M506" i="22"/>
  <c r="M507" i="22"/>
  <c r="M508" i="22"/>
  <c r="V508" i="22" s="1"/>
  <c r="AD508" i="22" s="1"/>
  <c r="M509" i="22"/>
  <c r="V509" i="22"/>
  <c r="AD509" i="22" s="1"/>
  <c r="AM509" i="22" s="1"/>
  <c r="M510" i="22"/>
  <c r="V510" i="22" s="1"/>
  <c r="AD510" i="22" s="1"/>
  <c r="AM510" i="22" s="1"/>
  <c r="M511" i="22"/>
  <c r="V511" i="22"/>
  <c r="M512" i="22"/>
  <c r="M513" i="22"/>
  <c r="V513" i="22" s="1"/>
  <c r="AD513" i="22" s="1"/>
  <c r="M514" i="22"/>
  <c r="M515" i="22"/>
  <c r="V515" i="22"/>
  <c r="M516" i="22"/>
  <c r="V516" i="22" s="1"/>
  <c r="M517" i="22"/>
  <c r="V517" i="22" s="1"/>
  <c r="AD517" i="22" s="1"/>
  <c r="M518" i="22"/>
  <c r="V518" i="22" s="1"/>
  <c r="AD518" i="22" s="1"/>
  <c r="M519" i="22"/>
  <c r="V519" i="22" s="1"/>
  <c r="AD519" i="22" s="1"/>
  <c r="M520" i="22"/>
  <c r="M521" i="22"/>
  <c r="V521" i="22" s="1"/>
  <c r="AD521" i="22" s="1"/>
  <c r="M522" i="22"/>
  <c r="V522" i="22"/>
  <c r="M523" i="22"/>
  <c r="V523" i="22" s="1"/>
  <c r="M524" i="22"/>
  <c r="M525" i="22"/>
  <c r="M526" i="22"/>
  <c r="V526" i="22" s="1"/>
  <c r="AD526" i="22" s="1"/>
  <c r="M527" i="22"/>
  <c r="M528" i="22"/>
  <c r="V528" i="22" s="1"/>
  <c r="AD528" i="22" s="1"/>
  <c r="M529" i="22"/>
  <c r="V529" i="22"/>
  <c r="AD529" i="22" s="1"/>
  <c r="M530" i="22"/>
  <c r="V530" i="22" s="1"/>
  <c r="AD530" i="22" s="1"/>
  <c r="M531" i="22"/>
  <c r="V531" i="22" s="1"/>
  <c r="M532" i="22"/>
  <c r="V532" i="22"/>
  <c r="AD532" i="22" s="1"/>
  <c r="M533" i="22"/>
  <c r="V533" i="22" s="1"/>
  <c r="AD533" i="22" s="1"/>
  <c r="M534" i="22"/>
  <c r="V534" i="22" s="1"/>
  <c r="AD534" i="22" s="1"/>
  <c r="M535" i="22"/>
  <c r="M536" i="22"/>
  <c r="V536" i="22" s="1"/>
  <c r="AD536" i="22" s="1"/>
  <c r="AM536" i="22" s="1"/>
  <c r="M537" i="22"/>
  <c r="V537" i="22" s="1"/>
  <c r="AD537" i="22" s="1"/>
  <c r="M538" i="22"/>
  <c r="V538" i="22"/>
  <c r="AD538" i="22" s="1"/>
  <c r="M539" i="22"/>
  <c r="V539" i="22" s="1"/>
  <c r="M540" i="22"/>
  <c r="M541" i="22"/>
  <c r="V541" i="22"/>
  <c r="AD541" i="22" s="1"/>
  <c r="AM541" i="22" s="1"/>
  <c r="M542" i="22"/>
  <c r="M543" i="22"/>
  <c r="V543" i="22"/>
  <c r="M544" i="22"/>
  <c r="M545" i="22"/>
  <c r="V545" i="22" s="1"/>
  <c r="AD545" i="22" s="1"/>
  <c r="M546" i="22"/>
  <c r="V546" i="22" s="1"/>
  <c r="AD546" i="22" s="1"/>
  <c r="M547" i="22"/>
  <c r="M548" i="22"/>
  <c r="V548" i="22" s="1"/>
  <c r="AD548" i="22" s="1"/>
  <c r="M549" i="22"/>
  <c r="V549" i="22" s="1"/>
  <c r="M550" i="22"/>
  <c r="M551" i="22"/>
  <c r="V551" i="22" s="1"/>
  <c r="AD551" i="22" s="1"/>
  <c r="M552" i="22"/>
  <c r="V552" i="22" s="1"/>
  <c r="AD552" i="22" s="1"/>
  <c r="M553" i="22"/>
  <c r="V553" i="22"/>
  <c r="AD553" i="22" s="1"/>
  <c r="M554" i="22"/>
  <c r="M555" i="22"/>
  <c r="V555" i="22" s="1"/>
  <c r="M556" i="22"/>
  <c r="M557" i="22"/>
  <c r="M558" i="22"/>
  <c r="M559" i="22"/>
  <c r="V559" i="22" s="1"/>
  <c r="AD559" i="22" s="1"/>
  <c r="M560" i="22"/>
  <c r="M561" i="22"/>
  <c r="V561" i="22" s="1"/>
  <c r="AD561" i="22" s="1"/>
  <c r="M562" i="22"/>
  <c r="M563" i="22"/>
  <c r="V563" i="22" s="1"/>
  <c r="M564" i="22"/>
  <c r="V564" i="22"/>
  <c r="M565" i="22"/>
  <c r="V565" i="22"/>
  <c r="AD565" i="22" s="1"/>
  <c r="M566" i="22"/>
  <c r="M567" i="22"/>
  <c r="V567" i="22" s="1"/>
  <c r="AD567" i="22" s="1"/>
  <c r="M568" i="22"/>
  <c r="V568" i="22"/>
  <c r="AD568" i="22" s="1"/>
  <c r="M569" i="22"/>
  <c r="V569" i="22"/>
  <c r="AD569" i="22" s="1"/>
  <c r="M570" i="22"/>
  <c r="M571" i="22"/>
  <c r="V571" i="22" s="1"/>
  <c r="M572" i="22"/>
  <c r="V572" i="22" s="1"/>
  <c r="M573" i="22"/>
  <c r="V573" i="22" s="1"/>
  <c r="AD573" i="22" s="1"/>
  <c r="M574" i="22"/>
  <c r="M575" i="22"/>
  <c r="V575" i="22" s="1"/>
  <c r="M576" i="22"/>
  <c r="V576" i="22" s="1"/>
  <c r="M577" i="22"/>
  <c r="V577" i="22" s="1"/>
  <c r="AD577" i="22" s="1"/>
  <c r="M578" i="22"/>
  <c r="V578" i="22" s="1"/>
  <c r="M579" i="22"/>
  <c r="V579" i="22" s="1"/>
  <c r="M580" i="22"/>
  <c r="V580" i="22"/>
  <c r="AD580" i="22" s="1"/>
  <c r="M581" i="22"/>
  <c r="V581" i="22" s="1"/>
  <c r="M582" i="22"/>
  <c r="V582" i="22" s="1"/>
  <c r="AD582" i="22" s="1"/>
  <c r="M583" i="22"/>
  <c r="V583" i="22"/>
  <c r="AD583" i="22" s="1"/>
  <c r="M584" i="22"/>
  <c r="M585" i="22"/>
  <c r="M586" i="22"/>
  <c r="V586" i="22" s="1"/>
  <c r="AD586" i="22" s="1"/>
  <c r="M587" i="22"/>
  <c r="M588" i="22"/>
  <c r="M589" i="22"/>
  <c r="M590" i="22"/>
  <c r="V590" i="22" s="1"/>
  <c r="M591" i="22"/>
  <c r="M592" i="22"/>
  <c r="M593" i="22"/>
  <c r="V593" i="22"/>
  <c r="AD593" i="22" s="1"/>
  <c r="M594" i="22"/>
  <c r="V594" i="22" s="1"/>
  <c r="AD594" i="22" s="1"/>
  <c r="M595" i="22"/>
  <c r="M596" i="22"/>
  <c r="V596" i="22" s="1"/>
  <c r="M597" i="22"/>
  <c r="V597" i="22"/>
  <c r="AD597" i="22" s="1"/>
  <c r="M598" i="22"/>
  <c r="V598" i="22" s="1"/>
  <c r="AD598" i="22" s="1"/>
  <c r="M599" i="22"/>
  <c r="V599" i="22" s="1"/>
  <c r="AD599" i="22" s="1"/>
  <c r="M600" i="22"/>
  <c r="V600" i="22" s="1"/>
  <c r="M601" i="22"/>
  <c r="V601" i="22" s="1"/>
  <c r="M602" i="22"/>
  <c r="M603" i="22"/>
  <c r="V603" i="22" s="1"/>
  <c r="M604" i="22"/>
  <c r="V604" i="22" s="1"/>
  <c r="AD604" i="22" s="1"/>
  <c r="AM604" i="22" s="1"/>
  <c r="M605" i="22"/>
  <c r="M606" i="22"/>
  <c r="V606" i="22" s="1"/>
  <c r="M607" i="22"/>
  <c r="V607" i="22" s="1"/>
  <c r="AD607" i="22" s="1"/>
  <c r="M608" i="22"/>
  <c r="V608" i="22" s="1"/>
  <c r="AD608" i="22" s="1"/>
  <c r="M609" i="22"/>
  <c r="V609" i="22" s="1"/>
  <c r="AD609" i="22" s="1"/>
  <c r="AM609" i="22" s="1"/>
  <c r="M610" i="22"/>
  <c r="M611" i="22"/>
  <c r="M612" i="22"/>
  <c r="M613" i="22"/>
  <c r="V613" i="22" s="1"/>
  <c r="AD613" i="22" s="1"/>
  <c r="M614" i="22"/>
  <c r="V614" i="22" s="1"/>
  <c r="M615" i="22"/>
  <c r="V615" i="22" s="1"/>
  <c r="AD615" i="22" s="1"/>
  <c r="M616" i="22"/>
  <c r="M617" i="22"/>
  <c r="V617" i="22" s="1"/>
  <c r="AD617" i="22" s="1"/>
  <c r="M618" i="22"/>
  <c r="M619" i="22"/>
  <c r="V619" i="22" s="1"/>
  <c r="M620" i="22"/>
  <c r="V620" i="22"/>
  <c r="AD620" i="22" s="1"/>
  <c r="M621" i="22"/>
  <c r="M622" i="22"/>
  <c r="V622" i="22" s="1"/>
  <c r="AD622" i="22" s="1"/>
  <c r="AM622" i="22" s="1"/>
  <c r="M623" i="22"/>
  <c r="M624" i="22"/>
  <c r="V624" i="22"/>
  <c r="AD624" i="22" s="1"/>
  <c r="M625" i="22"/>
  <c r="V625" i="22"/>
  <c r="AD625" i="22" s="1"/>
  <c r="M626" i="22"/>
  <c r="V626" i="22" s="1"/>
  <c r="M627" i="22"/>
  <c r="M628" i="22"/>
  <c r="V628" i="22" s="1"/>
  <c r="AD628" i="22" s="1"/>
  <c r="M629" i="22"/>
  <c r="V629" i="22" s="1"/>
  <c r="AD629" i="22" s="1"/>
  <c r="M630" i="22"/>
  <c r="V630" i="22" s="1"/>
  <c r="M631" i="22"/>
  <c r="V631" i="22" s="1"/>
  <c r="AD631" i="22" s="1"/>
  <c r="M632" i="22"/>
  <c r="V632" i="22" s="1"/>
  <c r="AD632" i="22" s="1"/>
  <c r="AM632" i="22" s="1"/>
  <c r="M633" i="22"/>
  <c r="V633" i="22"/>
  <c r="M634" i="22"/>
  <c r="V634" i="22"/>
  <c r="AD634" i="22" s="1"/>
  <c r="M635" i="22"/>
  <c r="M636" i="22"/>
  <c r="V636" i="22"/>
  <c r="M637" i="22"/>
  <c r="M638" i="22"/>
  <c r="M639" i="22"/>
  <c r="V639" i="22" s="1"/>
  <c r="AD639" i="22" s="1"/>
  <c r="M640" i="22"/>
  <c r="V640" i="22" s="1"/>
  <c r="AD640" i="22" s="1"/>
  <c r="AM640" i="22" s="1"/>
  <c r="M641" i="22"/>
  <c r="V641" i="22" s="1"/>
  <c r="AD641" i="22" s="1"/>
  <c r="AM641" i="22" s="1"/>
  <c r="M642" i="22"/>
  <c r="V642" i="22"/>
  <c r="M643" i="22"/>
  <c r="V643" i="22"/>
  <c r="M644" i="22"/>
  <c r="M645" i="22"/>
  <c r="V645" i="22" s="1"/>
  <c r="AD645" i="22" s="1"/>
  <c r="M646" i="22"/>
  <c r="M647" i="22"/>
  <c r="V647" i="22"/>
  <c r="AD647" i="22" s="1"/>
  <c r="M648" i="22"/>
  <c r="M649" i="22"/>
  <c r="V649" i="22" s="1"/>
  <c r="M650" i="22"/>
  <c r="V650" i="22"/>
  <c r="AD650" i="22" s="1"/>
  <c r="AM650" i="22" s="1"/>
  <c r="M651" i="22"/>
  <c r="M652" i="22"/>
  <c r="M653" i="22"/>
  <c r="V653" i="22" s="1"/>
  <c r="M654" i="22"/>
  <c r="M655" i="22"/>
  <c r="V655" i="22" s="1"/>
  <c r="AD655" i="22" s="1"/>
  <c r="M656" i="22"/>
  <c r="V656" i="22" s="1"/>
  <c r="AD656" i="22" s="1"/>
  <c r="AM656" i="22" s="1"/>
  <c r="M657" i="22"/>
  <c r="V657" i="22"/>
  <c r="AD657" i="22" s="1"/>
  <c r="AM657" i="22" s="1"/>
  <c r="M658" i="22"/>
  <c r="V658" i="22" s="1"/>
  <c r="M659" i="22"/>
  <c r="M660" i="22"/>
  <c r="V660" i="22"/>
  <c r="AD660" i="22" s="1"/>
  <c r="AM660" i="22" s="1"/>
  <c r="M661" i="22"/>
  <c r="M662" i="22"/>
  <c r="M663" i="22"/>
  <c r="V663" i="22"/>
  <c r="AD663" i="22" s="1"/>
  <c r="M664" i="22"/>
  <c r="V664" i="22" s="1"/>
  <c r="AD664" i="22" s="1"/>
  <c r="M665" i="22"/>
  <c r="V665" i="22" s="1"/>
  <c r="AD665" i="22" s="1"/>
  <c r="M666" i="22"/>
  <c r="M667" i="22"/>
  <c r="V667" i="22" s="1"/>
  <c r="M668" i="22"/>
  <c r="M669" i="22"/>
  <c r="V669" i="22" s="1"/>
  <c r="AD669" i="22" s="1"/>
  <c r="M670" i="22"/>
  <c r="M671" i="22"/>
  <c r="V671" i="22" s="1"/>
  <c r="AD671" i="22" s="1"/>
  <c r="M672" i="22"/>
  <c r="V672" i="22" s="1"/>
  <c r="AD672" i="22" s="1"/>
  <c r="M673" i="22"/>
  <c r="V673" i="22"/>
  <c r="AD673" i="22" s="1"/>
  <c r="M674" i="22"/>
  <c r="M675" i="22"/>
  <c r="M676" i="22"/>
  <c r="V676" i="22" s="1"/>
  <c r="AD676" i="22" s="1"/>
  <c r="M677" i="22"/>
  <c r="M678" i="22"/>
  <c r="M679" i="22"/>
  <c r="V679" i="22" s="1"/>
  <c r="AD679" i="22" s="1"/>
  <c r="M680" i="22"/>
  <c r="V680" i="22" s="1"/>
  <c r="AD680" i="22" s="1"/>
  <c r="M681" i="22"/>
  <c r="V681" i="22" s="1"/>
  <c r="AD681" i="22" s="1"/>
  <c r="AM681" i="22" s="1"/>
  <c r="M682" i="22"/>
  <c r="V682" i="22"/>
  <c r="AD682" i="22" s="1"/>
  <c r="M683" i="22"/>
  <c r="M684" i="22"/>
  <c r="V684" i="22" s="1"/>
  <c r="AD684" i="22" s="1"/>
  <c r="M685" i="22"/>
  <c r="V685" i="22" s="1"/>
  <c r="AD685" i="22" s="1"/>
  <c r="M686" i="22"/>
  <c r="V686" i="22" s="1"/>
  <c r="AD686" i="22" s="1"/>
  <c r="M687" i="22"/>
  <c r="V687" i="22" s="1"/>
  <c r="AD687" i="22" s="1"/>
  <c r="AM687" i="22" s="1"/>
  <c r="M688" i="22"/>
  <c r="M689" i="22"/>
  <c r="V689" i="22"/>
  <c r="AD689" i="22" s="1"/>
  <c r="AM689" i="22" s="1"/>
  <c r="M690" i="22"/>
  <c r="V690" i="22" s="1"/>
  <c r="M691" i="22"/>
  <c r="V691" i="22" s="1"/>
  <c r="AD691" i="22" s="1"/>
  <c r="M692" i="22"/>
  <c r="V692" i="22" s="1"/>
  <c r="AD692" i="22" s="1"/>
  <c r="AM692" i="22" s="1"/>
  <c r="M693" i="22"/>
  <c r="M694" i="22"/>
  <c r="V694" i="22" s="1"/>
  <c r="AD694" i="22" s="1"/>
  <c r="M695" i="22"/>
  <c r="V695" i="22" s="1"/>
  <c r="M696" i="22"/>
  <c r="M697" i="22"/>
  <c r="M698" i="22"/>
  <c r="M699" i="22"/>
  <c r="V699" i="22" s="1"/>
  <c r="AD699" i="22" s="1"/>
  <c r="M700" i="22"/>
  <c r="M701" i="22"/>
  <c r="M702" i="22"/>
  <c r="M703" i="22"/>
  <c r="V703" i="22" s="1"/>
  <c r="AD703" i="22" s="1"/>
  <c r="M704" i="22"/>
  <c r="V704" i="22" s="1"/>
  <c r="M705" i="22"/>
  <c r="V705" i="22" s="1"/>
  <c r="AD705" i="22" s="1"/>
  <c r="AM705" i="22" s="1"/>
  <c r="M706" i="22"/>
  <c r="V706" i="22" s="1"/>
  <c r="AD706" i="22" s="1"/>
  <c r="M707" i="22"/>
  <c r="M708" i="22"/>
  <c r="V708" i="22"/>
  <c r="AD708" i="22" s="1"/>
  <c r="M709" i="22"/>
  <c r="V709" i="22" s="1"/>
  <c r="M710" i="22"/>
  <c r="V710" i="22" s="1"/>
  <c r="AD710" i="22" s="1"/>
  <c r="AM710" i="22" s="1"/>
  <c r="M711" i="22"/>
  <c r="V711" i="22" s="1"/>
  <c r="AD711" i="22" s="1"/>
  <c r="M712" i="22"/>
  <c r="V712" i="22" s="1"/>
  <c r="AD712" i="22" s="1"/>
  <c r="M713" i="22"/>
  <c r="M714" i="22"/>
  <c r="M715" i="22"/>
  <c r="V715" i="22"/>
  <c r="AD715" i="22" s="1"/>
  <c r="AM715" i="22" s="1"/>
  <c r="M716" i="22"/>
  <c r="V716" i="22" s="1"/>
  <c r="AD716" i="22" s="1"/>
  <c r="M717" i="22"/>
  <c r="V717" i="22"/>
  <c r="M718" i="22"/>
  <c r="V718" i="22" s="1"/>
  <c r="AD718" i="22" s="1"/>
  <c r="M719" i="22"/>
  <c r="V719" i="22" s="1"/>
  <c r="AD719" i="22" s="1"/>
  <c r="AM719" i="22" s="1"/>
  <c r="M720" i="22"/>
  <c r="V720" i="22" s="1"/>
  <c r="AD720" i="22" s="1"/>
  <c r="M721" i="22"/>
  <c r="V721" i="22" s="1"/>
  <c r="AD721" i="22" s="1"/>
  <c r="M722" i="22"/>
  <c r="M723" i="22"/>
  <c r="M724" i="22"/>
  <c r="V724" i="22"/>
  <c r="AD724" i="22" s="1"/>
  <c r="M725" i="22"/>
  <c r="V725" i="22" s="1"/>
  <c r="M726" i="22"/>
  <c r="V726" i="22"/>
  <c r="M727" i="22"/>
  <c r="V727" i="22" s="1"/>
  <c r="AD727" i="22" s="1"/>
  <c r="M728" i="22"/>
  <c r="V728" i="22" s="1"/>
  <c r="M729" i="22"/>
  <c r="V729" i="22" s="1"/>
  <c r="AD729" i="22" s="1"/>
  <c r="M730" i="22"/>
  <c r="V730" i="22"/>
  <c r="M731" i="22"/>
  <c r="V731" i="22" s="1"/>
  <c r="AD731" i="22" s="1"/>
  <c r="M732" i="22"/>
  <c r="V732" i="22"/>
  <c r="M733" i="22"/>
  <c r="M734" i="22"/>
  <c r="M735" i="22"/>
  <c r="V735" i="22" s="1"/>
  <c r="M736" i="22"/>
  <c r="M737" i="22"/>
  <c r="V737" i="22" s="1"/>
  <c r="AD737" i="22" s="1"/>
  <c r="M738" i="22"/>
  <c r="M739" i="22"/>
  <c r="M740" i="22"/>
  <c r="V740" i="22" s="1"/>
  <c r="AD740" i="22" s="1"/>
  <c r="AM740" i="22" s="1"/>
  <c r="M741" i="22"/>
  <c r="V741" i="22"/>
  <c r="AD741" i="22" s="1"/>
  <c r="M742" i="22"/>
  <c r="V742" i="22" s="1"/>
  <c r="AD742" i="22" s="1"/>
  <c r="M743" i="22"/>
  <c r="V743" i="22" s="1"/>
  <c r="M744" i="22"/>
  <c r="V744" i="22" s="1"/>
  <c r="M745" i="22"/>
  <c r="V745" i="22" s="1"/>
  <c r="AD745" i="22" s="1"/>
  <c r="M746" i="22"/>
  <c r="V746" i="22" s="1"/>
  <c r="M747" i="22"/>
  <c r="V747" i="22" s="1"/>
  <c r="M748" i="22"/>
  <c r="V748" i="22" s="1"/>
  <c r="AD748" i="22" s="1"/>
  <c r="M749" i="22"/>
  <c r="V749" i="22"/>
  <c r="AD749" i="22" s="1"/>
  <c r="AM749" i="22" s="1"/>
  <c r="M750" i="22"/>
  <c r="M751" i="22"/>
  <c r="V751" i="22"/>
  <c r="AD751" i="22" s="1"/>
  <c r="M752" i="22"/>
  <c r="V752" i="22" s="1"/>
  <c r="AD752" i="22" s="1"/>
  <c r="M753" i="22"/>
  <c r="V753" i="22" s="1"/>
  <c r="AD753" i="22" s="1"/>
  <c r="M754" i="22"/>
  <c r="V754" i="22" s="1"/>
  <c r="M755" i="22"/>
  <c r="V755" i="22" s="1"/>
  <c r="M756" i="22"/>
  <c r="V756" i="22" s="1"/>
  <c r="AD756" i="22" s="1"/>
  <c r="M757" i="22"/>
  <c r="V757" i="22"/>
  <c r="AD757" i="22" s="1"/>
  <c r="M758" i="22"/>
  <c r="V758" i="22"/>
  <c r="AD758" i="22" s="1"/>
  <c r="AM758" i="22" s="1"/>
  <c r="M759" i="22"/>
  <c r="V759" i="22" s="1"/>
  <c r="AD759" i="22" s="1"/>
  <c r="AM759" i="22" s="1"/>
  <c r="M760" i="22"/>
  <c r="V760" i="22" s="1"/>
  <c r="AD760" i="22" s="1"/>
  <c r="M761" i="22"/>
  <c r="V761" i="22"/>
  <c r="AD761" i="22" s="1"/>
  <c r="M762" i="22"/>
  <c r="V762" i="22" s="1"/>
  <c r="M763" i="22"/>
  <c r="V763" i="22" s="1"/>
  <c r="M764" i="22"/>
  <c r="M765" i="22"/>
  <c r="V765" i="22" s="1"/>
  <c r="AD765" i="22" s="1"/>
  <c r="AM765" i="22" s="1"/>
  <c r="M766" i="22"/>
  <c r="V766" i="22" s="1"/>
  <c r="M767" i="22"/>
  <c r="V767" i="22" s="1"/>
  <c r="AD767" i="22" s="1"/>
  <c r="M768" i="22"/>
  <c r="V768" i="22" s="1"/>
  <c r="AD768" i="22" s="1"/>
  <c r="M769" i="22"/>
  <c r="V769" i="22" s="1"/>
  <c r="AD769" i="22" s="1"/>
  <c r="M770" i="22"/>
  <c r="M771" i="22"/>
  <c r="V771" i="22" s="1"/>
  <c r="AD771" i="22" s="1"/>
  <c r="M772" i="22"/>
  <c r="V772" i="22" s="1"/>
  <c r="AD772" i="22" s="1"/>
  <c r="M773" i="22"/>
  <c r="V773" i="22" s="1"/>
  <c r="AD773" i="22" s="1"/>
  <c r="M774" i="22"/>
  <c r="V774" i="22"/>
  <c r="M775" i="22"/>
  <c r="V775" i="22" s="1"/>
  <c r="AD775" i="22" s="1"/>
  <c r="AM775" i="22" s="1"/>
  <c r="M776" i="22"/>
  <c r="M777" i="22"/>
  <c r="V777" i="22" s="1"/>
  <c r="M778" i="22"/>
  <c r="V778" i="22" s="1"/>
  <c r="M779" i="22"/>
  <c r="V779" i="22" s="1"/>
  <c r="AD779" i="22" s="1"/>
  <c r="M780" i="22"/>
  <c r="M781" i="22"/>
  <c r="V781" i="22" s="1"/>
  <c r="AD781" i="22" s="1"/>
  <c r="AM781" i="22" s="1"/>
  <c r="M782" i="22"/>
  <c r="V782" i="22" s="1"/>
  <c r="AD782" i="22" s="1"/>
  <c r="M783" i="22"/>
  <c r="V783" i="22"/>
  <c r="AD783" i="22" s="1"/>
  <c r="M784" i="22"/>
  <c r="V784" i="22" s="1"/>
  <c r="M785" i="22"/>
  <c r="V785" i="22"/>
  <c r="AD785" i="22" s="1"/>
  <c r="M786" i="22"/>
  <c r="V786" i="22" s="1"/>
  <c r="M787" i="22"/>
  <c r="M788" i="22"/>
  <c r="V788" i="22" s="1"/>
  <c r="M789" i="22"/>
  <c r="M790" i="22"/>
  <c r="V790" i="22" s="1"/>
  <c r="AD790" i="22" s="1"/>
  <c r="M791" i="22"/>
  <c r="V791" i="22" s="1"/>
  <c r="AD791" i="22" s="1"/>
  <c r="M792" i="22"/>
  <c r="V792" i="22"/>
  <c r="M793" i="22"/>
  <c r="V793" i="22" s="1"/>
  <c r="M794" i="22"/>
  <c r="M795" i="22"/>
  <c r="V795" i="22" s="1"/>
  <c r="AD795" i="22" s="1"/>
  <c r="M796" i="22"/>
  <c r="M797" i="22"/>
  <c r="M798" i="22"/>
  <c r="V798" i="22" s="1"/>
  <c r="AD798" i="22" s="1"/>
  <c r="M799" i="22"/>
  <c r="V799" i="22" s="1"/>
  <c r="AD799" i="22" s="1"/>
  <c r="M800" i="22"/>
  <c r="V800" i="22" s="1"/>
  <c r="AD800" i="22" s="1"/>
  <c r="AM800" i="22" s="1"/>
  <c r="M801" i="22"/>
  <c r="V801" i="22" s="1"/>
  <c r="AD801" i="22" s="1"/>
  <c r="M802" i="22"/>
  <c r="M803" i="22"/>
  <c r="M804" i="22"/>
  <c r="M805" i="22"/>
  <c r="V805" i="22" s="1"/>
  <c r="AD805" i="22" s="1"/>
  <c r="M806" i="22"/>
  <c r="M807" i="22"/>
  <c r="V807" i="22" s="1"/>
  <c r="AD807" i="22" s="1"/>
  <c r="AM807" i="22" s="1"/>
  <c r="M808" i="22"/>
  <c r="M809" i="22"/>
  <c r="V809" i="22" s="1"/>
  <c r="AD809" i="22" s="1"/>
  <c r="AM809" i="22" s="1"/>
  <c r="M810" i="22"/>
  <c r="V810" i="22" s="1"/>
  <c r="M811" i="22"/>
  <c r="M812" i="22"/>
  <c r="V812" i="22" s="1"/>
  <c r="AD812" i="22" s="1"/>
  <c r="M813" i="22"/>
  <c r="V813" i="22" s="1"/>
  <c r="AD813" i="22" s="1"/>
  <c r="AM813" i="22" s="1"/>
  <c r="M814" i="22"/>
  <c r="V814" i="22" s="1"/>
  <c r="AD814" i="22" s="1"/>
  <c r="M815" i="22"/>
  <c r="V815" i="22" s="1"/>
  <c r="M816" i="22"/>
  <c r="V816" i="22" s="1"/>
  <c r="AD816" i="22" s="1"/>
  <c r="M817" i="22"/>
  <c r="V817" i="22"/>
  <c r="M818" i="22"/>
  <c r="V818" i="22"/>
  <c r="AD818" i="22" s="1"/>
  <c r="M819" i="22"/>
  <c r="M820" i="22"/>
  <c r="V820" i="22"/>
  <c r="AD820" i="22" s="1"/>
  <c r="M821" i="22"/>
  <c r="V821" i="22" s="1"/>
  <c r="AD821" i="22" s="1"/>
  <c r="M822" i="22"/>
  <c r="V822" i="22" s="1"/>
  <c r="M823" i="22"/>
  <c r="V823" i="22" s="1"/>
  <c r="AD823" i="22" s="1"/>
  <c r="M824" i="22"/>
  <c r="M825" i="22"/>
  <c r="V825" i="22" s="1"/>
  <c r="AD825" i="22" s="1"/>
  <c r="AM825" i="22" s="1"/>
  <c r="M826" i="22"/>
  <c r="V826" i="22" s="1"/>
  <c r="M827" i="22"/>
  <c r="V827" i="22" s="1"/>
  <c r="AD827" i="22" s="1"/>
  <c r="M828" i="22"/>
  <c r="V828" i="22" s="1"/>
  <c r="AD828" i="22" s="1"/>
  <c r="M829" i="22"/>
  <c r="V829" i="22" s="1"/>
  <c r="M830" i="22"/>
  <c r="M831" i="22"/>
  <c r="V831" i="22" s="1"/>
  <c r="AD831" i="22" s="1"/>
  <c r="M832" i="22"/>
  <c r="V832" i="22" s="1"/>
  <c r="M833" i="22"/>
  <c r="V833" i="22" s="1"/>
  <c r="AD833" i="22" s="1"/>
  <c r="M834" i="22"/>
  <c r="V834" i="22"/>
  <c r="M835" i="22"/>
  <c r="V835" i="22" s="1"/>
  <c r="AD835" i="22" s="1"/>
  <c r="M836" i="22"/>
  <c r="V836" i="22" s="1"/>
  <c r="AD836" i="22" s="1"/>
  <c r="AM836" i="22" s="1"/>
  <c r="M837" i="22"/>
  <c r="M838" i="22"/>
  <c r="V838" i="22"/>
  <c r="AD838" i="22" s="1"/>
  <c r="AM838" i="22" s="1"/>
  <c r="M839" i="22"/>
  <c r="V839" i="22" s="1"/>
  <c r="AD839" i="22" s="1"/>
  <c r="M840" i="22"/>
  <c r="M841" i="22"/>
  <c r="V841" i="22" s="1"/>
  <c r="AD841" i="22" s="1"/>
  <c r="M842" i="22"/>
  <c r="M843" i="22"/>
  <c r="V843" i="22" s="1"/>
  <c r="AD843" i="22" s="1"/>
  <c r="M844" i="22"/>
  <c r="V844" i="22" s="1"/>
  <c r="AD844" i="22" s="1"/>
  <c r="M845" i="22"/>
  <c r="V845" i="22" s="1"/>
  <c r="AD845" i="22" s="1"/>
  <c r="M846" i="22"/>
  <c r="V846" i="22" s="1"/>
  <c r="AD846" i="22" s="1"/>
  <c r="AM846" i="22" s="1"/>
  <c r="M847" i="22"/>
  <c r="V847" i="22" s="1"/>
  <c r="M848" i="22"/>
  <c r="M849" i="22"/>
  <c r="V849" i="22" s="1"/>
  <c r="AD849" i="22" s="1"/>
  <c r="M850" i="22"/>
  <c r="V850" i="22" s="1"/>
  <c r="M851" i="22"/>
  <c r="M852" i="22"/>
  <c r="M853" i="22"/>
  <c r="V853" i="22" s="1"/>
  <c r="AD853" i="22" s="1"/>
  <c r="AM853" i="22" s="1"/>
  <c r="M854" i="22"/>
  <c r="M855" i="22"/>
  <c r="V855" i="22" s="1"/>
  <c r="AD855" i="22" s="1"/>
  <c r="M856" i="22"/>
  <c r="V856" i="22"/>
  <c r="M857" i="22"/>
  <c r="V857" i="22" s="1"/>
  <c r="AD857" i="22" s="1"/>
  <c r="M858" i="22"/>
  <c r="V858" i="22" s="1"/>
  <c r="M859" i="22"/>
  <c r="M860" i="22"/>
  <c r="V860" i="22" s="1"/>
  <c r="M861" i="22"/>
  <c r="M862" i="22"/>
  <c r="M863" i="22"/>
  <c r="V863" i="22" s="1"/>
  <c r="AD863" i="22" s="1"/>
  <c r="M864" i="22"/>
  <c r="V864" i="22" s="1"/>
  <c r="M865" i="22"/>
  <c r="V865" i="22" s="1"/>
  <c r="AD865" i="22" s="1"/>
  <c r="M866" i="22"/>
  <c r="V866" i="22" s="1"/>
  <c r="M867" i="22"/>
  <c r="V867" i="22"/>
  <c r="M868" i="22"/>
  <c r="V868" i="22"/>
  <c r="AD868" i="22" s="1"/>
  <c r="M869" i="22"/>
  <c r="V869" i="22" s="1"/>
  <c r="AD869" i="22" s="1"/>
  <c r="M870" i="22"/>
  <c r="M871" i="22"/>
  <c r="V871" i="22" s="1"/>
  <c r="AD871" i="22" s="1"/>
  <c r="AM871" i="22" s="1"/>
  <c r="M872" i="22"/>
  <c r="V872" i="22" s="1"/>
  <c r="AD872" i="22" s="1"/>
  <c r="AM872" i="22" s="1"/>
  <c r="M873" i="22"/>
  <c r="V873" i="22" s="1"/>
  <c r="AD873" i="22" s="1"/>
  <c r="M874" i="22"/>
  <c r="M875" i="22"/>
  <c r="M876" i="22"/>
  <c r="V876" i="22" s="1"/>
  <c r="AD876" i="22" s="1"/>
  <c r="AM876" i="22" s="1"/>
  <c r="M877" i="22"/>
  <c r="V877" i="22" s="1"/>
  <c r="AD877" i="22" s="1"/>
  <c r="M878" i="22"/>
  <c r="M879" i="22"/>
  <c r="V879" i="22" s="1"/>
  <c r="M880" i="22"/>
  <c r="V880" i="22" s="1"/>
  <c r="AD880" i="22" s="1"/>
  <c r="M881" i="22"/>
  <c r="V881" i="22" s="1"/>
  <c r="AD881" i="22" s="1"/>
  <c r="AM881" i="22" s="1"/>
  <c r="M882" i="22"/>
  <c r="V882" i="22" s="1"/>
  <c r="M883" i="22"/>
  <c r="M884" i="22"/>
  <c r="V884" i="22" s="1"/>
  <c r="AD884" i="22" s="1"/>
  <c r="M885" i="22"/>
  <c r="V885" i="22" s="1"/>
  <c r="M886" i="22"/>
  <c r="V886" i="22"/>
  <c r="AD886" i="22" s="1"/>
  <c r="M887" i="22"/>
  <c r="V887" i="22" s="1"/>
  <c r="AD887" i="22" s="1"/>
  <c r="M888" i="22"/>
  <c r="V888" i="22" s="1"/>
  <c r="AD888" i="22" s="1"/>
  <c r="M889" i="22"/>
  <c r="V889" i="22"/>
  <c r="AD889" i="22" s="1"/>
  <c r="M890" i="22"/>
  <c r="V890" i="22"/>
  <c r="AD890" i="22" s="1"/>
  <c r="M891" i="22"/>
  <c r="M892" i="22"/>
  <c r="V892" i="22" s="1"/>
  <c r="AD892" i="22" s="1"/>
  <c r="M893" i="22"/>
  <c r="V893" i="22" s="1"/>
  <c r="M894" i="22"/>
  <c r="M895" i="22"/>
  <c r="M896" i="22"/>
  <c r="M897" i="22"/>
  <c r="V897" i="22" s="1"/>
  <c r="AD897" i="22" s="1"/>
  <c r="M898" i="22"/>
  <c r="M899" i="22"/>
  <c r="V899" i="22" s="1"/>
  <c r="M900" i="22"/>
  <c r="V900" i="22" s="1"/>
  <c r="AD900" i="22" s="1"/>
  <c r="M901" i="22"/>
  <c r="V901" i="22" s="1"/>
  <c r="AD901" i="22" s="1"/>
  <c r="M902" i="22"/>
  <c r="V902" i="22" s="1"/>
  <c r="AD902" i="22" s="1"/>
  <c r="M903" i="22"/>
  <c r="V903" i="22" s="1"/>
  <c r="M904" i="22"/>
  <c r="M905" i="22"/>
  <c r="V905" i="22" s="1"/>
  <c r="M906" i="22"/>
  <c r="V906" i="22"/>
  <c r="M907" i="22"/>
  <c r="V907" i="22" s="1"/>
  <c r="AD907" i="22" s="1"/>
  <c r="M908" i="22"/>
  <c r="V908" i="22" s="1"/>
  <c r="M909" i="22"/>
  <c r="M910" i="22"/>
  <c r="V910" i="22" s="1"/>
  <c r="AD910" i="22" s="1"/>
  <c r="M911" i="22"/>
  <c r="V911" i="22" s="1"/>
  <c r="AD911" i="22" s="1"/>
  <c r="AM911" i="22" s="1"/>
  <c r="M912" i="22"/>
  <c r="M913" i="22"/>
  <c r="V913" i="22" s="1"/>
  <c r="AD913" i="22" s="1"/>
  <c r="M914" i="22"/>
  <c r="V914" i="22"/>
  <c r="M915" i="22"/>
  <c r="M916" i="22"/>
  <c r="M917" i="22"/>
  <c r="V917" i="22" s="1"/>
  <c r="AD917" i="22" s="1"/>
  <c r="AM917" i="22" s="1"/>
  <c r="M918" i="22"/>
  <c r="V918" i="22" s="1"/>
  <c r="AD918" i="22" s="1"/>
  <c r="M919" i="22"/>
  <c r="V919" i="22"/>
  <c r="AD919" i="22" s="1"/>
  <c r="M920" i="22"/>
  <c r="M921" i="22"/>
  <c r="V921" i="22"/>
  <c r="M922" i="22"/>
  <c r="M923" i="22"/>
  <c r="M924" i="22"/>
  <c r="V924" i="22"/>
  <c r="M925" i="22"/>
  <c r="M926" i="22"/>
  <c r="V926" i="22"/>
  <c r="AD926" i="22" s="1"/>
  <c r="M927" i="22"/>
  <c r="V927" i="22"/>
  <c r="M928" i="22"/>
  <c r="V928" i="22" s="1"/>
  <c r="M929" i="22"/>
  <c r="V929" i="22" s="1"/>
  <c r="AD929" i="22" s="1"/>
  <c r="M930" i="22"/>
  <c r="M931" i="22"/>
  <c r="V931" i="22"/>
  <c r="M932" i="22"/>
  <c r="V932" i="22"/>
  <c r="AD932" i="22" s="1"/>
  <c r="M933" i="22"/>
  <c r="M934" i="22"/>
  <c r="V934" i="22" s="1"/>
  <c r="AD934" i="22" s="1"/>
  <c r="M935" i="22"/>
  <c r="V935" i="22" s="1"/>
  <c r="AD935" i="22" s="1"/>
  <c r="M936" i="22"/>
  <c r="V936" i="22" s="1"/>
  <c r="AD936" i="22" s="1"/>
  <c r="M937" i="22"/>
  <c r="V937" i="22"/>
  <c r="M938" i="22"/>
  <c r="M939" i="22"/>
  <c r="M940" i="22"/>
  <c r="V940" i="22"/>
  <c r="AD940" i="22" s="1"/>
  <c r="M941" i="22"/>
  <c r="M942" i="22"/>
  <c r="V942" i="22" s="1"/>
  <c r="AD942" i="22" s="1"/>
  <c r="M943" i="22"/>
  <c r="M944" i="22"/>
  <c r="V944" i="22" s="1"/>
  <c r="AD944" i="22" s="1"/>
  <c r="M945" i="22"/>
  <c r="V945" i="22" s="1"/>
  <c r="AD945" i="22" s="1"/>
  <c r="AM945" i="22" s="1"/>
  <c r="M946" i="22"/>
  <c r="V946" i="22" s="1"/>
  <c r="M947" i="22"/>
  <c r="M948" i="22"/>
  <c r="M949" i="22"/>
  <c r="M950" i="22"/>
  <c r="V950" i="22" s="1"/>
  <c r="AD950" i="22" s="1"/>
  <c r="M951" i="22"/>
  <c r="V951" i="22" s="1"/>
  <c r="M952" i="22"/>
  <c r="M953" i="22"/>
  <c r="V953" i="22" s="1"/>
  <c r="AD953" i="22" s="1"/>
  <c r="AM953" i="22" s="1"/>
  <c r="M954" i="22"/>
  <c r="M955" i="22"/>
  <c r="V955" i="22" s="1"/>
  <c r="AD955" i="22" s="1"/>
  <c r="M956" i="22"/>
  <c r="V956" i="22"/>
  <c r="AD956" i="22" s="1"/>
  <c r="M957" i="22"/>
  <c r="V957" i="22" s="1"/>
  <c r="M958" i="22"/>
  <c r="M959" i="22"/>
  <c r="V959" i="22"/>
  <c r="AD959" i="22" s="1"/>
  <c r="M960" i="22"/>
  <c r="M961" i="22"/>
  <c r="V961" i="22"/>
  <c r="AD961" i="22" s="1"/>
  <c r="M962" i="22"/>
  <c r="M963" i="22"/>
  <c r="M964" i="22"/>
  <c r="V964" i="22"/>
  <c r="AD964" i="22" s="1"/>
  <c r="AM964" i="22" s="1"/>
  <c r="M965" i="22"/>
  <c r="M966" i="22"/>
  <c r="M967" i="22"/>
  <c r="V967" i="22" s="1"/>
  <c r="AD967" i="22" s="1"/>
  <c r="M968" i="22"/>
  <c r="V968" i="22" s="1"/>
  <c r="AD968" i="22" s="1"/>
  <c r="M969" i="22"/>
  <c r="V969" i="22"/>
  <c r="M970" i="22"/>
  <c r="V970" i="22" s="1"/>
  <c r="M971" i="22"/>
  <c r="V971" i="22" s="1"/>
  <c r="AD971" i="22" s="1"/>
  <c r="AM971" i="22" s="1"/>
  <c r="M972" i="22"/>
  <c r="V972" i="22"/>
  <c r="AD972" i="22" s="1"/>
  <c r="M973" i="22"/>
  <c r="V973" i="22" s="1"/>
  <c r="M974" i="22"/>
  <c r="M975" i="22"/>
  <c r="V975" i="22" s="1"/>
  <c r="AD975" i="22" s="1"/>
  <c r="M976" i="22"/>
  <c r="V976" i="22" s="1"/>
  <c r="AD976" i="22" s="1"/>
  <c r="M977" i="22"/>
  <c r="V977" i="22"/>
  <c r="AD977" i="22" s="1"/>
  <c r="M978" i="22"/>
  <c r="M979" i="22"/>
  <c r="M980" i="22"/>
  <c r="V980" i="22" s="1"/>
  <c r="AD980" i="22" s="1"/>
  <c r="M981" i="22"/>
  <c r="M982" i="22"/>
  <c r="M983" i="22"/>
  <c r="V983" i="22" s="1"/>
  <c r="AD983" i="22" s="1"/>
  <c r="M984" i="22"/>
  <c r="V984" i="22" s="1"/>
  <c r="M985" i="22"/>
  <c r="V985" i="22"/>
  <c r="M986" i="22"/>
  <c r="V986" i="22" s="1"/>
  <c r="M987" i="22"/>
  <c r="V987" i="22" s="1"/>
  <c r="M988" i="22"/>
  <c r="V988" i="22" s="1"/>
  <c r="M989" i="22"/>
  <c r="V989" i="22" s="1"/>
  <c r="AD989" i="22" s="1"/>
  <c r="M990" i="22"/>
  <c r="V990" i="22" s="1"/>
  <c r="AD990" i="22" s="1"/>
  <c r="M991" i="22"/>
  <c r="V991" i="22" s="1"/>
  <c r="AD991" i="22" s="1"/>
  <c r="M992" i="22"/>
  <c r="V992" i="22" s="1"/>
  <c r="AD992" i="22" s="1"/>
  <c r="AM992" i="22" s="1"/>
  <c r="M993" i="22"/>
  <c r="V993" i="22"/>
  <c r="AD993" i="22" s="1"/>
  <c r="M994" i="22"/>
  <c r="V994" i="22" s="1"/>
  <c r="M995" i="22"/>
  <c r="M996" i="22"/>
  <c r="V996" i="22"/>
  <c r="AD996" i="22" s="1"/>
  <c r="M997" i="22"/>
  <c r="V997" i="22" s="1"/>
  <c r="AD997" i="22" s="1"/>
  <c r="M998" i="22"/>
  <c r="V998" i="22" s="1"/>
  <c r="AD998" i="22" s="1"/>
  <c r="M999" i="22"/>
  <c r="V999" i="22" s="1"/>
  <c r="AD999" i="22" s="1"/>
  <c r="M1000" i="22"/>
  <c r="M1001" i="22"/>
  <c r="M1002" i="22"/>
  <c r="V1002" i="22" s="1"/>
  <c r="AD1002" i="22" s="1"/>
  <c r="M1003" i="22"/>
  <c r="V1003" i="22" s="1"/>
  <c r="AD1003" i="22" s="1"/>
  <c r="M1004" i="22"/>
  <c r="M1005" i="22"/>
  <c r="M1006" i="22"/>
  <c r="V1006" i="22" s="1"/>
  <c r="M1007" i="22"/>
  <c r="V1007" i="22" s="1"/>
  <c r="AD1007" i="22" s="1"/>
  <c r="AM1007" i="22" s="1"/>
  <c r="M1008" i="22"/>
  <c r="V1008" i="22" s="1"/>
  <c r="AD1008" i="22" s="1"/>
  <c r="M1009" i="22"/>
  <c r="M1010" i="22"/>
  <c r="V1010" i="22" s="1"/>
  <c r="AD1010" i="22" s="1"/>
  <c r="M1011" i="22"/>
  <c r="V1011" i="22" s="1"/>
  <c r="M1012" i="22"/>
  <c r="V1012" i="22" s="1"/>
  <c r="AD1012" i="22" s="1"/>
  <c r="M1013" i="22"/>
  <c r="V1013" i="22"/>
  <c r="AD1013" i="22" s="1"/>
  <c r="M1014" i="22"/>
  <c r="M1015" i="22"/>
  <c r="V1015" i="22" s="1"/>
  <c r="M1016" i="22"/>
  <c r="M1017" i="22"/>
  <c r="V1017" i="22" s="1"/>
  <c r="AD1017" i="22" s="1"/>
  <c r="M1018" i="22"/>
  <c r="V1018" i="22" s="1"/>
  <c r="AD1018" i="22" s="1"/>
  <c r="M1019" i="22"/>
  <c r="V1019" i="22" s="1"/>
  <c r="M1020" i="22"/>
  <c r="M1021" i="22"/>
  <c r="V1021" i="22" s="1"/>
  <c r="AD1021" i="22" s="1"/>
  <c r="M1022" i="22"/>
  <c r="M1023" i="22"/>
  <c r="V1023" i="22" s="1"/>
  <c r="AD1023" i="22" s="1"/>
  <c r="M1024" i="22"/>
  <c r="V1024" i="22" s="1"/>
  <c r="AD1024" i="22" s="1"/>
  <c r="M1025" i="22"/>
  <c r="V1025" i="22" s="1"/>
  <c r="AD1025" i="22" s="1"/>
  <c r="M1026" i="22"/>
  <c r="V1026" i="22" s="1"/>
  <c r="AD1026" i="22" s="1"/>
  <c r="M1027" i="22"/>
  <c r="V1027" i="22" s="1"/>
  <c r="M1028" i="22"/>
  <c r="V1028" i="22"/>
  <c r="AD1028" i="22" s="1"/>
  <c r="AM1028" i="22" s="1"/>
  <c r="M1029" i="22"/>
  <c r="V1029" i="22" s="1"/>
  <c r="M1030" i="22"/>
  <c r="M1031" i="22"/>
  <c r="V1031" i="22" s="1"/>
  <c r="AD1031" i="22" s="1"/>
  <c r="AM1031" i="22" s="1"/>
  <c r="M1032" i="22"/>
  <c r="M1033" i="22"/>
  <c r="V1033" i="22"/>
  <c r="AD1033" i="22" s="1"/>
  <c r="M1034" i="22"/>
  <c r="V1034" i="22" s="1"/>
  <c r="AD1034" i="22" s="1"/>
  <c r="M1035" i="22"/>
  <c r="V1035" i="22" s="1"/>
  <c r="M1036" i="22"/>
  <c r="M1037" i="22"/>
  <c r="M1038" i="22"/>
  <c r="V1038" i="22" s="1"/>
  <c r="AD1038" i="22" s="1"/>
  <c r="M1039" i="22"/>
  <c r="V1039" i="22" s="1"/>
  <c r="AD1039" i="22" s="1"/>
  <c r="AM1039" i="22" s="1"/>
  <c r="M1040" i="22"/>
  <c r="V1040" i="22" s="1"/>
  <c r="AD1040" i="22" s="1"/>
  <c r="M1041" i="22"/>
  <c r="V1041" i="22" s="1"/>
  <c r="AD1041" i="22" s="1"/>
  <c r="AM1041" i="22" s="1"/>
  <c r="M1042" i="22"/>
  <c r="V1042" i="22" s="1"/>
  <c r="AD1042" i="22" s="1"/>
  <c r="M1043" i="22"/>
  <c r="V1043" i="22"/>
  <c r="AD1043" i="22" s="1"/>
  <c r="AM1043" i="22" s="1"/>
  <c r="M1044" i="22"/>
  <c r="V1044" i="22" s="1"/>
  <c r="M1045" i="22"/>
  <c r="M1046" i="22"/>
  <c r="V1046" i="22" s="1"/>
  <c r="AD1046" i="22" s="1"/>
  <c r="M1047" i="22"/>
  <c r="V1047" i="22" s="1"/>
  <c r="AD1047" i="22" s="1"/>
  <c r="M1048" i="22"/>
  <c r="M1049" i="22"/>
  <c r="V1049" i="22" s="1"/>
  <c r="AD1049" i="22" s="1"/>
  <c r="M1050" i="22"/>
  <c r="M1051" i="22"/>
  <c r="V1051" i="22" s="1"/>
  <c r="AD1051" i="22" s="1"/>
  <c r="AM1051" i="22" s="1"/>
  <c r="M1052" i="22"/>
  <c r="M1053" i="22"/>
  <c r="V1053" i="22"/>
  <c r="AD1053" i="22" s="1"/>
  <c r="M1054" i="22"/>
  <c r="V1054" i="22" s="1"/>
  <c r="M1055" i="22"/>
  <c r="V1055" i="22" s="1"/>
  <c r="M1056" i="22"/>
  <c r="M1057" i="22"/>
  <c r="V1057" i="22"/>
  <c r="M1058" i="22"/>
  <c r="M1059" i="22"/>
  <c r="V1059" i="22" s="1"/>
  <c r="AD1059" i="22" s="1"/>
  <c r="M1060" i="22"/>
  <c r="V1060" i="22"/>
  <c r="AD1060" i="22" s="1"/>
  <c r="M1061" i="22"/>
  <c r="V1061" i="22" s="1"/>
  <c r="AD1061" i="22" s="1"/>
  <c r="AM1061" i="22" s="1"/>
  <c r="M1062" i="22"/>
  <c r="V1062" i="22"/>
  <c r="AD1062" i="22" s="1"/>
  <c r="M1063" i="22"/>
  <c r="V1063" i="22" s="1"/>
  <c r="AD1063" i="22" s="1"/>
  <c r="M1064" i="22"/>
  <c r="V1064" i="22" s="1"/>
  <c r="AD1064" i="22" s="1"/>
  <c r="M1065" i="22"/>
  <c r="M1066" i="22"/>
  <c r="V1066" i="22" s="1"/>
  <c r="M1067" i="22"/>
  <c r="V1067" i="22" s="1"/>
  <c r="AD1067" i="22" s="1"/>
  <c r="M1068" i="22"/>
  <c r="V1068" i="22" s="1"/>
  <c r="AD1068" i="22" s="1"/>
  <c r="M1069" i="22"/>
  <c r="M1070" i="22"/>
  <c r="V1070" i="22" s="1"/>
  <c r="AD1070" i="22" s="1"/>
  <c r="M1071" i="22"/>
  <c r="V1071" i="22" s="1"/>
  <c r="AD1071" i="22" s="1"/>
  <c r="AM1071" i="22" s="1"/>
  <c r="M1072" i="22"/>
  <c r="M1073" i="22"/>
  <c r="V1073" i="22" s="1"/>
  <c r="AD1073" i="22" s="1"/>
  <c r="M1074" i="22"/>
  <c r="V1074" i="22"/>
  <c r="M1075" i="22"/>
  <c r="M1076" i="22"/>
  <c r="V1076" i="22" s="1"/>
  <c r="M1077" i="22"/>
  <c r="M1078" i="22"/>
  <c r="V1078" i="22" s="1"/>
  <c r="AD1078" i="22" s="1"/>
  <c r="M1079" i="22"/>
  <c r="V1079" i="22" s="1"/>
  <c r="AD1079" i="22" s="1"/>
  <c r="M1080" i="22"/>
  <c r="V1080" i="22" s="1"/>
  <c r="AD1080" i="22" s="1"/>
  <c r="M1081" i="22"/>
  <c r="V1081" i="22" s="1"/>
  <c r="AD1081" i="22" s="1"/>
  <c r="M1082" i="22"/>
  <c r="V1082" i="22"/>
  <c r="AD1082" i="22" s="1"/>
  <c r="M1083" i="22"/>
  <c r="V1083" i="22" s="1"/>
  <c r="AD1083" i="22" s="1"/>
  <c r="M1084" i="22"/>
  <c r="V1084" i="22" s="1"/>
  <c r="AD1084" i="22" s="1"/>
  <c r="M1085" i="22"/>
  <c r="V1085" i="22" s="1"/>
  <c r="M1086" i="22"/>
  <c r="M1087" i="22"/>
  <c r="V1087" i="22" s="1"/>
  <c r="M1088" i="22"/>
  <c r="M1089" i="22"/>
  <c r="V1089" i="22" s="1"/>
  <c r="AD1089" i="22" s="1"/>
  <c r="M1090" i="22"/>
  <c r="M1091" i="22"/>
  <c r="V1091" i="22" s="1"/>
  <c r="AD1091" i="22" s="1"/>
  <c r="M1092" i="22"/>
  <c r="M1093" i="22"/>
  <c r="V1093" i="22" s="1"/>
  <c r="AD1093" i="22" s="1"/>
  <c r="M1094" i="22"/>
  <c r="M1095" i="22"/>
  <c r="V1095" i="22" s="1"/>
  <c r="AD1095" i="22" s="1"/>
  <c r="AM1095" i="22" s="1"/>
  <c r="M1096" i="22"/>
  <c r="V1096" i="22" s="1"/>
  <c r="AD1096" i="22" s="1"/>
  <c r="M1097" i="22"/>
  <c r="V1097" i="22" s="1"/>
  <c r="M1098" i="22"/>
  <c r="V1098" i="22" s="1"/>
  <c r="AD1098" i="22" s="1"/>
  <c r="M1099" i="22"/>
  <c r="M1100" i="22"/>
  <c r="M1101" i="22"/>
  <c r="M1102" i="22"/>
  <c r="M1103" i="22"/>
  <c r="V1103" i="22" s="1"/>
  <c r="AD1103" i="22" s="1"/>
  <c r="M1104" i="22"/>
  <c r="M1105" i="22"/>
  <c r="M1106" i="22"/>
  <c r="M1107" i="22"/>
  <c r="V1107" i="22" s="1"/>
  <c r="M1108" i="22"/>
  <c r="V1108" i="22"/>
  <c r="M1109" i="22"/>
  <c r="M1110" i="22"/>
  <c r="V1110" i="22" s="1"/>
  <c r="AD1110" i="22" s="1"/>
  <c r="M1111" i="22"/>
  <c r="V1111" i="22" s="1"/>
  <c r="AD1111" i="22" s="1"/>
  <c r="AM1111" i="22" s="1"/>
  <c r="M1112" i="22"/>
  <c r="M1113" i="22"/>
  <c r="M1114" i="22"/>
  <c r="M1115" i="22"/>
  <c r="V1115" i="22" s="1"/>
  <c r="AD1115" i="22" s="1"/>
  <c r="M1116" i="22"/>
  <c r="V1116" i="22" s="1"/>
  <c r="AD1116" i="22" s="1"/>
  <c r="AM1116" i="22" s="1"/>
  <c r="M1117" i="22"/>
  <c r="V1117" i="22" s="1"/>
  <c r="AD1117" i="22" s="1"/>
  <c r="M1118" i="22"/>
  <c r="V1118" i="22" s="1"/>
  <c r="AD1118" i="22" s="1"/>
  <c r="M1119" i="22"/>
  <c r="V1119" i="22" s="1"/>
  <c r="AD1119" i="22" s="1"/>
  <c r="M1120" i="22"/>
  <c r="M1121" i="22"/>
  <c r="V1121" i="22" s="1"/>
  <c r="AD1121" i="22" s="1"/>
  <c r="M1122" i="22"/>
  <c r="V1122" i="22" s="1"/>
  <c r="AD1122" i="22" s="1"/>
  <c r="M1123" i="22"/>
  <c r="M1124" i="22"/>
  <c r="V1124" i="22"/>
  <c r="AD1124" i="22" s="1"/>
  <c r="M1125" i="22"/>
  <c r="V1125" i="22" s="1"/>
  <c r="AD1125" i="22" s="1"/>
  <c r="M1126" i="22"/>
  <c r="V1126" i="22" s="1"/>
  <c r="AD1126" i="22" s="1"/>
  <c r="M1127" i="22"/>
  <c r="V1127" i="22" s="1"/>
  <c r="M1128" i="22"/>
  <c r="M1129" i="22"/>
  <c r="V1129" i="22" s="1"/>
  <c r="AD1129" i="22" s="1"/>
  <c r="M1130" i="22"/>
  <c r="V1130" i="22" s="1"/>
  <c r="M1131" i="22"/>
  <c r="V1131" i="22" s="1"/>
  <c r="M1132" i="22"/>
  <c r="V1132" i="22"/>
  <c r="AD1132" i="22" s="1"/>
  <c r="AM1132" i="22" s="1"/>
  <c r="M1133" i="22"/>
  <c r="V1133" i="22" s="1"/>
  <c r="AD1133" i="22" s="1"/>
  <c r="M1134" i="22"/>
  <c r="M1135" i="22"/>
  <c r="V1135" i="22" s="1"/>
  <c r="AD1135" i="22" s="1"/>
  <c r="AM1135" i="22" s="1"/>
  <c r="M1136" i="22"/>
  <c r="V1136" i="22"/>
  <c r="AD1136" i="22" s="1"/>
  <c r="M1137" i="22"/>
  <c r="M1138" i="22"/>
  <c r="V1138" i="22"/>
  <c r="M1139" i="22"/>
  <c r="M1140" i="22"/>
  <c r="V1140" i="22" s="1"/>
  <c r="M1141" i="22"/>
  <c r="M1142" i="22"/>
  <c r="V1142" i="22"/>
  <c r="AD1142" i="22" s="1"/>
  <c r="M1143" i="22"/>
  <c r="V1143" i="22" s="1"/>
  <c r="M1144" i="22"/>
  <c r="V1144" i="22"/>
  <c r="AD1144" i="22" s="1"/>
  <c r="AM1144" i="22" s="1"/>
  <c r="M1145" i="22"/>
  <c r="V1145" i="22"/>
  <c r="AD1145" i="22" s="1"/>
  <c r="M1146" i="22"/>
  <c r="V1146" i="22" s="1"/>
  <c r="AD1146" i="22" s="1"/>
  <c r="M1147" i="22"/>
  <c r="M1148" i="22"/>
  <c r="V1148" i="22" s="1"/>
  <c r="AD1148" i="22" s="1"/>
  <c r="M1149" i="22"/>
  <c r="M1150" i="22"/>
  <c r="M1151" i="22"/>
  <c r="M1152" i="22"/>
  <c r="V1152" i="22" s="1"/>
  <c r="M1153" i="22"/>
  <c r="V1153" i="22"/>
  <c r="AD1153" i="22" s="1"/>
  <c r="M1154" i="22"/>
  <c r="V1154" i="22"/>
  <c r="M1155" i="22"/>
  <c r="M1156" i="22"/>
  <c r="M1157" i="22"/>
  <c r="V1157" i="22" s="1"/>
  <c r="AD1157" i="22" s="1"/>
  <c r="M1158" i="22"/>
  <c r="M1159" i="22"/>
  <c r="V1159" i="22" s="1"/>
  <c r="M1160" i="22"/>
  <c r="M1161" i="22"/>
  <c r="V1161" i="22"/>
  <c r="AD1161" i="22" s="1"/>
  <c r="AM1161" i="22" s="1"/>
  <c r="M1162" i="22"/>
  <c r="V1162" i="22" s="1"/>
  <c r="AD1162" i="22" s="1"/>
  <c r="M1163" i="22"/>
  <c r="V1163" i="22" s="1"/>
  <c r="AD1163" i="22" s="1"/>
  <c r="AM1163" i="22" s="1"/>
  <c r="M1164" i="22"/>
  <c r="M1165" i="22"/>
  <c r="V1165" i="22" s="1"/>
  <c r="AD1165" i="22" s="1"/>
  <c r="M1166" i="22"/>
  <c r="M1167" i="22"/>
  <c r="V1167" i="22" s="1"/>
  <c r="AD1167" i="22" s="1"/>
  <c r="M1168" i="22"/>
  <c r="M1169" i="22"/>
  <c r="V1169" i="22"/>
  <c r="AD1169" i="22" s="1"/>
  <c r="AM1169" i="22" s="1"/>
  <c r="M1170" i="22"/>
  <c r="V1170" i="22" s="1"/>
  <c r="AD1170" i="22" s="1"/>
  <c r="AM1170" i="22" s="1"/>
  <c r="M1171" i="22"/>
  <c r="M1172" i="22"/>
  <c r="V1172" i="22" s="1"/>
  <c r="AD1172" i="22" s="1"/>
  <c r="M1173" i="22"/>
  <c r="V1173" i="22" s="1"/>
  <c r="M1174" i="22"/>
  <c r="V1174" i="22"/>
  <c r="M1175" i="22"/>
  <c r="V1175" i="22" s="1"/>
  <c r="M1176" i="22"/>
  <c r="V1176" i="22"/>
  <c r="AD1176" i="22" s="1"/>
  <c r="M1177" i="22"/>
  <c r="M1178" i="22"/>
  <c r="V1178" i="22" s="1"/>
  <c r="AD1178" i="22" s="1"/>
  <c r="M1179" i="22"/>
  <c r="M1180" i="22"/>
  <c r="M1181" i="22"/>
  <c r="V1181" i="22" s="1"/>
  <c r="AD1181" i="22" s="1"/>
  <c r="M1182" i="22"/>
  <c r="V1182" i="22" s="1"/>
  <c r="M1183" i="22"/>
  <c r="V1183" i="22" s="1"/>
  <c r="AD1183" i="22" s="1"/>
  <c r="M1184" i="22"/>
  <c r="M1185" i="22"/>
  <c r="V1185" i="22" s="1"/>
  <c r="AD1185" i="22" s="1"/>
  <c r="M1186" i="22"/>
  <c r="V1186" i="22" s="1"/>
  <c r="M1187" i="22"/>
  <c r="M1188" i="22"/>
  <c r="V1188" i="22" s="1"/>
  <c r="AD1188" i="22" s="1"/>
  <c r="M1189" i="22"/>
  <c r="V1189" i="22"/>
  <c r="AD1189" i="22" s="1"/>
  <c r="M1190" i="22"/>
  <c r="V1190" i="22"/>
  <c r="AD1190" i="22" s="1"/>
  <c r="M1191" i="22"/>
  <c r="V1191" i="22" s="1"/>
  <c r="AD1191" i="22" s="1"/>
  <c r="AM1191" i="22" s="1"/>
  <c r="M1192" i="22"/>
  <c r="V1192" i="22" s="1"/>
  <c r="M1193" i="22"/>
  <c r="M1194" i="22"/>
  <c r="V1194" i="22" s="1"/>
  <c r="AD1194" i="22" s="1"/>
  <c r="M1195" i="22"/>
  <c r="V1195" i="22" s="1"/>
  <c r="M1196" i="22"/>
  <c r="V1196" i="22" s="1"/>
  <c r="AD1196" i="22" s="1"/>
  <c r="M1197" i="22"/>
  <c r="V1197" i="22"/>
  <c r="AD1197" i="22" s="1"/>
  <c r="M1198" i="22"/>
  <c r="V1198" i="22" s="1"/>
  <c r="AD1198" i="22" s="1"/>
  <c r="M1199" i="22"/>
  <c r="V1199" i="22" s="1"/>
  <c r="AD1199" i="22" s="1"/>
  <c r="M1200" i="22"/>
  <c r="M1201" i="22"/>
  <c r="V1201" i="22"/>
  <c r="AD1201" i="22" s="1"/>
  <c r="M1202" i="22"/>
  <c r="M1203" i="22"/>
  <c r="V1203" i="22" s="1"/>
  <c r="AD1203" i="22" s="1"/>
  <c r="M1204" i="22"/>
  <c r="V1204" i="22" s="1"/>
  <c r="AD1204" i="22" s="1"/>
  <c r="M1205" i="22"/>
  <c r="M1206" i="22"/>
  <c r="M1207" i="22"/>
  <c r="V1207" i="22" s="1"/>
  <c r="M1208" i="22"/>
  <c r="V1208" i="22" s="1"/>
  <c r="AD1208" i="22" s="1"/>
  <c r="AM1208" i="22" s="1"/>
  <c r="M1209" i="22"/>
  <c r="V1209" i="22" s="1"/>
  <c r="AD1209" i="22" s="1"/>
  <c r="M1210" i="22"/>
  <c r="M1211" i="22"/>
  <c r="V1211" i="22" s="1"/>
  <c r="AD1211" i="22" s="1"/>
  <c r="AM1211" i="22" s="1"/>
  <c r="M1212" i="22"/>
  <c r="M1213" i="22"/>
  <c r="M1214" i="22"/>
  <c r="V1214" i="22" s="1"/>
  <c r="M1215" i="22"/>
  <c r="V1215" i="22" s="1"/>
  <c r="AD1215" i="22" s="1"/>
  <c r="M1216" i="22"/>
  <c r="V1216" i="22" s="1"/>
  <c r="AD1216" i="22" s="1"/>
  <c r="M1217" i="22"/>
  <c r="V1217" i="22"/>
  <c r="AD1217" i="22" s="1"/>
  <c r="AM1217" i="22" s="1"/>
  <c r="M1218" i="22"/>
  <c r="M1219" i="22"/>
  <c r="V1219" i="22" s="1"/>
  <c r="M1220" i="22"/>
  <c r="V1220" i="22" s="1"/>
  <c r="AD1220" i="22" s="1"/>
  <c r="M1221" i="22"/>
  <c r="M1222" i="22"/>
  <c r="V1222" i="22"/>
  <c r="AD1222" i="22" s="1"/>
  <c r="M1223" i="22"/>
  <c r="V1223" i="22" s="1"/>
  <c r="M1224" i="22"/>
  <c r="M1225" i="22"/>
  <c r="V1225" i="22" s="1"/>
  <c r="AD1225" i="22" s="1"/>
  <c r="AM1225" i="22" s="1"/>
  <c r="M1226" i="22"/>
  <c r="V1226" i="22" s="1"/>
  <c r="AD1226" i="22" s="1"/>
  <c r="M1227" i="22"/>
  <c r="V1227" i="22"/>
  <c r="M1228" i="22"/>
  <c r="V1228" i="22" s="1"/>
  <c r="M1229" i="22"/>
  <c r="V1229" i="22" s="1"/>
  <c r="AD1229" i="22" s="1"/>
  <c r="M1230" i="22"/>
  <c r="V1230" i="22" s="1"/>
  <c r="AD1230" i="22" s="1"/>
  <c r="M1231" i="22"/>
  <c r="V1231" i="22" s="1"/>
  <c r="AD1231" i="22" s="1"/>
  <c r="M1232" i="22"/>
  <c r="V1232" i="22" s="1"/>
  <c r="AD1232" i="22" s="1"/>
  <c r="M1233" i="22"/>
  <c r="M1234" i="22"/>
  <c r="V1234" i="22" s="1"/>
  <c r="M1235" i="22"/>
  <c r="V1235" i="22" s="1"/>
  <c r="AD1235" i="22" s="1"/>
  <c r="M1236" i="22"/>
  <c r="M1237" i="22"/>
  <c r="V1237" i="22" s="1"/>
  <c r="M1238" i="22"/>
  <c r="V1238" i="22"/>
  <c r="M1239" i="22"/>
  <c r="V1239" i="22" s="1"/>
  <c r="AD1239" i="22" s="1"/>
  <c r="M1240" i="22"/>
  <c r="V1240" i="22" s="1"/>
  <c r="AD1240" i="22" s="1"/>
  <c r="AM1240" i="22" s="1"/>
  <c r="M1241" i="22"/>
  <c r="V1241" i="22" s="1"/>
  <c r="AD1241" i="22" s="1"/>
  <c r="M1242" i="22"/>
  <c r="M1243" i="22"/>
  <c r="M1244" i="22"/>
  <c r="M3" i="22"/>
  <c r="L3" i="22"/>
  <c r="L269" i="22" s="1"/>
  <c r="K3" i="22"/>
  <c r="K287" i="22" s="1"/>
  <c r="N287" i="22" s="1"/>
  <c r="J21" i="16"/>
  <c r="F21" i="16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C44" i="16"/>
  <c r="H44" i="16"/>
  <c r="H45" i="16" s="1"/>
  <c r="H46" i="16" s="1"/>
  <c r="H47" i="16" s="1"/>
  <c r="H48" i="16" s="1"/>
  <c r="H49" i="16" s="1"/>
  <c r="H50" i="16" s="1"/>
  <c r="H51" i="16" s="1"/>
  <c r="H52" i="16" s="1"/>
  <c r="H53" i="16" s="1"/>
  <c r="H54" i="16" s="1"/>
  <c r="H55" i="16" s="1"/>
  <c r="H56" i="16" s="1"/>
  <c r="H57" i="16" s="1"/>
  <c r="H58" i="16" s="1"/>
  <c r="H59" i="16" s="1"/>
  <c r="H60" i="16" s="1"/>
  <c r="H61" i="16" s="1"/>
  <c r="H62" i="16" s="1"/>
  <c r="H21" i="16"/>
  <c r="H22" i="16" s="1"/>
  <c r="H23" i="16" s="1"/>
  <c r="H24" i="16" s="1"/>
  <c r="H25" i="16" s="1"/>
  <c r="H26" i="16" s="1"/>
  <c r="H27" i="16" s="1"/>
  <c r="H28" i="16" s="1"/>
  <c r="H29" i="16" s="1"/>
  <c r="H30" i="16" s="1"/>
  <c r="H31" i="16" s="1"/>
  <c r="H32" i="16" s="1"/>
  <c r="H33" i="16" s="1"/>
  <c r="H34" i="16" s="1"/>
  <c r="H35" i="16" s="1"/>
  <c r="H36" i="16" s="1"/>
  <c r="H37" i="16" s="1"/>
  <c r="H38" i="16" s="1"/>
  <c r="H39" i="16" s="1"/>
  <c r="E52" i="15"/>
  <c r="O22" i="15" a="1"/>
  <c r="R22" i="15" s="1"/>
  <c r="S22" i="15" s="1"/>
  <c r="Q22" i="15"/>
  <c r="J22" i="15"/>
  <c r="I22" i="15"/>
  <c r="Q4" i="15"/>
  <c r="Q5" i="15"/>
  <c r="Q6" i="15"/>
  <c r="Q7" i="15"/>
  <c r="Q8" i="15"/>
  <c r="Q54" i="15"/>
  <c r="Q9" i="15"/>
  <c r="Q10" i="15"/>
  <c r="Q11" i="15"/>
  <c r="Q12" i="15"/>
  <c r="Q13" i="15"/>
  <c r="Q14" i="15"/>
  <c r="Q15" i="15"/>
  <c r="Q16" i="15"/>
  <c r="Q17" i="15"/>
  <c r="Q18" i="15"/>
  <c r="Q19" i="15"/>
  <c r="Q20" i="15"/>
  <c r="Q21" i="15"/>
  <c r="Q3" i="15"/>
  <c r="O4" i="15" a="1"/>
  <c r="R4" i="15" s="1"/>
  <c r="S4" i="15" s="1"/>
  <c r="O5" i="15" a="1"/>
  <c r="R5" i="15" s="1"/>
  <c r="S5" i="15" s="1"/>
  <c r="O6" i="15" a="1"/>
  <c r="R6" i="15" s="1"/>
  <c r="S6" i="15" s="1"/>
  <c r="O7" i="15" a="1"/>
  <c r="O8" i="15" a="1"/>
  <c r="O54" i="15" a="1"/>
  <c r="O9" i="15" a="1"/>
  <c r="O10" i="15" a="1"/>
  <c r="R10" i="15" s="1"/>
  <c r="S10" i="15" s="1"/>
  <c r="O11" i="15" a="1"/>
  <c r="R11" i="15" s="1"/>
  <c r="S11" i="15" s="1"/>
  <c r="O12" i="15" a="1"/>
  <c r="O13" i="15" a="1"/>
  <c r="O14" i="15" a="1"/>
  <c r="O15" i="15" a="1"/>
  <c r="O16" i="15" a="1"/>
  <c r="R16" i="15" s="1"/>
  <c r="S16" i="15" s="1"/>
  <c r="O17" i="15" a="1"/>
  <c r="R17" i="15" s="1"/>
  <c r="S17" i="15" s="1"/>
  <c r="O18" i="15" a="1"/>
  <c r="R18" i="15" s="1"/>
  <c r="S18" i="15" s="1"/>
  <c r="O19" i="15" a="1"/>
  <c r="R19" i="15" s="1"/>
  <c r="S19" i="15" s="1"/>
  <c r="O20" i="15" a="1"/>
  <c r="R20" i="15" s="1"/>
  <c r="S20" i="15" s="1"/>
  <c r="O21" i="15" a="1"/>
  <c r="R21" i="15" s="1"/>
  <c r="S21" i="15" s="1"/>
  <c r="O3" i="15" a="1"/>
  <c r="J21" i="15"/>
  <c r="I21" i="15"/>
  <c r="J20" i="15"/>
  <c r="I20" i="15"/>
  <c r="J19" i="15"/>
  <c r="I19" i="15"/>
  <c r="J18" i="15"/>
  <c r="I18" i="15"/>
  <c r="J17" i="15"/>
  <c r="I17" i="15"/>
  <c r="J16" i="15"/>
  <c r="I16" i="15"/>
  <c r="J15" i="15"/>
  <c r="I15" i="15"/>
  <c r="J14" i="15"/>
  <c r="I14" i="15"/>
  <c r="J13" i="15"/>
  <c r="I13" i="15"/>
  <c r="J12" i="15"/>
  <c r="I12" i="15"/>
  <c r="K21" i="15" s="1"/>
  <c r="J11" i="15"/>
  <c r="I11" i="15"/>
  <c r="J10" i="15"/>
  <c r="I10" i="15"/>
  <c r="J9" i="15"/>
  <c r="I9" i="15"/>
  <c r="J54" i="15"/>
  <c r="I54" i="15"/>
  <c r="J8" i="15"/>
  <c r="I8" i="15"/>
  <c r="J7" i="15"/>
  <c r="I7" i="15"/>
  <c r="J6" i="15"/>
  <c r="J3" i="15"/>
  <c r="J4" i="15"/>
  <c r="J5" i="15"/>
  <c r="I6" i="15"/>
  <c r="I5" i="15"/>
  <c r="I4" i="15"/>
  <c r="I3" i="15"/>
  <c r="L4" i="14"/>
  <c r="N77" i="14" s="1"/>
  <c r="L34" i="14"/>
  <c r="L51" i="14"/>
  <c r="L70" i="14"/>
  <c r="L5" i="14"/>
  <c r="L86" i="14"/>
  <c r="L75" i="14"/>
  <c r="L64" i="14"/>
  <c r="L138" i="14"/>
  <c r="L99" i="14"/>
  <c r="L79" i="14"/>
  <c r="L150" i="14"/>
  <c r="L167" i="14"/>
  <c r="L146" i="14"/>
  <c r="L127" i="14"/>
  <c r="L90" i="14"/>
  <c r="L13" i="14"/>
  <c r="L134" i="14"/>
  <c r="L160" i="14"/>
  <c r="L144" i="14"/>
  <c r="L163" i="14"/>
  <c r="L33" i="14"/>
  <c r="L154" i="14"/>
  <c r="L71" i="14"/>
  <c r="L114" i="14"/>
  <c r="L82" i="14"/>
  <c r="L44" i="14"/>
  <c r="L14" i="14"/>
  <c r="L115" i="14"/>
  <c r="L91" i="14"/>
  <c r="L110" i="14"/>
  <c r="L61" i="14"/>
  <c r="L20" i="14"/>
  <c r="L58" i="14"/>
  <c r="L54" i="14"/>
  <c r="L67" i="14"/>
  <c r="L15" i="14"/>
  <c r="L145" i="14"/>
  <c r="L25" i="14"/>
  <c r="L80" i="14"/>
  <c r="L112" i="14"/>
  <c r="L21" i="14"/>
  <c r="L109" i="14"/>
  <c r="L24" i="14"/>
  <c r="L165" i="14"/>
  <c r="L106" i="14"/>
  <c r="L142" i="14"/>
  <c r="N142" i="14" s="1"/>
  <c r="L41" i="14"/>
  <c r="L126" i="14"/>
  <c r="L140" i="14"/>
  <c r="L95" i="14"/>
  <c r="L69" i="14"/>
  <c r="L45" i="14"/>
  <c r="L116" i="14"/>
  <c r="L158" i="14"/>
  <c r="L164" i="14"/>
  <c r="L81" i="14"/>
  <c r="L85" i="14"/>
  <c r="N85" i="14" s="1"/>
  <c r="L147" i="14"/>
  <c r="L111" i="14"/>
  <c r="L63" i="14"/>
  <c r="L131" i="14"/>
  <c r="L27" i="14"/>
  <c r="L17" i="14"/>
  <c r="L137" i="14"/>
  <c r="L35" i="14"/>
  <c r="L38" i="14"/>
  <c r="L104" i="14"/>
  <c r="L83" i="14"/>
  <c r="L52" i="14"/>
  <c r="L55" i="14"/>
  <c r="L94" i="14"/>
  <c r="L84" i="14"/>
  <c r="L156" i="14"/>
  <c r="L139" i="14"/>
  <c r="L162" i="14"/>
  <c r="L53" i="14"/>
  <c r="L148" i="14"/>
  <c r="L56" i="14"/>
  <c r="L122" i="14"/>
  <c r="L12" i="14"/>
  <c r="L72" i="14"/>
  <c r="L36" i="14"/>
  <c r="L10" i="14"/>
  <c r="L87" i="14"/>
  <c r="L155" i="14"/>
  <c r="L123" i="14"/>
  <c r="L143" i="14"/>
  <c r="L74" i="14"/>
  <c r="L135" i="14"/>
  <c r="L3" i="14"/>
  <c r="L97" i="14"/>
  <c r="L98" i="14"/>
  <c r="L128" i="14"/>
  <c r="L133" i="14"/>
  <c r="L62" i="14"/>
  <c r="L149" i="14"/>
  <c r="L29" i="14"/>
  <c r="L130" i="14"/>
  <c r="L43" i="14"/>
  <c r="L11" i="14"/>
  <c r="L153" i="14"/>
  <c r="N153" i="14" s="1"/>
  <c r="L68" i="14"/>
  <c r="L120" i="14"/>
  <c r="L47" i="14"/>
  <c r="L132" i="14"/>
  <c r="L141" i="14"/>
  <c r="L169" i="14"/>
  <c r="L157" i="14"/>
  <c r="L40" i="14"/>
  <c r="L159" i="14"/>
  <c r="L102" i="14"/>
  <c r="L129" i="14"/>
  <c r="L37" i="14"/>
  <c r="L42" i="14"/>
  <c r="L89" i="14"/>
  <c r="L92" i="14"/>
  <c r="L57" i="14"/>
  <c r="L125" i="14"/>
  <c r="L100" i="14"/>
  <c r="L96" i="14"/>
  <c r="L60" i="14"/>
  <c r="L28" i="14"/>
  <c r="L48" i="14"/>
  <c r="L19" i="14"/>
  <c r="L93" i="14"/>
  <c r="L151" i="14"/>
  <c r="L39" i="14"/>
  <c r="L59" i="14"/>
  <c r="L77" i="14"/>
  <c r="L46" i="14"/>
  <c r="L76" i="14"/>
  <c r="L119" i="14"/>
  <c r="L30" i="14"/>
  <c r="L101" i="14"/>
  <c r="L161" i="14"/>
  <c r="L22" i="14"/>
  <c r="L6" i="14"/>
  <c r="L8" i="14"/>
  <c r="L124" i="14"/>
  <c r="L73" i="14"/>
  <c r="L103" i="14"/>
  <c r="L26" i="14"/>
  <c r="L136" i="14"/>
  <c r="L113" i="14"/>
  <c r="L118" i="14"/>
  <c r="L16" i="14"/>
  <c r="L105" i="14"/>
  <c r="L65" i="14"/>
  <c r="L168" i="14"/>
  <c r="L9" i="14"/>
  <c r="L32" i="14"/>
  <c r="L66" i="14"/>
  <c r="L117" i="14"/>
  <c r="L166" i="14"/>
  <c r="L49" i="14"/>
  <c r="L23" i="14"/>
  <c r="L31" i="14"/>
  <c r="L18" i="14"/>
  <c r="L107" i="14"/>
  <c r="L108" i="14"/>
  <c r="L152" i="14"/>
  <c r="L88" i="14"/>
  <c r="L121" i="14"/>
  <c r="L50" i="14"/>
  <c r="L7" i="14"/>
  <c r="L78" i="14"/>
  <c r="M153" i="14"/>
  <c r="M62" i="14"/>
  <c r="M26" i="14"/>
  <c r="M100" i="14"/>
  <c r="M80" i="14"/>
  <c r="M56" i="14"/>
  <c r="M55" i="14"/>
  <c r="M70" i="14"/>
  <c r="M31" i="14"/>
  <c r="M140" i="14"/>
  <c r="M128" i="14"/>
  <c r="M157" i="14"/>
  <c r="M117" i="14"/>
  <c r="M40" i="14"/>
  <c r="M67" i="14"/>
  <c r="M77" i="14"/>
  <c r="M115" i="14"/>
  <c r="M32" i="14"/>
  <c r="M159" i="14"/>
  <c r="M121" i="14"/>
  <c r="M141" i="14"/>
  <c r="M73" i="14"/>
  <c r="M118" i="14"/>
  <c r="O118" i="14" s="1"/>
  <c r="M125" i="14"/>
  <c r="M75" i="14"/>
  <c r="M93" i="14"/>
  <c r="M74" i="14"/>
  <c r="M137" i="14"/>
  <c r="M84" i="14"/>
  <c r="M97" i="14"/>
  <c r="M163" i="14"/>
  <c r="M134" i="14"/>
  <c r="M126" i="14"/>
  <c r="M127" i="14"/>
  <c r="M37" i="14"/>
  <c r="M34" i="14"/>
  <c r="M51" i="14"/>
  <c r="M105" i="14"/>
  <c r="M39" i="14"/>
  <c r="M79" i="14"/>
  <c r="M41" i="14"/>
  <c r="M123" i="14"/>
  <c r="M103" i="14"/>
  <c r="M14" i="14"/>
  <c r="M99" i="14"/>
  <c r="M142" i="14"/>
  <c r="M129" i="14"/>
  <c r="M59" i="14"/>
  <c r="M131" i="14"/>
  <c r="M12" i="14"/>
  <c r="M138" i="14"/>
  <c r="M76" i="14"/>
  <c r="M3" i="14"/>
  <c r="M116" i="14"/>
  <c r="M124" i="14"/>
  <c r="M156" i="14"/>
  <c r="M167" i="14"/>
  <c r="M136" i="14"/>
  <c r="M8" i="14"/>
  <c r="M110" i="14"/>
  <c r="M6" i="14"/>
  <c r="M9" i="14"/>
  <c r="M11" i="14"/>
  <c r="M101" i="14"/>
  <c r="O101" i="14" s="1"/>
  <c r="M30" i="14"/>
  <c r="M61" i="14"/>
  <c r="M28" i="14"/>
  <c r="M165" i="14"/>
  <c r="M90" i="14"/>
  <c r="M53" i="14"/>
  <c r="M25" i="14"/>
  <c r="M5" i="14"/>
  <c r="O126" i="14" s="1"/>
  <c r="M146" i="14"/>
  <c r="M139" i="14"/>
  <c r="M155" i="14"/>
  <c r="M106" i="14"/>
  <c r="M162" i="14"/>
  <c r="M166" i="14"/>
  <c r="M66" i="14"/>
  <c r="M108" i="14"/>
  <c r="M102" i="14"/>
  <c r="M112" i="14"/>
  <c r="M104" i="14"/>
  <c r="M71" i="14"/>
  <c r="M52" i="14"/>
  <c r="M85" i="14"/>
  <c r="M109" i="14"/>
  <c r="M63" i="14"/>
  <c r="M72" i="14"/>
  <c r="M89" i="14"/>
  <c r="M58" i="14"/>
  <c r="M16" i="14"/>
  <c r="M160" i="14"/>
  <c r="M13" i="14"/>
  <c r="O13" i="14" s="1"/>
  <c r="M33" i="14"/>
  <c r="M149" i="14"/>
  <c r="M122" i="14"/>
  <c r="M135" i="14"/>
  <c r="M65" i="14"/>
  <c r="M43" i="14"/>
  <c r="M82" i="14"/>
  <c r="M92" i="14"/>
  <c r="M148" i="14"/>
  <c r="M49" i="14"/>
  <c r="M23" i="14"/>
  <c r="M64" i="14"/>
  <c r="M17" i="14"/>
  <c r="M44" i="14"/>
  <c r="M18" i="14"/>
  <c r="M19" i="14"/>
  <c r="M164" i="14"/>
  <c r="M154" i="14"/>
  <c r="M69" i="14"/>
  <c r="M88" i="14"/>
  <c r="M111" i="14"/>
  <c r="M36" i="14"/>
  <c r="M144" i="14"/>
  <c r="M91" i="14"/>
  <c r="M86" i="14"/>
  <c r="M38" i="14"/>
  <c r="M95" i="14"/>
  <c r="M168" i="14"/>
  <c r="M143" i="14"/>
  <c r="M87" i="14"/>
  <c r="M4" i="14"/>
  <c r="O128" i="14" s="1"/>
  <c r="M98" i="14"/>
  <c r="M22" i="14"/>
  <c r="M161" i="14"/>
  <c r="M83" i="14"/>
  <c r="M119" i="14"/>
  <c r="M50" i="14"/>
  <c r="M47" i="14"/>
  <c r="M114" i="14"/>
  <c r="M94" i="14"/>
  <c r="M96" i="14"/>
  <c r="M20" i="14"/>
  <c r="M35" i="14"/>
  <c r="M42" i="14"/>
  <c r="M147" i="14"/>
  <c r="M81" i="14"/>
  <c r="M29" i="14"/>
  <c r="M120" i="14"/>
  <c r="M54" i="14"/>
  <c r="M15" i="14"/>
  <c r="O63" i="14" s="1"/>
  <c r="M150" i="14"/>
  <c r="M145" i="14"/>
  <c r="M21" i="14"/>
  <c r="M24" i="14"/>
  <c r="M45" i="14"/>
  <c r="M158" i="14"/>
  <c r="M27" i="14"/>
  <c r="M10" i="14"/>
  <c r="M133" i="14"/>
  <c r="M130" i="14"/>
  <c r="M68" i="14"/>
  <c r="M132" i="14"/>
  <c r="M169" i="14"/>
  <c r="M57" i="14"/>
  <c r="M60" i="14"/>
  <c r="M48" i="14"/>
  <c r="M151" i="14"/>
  <c r="M46" i="14"/>
  <c r="M113" i="14"/>
  <c r="M107" i="14"/>
  <c r="M152" i="14"/>
  <c r="M7" i="14"/>
  <c r="M78" i="14"/>
  <c r="B54" i="13" a="1"/>
  <c r="C47" i="13" a="1"/>
  <c r="C41" i="13" a="1"/>
  <c r="C40" i="13" a="1"/>
  <c r="C39" i="13" a="1"/>
  <c r="C33" i="13" a="1"/>
  <c r="C32" i="13" a="1"/>
  <c r="C31" i="13" a="1"/>
  <c r="C29" i="13" a="1"/>
  <c r="C28" i="13" a="1"/>
  <c r="C27" i="13" a="1"/>
  <c r="C26" i="13" a="1"/>
  <c r="C25" i="13" a="1"/>
  <c r="C21" i="13" a="1"/>
  <c r="C20" i="13" a="1"/>
  <c r="C19" i="13" a="1"/>
  <c r="C18" i="13" a="1"/>
  <c r="C17" i="13" a="1"/>
  <c r="C15" i="13" a="1"/>
  <c r="C14" i="13" a="1"/>
  <c r="C13" i="13" a="1"/>
  <c r="V13" i="13" s="1"/>
  <c r="C10" i="13" a="1"/>
  <c r="C9" i="13" a="1"/>
  <c r="C8" i="13" a="1"/>
  <c r="C7" i="13" a="1"/>
  <c r="C6" i="13" a="1"/>
  <c r="C5" i="13" a="1"/>
  <c r="C8" i="6" a="1"/>
  <c r="C7" i="6" a="1"/>
  <c r="C6" i="6" a="1"/>
  <c r="C5" i="6" a="1"/>
  <c r="C4" i="6" a="1"/>
  <c r="C3" i="6" a="1"/>
  <c r="C2" i="6" a="1"/>
  <c r="J34" i="2"/>
  <c r="J35" i="2"/>
  <c r="J36" i="2"/>
  <c r="J37" i="2"/>
  <c r="J38" i="2"/>
  <c r="J39" i="2"/>
  <c r="L21" i="2"/>
  <c r="M21" i="2" s="1"/>
  <c r="N21" i="2" s="1"/>
  <c r="O21" i="2" s="1"/>
  <c r="H38" i="2" s="1"/>
  <c r="L3" i="2"/>
  <c r="M3" i="2" s="1"/>
  <c r="N3" i="2" s="1"/>
  <c r="O3" i="2" s="1"/>
  <c r="L4" i="2"/>
  <c r="M4" i="2" s="1"/>
  <c r="N4" i="2" s="1"/>
  <c r="O4" i="2" s="1"/>
  <c r="L6" i="2"/>
  <c r="M6" i="2"/>
  <c r="N6" i="2" s="1"/>
  <c r="O6" i="2" s="1"/>
  <c r="L7" i="2"/>
  <c r="M7" i="2" s="1"/>
  <c r="N7" i="2" s="1"/>
  <c r="O7" i="2" s="1"/>
  <c r="L5" i="2"/>
  <c r="M5" i="2" s="1"/>
  <c r="N5" i="2" s="1"/>
  <c r="O5" i="2" s="1"/>
  <c r="L8" i="2"/>
  <c r="M8" i="2" s="1"/>
  <c r="N8" i="2" s="1"/>
  <c r="O8" i="2" s="1"/>
  <c r="L9" i="2"/>
  <c r="M9" i="2"/>
  <c r="N9" i="2" s="1"/>
  <c r="O9" i="2" s="1"/>
  <c r="H39" i="2" s="1"/>
  <c r="L10" i="2"/>
  <c r="M10" i="2" s="1"/>
  <c r="N10" i="2" s="1"/>
  <c r="O10" i="2" s="1"/>
  <c r="L11" i="2"/>
  <c r="M11" i="2"/>
  <c r="N11" i="2" s="1"/>
  <c r="O11" i="2" s="1"/>
  <c r="L12" i="2"/>
  <c r="M12" i="2"/>
  <c r="N12" i="2"/>
  <c r="O12" i="2" s="1"/>
  <c r="L13" i="2"/>
  <c r="M13" i="2"/>
  <c r="N13" i="2" s="1"/>
  <c r="O13" i="2" s="1"/>
  <c r="H37" i="2" s="1"/>
  <c r="L14" i="2"/>
  <c r="M14" i="2"/>
  <c r="N14" i="2"/>
  <c r="O14" i="2" s="1"/>
  <c r="L15" i="2"/>
  <c r="M15" i="2" s="1"/>
  <c r="N15" i="2" s="1"/>
  <c r="O15" i="2" s="1"/>
  <c r="L16" i="2"/>
  <c r="M16" i="2" s="1"/>
  <c r="N16" i="2" s="1"/>
  <c r="O16" i="2" s="1"/>
  <c r="L17" i="2"/>
  <c r="M17" i="2"/>
  <c r="N17" i="2"/>
  <c r="O17" i="2" s="1"/>
  <c r="L18" i="2"/>
  <c r="M18" i="2"/>
  <c r="N18" i="2" s="1"/>
  <c r="O18" i="2" s="1"/>
  <c r="L19" i="2"/>
  <c r="M19" i="2" s="1"/>
  <c r="N19" i="2" s="1"/>
  <c r="O19" i="2" s="1"/>
  <c r="L20" i="2"/>
  <c r="M20" i="2" s="1"/>
  <c r="N20" i="2" s="1"/>
  <c r="O20" i="2" s="1"/>
  <c r="L22" i="2"/>
  <c r="M22" i="2"/>
  <c r="N22" i="2" s="1"/>
  <c r="O22" i="2" s="1"/>
  <c r="I29" i="2"/>
  <c r="I22" i="2"/>
  <c r="I21" i="2"/>
  <c r="I20" i="2"/>
  <c r="I19" i="2"/>
  <c r="I18" i="2"/>
  <c r="I17" i="2"/>
  <c r="I16" i="2"/>
  <c r="I28" i="2"/>
  <c r="I15" i="2"/>
  <c r="I14" i="2"/>
  <c r="I13" i="2"/>
  <c r="I12" i="2"/>
  <c r="I11" i="2"/>
  <c r="I10" i="2"/>
  <c r="I9" i="2"/>
  <c r="I8" i="2"/>
  <c r="I7" i="2"/>
  <c r="I6" i="2"/>
  <c r="I5" i="2"/>
  <c r="I4" i="2"/>
  <c r="I3" i="2"/>
  <c r="H15" i="1"/>
  <c r="H35" i="1"/>
  <c r="H4" i="1"/>
  <c r="J479" i="1" s="1"/>
  <c r="L479" i="1" s="1"/>
  <c r="H14" i="1"/>
  <c r="J712" i="1" s="1"/>
  <c r="L712" i="1" s="1"/>
  <c r="H52" i="1"/>
  <c r="J461" i="1" s="1"/>
  <c r="L461" i="1" s="1"/>
  <c r="H3" i="1"/>
  <c r="H11" i="1"/>
  <c r="H5" i="1"/>
  <c r="H37" i="1"/>
  <c r="H10" i="1"/>
  <c r="H18" i="1"/>
  <c r="H6" i="1"/>
  <c r="H27" i="1"/>
  <c r="H49" i="1"/>
  <c r="H38" i="1"/>
  <c r="H66" i="1"/>
  <c r="H26" i="1"/>
  <c r="H32" i="1"/>
  <c r="H22" i="1"/>
  <c r="H19" i="1"/>
  <c r="H145" i="1"/>
  <c r="H7" i="1"/>
  <c r="H57" i="1"/>
  <c r="H17" i="1"/>
  <c r="H31" i="1"/>
  <c r="H8" i="1"/>
  <c r="H83" i="1"/>
  <c r="H68" i="1"/>
  <c r="H12" i="1"/>
  <c r="H81" i="1"/>
  <c r="H61" i="1"/>
  <c r="H290" i="1"/>
  <c r="H24" i="1"/>
  <c r="H29" i="1"/>
  <c r="H99" i="1"/>
  <c r="H79" i="1"/>
  <c r="H65" i="1"/>
  <c r="H134" i="1"/>
  <c r="H80" i="1"/>
  <c r="H125" i="1"/>
  <c r="H283" i="1"/>
  <c r="H72" i="1"/>
  <c r="H71" i="1"/>
  <c r="H58" i="1"/>
  <c r="H44" i="1"/>
  <c r="H9" i="1"/>
  <c r="H40" i="1"/>
  <c r="H239" i="1"/>
  <c r="H141" i="1"/>
  <c r="H39" i="1"/>
  <c r="H185" i="1"/>
  <c r="H102" i="1"/>
  <c r="H63" i="1"/>
  <c r="H28" i="1"/>
  <c r="H13" i="1"/>
  <c r="H126" i="1"/>
  <c r="H51" i="1"/>
  <c r="H219" i="1"/>
  <c r="H221" i="1"/>
  <c r="H154" i="1"/>
  <c r="H59" i="1"/>
  <c r="H229" i="1"/>
  <c r="H198" i="1"/>
  <c r="H144" i="1"/>
  <c r="H129" i="1"/>
  <c r="H89" i="1"/>
  <c r="H104" i="1"/>
  <c r="H353" i="1"/>
  <c r="H155" i="1"/>
  <c r="H128" i="1"/>
  <c r="H146" i="1"/>
  <c r="H94" i="1"/>
  <c r="H16" i="1"/>
  <c r="H30" i="1"/>
  <c r="H87" i="1"/>
  <c r="H54" i="1"/>
  <c r="H64" i="1"/>
  <c r="H74" i="1"/>
  <c r="H175" i="1"/>
  <c r="H23" i="1"/>
  <c r="H183" i="1"/>
  <c r="H251" i="1"/>
  <c r="H107" i="1"/>
  <c r="H84" i="1"/>
  <c r="H122" i="1"/>
  <c r="H148" i="1"/>
  <c r="H186" i="1"/>
  <c r="H242" i="1"/>
  <c r="H153" i="1"/>
  <c r="H41" i="1"/>
  <c r="H20" i="1"/>
  <c r="H159" i="1"/>
  <c r="H25" i="1"/>
  <c r="H114" i="1"/>
  <c r="H48" i="1"/>
  <c r="H272" i="1"/>
  <c r="H158" i="1"/>
  <c r="H336" i="1"/>
  <c r="H21" i="1"/>
  <c r="H95" i="1"/>
  <c r="H90" i="1"/>
  <c r="H109" i="1"/>
  <c r="H50" i="1"/>
  <c r="H191" i="1"/>
  <c r="H190" i="1"/>
  <c r="H218" i="1"/>
  <c r="H34" i="1"/>
  <c r="H139" i="1"/>
  <c r="H306" i="1"/>
  <c r="H203" i="1"/>
  <c r="H73" i="1"/>
  <c r="H36" i="1"/>
  <c r="H156" i="1"/>
  <c r="H33" i="1"/>
  <c r="H222" i="1"/>
  <c r="H249" i="1"/>
  <c r="H302" i="1"/>
  <c r="H289" i="1"/>
  <c r="H275" i="1"/>
  <c r="H236" i="1"/>
  <c r="H135" i="1"/>
  <c r="H46" i="1"/>
  <c r="H390" i="1"/>
  <c r="H171" i="1"/>
  <c r="H370" i="1"/>
  <c r="H130" i="1"/>
  <c r="H257" i="1"/>
  <c r="H108" i="1"/>
  <c r="H69" i="1"/>
  <c r="H160" i="1"/>
  <c r="H62" i="1"/>
  <c r="H296" i="1"/>
  <c r="H331" i="1"/>
  <c r="H395" i="1"/>
  <c r="H213" i="1"/>
  <c r="H103" i="1"/>
  <c r="H235" i="1"/>
  <c r="H100" i="1"/>
  <c r="H265" i="1"/>
  <c r="H82" i="1"/>
  <c r="H410" i="1"/>
  <c r="H88" i="1"/>
  <c r="H149" i="1"/>
  <c r="H123" i="1"/>
  <c r="H85" i="1"/>
  <c r="H214" i="1"/>
  <c r="H332" i="1"/>
  <c r="H343" i="1"/>
  <c r="H86" i="1"/>
  <c r="H168" i="1"/>
  <c r="H314" i="1"/>
  <c r="H256" i="1"/>
  <c r="H359" i="1"/>
  <c r="J359" i="1" s="1"/>
  <c r="L359" i="1" s="1"/>
  <c r="H301" i="1"/>
  <c r="H255" i="1"/>
  <c r="H127" i="1"/>
  <c r="H106" i="1"/>
  <c r="H142" i="1"/>
  <c r="H391" i="1"/>
  <c r="H308" i="1"/>
  <c r="H373" i="1"/>
  <c r="H365" i="1"/>
  <c r="H204" i="1"/>
  <c r="H396" i="1"/>
  <c r="H60" i="1"/>
  <c r="H429" i="1"/>
  <c r="H450" i="1"/>
  <c r="H93" i="1"/>
  <c r="H313" i="1"/>
  <c r="H43" i="1"/>
  <c r="H462" i="1"/>
  <c r="H136" i="1"/>
  <c r="H386" i="1"/>
  <c r="H220" i="1"/>
  <c r="H261" i="1"/>
  <c r="H459" i="1"/>
  <c r="H55" i="1"/>
  <c r="H295" i="1"/>
  <c r="H284" i="1"/>
  <c r="H78" i="1"/>
  <c r="H382" i="1"/>
  <c r="H53" i="1"/>
  <c r="H262" i="1"/>
  <c r="H419" i="1"/>
  <c r="H270" i="1"/>
  <c r="H361" i="1"/>
  <c r="H112" i="1"/>
  <c r="H138" i="1"/>
  <c r="H230" i="1"/>
  <c r="H42" i="1"/>
  <c r="H45" i="1"/>
  <c r="H287" i="1"/>
  <c r="H268" i="1"/>
  <c r="H234" i="1"/>
  <c r="H67" i="1"/>
  <c r="H415" i="1"/>
  <c r="H247" i="1"/>
  <c r="H187" i="1"/>
  <c r="H344" i="1"/>
  <c r="H189" i="1"/>
  <c r="H75" i="1"/>
  <c r="H378" i="1"/>
  <c r="H376" i="1"/>
  <c r="H192" i="1"/>
  <c r="H225" i="1"/>
  <c r="H433" i="1"/>
  <c r="H167" i="1"/>
  <c r="H293" i="1"/>
  <c r="H216" i="1"/>
  <c r="H341" i="1"/>
  <c r="H318" i="1"/>
  <c r="H366" i="1"/>
  <c r="J366" i="1" s="1"/>
  <c r="L366" i="1" s="1"/>
  <c r="H180" i="1"/>
  <c r="H56" i="1"/>
  <c r="H334" i="1"/>
  <c r="H281" i="1"/>
  <c r="H258" i="1"/>
  <c r="H360" i="1"/>
  <c r="H299" i="1"/>
  <c r="H47" i="1"/>
  <c r="H209" i="1"/>
  <c r="H472" i="1"/>
  <c r="H244" i="1"/>
  <c r="H151" i="1"/>
  <c r="H111" i="1"/>
  <c r="H157" i="1"/>
  <c r="H345" i="1"/>
  <c r="H193" i="1"/>
  <c r="J193" i="1" s="1"/>
  <c r="L193" i="1" s="1"/>
  <c r="H263" i="1"/>
  <c r="H124" i="1"/>
  <c r="H184" i="1"/>
  <c r="H96" i="1"/>
  <c r="H118" i="1"/>
  <c r="H371" i="1"/>
  <c r="H76" i="1"/>
  <c r="H356" i="1"/>
  <c r="H307" i="1"/>
  <c r="H338" i="1"/>
  <c r="H248" i="1"/>
  <c r="H316" i="1"/>
  <c r="H117" i="1"/>
  <c r="H291" i="1"/>
  <c r="H403" i="1"/>
  <c r="H469" i="1"/>
  <c r="H457" i="1"/>
  <c r="H348" i="1"/>
  <c r="H252" i="1"/>
  <c r="H292" i="1"/>
  <c r="H115" i="1"/>
  <c r="H406" i="1"/>
  <c r="H110" i="1"/>
  <c r="H164" i="1"/>
  <c r="H91" i="1"/>
  <c r="H312" i="1"/>
  <c r="H241" i="1"/>
  <c r="H163" i="1"/>
  <c r="H98" i="1"/>
  <c r="H101" i="1"/>
  <c r="H385" i="1"/>
  <c r="H92" i="1"/>
  <c r="H487" i="1"/>
  <c r="H367" i="1"/>
  <c r="H326" i="1"/>
  <c r="H143" i="1"/>
  <c r="H70" i="1"/>
  <c r="H282" i="1"/>
  <c r="H400" i="1"/>
  <c r="H398" i="1"/>
  <c r="H422" i="1"/>
  <c r="H250" i="1"/>
  <c r="H495" i="1"/>
  <c r="H77" i="1"/>
  <c r="H199" i="1"/>
  <c r="H383" i="1"/>
  <c r="H394" i="1"/>
  <c r="H504" i="1"/>
  <c r="H327" i="1"/>
  <c r="H267" i="1"/>
  <c r="H243" i="1"/>
  <c r="H405" i="1"/>
  <c r="H147" i="1"/>
  <c r="J147" i="1" s="1"/>
  <c r="L147" i="1" s="1"/>
  <c r="H201" i="1"/>
  <c r="H133" i="1"/>
  <c r="H116" i="1"/>
  <c r="H120" i="1"/>
  <c r="H97" i="1"/>
  <c r="H486" i="1"/>
  <c r="H493" i="1"/>
  <c r="H165" i="1"/>
  <c r="H113" i="1"/>
  <c r="H482" i="1"/>
  <c r="H330" i="1"/>
  <c r="H324" i="1"/>
  <c r="H475" i="1"/>
  <c r="H207" i="1"/>
  <c r="H339" i="1"/>
  <c r="H226" i="1"/>
  <c r="J226" i="1" s="1"/>
  <c r="L226" i="1" s="1"/>
  <c r="H269" i="1"/>
  <c r="H392" i="1"/>
  <c r="H131" i="1"/>
  <c r="H297" i="1"/>
  <c r="H464" i="1"/>
  <c r="H105" i="1"/>
  <c r="H502" i="1"/>
  <c r="H455" i="1"/>
  <c r="H501" i="1"/>
  <c r="H466" i="1"/>
  <c r="H417" i="1"/>
  <c r="H463" i="1"/>
  <c r="H427" i="1"/>
  <c r="H467" i="1"/>
  <c r="H232" i="1"/>
  <c r="H388" i="1"/>
  <c r="H412" i="1"/>
  <c r="H303" i="1"/>
  <c r="H228" i="1"/>
  <c r="H407" i="1"/>
  <c r="H194" i="1"/>
  <c r="H428" i="1"/>
  <c r="H294" i="1"/>
  <c r="H333" i="1"/>
  <c r="H288" i="1"/>
  <c r="H519" i="1"/>
  <c r="H137" i="1"/>
  <c r="H271" i="1"/>
  <c r="H196" i="1"/>
  <c r="H305" i="1"/>
  <c r="H454" i="1"/>
  <c r="H150" i="1"/>
  <c r="H205" i="1"/>
  <c r="H277" i="1"/>
  <c r="H208" i="1"/>
  <c r="H264" i="1"/>
  <c r="H347" i="1"/>
  <c r="H368" i="1"/>
  <c r="H335" i="1"/>
  <c r="H121" i="1"/>
  <c r="H224" i="1"/>
  <c r="H380" i="1"/>
  <c r="H505" i="1"/>
  <c r="J505" i="1" s="1"/>
  <c r="L505" i="1" s="1"/>
  <c r="H217" i="1"/>
  <c r="H430" i="1"/>
  <c r="H195" i="1"/>
  <c r="H172" i="1"/>
  <c r="H237" i="1"/>
  <c r="H176" i="1"/>
  <c r="H179" i="1"/>
  <c r="H468" i="1"/>
  <c r="H478" i="1"/>
  <c r="H200" i="1"/>
  <c r="H488" i="1"/>
  <c r="H374" i="1"/>
  <c r="H119" i="1"/>
  <c r="H285" i="1"/>
  <c r="H212" i="1"/>
  <c r="H431" i="1"/>
  <c r="J431" i="1" s="1"/>
  <c r="L431" i="1" s="1"/>
  <c r="H202" i="1"/>
  <c r="H551" i="1"/>
  <c r="H436" i="1"/>
  <c r="H182" i="1"/>
  <c r="H354" i="1"/>
  <c r="H278" i="1"/>
  <c r="H362" i="1"/>
  <c r="H448" i="1"/>
  <c r="H411" i="1"/>
  <c r="H494" i="1"/>
  <c r="H253" i="1"/>
  <c r="H510" i="1"/>
  <c r="H161" i="1"/>
  <c r="H507" i="1"/>
  <c r="H517" i="1"/>
  <c r="H132" i="1"/>
  <c r="H273" i="1"/>
  <c r="H340" i="1"/>
  <c r="H489" i="1"/>
  <c r="H140" i="1"/>
  <c r="H437" i="1"/>
  <c r="H211" i="1"/>
  <c r="H174" i="1"/>
  <c r="H513" i="1"/>
  <c r="H166" i="1"/>
  <c r="H521" i="1"/>
  <c r="H169" i="1"/>
  <c r="H188" i="1"/>
  <c r="H514" i="1"/>
  <c r="H342" i="1"/>
  <c r="H423" i="1"/>
  <c r="H363" i="1"/>
  <c r="H162" i="1"/>
  <c r="H474" i="1"/>
  <c r="H555" i="1"/>
  <c r="H453" i="1"/>
  <c r="H364" i="1"/>
  <c r="H259" i="1"/>
  <c r="H210" i="1"/>
  <c r="H170" i="1"/>
  <c r="H424" i="1"/>
  <c r="H543" i="1"/>
  <c r="H461" i="1"/>
  <c r="H550" i="1"/>
  <c r="H389" i="1"/>
  <c r="H515" i="1"/>
  <c r="H279" i="1"/>
  <c r="H509" i="1"/>
  <c r="J509" i="1" s="1"/>
  <c r="L509" i="1" s="1"/>
  <c r="H506" i="1"/>
  <c r="J506" i="1" s="1"/>
  <c r="L506" i="1" s="1"/>
  <c r="H319" i="1"/>
  <c r="H152" i="1"/>
  <c r="H520" i="1"/>
  <c r="H567" i="1"/>
  <c r="H449" i="1"/>
  <c r="H542" i="1"/>
  <c r="H499" i="1"/>
  <c r="H173" i="1"/>
  <c r="H545" i="1"/>
  <c r="H564" i="1"/>
  <c r="H227" i="1"/>
  <c r="H357" i="1"/>
  <c r="H337" i="1"/>
  <c r="H523" i="1"/>
  <c r="H274" i="1"/>
  <c r="H480" i="1"/>
  <c r="H591" i="1"/>
  <c r="H512" i="1"/>
  <c r="H304" i="1"/>
  <c r="H413" i="1"/>
  <c r="H458" i="1"/>
  <c r="H321" i="1"/>
  <c r="H473" i="1"/>
  <c r="H266" i="1"/>
  <c r="H443" i="1"/>
  <c r="H531" i="1"/>
  <c r="H565" i="1"/>
  <c r="H315" i="1"/>
  <c r="H500" i="1"/>
  <c r="H426" i="1"/>
  <c r="H445" i="1"/>
  <c r="H254" i="1"/>
  <c r="H245" i="1"/>
  <c r="H562" i="1"/>
  <c r="H576" i="1"/>
  <c r="H511" i="1"/>
  <c r="H206" i="1"/>
  <c r="H397" i="1"/>
  <c r="H317" i="1"/>
  <c r="H181" i="1"/>
  <c r="H178" i="1"/>
  <c r="H177" i="1"/>
  <c r="H537" i="1"/>
  <c r="H580" i="1"/>
  <c r="H434" i="1"/>
  <c r="H546" i="1"/>
  <c r="H387" i="1"/>
  <c r="H322" i="1"/>
  <c r="J322" i="1" s="1"/>
  <c r="L322" i="1" s="1"/>
  <c r="H483" i="1"/>
  <c r="H594" i="1"/>
  <c r="H534" i="1"/>
  <c r="H231" i="1"/>
  <c r="H197" i="1"/>
  <c r="H447" i="1"/>
  <c r="H438" i="1"/>
  <c r="H381" i="1"/>
  <c r="H569" i="1"/>
  <c r="H260" i="1"/>
  <c r="H223" i="1"/>
  <c r="H525" i="1"/>
  <c r="H418" i="1"/>
  <c r="H440" i="1"/>
  <c r="H233" i="1"/>
  <c r="H298" i="1"/>
  <c r="J298" i="1" s="1"/>
  <c r="L298" i="1" s="1"/>
  <c r="H310" i="1"/>
  <c r="H404" i="1"/>
  <c r="H566" i="1"/>
  <c r="H401" i="1"/>
  <c r="H530" i="1"/>
  <c r="H328" i="1"/>
  <c r="H532" i="1"/>
  <c r="H572" i="1"/>
  <c r="H528" i="1"/>
  <c r="H439" i="1"/>
  <c r="H238" i="1"/>
  <c r="H529" i="1"/>
  <c r="H276" i="1"/>
  <c r="H593" i="1"/>
  <c r="H547" i="1"/>
  <c r="H600" i="1"/>
  <c r="H420" i="1"/>
  <c r="H586" i="1"/>
  <c r="H590" i="1"/>
  <c r="H538" i="1"/>
  <c r="J538" i="1" s="1"/>
  <c r="L538" i="1" s="1"/>
  <c r="H441" i="1"/>
  <c r="H527" i="1"/>
  <c r="H618" i="1"/>
  <c r="H446" i="1"/>
  <c r="H535" i="1"/>
  <c r="H215" i="1"/>
  <c r="H596" i="1"/>
  <c r="H490" i="1"/>
  <c r="H557" i="1"/>
  <c r="H471" i="1"/>
  <c r="H558" i="1"/>
  <c r="J558" i="1" s="1"/>
  <c r="L558" i="1" s="1"/>
  <c r="H549" i="1"/>
  <c r="J549" i="1" s="1"/>
  <c r="L549" i="1" s="1"/>
  <c r="H533" i="1"/>
  <c r="H614" i="1"/>
  <c r="H621" i="1"/>
  <c r="H320" i="1"/>
  <c r="H573" i="1"/>
  <c r="H536" i="1"/>
  <c r="H587" i="1"/>
  <c r="H552" i="1"/>
  <c r="H484" i="1"/>
  <c r="H619" i="1"/>
  <c r="H604" i="1"/>
  <c r="H460" i="1"/>
  <c r="H311" i="1"/>
  <c r="H622" i="1"/>
  <c r="H571" i="1"/>
  <c r="J571" i="1" s="1"/>
  <c r="H240" i="1"/>
  <c r="J240" i="1" s="1"/>
  <c r="L240" i="1" s="1"/>
  <c r="H601" i="1"/>
  <c r="H246" i="1"/>
  <c r="H379" i="1"/>
  <c r="H610" i="1"/>
  <c r="J610" i="1" s="1"/>
  <c r="H323" i="1"/>
  <c r="H615" i="1"/>
  <c r="H496" i="1"/>
  <c r="H479" i="1"/>
  <c r="H384" i="1"/>
  <c r="H630" i="1"/>
  <c r="H526" i="1"/>
  <c r="H581" i="1"/>
  <c r="H355" i="1"/>
  <c r="H592" i="1"/>
  <c r="H350" i="1"/>
  <c r="J350" i="1" s="1"/>
  <c r="H607" i="1"/>
  <c r="J607" i="1" s="1"/>
  <c r="L607" i="1" s="1"/>
  <c r="H541" i="1"/>
  <c r="H584" i="1"/>
  <c r="H598" i="1"/>
  <c r="H309" i="1"/>
  <c r="H603" i="1"/>
  <c r="H503" i="1"/>
  <c r="H624" i="1"/>
  <c r="H588" i="1"/>
  <c r="H497" i="1"/>
  <c r="H300" i="1"/>
  <c r="H465" i="1"/>
  <c r="H633" i="1"/>
  <c r="H409" i="1"/>
  <c r="H544" i="1"/>
  <c r="H616" i="1"/>
  <c r="J616" i="1" s="1"/>
  <c r="L616" i="1" s="1"/>
  <c r="H626" i="1"/>
  <c r="J626" i="1" s="1"/>
  <c r="L626" i="1" s="1"/>
  <c r="H442" i="1"/>
  <c r="H625" i="1"/>
  <c r="H574" i="1"/>
  <c r="H597" i="1"/>
  <c r="H286" i="1"/>
  <c r="H358" i="1"/>
  <c r="H522" i="1"/>
  <c r="H634" i="1"/>
  <c r="H605" i="1"/>
  <c r="H508" i="1"/>
  <c r="H582" i="1"/>
  <c r="H609" i="1"/>
  <c r="H585" i="1"/>
  <c r="H608" i="1"/>
  <c r="H577" i="1"/>
  <c r="J577" i="1" s="1"/>
  <c r="L577" i="1" s="1"/>
  <c r="H620" i="1"/>
  <c r="J620" i="1" s="1"/>
  <c r="L620" i="1" s="1"/>
  <c r="H325" i="1"/>
  <c r="H524" i="1"/>
  <c r="H425" i="1"/>
  <c r="H647" i="1"/>
  <c r="H329" i="1"/>
  <c r="H485" i="1"/>
  <c r="H377" i="1"/>
  <c r="H408" i="1"/>
  <c r="H560" i="1"/>
  <c r="H456" i="1"/>
  <c r="H280" i="1"/>
  <c r="H640" i="1"/>
  <c r="H636" i="1"/>
  <c r="H556" i="1"/>
  <c r="H655" i="1"/>
  <c r="J655" i="1" s="1"/>
  <c r="L655" i="1" s="1"/>
  <c r="H476" i="1"/>
  <c r="H653" i="1"/>
  <c r="H414" i="1"/>
  <c r="H656" i="1"/>
  <c r="H650" i="1"/>
  <c r="J650" i="1" s="1"/>
  <c r="L650" i="1" s="1"/>
  <c r="H657" i="1"/>
  <c r="H644" i="1"/>
  <c r="H662" i="1"/>
  <c r="H645" i="1"/>
  <c r="H498" i="1"/>
  <c r="H491" i="1"/>
  <c r="H629" i="1"/>
  <c r="H553" i="1"/>
  <c r="H583" i="1"/>
  <c r="H452" i="1"/>
  <c r="J452" i="1" s="1"/>
  <c r="L452" i="1" s="1"/>
  <c r="H578" i="1"/>
  <c r="H642" i="1"/>
  <c r="J642" i="1" s="1"/>
  <c r="L642" i="1" s="1"/>
  <c r="H648" i="1"/>
  <c r="H670" i="1"/>
  <c r="H372" i="1"/>
  <c r="H599" i="1"/>
  <c r="J599" i="1" s="1"/>
  <c r="L599" i="1" s="1"/>
  <c r="H627" i="1"/>
  <c r="H663" i="1"/>
  <c r="H612" i="1"/>
  <c r="H654" i="1"/>
  <c r="H559" i="1"/>
  <c r="H613" i="1"/>
  <c r="H649" i="1"/>
  <c r="H351" i="1"/>
  <c r="H661" i="1"/>
  <c r="J661" i="1" s="1"/>
  <c r="L661" i="1" s="1"/>
  <c r="H570" i="1"/>
  <c r="H540" i="1"/>
  <c r="H548" i="1"/>
  <c r="J548" i="1" s="1"/>
  <c r="L548" i="1" s="1"/>
  <c r="H628" i="1"/>
  <c r="H635" i="1"/>
  <c r="H666" i="1"/>
  <c r="H402" i="1"/>
  <c r="H664" i="1"/>
  <c r="H435" i="1"/>
  <c r="H639" i="1"/>
  <c r="H651" i="1"/>
  <c r="H667" i="1"/>
  <c r="H679" i="1"/>
  <c r="H658" i="1"/>
  <c r="H606" i="1"/>
  <c r="H641" i="1"/>
  <c r="H579" i="1"/>
  <c r="H346" i="1"/>
  <c r="J346" i="1" s="1"/>
  <c r="L346" i="1" s="1"/>
  <c r="H451" i="1"/>
  <c r="J451" i="1" s="1"/>
  <c r="L451" i="1" s="1"/>
  <c r="H652" i="1"/>
  <c r="H393" i="1"/>
  <c r="H352" i="1"/>
  <c r="H668" i="1"/>
  <c r="J668" i="1" s="1"/>
  <c r="L668" i="1" s="1"/>
  <c r="H671" i="1"/>
  <c r="H682" i="1"/>
  <c r="H416" i="1"/>
  <c r="H683" i="1"/>
  <c r="H681" i="1"/>
  <c r="H673" i="1"/>
  <c r="H589" i="1"/>
  <c r="H563" i="1"/>
  <c r="H678" i="1"/>
  <c r="J678" i="1" s="1"/>
  <c r="H602" i="1"/>
  <c r="H659" i="1"/>
  <c r="H632" i="1"/>
  <c r="J632" i="1" s="1"/>
  <c r="H481" i="1"/>
  <c r="H349" i="1"/>
  <c r="H561" i="1"/>
  <c r="H695" i="1"/>
  <c r="H684" i="1"/>
  <c r="H693" i="1"/>
  <c r="H637" i="1"/>
  <c r="H691" i="1"/>
  <c r="H676" i="1"/>
  <c r="H539" i="1"/>
  <c r="H686" i="1"/>
  <c r="H694" i="1"/>
  <c r="H477" i="1"/>
  <c r="H690" i="1"/>
  <c r="H688" i="1"/>
  <c r="H444" i="1"/>
  <c r="J444" i="1" s="1"/>
  <c r="L444" i="1" s="1"/>
  <c r="H575" i="1"/>
  <c r="H631" i="1"/>
  <c r="H699" i="1"/>
  <c r="H421" i="1"/>
  <c r="J421" i="1" s="1"/>
  <c r="L421" i="1" s="1"/>
  <c r="H375" i="1"/>
  <c r="H470" i="1"/>
  <c r="H677" i="1"/>
  <c r="H692" i="1"/>
  <c r="H685" i="1"/>
  <c r="H697" i="1"/>
  <c r="H623" i="1"/>
  <c r="H638" i="1"/>
  <c r="H492" i="1"/>
  <c r="H554" i="1"/>
  <c r="J554" i="1" s="1"/>
  <c r="L554" i="1" s="1"/>
  <c r="H643" i="1"/>
  <c r="J643" i="1" s="1"/>
  <c r="L643" i="1" s="1"/>
  <c r="H700" i="1"/>
  <c r="J700" i="1" s="1"/>
  <c r="L700" i="1" s="1"/>
  <c r="H432" i="1"/>
  <c r="H704" i="1"/>
  <c r="H705" i="1"/>
  <c r="H518" i="1"/>
  <c r="H399" i="1"/>
  <c r="H516" i="1"/>
  <c r="H369" i="1"/>
  <c r="H611" i="1"/>
  <c r="H703" i="1"/>
  <c r="H660" i="1"/>
  <c r="H687" i="1"/>
  <c r="H672" i="1"/>
  <c r="H708" i="1"/>
  <c r="J708" i="1" s="1"/>
  <c r="L708" i="1" s="1"/>
  <c r="H595" i="1"/>
  <c r="H646" i="1"/>
  <c r="J646" i="1" s="1"/>
  <c r="H617" i="1"/>
  <c r="H710" i="1"/>
  <c r="H702" i="1"/>
  <c r="H712" i="1"/>
  <c r="H701" i="1"/>
  <c r="H680" i="1"/>
  <c r="H665" i="1"/>
  <c r="H674" i="1"/>
  <c r="H713" i="1"/>
  <c r="H689" i="1"/>
  <c r="H711" i="1"/>
  <c r="H714" i="1"/>
  <c r="H568" i="1"/>
  <c r="H696" i="1"/>
  <c r="J696" i="1" s="1"/>
  <c r="L696" i="1" s="1"/>
  <c r="H715" i="1"/>
  <c r="J715" i="1" s="1"/>
  <c r="H709" i="1"/>
  <c r="J709" i="1" s="1"/>
  <c r="H698" i="1"/>
  <c r="H707" i="1"/>
  <c r="H716" i="1"/>
  <c r="H669" i="1"/>
  <c r="H675" i="1"/>
  <c r="J675" i="1" s="1"/>
  <c r="L675" i="1" s="1"/>
  <c r="H718" i="1"/>
  <c r="H721" i="1"/>
  <c r="H719" i="1"/>
  <c r="H706" i="1"/>
  <c r="H717" i="1"/>
  <c r="H720" i="1"/>
  <c r="H722" i="1"/>
  <c r="H723" i="1"/>
  <c r="H724" i="1"/>
  <c r="J724" i="1" s="1"/>
  <c r="L724" i="1" s="1"/>
  <c r="K15" i="1"/>
  <c r="K35" i="1"/>
  <c r="K4" i="1"/>
  <c r="K14" i="1"/>
  <c r="K52" i="1"/>
  <c r="K3" i="1"/>
  <c r="K11" i="1"/>
  <c r="K5" i="1"/>
  <c r="K37" i="1"/>
  <c r="K10" i="1"/>
  <c r="K18" i="1"/>
  <c r="K6" i="1"/>
  <c r="K27" i="1"/>
  <c r="K49" i="1"/>
  <c r="K38" i="1"/>
  <c r="K66" i="1"/>
  <c r="K26" i="1"/>
  <c r="K32" i="1"/>
  <c r="K22" i="1"/>
  <c r="K19" i="1"/>
  <c r="K145" i="1"/>
  <c r="K7" i="1"/>
  <c r="K57" i="1"/>
  <c r="K17" i="1"/>
  <c r="K31" i="1"/>
  <c r="K8" i="1"/>
  <c r="K83" i="1"/>
  <c r="K68" i="1"/>
  <c r="K12" i="1"/>
  <c r="K81" i="1"/>
  <c r="K61" i="1"/>
  <c r="K290" i="1"/>
  <c r="K24" i="1"/>
  <c r="K29" i="1"/>
  <c r="K99" i="1"/>
  <c r="K79" i="1"/>
  <c r="K65" i="1"/>
  <c r="K134" i="1"/>
  <c r="K80" i="1"/>
  <c r="K125" i="1"/>
  <c r="K283" i="1"/>
  <c r="K72" i="1"/>
  <c r="K71" i="1"/>
  <c r="K58" i="1"/>
  <c r="K44" i="1"/>
  <c r="K9" i="1"/>
  <c r="K40" i="1"/>
  <c r="K239" i="1"/>
  <c r="K141" i="1"/>
  <c r="K39" i="1"/>
  <c r="K185" i="1"/>
  <c r="K102" i="1"/>
  <c r="K63" i="1"/>
  <c r="K28" i="1"/>
  <c r="K13" i="1"/>
  <c r="K126" i="1"/>
  <c r="K51" i="1"/>
  <c r="K219" i="1"/>
  <c r="K221" i="1"/>
  <c r="K154" i="1"/>
  <c r="K59" i="1"/>
  <c r="K229" i="1"/>
  <c r="K198" i="1"/>
  <c r="K144" i="1"/>
  <c r="K129" i="1"/>
  <c r="K89" i="1"/>
  <c r="K104" i="1"/>
  <c r="K353" i="1"/>
  <c r="K155" i="1"/>
  <c r="K128" i="1"/>
  <c r="K146" i="1"/>
  <c r="K94" i="1"/>
  <c r="K16" i="1"/>
  <c r="K30" i="1"/>
  <c r="K87" i="1"/>
  <c r="K54" i="1"/>
  <c r="K64" i="1"/>
  <c r="K74" i="1"/>
  <c r="K175" i="1"/>
  <c r="K23" i="1"/>
  <c r="K183" i="1"/>
  <c r="K251" i="1"/>
  <c r="K107" i="1"/>
  <c r="K84" i="1"/>
  <c r="K122" i="1"/>
  <c r="K148" i="1"/>
  <c r="K186" i="1"/>
  <c r="K242" i="1"/>
  <c r="K153" i="1"/>
  <c r="K41" i="1"/>
  <c r="K20" i="1"/>
  <c r="K159" i="1"/>
  <c r="K25" i="1"/>
  <c r="K114" i="1"/>
  <c r="K48" i="1"/>
  <c r="K272" i="1"/>
  <c r="K158" i="1"/>
  <c r="K336" i="1"/>
  <c r="K21" i="1"/>
  <c r="K95" i="1"/>
  <c r="K90" i="1"/>
  <c r="K109" i="1"/>
  <c r="K50" i="1"/>
  <c r="K191" i="1"/>
  <c r="K190" i="1"/>
  <c r="K218" i="1"/>
  <c r="K34" i="1"/>
  <c r="K139" i="1"/>
  <c r="K306" i="1"/>
  <c r="K203" i="1"/>
  <c r="K73" i="1"/>
  <c r="K36" i="1"/>
  <c r="K156" i="1"/>
  <c r="K33" i="1"/>
  <c r="K222" i="1"/>
  <c r="K249" i="1"/>
  <c r="K302" i="1"/>
  <c r="K289" i="1"/>
  <c r="K275" i="1"/>
  <c r="K236" i="1"/>
  <c r="K135" i="1"/>
  <c r="K46" i="1"/>
  <c r="K390" i="1"/>
  <c r="K171" i="1"/>
  <c r="K370" i="1"/>
  <c r="K130" i="1"/>
  <c r="K257" i="1"/>
  <c r="K108" i="1"/>
  <c r="K69" i="1"/>
  <c r="K160" i="1"/>
  <c r="K62" i="1"/>
  <c r="K296" i="1"/>
  <c r="K331" i="1"/>
  <c r="K395" i="1"/>
  <c r="K213" i="1"/>
  <c r="K103" i="1"/>
  <c r="K235" i="1"/>
  <c r="K100" i="1"/>
  <c r="K265" i="1"/>
  <c r="K82" i="1"/>
  <c r="K410" i="1"/>
  <c r="K88" i="1"/>
  <c r="K149" i="1"/>
  <c r="K123" i="1"/>
  <c r="K85" i="1"/>
  <c r="K214" i="1"/>
  <c r="K332" i="1"/>
  <c r="K343" i="1"/>
  <c r="K86" i="1"/>
  <c r="K168" i="1"/>
  <c r="K314" i="1"/>
  <c r="K256" i="1"/>
  <c r="K359" i="1"/>
  <c r="K301" i="1"/>
  <c r="K255" i="1"/>
  <c r="K127" i="1"/>
  <c r="K106" i="1"/>
  <c r="K142" i="1"/>
  <c r="K391" i="1"/>
  <c r="K308" i="1"/>
  <c r="K373" i="1"/>
  <c r="K365" i="1"/>
  <c r="K204" i="1"/>
  <c r="K396" i="1"/>
  <c r="K60" i="1"/>
  <c r="K429" i="1"/>
  <c r="K450" i="1"/>
  <c r="K93" i="1"/>
  <c r="K313" i="1"/>
  <c r="K43" i="1"/>
  <c r="K462" i="1"/>
  <c r="K136" i="1"/>
  <c r="K386" i="1"/>
  <c r="K220" i="1"/>
  <c r="K261" i="1"/>
  <c r="K459" i="1"/>
  <c r="K55" i="1"/>
  <c r="K295" i="1"/>
  <c r="K284" i="1"/>
  <c r="K78" i="1"/>
  <c r="K382" i="1"/>
  <c r="K53" i="1"/>
  <c r="K262" i="1"/>
  <c r="K419" i="1"/>
  <c r="K270" i="1"/>
  <c r="K361" i="1"/>
  <c r="K112" i="1"/>
  <c r="K138" i="1"/>
  <c r="K230" i="1"/>
  <c r="K42" i="1"/>
  <c r="K45" i="1"/>
  <c r="K287" i="1"/>
  <c r="K268" i="1"/>
  <c r="K234" i="1"/>
  <c r="K67" i="1"/>
  <c r="K415" i="1"/>
  <c r="K247" i="1"/>
  <c r="K187" i="1"/>
  <c r="K344" i="1"/>
  <c r="K189" i="1"/>
  <c r="K75" i="1"/>
  <c r="K378" i="1"/>
  <c r="K376" i="1"/>
  <c r="K192" i="1"/>
  <c r="K225" i="1"/>
  <c r="K433" i="1"/>
  <c r="K167" i="1"/>
  <c r="K293" i="1"/>
  <c r="K216" i="1"/>
  <c r="K341" i="1"/>
  <c r="K318" i="1"/>
  <c r="K366" i="1"/>
  <c r="K180" i="1"/>
  <c r="K56" i="1"/>
  <c r="K334" i="1"/>
  <c r="K281" i="1"/>
  <c r="K258" i="1"/>
  <c r="K360" i="1"/>
  <c r="K299" i="1"/>
  <c r="K47" i="1"/>
  <c r="K209" i="1"/>
  <c r="K472" i="1"/>
  <c r="K244" i="1"/>
  <c r="K151" i="1"/>
  <c r="K111" i="1"/>
  <c r="K157" i="1"/>
  <c r="K345" i="1"/>
  <c r="K193" i="1"/>
  <c r="K263" i="1"/>
  <c r="K124" i="1"/>
  <c r="K184" i="1"/>
  <c r="K96" i="1"/>
  <c r="K118" i="1"/>
  <c r="K371" i="1"/>
  <c r="K76" i="1"/>
  <c r="K356" i="1"/>
  <c r="K307" i="1"/>
  <c r="K338" i="1"/>
  <c r="K248" i="1"/>
  <c r="K316" i="1"/>
  <c r="K117" i="1"/>
  <c r="K291" i="1"/>
  <c r="K403" i="1"/>
  <c r="K469" i="1"/>
  <c r="K457" i="1"/>
  <c r="K348" i="1"/>
  <c r="K252" i="1"/>
  <c r="K292" i="1"/>
  <c r="K115" i="1"/>
  <c r="K406" i="1"/>
  <c r="K110" i="1"/>
  <c r="K164" i="1"/>
  <c r="K91" i="1"/>
  <c r="K312" i="1"/>
  <c r="K241" i="1"/>
  <c r="K163" i="1"/>
  <c r="K98" i="1"/>
  <c r="K101" i="1"/>
  <c r="K385" i="1"/>
  <c r="K92" i="1"/>
  <c r="K487" i="1"/>
  <c r="K367" i="1"/>
  <c r="K326" i="1"/>
  <c r="K143" i="1"/>
  <c r="K70" i="1"/>
  <c r="K282" i="1"/>
  <c r="K400" i="1"/>
  <c r="K398" i="1"/>
  <c r="K422" i="1"/>
  <c r="K250" i="1"/>
  <c r="K495" i="1"/>
  <c r="K77" i="1"/>
  <c r="K199" i="1"/>
  <c r="K383" i="1"/>
  <c r="K394" i="1"/>
  <c r="K504" i="1"/>
  <c r="K327" i="1"/>
  <c r="K267" i="1"/>
  <c r="K243" i="1"/>
  <c r="K405" i="1"/>
  <c r="K147" i="1"/>
  <c r="K201" i="1"/>
  <c r="K133" i="1"/>
  <c r="K116" i="1"/>
  <c r="K120" i="1"/>
  <c r="K97" i="1"/>
  <c r="K486" i="1"/>
  <c r="K493" i="1"/>
  <c r="K165" i="1"/>
  <c r="K113" i="1"/>
  <c r="K482" i="1"/>
  <c r="K330" i="1"/>
  <c r="K324" i="1"/>
  <c r="K475" i="1"/>
  <c r="K207" i="1"/>
  <c r="K339" i="1"/>
  <c r="K226" i="1"/>
  <c r="K269" i="1"/>
  <c r="K392" i="1"/>
  <c r="K131" i="1"/>
  <c r="K297" i="1"/>
  <c r="K464" i="1"/>
  <c r="K105" i="1"/>
  <c r="K502" i="1"/>
  <c r="K455" i="1"/>
  <c r="K501" i="1"/>
  <c r="K466" i="1"/>
  <c r="K417" i="1"/>
  <c r="K463" i="1"/>
  <c r="K427" i="1"/>
  <c r="K467" i="1"/>
  <c r="K232" i="1"/>
  <c r="K388" i="1"/>
  <c r="K412" i="1"/>
  <c r="K303" i="1"/>
  <c r="K228" i="1"/>
  <c r="K407" i="1"/>
  <c r="K194" i="1"/>
  <c r="K428" i="1"/>
  <c r="K294" i="1"/>
  <c r="K333" i="1"/>
  <c r="K288" i="1"/>
  <c r="K519" i="1"/>
  <c r="K137" i="1"/>
  <c r="K271" i="1"/>
  <c r="K196" i="1"/>
  <c r="K305" i="1"/>
  <c r="K454" i="1"/>
  <c r="K150" i="1"/>
  <c r="K205" i="1"/>
  <c r="K277" i="1"/>
  <c r="K208" i="1"/>
  <c r="K264" i="1"/>
  <c r="K347" i="1"/>
  <c r="K368" i="1"/>
  <c r="K335" i="1"/>
  <c r="K121" i="1"/>
  <c r="K224" i="1"/>
  <c r="K380" i="1"/>
  <c r="K505" i="1"/>
  <c r="K217" i="1"/>
  <c r="K430" i="1"/>
  <c r="K195" i="1"/>
  <c r="K172" i="1"/>
  <c r="K237" i="1"/>
  <c r="K176" i="1"/>
  <c r="K179" i="1"/>
  <c r="K468" i="1"/>
  <c r="K478" i="1"/>
  <c r="K200" i="1"/>
  <c r="K488" i="1"/>
  <c r="K374" i="1"/>
  <c r="K119" i="1"/>
  <c r="K285" i="1"/>
  <c r="K212" i="1"/>
  <c r="K431" i="1"/>
  <c r="K202" i="1"/>
  <c r="K551" i="1"/>
  <c r="K436" i="1"/>
  <c r="K182" i="1"/>
  <c r="K354" i="1"/>
  <c r="K278" i="1"/>
  <c r="K362" i="1"/>
  <c r="K448" i="1"/>
  <c r="K411" i="1"/>
  <c r="K494" i="1"/>
  <c r="K253" i="1"/>
  <c r="K510" i="1"/>
  <c r="K161" i="1"/>
  <c r="K507" i="1"/>
  <c r="K517" i="1"/>
  <c r="K132" i="1"/>
  <c r="K273" i="1"/>
  <c r="K340" i="1"/>
  <c r="K489" i="1"/>
  <c r="K140" i="1"/>
  <c r="K437" i="1"/>
  <c r="K211" i="1"/>
  <c r="K174" i="1"/>
  <c r="K513" i="1"/>
  <c r="K166" i="1"/>
  <c r="K521" i="1"/>
  <c r="K169" i="1"/>
  <c r="K188" i="1"/>
  <c r="K514" i="1"/>
  <c r="K342" i="1"/>
  <c r="K423" i="1"/>
  <c r="K363" i="1"/>
  <c r="K162" i="1"/>
  <c r="K474" i="1"/>
  <c r="K555" i="1"/>
  <c r="K453" i="1"/>
  <c r="K364" i="1"/>
  <c r="K259" i="1"/>
  <c r="K210" i="1"/>
  <c r="K170" i="1"/>
  <c r="K424" i="1"/>
  <c r="K543" i="1"/>
  <c r="K461" i="1"/>
  <c r="K550" i="1"/>
  <c r="K389" i="1"/>
  <c r="K515" i="1"/>
  <c r="K279" i="1"/>
  <c r="K509" i="1"/>
  <c r="K506" i="1"/>
  <c r="K319" i="1"/>
  <c r="K152" i="1"/>
  <c r="K520" i="1"/>
  <c r="K567" i="1"/>
  <c r="K449" i="1"/>
  <c r="K542" i="1"/>
  <c r="K499" i="1"/>
  <c r="K173" i="1"/>
  <c r="K545" i="1"/>
  <c r="K564" i="1"/>
  <c r="K227" i="1"/>
  <c r="K357" i="1"/>
  <c r="K337" i="1"/>
  <c r="K523" i="1"/>
  <c r="K274" i="1"/>
  <c r="K480" i="1"/>
  <c r="K591" i="1"/>
  <c r="K512" i="1"/>
  <c r="K304" i="1"/>
  <c r="K413" i="1"/>
  <c r="K458" i="1"/>
  <c r="K321" i="1"/>
  <c r="K473" i="1"/>
  <c r="K266" i="1"/>
  <c r="K443" i="1"/>
  <c r="K531" i="1"/>
  <c r="K565" i="1"/>
  <c r="K315" i="1"/>
  <c r="K500" i="1"/>
  <c r="K426" i="1"/>
  <c r="K445" i="1"/>
  <c r="K254" i="1"/>
  <c r="K245" i="1"/>
  <c r="K562" i="1"/>
  <c r="K576" i="1"/>
  <c r="K511" i="1"/>
  <c r="K206" i="1"/>
  <c r="K397" i="1"/>
  <c r="K317" i="1"/>
  <c r="K181" i="1"/>
  <c r="K178" i="1"/>
  <c r="K177" i="1"/>
  <c r="K537" i="1"/>
  <c r="K580" i="1"/>
  <c r="K434" i="1"/>
  <c r="K546" i="1"/>
  <c r="K387" i="1"/>
  <c r="K322" i="1"/>
  <c r="K483" i="1"/>
  <c r="K594" i="1"/>
  <c r="K534" i="1"/>
  <c r="K231" i="1"/>
  <c r="K197" i="1"/>
  <c r="K447" i="1"/>
  <c r="K438" i="1"/>
  <c r="K381" i="1"/>
  <c r="K569" i="1"/>
  <c r="K260" i="1"/>
  <c r="K223" i="1"/>
  <c r="K525" i="1"/>
  <c r="K418" i="1"/>
  <c r="K440" i="1"/>
  <c r="J233" i="1"/>
  <c r="L233" i="1" s="1"/>
  <c r="K233" i="1"/>
  <c r="K298" i="1"/>
  <c r="K310" i="1"/>
  <c r="K404" i="1"/>
  <c r="K566" i="1"/>
  <c r="K401" i="1"/>
  <c r="K530" i="1"/>
  <c r="K328" i="1"/>
  <c r="K532" i="1"/>
  <c r="K572" i="1"/>
  <c r="K528" i="1"/>
  <c r="K439" i="1"/>
  <c r="K238" i="1"/>
  <c r="K529" i="1"/>
  <c r="K276" i="1"/>
  <c r="K593" i="1"/>
  <c r="K547" i="1"/>
  <c r="K600" i="1"/>
  <c r="K420" i="1"/>
  <c r="K586" i="1"/>
  <c r="K590" i="1"/>
  <c r="K538" i="1"/>
  <c r="K441" i="1"/>
  <c r="K527" i="1"/>
  <c r="K618" i="1"/>
  <c r="K446" i="1"/>
  <c r="K535" i="1"/>
  <c r="K215" i="1"/>
  <c r="K596" i="1"/>
  <c r="K490" i="1"/>
  <c r="K557" i="1"/>
  <c r="K471" i="1"/>
  <c r="K558" i="1"/>
  <c r="K549" i="1"/>
  <c r="K533" i="1"/>
  <c r="K614" i="1"/>
  <c r="K621" i="1"/>
  <c r="K320" i="1"/>
  <c r="K573" i="1"/>
  <c r="K536" i="1"/>
  <c r="K587" i="1"/>
  <c r="K552" i="1"/>
  <c r="K484" i="1"/>
  <c r="K619" i="1"/>
  <c r="K604" i="1"/>
  <c r="K460" i="1"/>
  <c r="K311" i="1"/>
  <c r="K622" i="1"/>
  <c r="K571" i="1"/>
  <c r="K240" i="1"/>
  <c r="K601" i="1"/>
  <c r="K246" i="1"/>
  <c r="K379" i="1"/>
  <c r="K610" i="1"/>
  <c r="K323" i="1"/>
  <c r="K615" i="1"/>
  <c r="K496" i="1"/>
  <c r="K479" i="1"/>
  <c r="K384" i="1"/>
  <c r="K630" i="1"/>
  <c r="K526" i="1"/>
  <c r="K581" i="1"/>
  <c r="K355" i="1"/>
  <c r="K592" i="1"/>
  <c r="K350" i="1"/>
  <c r="K607" i="1"/>
  <c r="K541" i="1"/>
  <c r="J584" i="1"/>
  <c r="L584" i="1" s="1"/>
  <c r="K584" i="1"/>
  <c r="K598" i="1"/>
  <c r="K309" i="1"/>
  <c r="K603" i="1"/>
  <c r="K503" i="1"/>
  <c r="K624" i="1"/>
  <c r="K588" i="1"/>
  <c r="K497" i="1"/>
  <c r="K300" i="1"/>
  <c r="K465" i="1"/>
  <c r="K633" i="1"/>
  <c r="K409" i="1"/>
  <c r="K544" i="1"/>
  <c r="K616" i="1"/>
  <c r="K626" i="1"/>
  <c r="K442" i="1"/>
  <c r="K625" i="1"/>
  <c r="K574" i="1"/>
  <c r="K597" i="1"/>
  <c r="K286" i="1"/>
  <c r="K358" i="1"/>
  <c r="K522" i="1"/>
  <c r="K634" i="1"/>
  <c r="K605" i="1"/>
  <c r="K508" i="1"/>
  <c r="K582" i="1"/>
  <c r="K609" i="1"/>
  <c r="K585" i="1"/>
  <c r="K608" i="1"/>
  <c r="K577" i="1"/>
  <c r="K620" i="1"/>
  <c r="K325" i="1"/>
  <c r="K524" i="1"/>
  <c r="K425" i="1"/>
  <c r="K647" i="1"/>
  <c r="K329" i="1"/>
  <c r="K485" i="1"/>
  <c r="K377" i="1"/>
  <c r="K408" i="1"/>
  <c r="K560" i="1"/>
  <c r="K456" i="1"/>
  <c r="K280" i="1"/>
  <c r="K640" i="1"/>
  <c r="K636" i="1"/>
  <c r="K556" i="1"/>
  <c r="K655" i="1"/>
  <c r="K476" i="1"/>
  <c r="K653" i="1"/>
  <c r="K414" i="1"/>
  <c r="K656" i="1"/>
  <c r="K650" i="1"/>
  <c r="K657" i="1"/>
  <c r="K644" i="1"/>
  <c r="K662" i="1"/>
  <c r="K645" i="1"/>
  <c r="K498" i="1"/>
  <c r="K491" i="1"/>
  <c r="K629" i="1"/>
  <c r="K553" i="1"/>
  <c r="K583" i="1"/>
  <c r="K452" i="1"/>
  <c r="K578" i="1"/>
  <c r="K642" i="1"/>
  <c r="K648" i="1"/>
  <c r="K670" i="1"/>
  <c r="J372" i="1"/>
  <c r="L372" i="1" s="1"/>
  <c r="K372" i="1"/>
  <c r="K599" i="1"/>
  <c r="K627" i="1"/>
  <c r="K663" i="1"/>
  <c r="K612" i="1"/>
  <c r="K654" i="1"/>
  <c r="K559" i="1"/>
  <c r="K613" i="1"/>
  <c r="K649" i="1"/>
  <c r="K351" i="1"/>
  <c r="K661" i="1"/>
  <c r="K570" i="1"/>
  <c r="K540" i="1"/>
  <c r="K548" i="1"/>
  <c r="K628" i="1"/>
  <c r="K635" i="1"/>
  <c r="K666" i="1"/>
  <c r="J402" i="1"/>
  <c r="L402" i="1" s="1"/>
  <c r="K402" i="1"/>
  <c r="K664" i="1"/>
  <c r="K435" i="1"/>
  <c r="K639" i="1"/>
  <c r="K651" i="1"/>
  <c r="K667" i="1"/>
  <c r="K679" i="1"/>
  <c r="K658" i="1"/>
  <c r="K606" i="1"/>
  <c r="K641" i="1"/>
  <c r="K579" i="1"/>
  <c r="K346" i="1"/>
  <c r="K451" i="1"/>
  <c r="K652" i="1"/>
  <c r="K393" i="1"/>
  <c r="K352" i="1"/>
  <c r="K668" i="1"/>
  <c r="K671" i="1"/>
  <c r="K682" i="1"/>
  <c r="J416" i="1"/>
  <c r="L416" i="1" s="1"/>
  <c r="K416" i="1"/>
  <c r="K683" i="1"/>
  <c r="K681" i="1"/>
  <c r="K673" i="1"/>
  <c r="K589" i="1"/>
  <c r="K563" i="1"/>
  <c r="K678" i="1"/>
  <c r="K602" i="1"/>
  <c r="K659" i="1"/>
  <c r="K632" i="1"/>
  <c r="K481" i="1"/>
  <c r="K349" i="1"/>
  <c r="K561" i="1"/>
  <c r="K695" i="1"/>
  <c r="K684" i="1"/>
  <c r="K693" i="1"/>
  <c r="K637" i="1"/>
  <c r="K691" i="1"/>
  <c r="K676" i="1"/>
  <c r="K539" i="1"/>
  <c r="K686" i="1"/>
  <c r="K694" i="1"/>
  <c r="K477" i="1"/>
  <c r="J690" i="1"/>
  <c r="L690" i="1" s="1"/>
  <c r="K690" i="1"/>
  <c r="K688" i="1"/>
  <c r="K444" i="1"/>
  <c r="K575" i="1"/>
  <c r="K631" i="1"/>
  <c r="K699" i="1"/>
  <c r="K421" i="1"/>
  <c r="K375" i="1"/>
  <c r="K470" i="1"/>
  <c r="K677" i="1"/>
  <c r="K692" i="1"/>
  <c r="K685" i="1"/>
  <c r="K697" i="1"/>
  <c r="K623" i="1"/>
  <c r="K638" i="1"/>
  <c r="J492" i="1"/>
  <c r="K492" i="1"/>
  <c r="K554" i="1"/>
  <c r="K643" i="1"/>
  <c r="K700" i="1"/>
  <c r="K432" i="1"/>
  <c r="K704" i="1"/>
  <c r="K705" i="1"/>
  <c r="J518" i="1"/>
  <c r="K518" i="1"/>
  <c r="K399" i="1"/>
  <c r="K516" i="1"/>
  <c r="K369" i="1"/>
  <c r="K611" i="1"/>
  <c r="K703" i="1"/>
  <c r="K660" i="1"/>
  <c r="J687" i="1"/>
  <c r="L687" i="1" s="1"/>
  <c r="K687" i="1"/>
  <c r="K672" i="1"/>
  <c r="K708" i="1"/>
  <c r="K595" i="1"/>
  <c r="K646" i="1"/>
  <c r="K617" i="1"/>
  <c r="K710" i="1"/>
  <c r="K702" i="1"/>
  <c r="K712" i="1"/>
  <c r="K701" i="1"/>
  <c r="K680" i="1"/>
  <c r="K665" i="1"/>
  <c r="K674" i="1"/>
  <c r="K713" i="1"/>
  <c r="K689" i="1"/>
  <c r="K711" i="1"/>
  <c r="K714" i="1"/>
  <c r="K568" i="1"/>
  <c r="K696" i="1"/>
  <c r="K715" i="1"/>
  <c r="K709" i="1"/>
  <c r="K698" i="1"/>
  <c r="J707" i="1"/>
  <c r="L707" i="1" s="1"/>
  <c r="K707" i="1"/>
  <c r="K716" i="1"/>
  <c r="K669" i="1"/>
  <c r="K675" i="1"/>
  <c r="K718" i="1"/>
  <c r="K721" i="1"/>
  <c r="K719" i="1"/>
  <c r="J706" i="1"/>
  <c r="K706" i="1"/>
  <c r="K717" i="1"/>
  <c r="K720" i="1"/>
  <c r="K722" i="1"/>
  <c r="K723" i="1"/>
  <c r="K724" i="1"/>
  <c r="N19" i="14"/>
  <c r="L1044" i="22"/>
  <c r="V192" i="22"/>
  <c r="L1085" i="22"/>
  <c r="L681" i="22"/>
  <c r="P681" i="22" s="1"/>
  <c r="L1153" i="22"/>
  <c r="L1121" i="22"/>
  <c r="P1121" i="22" s="1"/>
  <c r="L1099" i="22"/>
  <c r="O1099" i="22" s="1"/>
  <c r="L507" i="22"/>
  <c r="L481" i="22"/>
  <c r="L404" i="22"/>
  <c r="P404" i="22"/>
  <c r="L415" i="22"/>
  <c r="L439" i="22"/>
  <c r="L447" i="22"/>
  <c r="L463" i="22"/>
  <c r="O463" i="22" s="1"/>
  <c r="L203" i="22"/>
  <c r="L244" i="22"/>
  <c r="L260" i="22"/>
  <c r="L305" i="22"/>
  <c r="L640" i="22"/>
  <c r="O640" i="22" s="1"/>
  <c r="L984" i="22"/>
  <c r="L1008" i="22"/>
  <c r="P1008" i="22" s="1"/>
  <c r="L1024" i="22"/>
  <c r="P1024" i="22" s="1"/>
  <c r="L325" i="22"/>
  <c r="L339" i="22"/>
  <c r="L377" i="22"/>
  <c r="L748" i="22"/>
  <c r="P748" i="22" s="1"/>
  <c r="L65" i="22"/>
  <c r="K1241" i="22"/>
  <c r="N1241" i="22" s="1"/>
  <c r="K16" i="22"/>
  <c r="K31" i="22"/>
  <c r="K64" i="22"/>
  <c r="K82" i="22"/>
  <c r="N82" i="22" s="1"/>
  <c r="K115" i="22"/>
  <c r="N115" i="22" s="1"/>
  <c r="K135" i="22"/>
  <c r="K391" i="22"/>
  <c r="N391" i="22" s="1"/>
  <c r="K442" i="22"/>
  <c r="K528" i="22"/>
  <c r="N528" i="22"/>
  <c r="K627" i="22"/>
  <c r="K662" i="22"/>
  <c r="N662" i="22" s="1"/>
  <c r="K680" i="22"/>
  <c r="K698" i="22"/>
  <c r="N698" i="22" s="1"/>
  <c r="K746" i="22"/>
  <c r="N746" i="22" s="1"/>
  <c r="K766" i="22"/>
  <c r="N766" i="22" s="1"/>
  <c r="K817" i="22"/>
  <c r="N817" i="22" s="1"/>
  <c r="K832" i="22"/>
  <c r="K987" i="22"/>
  <c r="K1095" i="22"/>
  <c r="K1183" i="22"/>
  <c r="N1183" i="22" s="1"/>
  <c r="K1214" i="22"/>
  <c r="K32" i="22"/>
  <c r="K70" i="22"/>
  <c r="K187" i="22"/>
  <c r="N187" i="22" s="1"/>
  <c r="K222" i="22"/>
  <c r="K255" i="22"/>
  <c r="N255" i="22" s="1"/>
  <c r="K288" i="22"/>
  <c r="K359" i="22"/>
  <c r="N359" i="22" s="1"/>
  <c r="K410" i="22"/>
  <c r="K443" i="22"/>
  <c r="K529" i="22"/>
  <c r="N529" i="22" s="1"/>
  <c r="K615" i="22"/>
  <c r="N615" i="22" s="1"/>
  <c r="K630" i="22"/>
  <c r="K734" i="22"/>
  <c r="K752" i="22"/>
  <c r="K767" i="22"/>
  <c r="N767" i="22" s="1"/>
  <c r="K785" i="22"/>
  <c r="N785" i="22" s="1"/>
  <c r="K937" i="22"/>
  <c r="N937" i="22" s="1"/>
  <c r="K1008" i="22"/>
  <c r="K1041" i="22"/>
  <c r="N1041" i="22" s="1"/>
  <c r="K1056" i="22"/>
  <c r="K1161" i="22"/>
  <c r="N1161" i="22" s="1"/>
  <c r="K1186" i="22"/>
  <c r="K1219" i="22"/>
  <c r="N1219" i="22" s="1"/>
  <c r="K71" i="22"/>
  <c r="K122" i="22"/>
  <c r="K137" i="22"/>
  <c r="K223" i="22"/>
  <c r="K256" i="22"/>
  <c r="K342" i="22"/>
  <c r="K497" i="22"/>
  <c r="K512" i="22"/>
  <c r="N512" i="22" s="1"/>
  <c r="K530" i="22"/>
  <c r="K563" i="22"/>
  <c r="N563" i="22" s="1"/>
  <c r="K583" i="22"/>
  <c r="K598" i="22"/>
  <c r="K634" i="22"/>
  <c r="K649" i="22"/>
  <c r="N649" i="22" s="1"/>
  <c r="K682" i="22"/>
  <c r="K702" i="22"/>
  <c r="K768" i="22"/>
  <c r="K1009" i="22"/>
  <c r="N1009" i="22" s="1"/>
  <c r="K1042" i="22"/>
  <c r="N1042" i="22" s="1"/>
  <c r="K1062" i="22"/>
  <c r="N1062" i="22" s="1"/>
  <c r="K1098" i="22"/>
  <c r="K1120" i="22"/>
  <c r="K1142" i="22"/>
  <c r="N1142" i="22" s="1"/>
  <c r="K6" i="22"/>
  <c r="K72" i="22"/>
  <c r="N72" i="22" s="1"/>
  <c r="K90" i="22"/>
  <c r="N90" i="22" s="1"/>
  <c r="K123" i="22"/>
  <c r="K191" i="22"/>
  <c r="N191" i="22" s="1"/>
  <c r="K242" i="22"/>
  <c r="N242" i="22" s="1"/>
  <c r="K310" i="22"/>
  <c r="K414" i="22"/>
  <c r="K480" i="22"/>
  <c r="K498" i="22"/>
  <c r="K518" i="22"/>
  <c r="K531" i="22"/>
  <c r="K551" i="22"/>
  <c r="N551" i="22" s="1"/>
  <c r="K670" i="22"/>
  <c r="K703" i="22"/>
  <c r="K787" i="22"/>
  <c r="K807" i="22"/>
  <c r="N807" i="22" s="1"/>
  <c r="K858" i="22"/>
  <c r="N858" i="22" s="1"/>
  <c r="K891" i="22"/>
  <c r="N891" i="22" s="1"/>
  <c r="K959" i="22"/>
  <c r="N959" i="22" s="1"/>
  <c r="K992" i="22"/>
  <c r="K1010" i="22"/>
  <c r="N1010" i="22" s="1"/>
  <c r="K1169" i="22"/>
  <c r="K7" i="22"/>
  <c r="N7" i="22" s="1"/>
  <c r="K40" i="22"/>
  <c r="K91" i="22"/>
  <c r="K126" i="22"/>
  <c r="N126" i="22" s="1"/>
  <c r="K144" i="22"/>
  <c r="K192" i="22"/>
  <c r="K263" i="22"/>
  <c r="N263" i="22" s="1"/>
  <c r="K329" i="22"/>
  <c r="K382" i="22"/>
  <c r="K400" i="22"/>
  <c r="K448" i="22"/>
  <c r="N448" i="22" s="1"/>
  <c r="K466" i="22"/>
  <c r="N466" i="22" s="1"/>
  <c r="K519" i="22"/>
  <c r="N519" i="22" s="1"/>
  <c r="K585" i="22"/>
  <c r="K704" i="22"/>
  <c r="K722" i="22"/>
  <c r="N722" i="22" s="1"/>
  <c r="K826" i="22"/>
  <c r="N826" i="22" s="1"/>
  <c r="K841" i="22"/>
  <c r="N841" i="22" s="1"/>
  <c r="K874" i="22"/>
  <c r="K927" i="22"/>
  <c r="N927" i="22" s="1"/>
  <c r="K945" i="22"/>
  <c r="K1031" i="22"/>
  <c r="N1031" i="22" s="1"/>
  <c r="K1083" i="22"/>
  <c r="K1105" i="22"/>
  <c r="K1147" i="22"/>
  <c r="K1199" i="22"/>
  <c r="N1199" i="22" s="1"/>
  <c r="K1233" i="22"/>
  <c r="K160" i="22"/>
  <c r="K264" i="22"/>
  <c r="K297" i="22"/>
  <c r="K350" i="22"/>
  <c r="N350" i="22" s="1"/>
  <c r="K368" i="22"/>
  <c r="K383" i="22"/>
  <c r="K434" i="22"/>
  <c r="N434" i="22" s="1"/>
  <c r="K454" i="22"/>
  <c r="N454" i="22" s="1"/>
  <c r="K467" i="22"/>
  <c r="K487" i="22"/>
  <c r="K520" i="22"/>
  <c r="K624" i="22"/>
  <c r="N624" i="22" s="1"/>
  <c r="K657" i="22"/>
  <c r="K743" i="22"/>
  <c r="K827" i="22"/>
  <c r="N827" i="22" s="1"/>
  <c r="K842" i="22"/>
  <c r="N842" i="22" s="1"/>
  <c r="K928" i="22"/>
  <c r="K946" i="22"/>
  <c r="K979" i="22"/>
  <c r="K999" i="22"/>
  <c r="K1014" i="22"/>
  <c r="K1050" i="22"/>
  <c r="K1087" i="22"/>
  <c r="N1087" i="22" s="1"/>
  <c r="K1129" i="22"/>
  <c r="N1129" i="22" s="1"/>
  <c r="K80" i="22"/>
  <c r="K95" i="22"/>
  <c r="K128" i="22"/>
  <c r="K146" i="22"/>
  <c r="N146" i="22" s="1"/>
  <c r="K232" i="22"/>
  <c r="K250" i="22"/>
  <c r="N250" i="22" s="1"/>
  <c r="K265" i="22"/>
  <c r="K298" i="22"/>
  <c r="K369" i="22"/>
  <c r="K455" i="22"/>
  <c r="K506" i="22"/>
  <c r="K554" i="22"/>
  <c r="K607" i="22"/>
  <c r="N607" i="22" s="1"/>
  <c r="K625" i="22"/>
  <c r="K640" i="22"/>
  <c r="N640" i="22" s="1"/>
  <c r="K678" i="22"/>
  <c r="K726" i="22"/>
  <c r="K777" i="22"/>
  <c r="K848" i="22"/>
  <c r="K863" i="22"/>
  <c r="N863" i="22" s="1"/>
  <c r="K934" i="22"/>
  <c r="N934" i="22" s="1"/>
  <c r="K947" i="22"/>
  <c r="K1066" i="22"/>
  <c r="N1066" i="22" s="1"/>
  <c r="K1088" i="22"/>
  <c r="N1088" i="22" s="1"/>
  <c r="K1130" i="22"/>
  <c r="K1152" i="22"/>
  <c r="N1152" i="22" s="1"/>
  <c r="K1175" i="22"/>
  <c r="N1175" i="22"/>
  <c r="K1207" i="22"/>
  <c r="N1207" i="22" s="1"/>
  <c r="K30" i="22"/>
  <c r="K48" i="22"/>
  <c r="K134" i="22"/>
  <c r="N134" i="22" s="1"/>
  <c r="K218" i="22"/>
  <c r="K286" i="22"/>
  <c r="K319" i="22"/>
  <c r="K337" i="22"/>
  <c r="N337" i="22" s="1"/>
  <c r="K390" i="22"/>
  <c r="N390" i="22" s="1"/>
  <c r="K423" i="22"/>
  <c r="K456" i="22"/>
  <c r="K474" i="22"/>
  <c r="N474" i="22" s="1"/>
  <c r="K507" i="22"/>
  <c r="N507" i="22" s="1"/>
  <c r="K542" i="22"/>
  <c r="N542" i="22" s="1"/>
  <c r="K560" i="22"/>
  <c r="K593" i="22"/>
  <c r="N593" i="22" s="1"/>
  <c r="K679" i="22"/>
  <c r="K694" i="22"/>
  <c r="N694" i="22" s="1"/>
  <c r="K816" i="22"/>
  <c r="N816" i="22" s="1"/>
  <c r="K831" i="22"/>
  <c r="N831" i="22" s="1"/>
  <c r="K902" i="22"/>
  <c r="K968" i="22"/>
  <c r="K986" i="22"/>
  <c r="K1019" i="22"/>
  <c r="K1034" i="22"/>
  <c r="N1034" i="22" s="1"/>
  <c r="K1054" i="22"/>
  <c r="N1054" i="22" s="1"/>
  <c r="K1094" i="22"/>
  <c r="K1114" i="22"/>
  <c r="N1114" i="22" s="1"/>
  <c r="K1211" i="22"/>
  <c r="K1234" i="22"/>
  <c r="K1096" i="22"/>
  <c r="K1138" i="22"/>
  <c r="K1150" i="22"/>
  <c r="K1160" i="22"/>
  <c r="N1160" i="22"/>
  <c r="K1171" i="22"/>
  <c r="K1198" i="22"/>
  <c r="N1198" i="22" s="1"/>
  <c r="K1235" i="22"/>
  <c r="N1235" i="22" s="1"/>
  <c r="K11" i="22"/>
  <c r="N11" i="22" s="1"/>
  <c r="K97" i="22"/>
  <c r="K119" i="22"/>
  <c r="N119" i="22" s="1"/>
  <c r="K129" i="22"/>
  <c r="N129" i="22" s="1"/>
  <c r="K151" i="22"/>
  <c r="K161" i="22"/>
  <c r="K183" i="22"/>
  <c r="N183" i="22" s="1"/>
  <c r="K225" i="22"/>
  <c r="K235" i="22"/>
  <c r="K257" i="22"/>
  <c r="K289" i="22"/>
  <c r="K331" i="22"/>
  <c r="K385" i="22"/>
  <c r="K395" i="22"/>
  <c r="N395" i="22" s="1"/>
  <c r="K427" i="22"/>
  <c r="N427" i="22" s="1"/>
  <c r="K439" i="22"/>
  <c r="N439" i="22" s="1"/>
  <c r="K449" i="22"/>
  <c r="K459" i="22"/>
  <c r="N459" i="22" s="1"/>
  <c r="K471" i="22"/>
  <c r="K491" i="22"/>
  <c r="K513" i="22"/>
  <c r="N513" i="22" s="1"/>
  <c r="K577" i="22"/>
  <c r="K619" i="22"/>
  <c r="N619" i="22" s="1"/>
  <c r="K651" i="22"/>
  <c r="K663" i="22"/>
  <c r="N663" i="22" s="1"/>
  <c r="K673" i="22"/>
  <c r="N673" i="22" s="1"/>
  <c r="K695" i="22"/>
  <c r="K715" i="22"/>
  <c r="N715" i="22" s="1"/>
  <c r="K727" i="22"/>
  <c r="K737" i="22"/>
  <c r="K769" i="22"/>
  <c r="N769" i="22" s="1"/>
  <c r="K779" i="22"/>
  <c r="K811" i="22"/>
  <c r="K823" i="22"/>
  <c r="K855" i="22"/>
  <c r="N855" i="22" s="1"/>
  <c r="K939" i="22"/>
  <c r="K961" i="22"/>
  <c r="N961" i="22" s="1"/>
  <c r="K971" i="22"/>
  <c r="K983" i="22"/>
  <c r="K1003" i="22"/>
  <c r="K1015" i="22"/>
  <c r="N1015" i="22" s="1"/>
  <c r="K1025" i="22"/>
  <c r="N1025" i="22" s="1"/>
  <c r="K1047" i="22"/>
  <c r="N1047" i="22" s="1"/>
  <c r="K1057" i="22"/>
  <c r="N1057" i="22" s="1"/>
  <c r="K1067" i="22"/>
  <c r="K1099" i="22"/>
  <c r="K1111" i="22"/>
  <c r="K1177" i="22"/>
  <c r="K1190" i="22"/>
  <c r="K1237" i="22"/>
  <c r="N1237" i="22" s="1"/>
  <c r="K1213" i="22"/>
  <c r="N1213" i="22" s="1"/>
  <c r="K1205" i="22"/>
  <c r="K1189" i="22"/>
  <c r="K1181" i="22"/>
  <c r="N1181" i="22" s="1"/>
  <c r="K1165" i="22"/>
  <c r="N1165" i="22" s="1"/>
  <c r="K1157" i="22"/>
  <c r="N1157" i="22" s="1"/>
  <c r="K1125" i="22"/>
  <c r="K1109" i="22"/>
  <c r="K1077" i="22"/>
  <c r="K1069" i="22"/>
  <c r="K1061" i="22"/>
  <c r="K1045" i="22"/>
  <c r="K1037" i="22"/>
  <c r="K989" i="22"/>
  <c r="K957" i="22"/>
  <c r="K949" i="22"/>
  <c r="K941" i="22"/>
  <c r="K925" i="22"/>
  <c r="N925" i="22" s="1"/>
  <c r="K917" i="22"/>
  <c r="N917" i="22" s="1"/>
  <c r="K893" i="22"/>
  <c r="N893" i="22" s="1"/>
  <c r="K869" i="22"/>
  <c r="K861" i="22"/>
  <c r="N861" i="22" s="1"/>
  <c r="K821" i="22"/>
  <c r="K813" i="22"/>
  <c r="K797" i="22"/>
  <c r="K789" i="22"/>
  <c r="K781" i="22"/>
  <c r="N781" i="22" s="1"/>
  <c r="K757" i="22"/>
  <c r="N757" i="22" s="1"/>
  <c r="K733" i="22"/>
  <c r="N733" i="22" s="1"/>
  <c r="K725" i="22"/>
  <c r="K669" i="22"/>
  <c r="K653" i="22"/>
  <c r="K637" i="22"/>
  <c r="K629" i="22"/>
  <c r="N629" i="22" s="1"/>
  <c r="K621" i="22"/>
  <c r="N621" i="22" s="1"/>
  <c r="K613" i="22"/>
  <c r="N613" i="22" s="1"/>
  <c r="K605" i="22"/>
  <c r="K589" i="22"/>
  <c r="K581" i="22"/>
  <c r="K565" i="22"/>
  <c r="N565" i="22" s="1"/>
  <c r="K549" i="22"/>
  <c r="K477" i="22"/>
  <c r="K469" i="22"/>
  <c r="K453" i="22"/>
  <c r="N453" i="22" s="1"/>
  <c r="K437" i="22"/>
  <c r="K429" i="22"/>
  <c r="K413" i="22"/>
  <c r="K405" i="22"/>
  <c r="K397" i="22"/>
  <c r="K389" i="22"/>
  <c r="K381" i="22"/>
  <c r="N381" i="22" s="1"/>
  <c r="K373" i="22"/>
  <c r="K349" i="22"/>
  <c r="N349" i="22" s="1"/>
  <c r="K333" i="22"/>
  <c r="N333" i="22" s="1"/>
  <c r="K293" i="22"/>
  <c r="N293" i="22" s="1"/>
  <c r="K261" i="22"/>
  <c r="K253" i="22"/>
  <c r="K245" i="22"/>
  <c r="N245" i="22" s="1"/>
  <c r="K237" i="22"/>
  <c r="K229" i="22"/>
  <c r="N229" i="22" s="1"/>
  <c r="K221" i="22"/>
  <c r="N221" i="22" s="1"/>
  <c r="K213" i="22"/>
  <c r="N213" i="22" s="1"/>
  <c r="K197" i="22"/>
  <c r="N197" i="22" s="1"/>
  <c r="K157" i="22"/>
  <c r="K141" i="22"/>
  <c r="N141" i="22" s="1"/>
  <c r="K117" i="22"/>
  <c r="N117" i="22" s="1"/>
  <c r="K109" i="22"/>
  <c r="K101" i="22"/>
  <c r="N101" i="22" s="1"/>
  <c r="K93" i="22"/>
  <c r="K69" i="22"/>
  <c r="K53" i="22"/>
  <c r="K37" i="22"/>
  <c r="N37" i="22" s="1"/>
  <c r="K5" i="22"/>
  <c r="N5" i="22" s="1"/>
  <c r="K1244" i="22"/>
  <c r="K1228" i="22"/>
  <c r="N1228" i="22" s="1"/>
  <c r="K1220" i="22"/>
  <c r="K1188" i="22"/>
  <c r="N1188" i="22" s="1"/>
  <c r="K1180" i="22"/>
  <c r="K1164" i="22"/>
  <c r="K1156" i="22"/>
  <c r="K1148" i="22"/>
  <c r="K1140" i="22"/>
  <c r="K1124" i="22"/>
  <c r="K1100" i="22"/>
  <c r="K1092" i="22"/>
  <c r="K1068" i="22"/>
  <c r="K1060" i="22"/>
  <c r="N1060" i="22" s="1"/>
  <c r="K1028" i="22"/>
  <c r="N1028" i="22" s="1"/>
  <c r="K1020" i="22"/>
  <c r="N1020" i="22" s="1"/>
  <c r="K1012" i="22"/>
  <c r="K996" i="22"/>
  <c r="K988" i="22"/>
  <c r="N988" i="22" s="1"/>
  <c r="K980" i="22"/>
  <c r="N980" i="22" s="1"/>
  <c r="K964" i="22"/>
  <c r="N964" i="22" s="1"/>
  <c r="K948" i="22"/>
  <c r="N948" i="22" s="1"/>
  <c r="K940" i="22"/>
  <c r="N940" i="22" s="1"/>
  <c r="K924" i="22"/>
  <c r="N924" i="22" s="1"/>
  <c r="K852" i="22"/>
  <c r="N852" i="22" s="1"/>
  <c r="K844" i="22"/>
  <c r="N844" i="22" s="1"/>
  <c r="K836" i="22"/>
  <c r="N836" i="22" s="1"/>
  <c r="K828" i="22"/>
  <c r="N828" i="22" s="1"/>
  <c r="K820" i="22"/>
  <c r="K804" i="22"/>
  <c r="N804" i="22" s="1"/>
  <c r="K788" i="22"/>
  <c r="K772" i="22"/>
  <c r="N772" i="22" s="1"/>
  <c r="K764" i="22"/>
  <c r="N764" i="22" s="1"/>
  <c r="K756" i="22"/>
  <c r="N756" i="22" s="1"/>
  <c r="K748" i="22"/>
  <c r="K724" i="22"/>
  <c r="K716" i="22"/>
  <c r="K660" i="22"/>
  <c r="K652" i="22"/>
  <c r="N652" i="22" s="1"/>
  <c r="K636" i="22"/>
  <c r="K620" i="22"/>
  <c r="K612" i="22"/>
  <c r="N612" i="22" s="1"/>
  <c r="K596" i="22"/>
  <c r="N596" i="22" s="1"/>
  <c r="K588" i="22"/>
  <c r="N588" i="22" s="1"/>
  <c r="K580" i="22"/>
  <c r="N580" i="22" s="1"/>
  <c r="K572" i="22"/>
  <c r="N572" i="22" s="1"/>
  <c r="K548" i="22"/>
  <c r="N548" i="22" s="1"/>
  <c r="K540" i="22"/>
  <c r="K508" i="22"/>
  <c r="K492" i="22"/>
  <c r="N492" i="22" s="1"/>
  <c r="K460" i="22"/>
  <c r="N460" i="22" s="1"/>
  <c r="K452" i="22"/>
  <c r="K444" i="22"/>
  <c r="N444" i="22" s="1"/>
  <c r="K436" i="22"/>
  <c r="K412" i="22"/>
  <c r="K404" i="22"/>
  <c r="K380" i="22"/>
  <c r="N380" i="22" s="1"/>
  <c r="K364" i="22"/>
  <c r="K340" i="22"/>
  <c r="K332" i="22"/>
  <c r="N332" i="22" s="1"/>
  <c r="K324" i="22"/>
  <c r="N324" i="22" s="1"/>
  <c r="K308" i="22"/>
  <c r="K300" i="22"/>
  <c r="K284" i="22"/>
  <c r="K236" i="22"/>
  <c r="K228" i="22"/>
  <c r="N228" i="22" s="1"/>
  <c r="K220" i="22"/>
  <c r="N220" i="22" s="1"/>
  <c r="K204" i="22"/>
  <c r="N204" i="22" s="1"/>
  <c r="K196" i="22"/>
  <c r="N196" i="22" s="1"/>
  <c r="K180" i="22"/>
  <c r="N180" i="22" s="1"/>
  <c r="K172" i="22"/>
  <c r="N172" i="22" s="1"/>
  <c r="K148" i="22"/>
  <c r="N148" i="22" s="1"/>
  <c r="K140" i="22"/>
  <c r="N140" i="22" s="1"/>
  <c r="K116" i="22"/>
  <c r="K100" i="22"/>
  <c r="N100" i="22" s="1"/>
  <c r="K92" i="22"/>
  <c r="K84" i="22"/>
  <c r="K76" i="22"/>
  <c r="K44" i="22"/>
  <c r="K36" i="22"/>
  <c r="K12" i="22"/>
  <c r="N12" i="22" s="1"/>
  <c r="K4" i="22"/>
  <c r="K1216" i="22"/>
  <c r="N1216" i="22" s="1"/>
  <c r="K1208" i="22"/>
  <c r="K1192" i="22"/>
  <c r="N1192" i="22" s="1"/>
  <c r="K1184" i="22"/>
  <c r="K1176" i="22"/>
  <c r="K1168" i="22"/>
  <c r="N1168" i="22" s="1"/>
  <c r="K14" i="22"/>
  <c r="N14" i="22" s="1"/>
  <c r="K24" i="22"/>
  <c r="K34" i="22"/>
  <c r="N34" i="22" s="1"/>
  <c r="K56" i="22"/>
  <c r="N56" i="22" s="1"/>
  <c r="K130" i="22"/>
  <c r="K152" i="22"/>
  <c r="K174" i="22"/>
  <c r="N174" i="22" s="1"/>
  <c r="K184" i="22"/>
  <c r="N184" i="22" s="1"/>
  <c r="K194" i="22"/>
  <c r="N194" i="22" s="1"/>
  <c r="K206" i="22"/>
  <c r="K216" i="22"/>
  <c r="K238" i="22"/>
  <c r="K258" i="22"/>
  <c r="N258" i="22" s="1"/>
  <c r="K270" i="22"/>
  <c r="N270" i="22" s="1"/>
  <c r="K290" i="22"/>
  <c r="N290" i="22" s="1"/>
  <c r="K302" i="22"/>
  <c r="K322" i="22"/>
  <c r="K334" i="22"/>
  <c r="N334" i="22" s="1"/>
  <c r="K398" i="22"/>
  <c r="K430" i="22"/>
  <c r="N430" i="22" s="1"/>
  <c r="K440" i="22"/>
  <c r="K450" i="22"/>
  <c r="K472" i="22"/>
  <c r="K482" i="22"/>
  <c r="K494" i="22"/>
  <c r="N494" i="22" s="1"/>
  <c r="K504" i="22"/>
  <c r="K514" i="22"/>
  <c r="K526" i="22"/>
  <c r="N526" i="22" s="1"/>
  <c r="K546" i="22"/>
  <c r="K558" i="22"/>
  <c r="N558" i="22" s="1"/>
  <c r="K622" i="22"/>
  <c r="K632" i="22"/>
  <c r="K674" i="22"/>
  <c r="K686" i="22"/>
  <c r="K696" i="22"/>
  <c r="K706" i="22"/>
  <c r="N706" i="22"/>
  <c r="K718" i="22"/>
  <c r="N718" i="22" s="1"/>
  <c r="K728" i="22"/>
  <c r="N728" i="22" s="1"/>
  <c r="K738" i="22"/>
  <c r="K792" i="22"/>
  <c r="K824" i="22"/>
  <c r="K846" i="22"/>
  <c r="K856" i="22"/>
  <c r="N856" i="22" s="1"/>
  <c r="K866" i="22"/>
  <c r="N866" i="22" s="1"/>
  <c r="K878" i="22"/>
  <c r="K910" i="22"/>
  <c r="K930" i="22"/>
  <c r="K942" i="22"/>
  <c r="N942" i="22" s="1"/>
  <c r="K962" i="22"/>
  <c r="K974" i="22"/>
  <c r="K1006" i="22"/>
  <c r="N1006" i="22" s="1"/>
  <c r="K1038" i="22"/>
  <c r="N1038" i="22" s="1"/>
  <c r="K1048" i="22"/>
  <c r="K1070" i="22"/>
  <c r="N1070" i="22" s="1"/>
  <c r="K1080" i="22"/>
  <c r="K1090" i="22"/>
  <c r="N1090" i="22" s="1"/>
  <c r="K1102" i="22"/>
  <c r="K1112" i="22"/>
  <c r="N1112" i="22" s="1"/>
  <c r="K1134" i="22"/>
  <c r="N1134" i="22" s="1"/>
  <c r="K1166" i="22"/>
  <c r="K1191" i="22"/>
  <c r="K1203" i="22"/>
  <c r="K1217" i="22"/>
  <c r="K15" i="22"/>
  <c r="K25" i="22"/>
  <c r="K47" i="22"/>
  <c r="N47" i="22" s="1"/>
  <c r="K67" i="22"/>
  <c r="N67" i="22" s="1"/>
  <c r="K79" i="22"/>
  <c r="K89" i="22"/>
  <c r="N89" i="22" s="1"/>
  <c r="K111" i="22"/>
  <c r="K121" i="22"/>
  <c r="K131" i="22"/>
  <c r="N131" i="22" s="1"/>
  <c r="K153" i="22"/>
  <c r="K185" i="22"/>
  <c r="N185" i="22" s="1"/>
  <c r="K207" i="22"/>
  <c r="K239" i="22"/>
  <c r="K249" i="22"/>
  <c r="N249" i="22" s="1"/>
  <c r="K281" i="22"/>
  <c r="N281" i="22" s="1"/>
  <c r="K291" i="22"/>
  <c r="N291" i="22" s="1"/>
  <c r="K303" i="22"/>
  <c r="N303" i="22" s="1"/>
  <c r="K313" i="22"/>
  <c r="K323" i="22"/>
  <c r="K345" i="22"/>
  <c r="N345" i="22" s="1"/>
  <c r="K355" i="22"/>
  <c r="K367" i="22"/>
  <c r="K377" i="22"/>
  <c r="K387" i="22"/>
  <c r="N387" i="22" s="1"/>
  <c r="K463" i="22"/>
  <c r="K473" i="22"/>
  <c r="N473" i="22" s="1"/>
  <c r="K495" i="22"/>
  <c r="K505" i="22"/>
  <c r="K515" i="22"/>
  <c r="K537" i="22"/>
  <c r="K547" i="22"/>
  <c r="N547" i="22" s="1"/>
  <c r="K559" i="22"/>
  <c r="N559" i="22" s="1"/>
  <c r="K579" i="22"/>
  <c r="N579" i="22" s="1"/>
  <c r="K591" i="22"/>
  <c r="K601" i="22"/>
  <c r="N601" i="22" s="1"/>
  <c r="K633" i="22"/>
  <c r="K643" i="22"/>
  <c r="N643" i="22" s="1"/>
  <c r="K655" i="22"/>
  <c r="K707" i="22"/>
  <c r="N707" i="22" s="1"/>
  <c r="K729" i="22"/>
  <c r="N729" i="22" s="1"/>
  <c r="K751" i="22"/>
  <c r="N751" i="22" s="1"/>
  <c r="K761" i="22"/>
  <c r="N761" i="22" s="1"/>
  <c r="K771" i="22"/>
  <c r="N771" i="22" s="1"/>
  <c r="K793" i="22"/>
  <c r="K803" i="22"/>
  <c r="N803" i="22" s="1"/>
  <c r="K815" i="22"/>
  <c r="N815" i="22" s="1"/>
  <c r="K835" i="22"/>
  <c r="N835" i="22" s="1"/>
  <c r="K847" i="22"/>
  <c r="N847" i="22" s="1"/>
  <c r="K857" i="22"/>
  <c r="N857" i="22" s="1"/>
  <c r="K867" i="22"/>
  <c r="N867" i="22" s="1"/>
  <c r="K889" i="22"/>
  <c r="N889" i="22" s="1"/>
  <c r="K899" i="22"/>
  <c r="N899" i="22" s="1"/>
  <c r="K963" i="22"/>
  <c r="N963" i="22" s="1"/>
  <c r="K975" i="22"/>
  <c r="K985" i="22"/>
  <c r="N985" i="22" s="1"/>
  <c r="K995" i="22"/>
  <c r="K1007" i="22"/>
  <c r="N1007" i="22" s="1"/>
  <c r="K1027" i="22"/>
  <c r="N1027" i="22" s="1"/>
  <c r="K1039" i="22"/>
  <c r="K1049" i="22"/>
  <c r="N1049" i="22" s="1"/>
  <c r="K1059" i="22"/>
  <c r="N1059" i="22" s="1"/>
  <c r="K1091" i="22"/>
  <c r="N1091" i="22" s="1"/>
  <c r="K1103" i="22"/>
  <c r="N1103" i="22" s="1"/>
  <c r="K1135" i="22"/>
  <c r="K1145" i="22"/>
  <c r="N1145" i="22" s="1"/>
  <c r="K1179" i="22"/>
  <c r="K1193" i="22"/>
  <c r="K1218" i="22"/>
  <c r="K1231" i="22"/>
  <c r="N256" i="22"/>
  <c r="N70" i="22"/>
  <c r="N222" i="22"/>
  <c r="N620" i="22"/>
  <c r="N748" i="22"/>
  <c r="N589" i="22"/>
  <c r="N1037" i="22"/>
  <c r="N983" i="22"/>
  <c r="N971" i="22"/>
  <c r="N6" i="22"/>
  <c r="N1008" i="22"/>
  <c r="N581" i="22"/>
  <c r="N477" i="22"/>
  <c r="N704" i="22"/>
  <c r="N531" i="22"/>
  <c r="N632" i="22"/>
  <c r="N1191" i="22"/>
  <c r="N377" i="22"/>
  <c r="N207" i="22"/>
  <c r="N121" i="22"/>
  <c r="N625" i="22"/>
  <c r="N144" i="22"/>
  <c r="N518" i="22"/>
  <c r="N288" i="22"/>
  <c r="N813" i="22"/>
  <c r="N1111" i="22"/>
  <c r="N848" i="22"/>
  <c r="N48" i="22"/>
  <c r="N130" i="22"/>
  <c r="N1099" i="22"/>
  <c r="N161" i="22"/>
  <c r="N382" i="22"/>
  <c r="P640" i="22"/>
  <c r="C54" i="47"/>
  <c r="J227" i="33"/>
  <c r="E227" i="33"/>
  <c r="F227" i="33"/>
  <c r="D47" i="47"/>
  <c r="D35" i="47"/>
  <c r="D41" i="47"/>
  <c r="L35" i="59"/>
  <c r="F38" i="59"/>
  <c r="N15" i="31"/>
  <c r="H28" i="31"/>
  <c r="H29" i="31"/>
  <c r="J29" i="31"/>
  <c r="F27" i="31"/>
  <c r="N16" i="31"/>
  <c r="C26" i="31"/>
  <c r="H25" i="31"/>
  <c r="K29" i="31"/>
  <c r="N9" i="31"/>
  <c r="K28" i="31"/>
  <c r="N8" i="31"/>
  <c r="K27" i="31"/>
  <c r="N7" i="31"/>
  <c r="K26" i="31"/>
  <c r="N6" i="31"/>
  <c r="K25" i="31"/>
  <c r="N5" i="31"/>
  <c r="K24" i="31"/>
  <c r="N4" i="31"/>
  <c r="K23" i="31"/>
  <c r="N3" i="31"/>
  <c r="I27" i="31"/>
  <c r="E28" i="31"/>
  <c r="G28" i="31"/>
  <c r="I28" i="31"/>
  <c r="J28" i="31"/>
  <c r="D29" i="31"/>
  <c r="E29" i="31"/>
  <c r="G29" i="31"/>
  <c r="N17" i="31"/>
  <c r="N18" i="31"/>
  <c r="N19" i="31"/>
  <c r="N13" i="31"/>
  <c r="D23" i="31"/>
  <c r="E23" i="31"/>
  <c r="F23" i="31"/>
  <c r="G23" i="31"/>
  <c r="H23" i="31"/>
  <c r="I23" i="31"/>
  <c r="J23" i="31"/>
  <c r="D24" i="31"/>
  <c r="E24" i="31"/>
  <c r="F24" i="31"/>
  <c r="G24" i="31"/>
  <c r="H24" i="31"/>
  <c r="I24" i="31"/>
  <c r="J24" i="31"/>
  <c r="D25" i="31"/>
  <c r="E25" i="31"/>
  <c r="F25" i="31"/>
  <c r="G25" i="31"/>
  <c r="I25" i="31"/>
  <c r="J25" i="31"/>
  <c r="D26" i="31"/>
  <c r="E26" i="31"/>
  <c r="F26" i="31"/>
  <c r="G26" i="31"/>
  <c r="H26" i="31"/>
  <c r="I26" i="31"/>
  <c r="J26" i="31"/>
  <c r="D27" i="31"/>
  <c r="G27" i="31"/>
  <c r="J27" i="31"/>
  <c r="D28" i="31"/>
  <c r="F28" i="31"/>
  <c r="F29" i="31"/>
  <c r="I29" i="31"/>
  <c r="L300" i="22" l="1"/>
  <c r="O625" i="22"/>
  <c r="L386" i="22"/>
  <c r="P386" i="22" s="1"/>
  <c r="L1149" i="22"/>
  <c r="L940" i="22"/>
  <c r="L370" i="22"/>
  <c r="P370" i="22" s="1"/>
  <c r="L1165" i="22"/>
  <c r="O1165" i="22" s="1"/>
  <c r="V591" i="22"/>
  <c r="AD591" i="22" s="1"/>
  <c r="O339" i="22"/>
  <c r="N1109" i="22"/>
  <c r="L1036" i="22"/>
  <c r="L785" i="22"/>
  <c r="P785" i="22" s="1"/>
  <c r="L371" i="22"/>
  <c r="P371" i="22" s="1"/>
  <c r="L362" i="22"/>
  <c r="P362" i="22" s="1"/>
  <c r="L188" i="22"/>
  <c r="N598" i="22"/>
  <c r="L1045" i="22"/>
  <c r="L354" i="22"/>
  <c r="L690" i="22"/>
  <c r="N355" i="22"/>
  <c r="L1070" i="22"/>
  <c r="L653" i="22"/>
  <c r="P653" i="22" s="1"/>
  <c r="L226" i="22"/>
  <c r="P226" i="22" s="1"/>
  <c r="L286" i="22"/>
  <c r="P286" i="22" s="1"/>
  <c r="L1100" i="22"/>
  <c r="N869" i="22"/>
  <c r="L820" i="22"/>
  <c r="O820" i="22" s="1"/>
  <c r="L641" i="22"/>
  <c r="L847" i="22"/>
  <c r="L280" i="22"/>
  <c r="L262" i="22"/>
  <c r="L972" i="22"/>
  <c r="L1203" i="22"/>
  <c r="P1203" i="22" s="1"/>
  <c r="O452" i="22"/>
  <c r="N1164" i="22"/>
  <c r="L627" i="22"/>
  <c r="L725" i="22"/>
  <c r="P725" i="22" s="1"/>
  <c r="L827" i="22"/>
  <c r="L418" i="22"/>
  <c r="L275" i="22"/>
  <c r="V265" i="22"/>
  <c r="P265" i="22"/>
  <c r="P136" i="22"/>
  <c r="N1244" i="22"/>
  <c r="L67" i="22"/>
  <c r="L304" i="22"/>
  <c r="P304" i="22" s="1"/>
  <c r="L809" i="22"/>
  <c r="L654" i="22"/>
  <c r="L967" i="22"/>
  <c r="P967" i="22" s="1"/>
  <c r="L771" i="22"/>
  <c r="P771" i="22" s="1"/>
  <c r="V714" i="22"/>
  <c r="P714" i="22"/>
  <c r="N79" i="22"/>
  <c r="L911" i="22"/>
  <c r="L819" i="22"/>
  <c r="N471" i="22"/>
  <c r="N398" i="22"/>
  <c r="L812" i="22"/>
  <c r="P812" i="22" s="1"/>
  <c r="L603" i="22"/>
  <c r="P603" i="22" s="1"/>
  <c r="L799" i="22"/>
  <c r="P799" i="22" s="1"/>
  <c r="L272" i="22"/>
  <c r="P272" i="22" s="1"/>
  <c r="L222" i="22"/>
  <c r="O222" i="22" s="1"/>
  <c r="L547" i="22"/>
  <c r="O547" i="22" s="1"/>
  <c r="L693" i="22"/>
  <c r="V1177" i="22"/>
  <c r="AD1177" i="22" s="1"/>
  <c r="N1177" i="22"/>
  <c r="V1109" i="22"/>
  <c r="O1109" i="22"/>
  <c r="V227" i="22"/>
  <c r="P227" i="22"/>
  <c r="V167" i="22"/>
  <c r="V253" i="22"/>
  <c r="L97" i="22"/>
  <c r="O3" i="22"/>
  <c r="V65" i="22"/>
  <c r="P65" i="22"/>
  <c r="L1243" i="22"/>
  <c r="L786" i="22"/>
  <c r="P786" i="22" s="1"/>
  <c r="L838" i="22"/>
  <c r="L572" i="22"/>
  <c r="O572" i="22" s="1"/>
  <c r="L489" i="22"/>
  <c r="L27" i="22"/>
  <c r="P27" i="22" s="1"/>
  <c r="L1185" i="22"/>
  <c r="P1185" i="22" s="1"/>
  <c r="L1162" i="22"/>
  <c r="P1162" i="22" s="1"/>
  <c r="L982" i="22"/>
  <c r="P982" i="22" s="1"/>
  <c r="L252" i="22"/>
  <c r="P252" i="22" s="1"/>
  <c r="L1215" i="22"/>
  <c r="L861" i="22"/>
  <c r="P861" i="22" s="1"/>
  <c r="L126" i="22"/>
  <c r="L422" i="22"/>
  <c r="L670" i="22"/>
  <c r="P670" i="22" s="1"/>
  <c r="L519" i="22"/>
  <c r="P519" i="22" s="1"/>
  <c r="L96" i="22"/>
  <c r="L50" i="22"/>
  <c r="L290" i="22"/>
  <c r="O290" i="22" s="1"/>
  <c r="L578" i="22"/>
  <c r="L317" i="22"/>
  <c r="O317" i="22" s="1"/>
  <c r="L735" i="22"/>
  <c r="L943" i="22"/>
  <c r="L384" i="22"/>
  <c r="P384" i="22" s="1"/>
  <c r="L760" i="22"/>
  <c r="L1032" i="22"/>
  <c r="L424" i="22"/>
  <c r="L761" i="22"/>
  <c r="L961" i="22"/>
  <c r="L441" i="22"/>
  <c r="P441" i="22" s="1"/>
  <c r="L740" i="22"/>
  <c r="L1009" i="22"/>
  <c r="O1009" i="22" s="1"/>
  <c r="L605" i="22"/>
  <c r="P605" i="22" s="1"/>
  <c r="L1034" i="22"/>
  <c r="L1124" i="22"/>
  <c r="P1124" i="22" s="1"/>
  <c r="L1096" i="22"/>
  <c r="O1096" i="22" s="1"/>
  <c r="L92" i="22"/>
  <c r="P92" i="22" s="1"/>
  <c r="L1192" i="22"/>
  <c r="P1192" i="22" s="1"/>
  <c r="L1109" i="22"/>
  <c r="P1109" i="22" s="1"/>
  <c r="L939" i="22"/>
  <c r="L947" i="22"/>
  <c r="P947" i="22" s="1"/>
  <c r="L43" i="22"/>
  <c r="O43" i="22" s="1"/>
  <c r="L1159" i="22"/>
  <c r="L781" i="22"/>
  <c r="L93" i="22"/>
  <c r="L214" i="22"/>
  <c r="L454" i="22"/>
  <c r="L39" i="22"/>
  <c r="P39" i="22" s="1"/>
  <c r="L287" i="22"/>
  <c r="L567" i="22"/>
  <c r="L136" i="22"/>
  <c r="L90" i="22"/>
  <c r="O90" i="22" s="1"/>
  <c r="L618" i="22"/>
  <c r="P618" i="22" s="1"/>
  <c r="L381" i="22"/>
  <c r="L767" i="22"/>
  <c r="L991" i="22"/>
  <c r="L473" i="22"/>
  <c r="L816" i="22"/>
  <c r="L17" i="22"/>
  <c r="P17" i="22" s="1"/>
  <c r="L525" i="22"/>
  <c r="L801" i="22"/>
  <c r="L25" i="22"/>
  <c r="P25" i="22" s="1"/>
  <c r="L505" i="22"/>
  <c r="P505" i="22" s="1"/>
  <c r="L764" i="22"/>
  <c r="L915" i="22"/>
  <c r="L427" i="22"/>
  <c r="O427" i="22" s="1"/>
  <c r="L368" i="22"/>
  <c r="L974" i="22"/>
  <c r="L596" i="22"/>
  <c r="L950" i="22"/>
  <c r="L1209" i="22"/>
  <c r="P1209" i="22" s="1"/>
  <c r="L964" i="22"/>
  <c r="L698" i="22"/>
  <c r="L337" i="22"/>
  <c r="L1183" i="22"/>
  <c r="L717" i="22"/>
  <c r="L173" i="22"/>
  <c r="L270" i="22"/>
  <c r="L574" i="22"/>
  <c r="O574" i="22" s="1"/>
  <c r="L167" i="22"/>
  <c r="O167" i="22" s="1"/>
  <c r="L479" i="22"/>
  <c r="P479" i="22" s="1"/>
  <c r="L104" i="22"/>
  <c r="P104" i="22" s="1"/>
  <c r="L122" i="22"/>
  <c r="L402" i="22"/>
  <c r="L33" i="22"/>
  <c r="L600" i="22"/>
  <c r="P600" i="22" s="1"/>
  <c r="L895" i="22"/>
  <c r="L768" i="22"/>
  <c r="P768" i="22" s="1"/>
  <c r="L59" i="22"/>
  <c r="L857" i="22"/>
  <c r="L313" i="22"/>
  <c r="P313" i="22" s="1"/>
  <c r="L659" i="22"/>
  <c r="P659" i="22" s="1"/>
  <c r="L1206" i="22"/>
  <c r="P1206" i="22" s="1"/>
  <c r="L988" i="22"/>
  <c r="L401" i="22"/>
  <c r="L1069" i="22"/>
  <c r="O1069" i="22" s="1"/>
  <c r="L1107" i="22"/>
  <c r="L770" i="22"/>
  <c r="P770" i="22" s="1"/>
  <c r="L1226" i="22"/>
  <c r="P1226" i="22" s="1"/>
  <c r="L84" i="22"/>
  <c r="P84" i="22" s="1"/>
  <c r="L1127" i="22"/>
  <c r="L429" i="22"/>
  <c r="P429" i="22" s="1"/>
  <c r="L205" i="22"/>
  <c r="O205" i="22" s="1"/>
  <c r="L318" i="22"/>
  <c r="L622" i="22"/>
  <c r="L183" i="22"/>
  <c r="P183" i="22" s="1"/>
  <c r="L535" i="22"/>
  <c r="L176" i="22"/>
  <c r="L194" i="22"/>
  <c r="P194" i="22" s="1"/>
  <c r="L458" i="22"/>
  <c r="L180" i="22"/>
  <c r="L637" i="22"/>
  <c r="L919" i="22"/>
  <c r="P919" i="22" s="1"/>
  <c r="L409" i="22"/>
  <c r="L832" i="22"/>
  <c r="L209" i="22"/>
  <c r="O209" i="22" s="1"/>
  <c r="L628" i="22"/>
  <c r="P628" i="22" s="1"/>
  <c r="L913" i="22"/>
  <c r="L364" i="22"/>
  <c r="P364" i="22" s="1"/>
  <c r="L716" i="22"/>
  <c r="L1166" i="22"/>
  <c r="P1166" i="22" s="1"/>
  <c r="L890" i="22"/>
  <c r="L971" i="22"/>
  <c r="P971" i="22" s="1"/>
  <c r="L1180" i="22"/>
  <c r="O1180" i="22" s="1"/>
  <c r="L1144" i="22"/>
  <c r="L1164" i="22"/>
  <c r="L882" i="22"/>
  <c r="L1022" i="22"/>
  <c r="P1022" i="22" s="1"/>
  <c r="L830" i="22"/>
  <c r="P830" i="22" s="1"/>
  <c r="L1079" i="22"/>
  <c r="P1079" i="22" s="1"/>
  <c r="L301" i="22"/>
  <c r="L142" i="22"/>
  <c r="L486" i="22"/>
  <c r="P486" i="22" s="1"/>
  <c r="L151" i="22"/>
  <c r="L503" i="22"/>
  <c r="L184" i="22"/>
  <c r="L218" i="22"/>
  <c r="L546" i="22"/>
  <c r="P546" i="22" s="1"/>
  <c r="L420" i="22"/>
  <c r="L807" i="22"/>
  <c r="L320" i="22"/>
  <c r="P320" i="22" s="1"/>
  <c r="L800" i="22"/>
  <c r="L265" i="22"/>
  <c r="L680" i="22"/>
  <c r="L556" i="22"/>
  <c r="L1027" i="22"/>
  <c r="L1242" i="22"/>
  <c r="P1242" i="22" s="1"/>
  <c r="L1146" i="22"/>
  <c r="O1146" i="22" s="1"/>
  <c r="L565" i="22"/>
  <c r="L1122" i="22"/>
  <c r="P1122" i="22" s="1"/>
  <c r="L794" i="22"/>
  <c r="P794" i="22" s="1"/>
  <c r="L1004" i="22"/>
  <c r="P1004" i="22" s="1"/>
  <c r="L734" i="22"/>
  <c r="P734" i="22" s="1"/>
  <c r="L1071" i="22"/>
  <c r="P1071" i="22" s="1"/>
  <c r="L5" i="22"/>
  <c r="L502" i="22"/>
  <c r="L159" i="22"/>
  <c r="L527" i="22"/>
  <c r="L562" i="22"/>
  <c r="L459" i="22"/>
  <c r="O459" i="22" s="1"/>
  <c r="L839" i="22"/>
  <c r="P839" i="22" s="1"/>
  <c r="L345" i="22"/>
  <c r="L824" i="22"/>
  <c r="O824" i="22" s="1"/>
  <c r="L689" i="22"/>
  <c r="L969" i="22"/>
  <c r="P969" i="22" s="1"/>
  <c r="L581" i="22"/>
  <c r="L868" i="22"/>
  <c r="P868" i="22" s="1"/>
  <c r="L1018" i="22"/>
  <c r="P1018" i="22" s="1"/>
  <c r="L376" i="22"/>
  <c r="L741" i="22"/>
  <c r="P741" i="22" s="1"/>
  <c r="L925" i="22"/>
  <c r="O925" i="22" s="1"/>
  <c r="L1074" i="22"/>
  <c r="L283" i="22"/>
  <c r="L1049" i="22"/>
  <c r="L60" i="22"/>
  <c r="L958" i="22"/>
  <c r="L661" i="22"/>
  <c r="P661" i="22" s="1"/>
  <c r="L1019" i="22"/>
  <c r="L53" i="22"/>
  <c r="P53" i="22" s="1"/>
  <c r="L230" i="22"/>
  <c r="P230" i="22" s="1"/>
  <c r="L542" i="22"/>
  <c r="L175" i="22"/>
  <c r="L607" i="22"/>
  <c r="L208" i="22"/>
  <c r="P208" i="22" s="1"/>
  <c r="L234" i="22"/>
  <c r="O234" i="22" s="1"/>
  <c r="L610" i="22"/>
  <c r="O610" i="22" s="1"/>
  <c r="L523" i="22"/>
  <c r="L855" i="22"/>
  <c r="O855" i="22" s="1"/>
  <c r="L396" i="22"/>
  <c r="L856" i="22"/>
  <c r="L737" i="22"/>
  <c r="L108" i="22"/>
  <c r="P108" i="22" s="1"/>
  <c r="L608" i="22"/>
  <c r="P608" i="22" s="1"/>
  <c r="L1222" i="22"/>
  <c r="L901" i="22"/>
  <c r="L299" i="22"/>
  <c r="L1154" i="22"/>
  <c r="L706" i="22"/>
  <c r="P706" i="22" s="1"/>
  <c r="L1023" i="22"/>
  <c r="P1023" i="22" s="1"/>
  <c r="L1235" i="22"/>
  <c r="L909" i="22"/>
  <c r="O909" i="22" s="1"/>
  <c r="L1204" i="22"/>
  <c r="L883" i="22"/>
  <c r="L533" i="22"/>
  <c r="L979" i="22"/>
  <c r="L61" i="22"/>
  <c r="P61" i="22" s="1"/>
  <c r="L238" i="22"/>
  <c r="L598" i="22"/>
  <c r="L223" i="22"/>
  <c r="L264" i="22"/>
  <c r="P264" i="22" s="1"/>
  <c r="L242" i="22"/>
  <c r="P242" i="22" s="1"/>
  <c r="L642" i="22"/>
  <c r="P642" i="22" s="1"/>
  <c r="L536" i="22"/>
  <c r="L903" i="22"/>
  <c r="P903" i="22" s="1"/>
  <c r="L512" i="22"/>
  <c r="L872" i="22"/>
  <c r="L296" i="22"/>
  <c r="L769" i="22"/>
  <c r="L217" i="22"/>
  <c r="L1198" i="22"/>
  <c r="P1198" i="22" s="1"/>
  <c r="L193" i="22"/>
  <c r="P193" i="22" s="1"/>
  <c r="L1197" i="22"/>
  <c r="L1139" i="22"/>
  <c r="L545" i="22"/>
  <c r="L900" i="22"/>
  <c r="P900" i="22" s="1"/>
  <c r="L755" i="22"/>
  <c r="L73" i="22"/>
  <c r="L353" i="22"/>
  <c r="L310" i="22"/>
  <c r="O310" i="22" s="1"/>
  <c r="L71" i="22"/>
  <c r="L471" i="22"/>
  <c r="P471" i="22" s="1"/>
  <c r="L10" i="22"/>
  <c r="L442" i="22"/>
  <c r="L356" i="22"/>
  <c r="P356" i="22" s="1"/>
  <c r="L975" i="22"/>
  <c r="P975" i="22" s="1"/>
  <c r="L677" i="22"/>
  <c r="L100" i="22"/>
  <c r="P100" i="22" s="1"/>
  <c r="L817" i="22"/>
  <c r="P817" i="22" s="1"/>
  <c r="L389" i="22"/>
  <c r="P389" i="22" s="1"/>
  <c r="L828" i="22"/>
  <c r="L811" i="22"/>
  <c r="L932" i="22"/>
  <c r="L805" i="22"/>
  <c r="P805" i="22" s="1"/>
  <c r="L476" i="22"/>
  <c r="L147" i="22"/>
  <c r="L739" i="22"/>
  <c r="L1175" i="22"/>
  <c r="L37" i="22"/>
  <c r="L326" i="22"/>
  <c r="P326" i="22" s="1"/>
  <c r="L103" i="22"/>
  <c r="L591" i="22"/>
  <c r="O591" i="22" s="1"/>
  <c r="L18" i="22"/>
  <c r="L474" i="22"/>
  <c r="L472" i="22"/>
  <c r="P472" i="22" s="1"/>
  <c r="L12" i="22"/>
  <c r="L688" i="22"/>
  <c r="P688" i="22" s="1"/>
  <c r="L281" i="22"/>
  <c r="L833" i="22"/>
  <c r="L480" i="22"/>
  <c r="O480" i="22" s="1"/>
  <c r="L1238" i="22"/>
  <c r="L779" i="22"/>
  <c r="P779" i="22" s="1"/>
  <c r="L886" i="22"/>
  <c r="L468" i="22"/>
  <c r="P468" i="22" s="1"/>
  <c r="L742" i="22"/>
  <c r="L251" i="22"/>
  <c r="P251" i="22" s="1"/>
  <c r="L1172" i="22"/>
  <c r="P1172" i="22" s="1"/>
  <c r="L593" i="22"/>
  <c r="L1151" i="22"/>
  <c r="L77" i="22"/>
  <c r="P77" i="22" s="1"/>
  <c r="L342" i="22"/>
  <c r="P342" i="22" s="1"/>
  <c r="L623" i="22"/>
  <c r="L34" i="22"/>
  <c r="L482" i="22"/>
  <c r="L561" i="22"/>
  <c r="L35" i="22"/>
  <c r="P35" i="22" s="1"/>
  <c r="L696" i="22"/>
  <c r="O696" i="22" s="1"/>
  <c r="L347" i="22"/>
  <c r="L841" i="22"/>
  <c r="L492" i="22"/>
  <c r="L1190" i="22"/>
  <c r="L747" i="22"/>
  <c r="O747" i="22" s="1"/>
  <c r="L869" i="22"/>
  <c r="L758" i="22"/>
  <c r="L171" i="22"/>
  <c r="L46" i="22"/>
  <c r="P46" i="22" s="1"/>
  <c r="L478" i="22"/>
  <c r="L24" i="22"/>
  <c r="L210" i="22"/>
  <c r="P210" i="22" s="1"/>
  <c r="L759" i="22"/>
  <c r="O759" i="22" s="1"/>
  <c r="L912" i="22"/>
  <c r="P912" i="22" s="1"/>
  <c r="L589" i="22"/>
  <c r="L700" i="22"/>
  <c r="L1078" i="22"/>
  <c r="P1078" i="22" s="1"/>
  <c r="L419" i="22"/>
  <c r="L726" i="22"/>
  <c r="O726" i="22" s="1"/>
  <c r="L829" i="22"/>
  <c r="P829" i="22" s="1"/>
  <c r="L526" i="22"/>
  <c r="L48" i="22"/>
  <c r="L1138" i="22"/>
  <c r="P1138" i="22" s="1"/>
  <c r="L1196" i="22"/>
  <c r="P1196" i="22" s="1"/>
  <c r="L1171" i="22"/>
  <c r="P1171" i="22" s="1"/>
  <c r="L132" i="22"/>
  <c r="P132" i="22" s="1"/>
  <c r="L1130" i="22"/>
  <c r="L568" i="22"/>
  <c r="P568" i="22" s="1"/>
  <c r="L1103" i="22"/>
  <c r="P1103" i="22" s="1"/>
  <c r="L109" i="22"/>
  <c r="P109" i="22" s="1"/>
  <c r="L374" i="22"/>
  <c r="L111" i="22"/>
  <c r="P111" i="22" s="1"/>
  <c r="L639" i="22"/>
  <c r="P639" i="22" s="1"/>
  <c r="L58" i="22"/>
  <c r="P58" i="22" s="1"/>
  <c r="L530" i="22"/>
  <c r="P530" i="22" s="1"/>
  <c r="L612" i="22"/>
  <c r="L57" i="22"/>
  <c r="P57" i="22" s="1"/>
  <c r="L704" i="22"/>
  <c r="P704" i="22" s="1"/>
  <c r="L372" i="22"/>
  <c r="P372" i="22" s="1"/>
  <c r="L517" i="22"/>
  <c r="P517" i="22" s="1"/>
  <c r="L1158" i="22"/>
  <c r="L731" i="22"/>
  <c r="L714" i="22"/>
  <c r="L1147" i="22"/>
  <c r="P1147" i="22" s="1"/>
  <c r="L1115" i="22"/>
  <c r="L41" i="22"/>
  <c r="P41" i="22" s="1"/>
  <c r="L1056" i="22"/>
  <c r="O1056" i="22" s="1"/>
  <c r="L541" i="22"/>
  <c r="L1087" i="22"/>
  <c r="L165" i="22"/>
  <c r="L406" i="22"/>
  <c r="L143" i="22"/>
  <c r="L647" i="22"/>
  <c r="P647" i="22" s="1"/>
  <c r="L66" i="22"/>
  <c r="L538" i="22"/>
  <c r="L625" i="22"/>
  <c r="P625" i="22" s="1"/>
  <c r="L140" i="22"/>
  <c r="P140" i="22" s="1"/>
  <c r="L720" i="22"/>
  <c r="P720" i="22" s="1"/>
  <c r="L411" i="22"/>
  <c r="L905" i="22"/>
  <c r="L531" i="22"/>
  <c r="O531" i="22" s="1"/>
  <c r="L1142" i="22"/>
  <c r="L699" i="22"/>
  <c r="P699" i="22" s="1"/>
  <c r="L906" i="22"/>
  <c r="P906" i="22" s="1"/>
  <c r="L1128" i="22"/>
  <c r="L1075" i="22"/>
  <c r="L1064" i="22"/>
  <c r="P1064" i="22" s="1"/>
  <c r="L918" i="22"/>
  <c r="L465" i="22"/>
  <c r="P465" i="22" s="1"/>
  <c r="L181" i="22"/>
  <c r="P181" i="22" s="1"/>
  <c r="L663" i="22"/>
  <c r="L162" i="22"/>
  <c r="L594" i="22"/>
  <c r="L651" i="22"/>
  <c r="P651" i="22" s="1"/>
  <c r="L163" i="22"/>
  <c r="P163" i="22" s="1"/>
  <c r="L840" i="22"/>
  <c r="P840" i="22" s="1"/>
  <c r="L436" i="22"/>
  <c r="L929" i="22"/>
  <c r="L595" i="22"/>
  <c r="L1126" i="22"/>
  <c r="L657" i="22"/>
  <c r="O657" i="22" s="1"/>
  <c r="L862" i="22"/>
  <c r="L1005" i="22"/>
  <c r="P1005" i="22" s="1"/>
  <c r="L1059" i="22"/>
  <c r="P1059" i="22" s="1"/>
  <c r="L884" i="22"/>
  <c r="L878" i="22"/>
  <c r="P878" i="22" s="1"/>
  <c r="L440" i="22"/>
  <c r="L941" i="22"/>
  <c r="L197" i="22"/>
  <c r="O197" i="22" s="1"/>
  <c r="L446" i="22"/>
  <c r="L279" i="22"/>
  <c r="L679" i="22"/>
  <c r="L178" i="22"/>
  <c r="P178" i="22" s="1"/>
  <c r="L650" i="22"/>
  <c r="P650" i="22" s="1"/>
  <c r="L711" i="22"/>
  <c r="L227" i="22"/>
  <c r="L880" i="22"/>
  <c r="L500" i="22"/>
  <c r="L937" i="22"/>
  <c r="P937" i="22" s="1"/>
  <c r="L633" i="22"/>
  <c r="L1102" i="22"/>
  <c r="P1102" i="22" s="1"/>
  <c r="L632" i="22"/>
  <c r="P632" i="22" s="1"/>
  <c r="L1125" i="22"/>
  <c r="L1187" i="22"/>
  <c r="L977" i="22"/>
  <c r="L469" i="22"/>
  <c r="O469" i="22" s="1"/>
  <c r="L822" i="22"/>
  <c r="L284" i="22"/>
  <c r="P284" i="22" s="1"/>
  <c r="L930" i="22"/>
  <c r="L6" i="22"/>
  <c r="O6" i="22" s="1"/>
  <c r="L470" i="22"/>
  <c r="P470" i="22" s="1"/>
  <c r="L303" i="22"/>
  <c r="P303" i="22" s="1"/>
  <c r="L16" i="22"/>
  <c r="P16" i="22" s="1"/>
  <c r="L202" i="22"/>
  <c r="L658" i="22"/>
  <c r="L751" i="22"/>
  <c r="L307" i="22"/>
  <c r="L896" i="22"/>
  <c r="O896" i="22" s="1"/>
  <c r="L564" i="22"/>
  <c r="O564" i="22" s="1"/>
  <c r="L672" i="22"/>
  <c r="L1094" i="22"/>
  <c r="O1094" i="22" s="1"/>
  <c r="L580" i="22"/>
  <c r="P580" i="22" s="1"/>
  <c r="L1101" i="22"/>
  <c r="L336" i="22"/>
  <c r="L891" i="22"/>
  <c r="O891" i="22" s="1"/>
  <c r="L319" i="22"/>
  <c r="P319" i="22" s="1"/>
  <c r="L674" i="22"/>
  <c r="L945" i="22"/>
  <c r="P945" i="22" s="1"/>
  <c r="L452" i="22"/>
  <c r="P452" i="22" s="1"/>
  <c r="L1058" i="22"/>
  <c r="L686" i="22"/>
  <c r="L54" i="22"/>
  <c r="P54" i="22" s="1"/>
  <c r="L343" i="22"/>
  <c r="L1129" i="22"/>
  <c r="L957" i="22"/>
  <c r="L1221" i="22"/>
  <c r="P1221" i="22" s="1"/>
  <c r="L83" i="22"/>
  <c r="P83" i="22" s="1"/>
  <c r="L649" i="22"/>
  <c r="P649" i="22" s="1"/>
  <c r="L457" i="22"/>
  <c r="L813" i="22"/>
  <c r="L86" i="22"/>
  <c r="L351" i="22"/>
  <c r="L80" i="22"/>
  <c r="L282" i="22"/>
  <c r="P282" i="22" s="1"/>
  <c r="L161" i="22"/>
  <c r="L791" i="22"/>
  <c r="L537" i="22"/>
  <c r="L1000" i="22"/>
  <c r="L616" i="22"/>
  <c r="P616" i="22" s="1"/>
  <c r="L253" i="22"/>
  <c r="L1062" i="22"/>
  <c r="L107" i="22"/>
  <c r="L349" i="22"/>
  <c r="L383" i="22"/>
  <c r="L613" i="22"/>
  <c r="L55" i="22"/>
  <c r="P55" i="22" s="1"/>
  <c r="L910" i="22"/>
  <c r="L843" i="22"/>
  <c r="L23" i="22"/>
  <c r="P23" i="22" s="1"/>
  <c r="L563" i="22"/>
  <c r="P563" i="22" s="1"/>
  <c r="L7" i="22"/>
  <c r="L380" i="22"/>
  <c r="P380" i="22" s="1"/>
  <c r="L697" i="22"/>
  <c r="L638" i="22"/>
  <c r="N591" i="22"/>
  <c r="L796" i="22"/>
  <c r="L110" i="22"/>
  <c r="L1211" i="22"/>
  <c r="P1211" i="22" s="1"/>
  <c r="V55" i="22"/>
  <c r="L780" i="22"/>
  <c r="L1048" i="22"/>
  <c r="L152" i="22"/>
  <c r="P152" i="22" s="1"/>
  <c r="L102" i="22"/>
  <c r="P102" i="22" s="1"/>
  <c r="L1014" i="22"/>
  <c r="L365" i="22"/>
  <c r="V943" i="22"/>
  <c r="AD943" i="22" s="1"/>
  <c r="AM943" i="22" s="1"/>
  <c r="N653" i="22"/>
  <c r="L243" i="22"/>
  <c r="V281" i="22"/>
  <c r="P281" i="22"/>
  <c r="V238" i="22"/>
  <c r="P238" i="22"/>
  <c r="L601" i="22"/>
  <c r="N313" i="22"/>
  <c r="N1124" i="22"/>
  <c r="N1094" i="22"/>
  <c r="L200" i="22"/>
  <c r="L597" i="22"/>
  <c r="N703" i="22"/>
  <c r="N64" i="22"/>
  <c r="L772" i="22"/>
  <c r="L1040" i="22"/>
  <c r="P1040" i="22" s="1"/>
  <c r="L331" i="22"/>
  <c r="L120" i="22"/>
  <c r="L379" i="22"/>
  <c r="P379" i="22" s="1"/>
  <c r="L1043" i="22"/>
  <c r="L893" i="22"/>
  <c r="P893" i="22" s="1"/>
  <c r="V53" i="22"/>
  <c r="V862" i="22"/>
  <c r="AD862" i="22" s="1"/>
  <c r="P862" i="22"/>
  <c r="V739" i="22"/>
  <c r="AD739" i="22" s="1"/>
  <c r="P739" i="22"/>
  <c r="N928" i="22"/>
  <c r="N793" i="22"/>
  <c r="N537" i="22"/>
  <c r="N25" i="22"/>
  <c r="N482" i="22"/>
  <c r="N206" i="22"/>
  <c r="N455" i="22"/>
  <c r="N999" i="22"/>
  <c r="N383" i="22"/>
  <c r="N670" i="22"/>
  <c r="V589" i="22"/>
  <c r="AD589" i="22" s="1"/>
  <c r="V547" i="22"/>
  <c r="P547" i="22"/>
  <c r="O505" i="22"/>
  <c r="N298" i="22"/>
  <c r="N497" i="22"/>
  <c r="P507" i="22"/>
  <c r="P107" i="22"/>
  <c r="N1218" i="22"/>
  <c r="N1068" i="22"/>
  <c r="N265" i="22"/>
  <c r="P915" i="22"/>
  <c r="V915" i="22"/>
  <c r="P339" i="22"/>
  <c r="N975" i="22"/>
  <c r="N686" i="22"/>
  <c r="N253" i="22"/>
  <c r="N469" i="22"/>
  <c r="N957" i="22"/>
  <c r="N264" i="22"/>
  <c r="N752" i="22"/>
  <c r="N442" i="22"/>
  <c r="N1179" i="22"/>
  <c r="N1166" i="22"/>
  <c r="N910" i="22"/>
  <c r="O674" i="22"/>
  <c r="N261" i="22"/>
  <c r="N989" i="22"/>
  <c r="N577" i="22"/>
  <c r="N1138" i="22"/>
  <c r="N160" i="22"/>
  <c r="N585" i="22"/>
  <c r="N480" i="22"/>
  <c r="P422" i="22"/>
  <c r="V627" i="22"/>
  <c r="AD627" i="22" s="1"/>
  <c r="O627" i="22"/>
  <c r="K1167" i="22"/>
  <c r="N1167" i="22" s="1"/>
  <c r="K943" i="22"/>
  <c r="N943" i="22" s="1"/>
  <c r="K687" i="22"/>
  <c r="N687" i="22" s="1"/>
  <c r="K431" i="22"/>
  <c r="N431" i="22" s="1"/>
  <c r="K175" i="22"/>
  <c r="N175" i="22" s="1"/>
  <c r="K1154" i="22"/>
  <c r="N1154" i="22" s="1"/>
  <c r="K898" i="22"/>
  <c r="K664" i="22"/>
  <c r="N664" i="22" s="1"/>
  <c r="K386" i="22"/>
  <c r="N386" i="22" s="1"/>
  <c r="K110" i="22"/>
  <c r="N110" i="22" s="1"/>
  <c r="K60" i="22"/>
  <c r="K252" i="22"/>
  <c r="N252" i="22" s="1"/>
  <c r="K468" i="22"/>
  <c r="N468" i="22" s="1"/>
  <c r="K668" i="22"/>
  <c r="N668" i="22" s="1"/>
  <c r="K892" i="22"/>
  <c r="N892" i="22" s="1"/>
  <c r="K1108" i="22"/>
  <c r="N1108" i="22" s="1"/>
  <c r="K77" i="22"/>
  <c r="K269" i="22"/>
  <c r="K517" i="22"/>
  <c r="N517" i="22" s="1"/>
  <c r="K765" i="22"/>
  <c r="N765" i="22" s="1"/>
  <c r="K1005" i="22"/>
  <c r="K1227" i="22"/>
  <c r="K907" i="22"/>
  <c r="N907" i="22" s="1"/>
  <c r="K535" i="22"/>
  <c r="N535" i="22" s="1"/>
  <c r="K203" i="22"/>
  <c r="K778" i="22"/>
  <c r="N778" i="22" s="1"/>
  <c r="K200" i="22"/>
  <c r="N200" i="22" s="1"/>
  <c r="K810" i="22"/>
  <c r="N810" i="22" s="1"/>
  <c r="K214" i="22"/>
  <c r="K809" i="22"/>
  <c r="K74" i="22"/>
  <c r="K552" i="22"/>
  <c r="N552" i="22" s="1"/>
  <c r="K1063" i="22"/>
  <c r="N1063" i="22" s="1"/>
  <c r="K465" i="22"/>
  <c r="N465" i="22" s="1"/>
  <c r="K991" i="22"/>
  <c r="N991" i="22" s="1"/>
  <c r="K170" i="22"/>
  <c r="K699" i="22"/>
  <c r="K1137" i="22"/>
  <c r="N1137" i="22" s="1"/>
  <c r="K305" i="22"/>
  <c r="N305" i="22" s="1"/>
  <c r="V1101" i="22"/>
  <c r="AD1101" i="22" s="1"/>
  <c r="P1101" i="22"/>
  <c r="V1004" i="22"/>
  <c r="AD1004" i="22" s="1"/>
  <c r="P977" i="22"/>
  <c r="O594" i="22"/>
  <c r="K1155" i="22"/>
  <c r="N1155" i="22" s="1"/>
  <c r="K931" i="22"/>
  <c r="N931" i="22" s="1"/>
  <c r="K675" i="22"/>
  <c r="N675" i="22" s="1"/>
  <c r="K419" i="22"/>
  <c r="N419" i="22" s="1"/>
  <c r="K163" i="22"/>
  <c r="K1144" i="22"/>
  <c r="N1144" i="22" s="1"/>
  <c r="K888" i="22"/>
  <c r="N888" i="22" s="1"/>
  <c r="K654" i="22"/>
  <c r="N654" i="22" s="1"/>
  <c r="K376" i="22"/>
  <c r="K88" i="22"/>
  <c r="N88" i="22" s="1"/>
  <c r="K68" i="22"/>
  <c r="N68" i="22" s="1"/>
  <c r="K276" i="22"/>
  <c r="N276" i="22" s="1"/>
  <c r="K484" i="22"/>
  <c r="K684" i="22"/>
  <c r="N684" i="22" s="1"/>
  <c r="K916" i="22"/>
  <c r="K85" i="22"/>
  <c r="N85" i="22" s="1"/>
  <c r="K277" i="22"/>
  <c r="N277" i="22" s="1"/>
  <c r="K533" i="22"/>
  <c r="N533" i="22" s="1"/>
  <c r="K773" i="22"/>
  <c r="K1013" i="22"/>
  <c r="N1013" i="22" s="1"/>
  <c r="K1202" i="22"/>
  <c r="K875" i="22"/>
  <c r="O875" i="22" s="1"/>
  <c r="K523" i="22"/>
  <c r="N523" i="22" s="1"/>
  <c r="K193" i="22"/>
  <c r="N193" i="22" s="1"/>
  <c r="K1128" i="22"/>
  <c r="N1128" i="22" s="1"/>
  <c r="K763" i="22"/>
  <c r="N763" i="22" s="1"/>
  <c r="K147" i="22"/>
  <c r="N147" i="22" s="1"/>
  <c r="K795" i="22"/>
  <c r="N795" i="22" s="1"/>
  <c r="K179" i="22"/>
  <c r="N179" i="22" s="1"/>
  <c r="K776" i="22"/>
  <c r="N776" i="22" s="1"/>
  <c r="K41" i="22"/>
  <c r="O41" i="22" s="1"/>
  <c r="K534" i="22"/>
  <c r="N534" i="22" s="1"/>
  <c r="K1030" i="22"/>
  <c r="N1030" i="22" s="1"/>
  <c r="K447" i="22"/>
  <c r="N447" i="22" s="1"/>
  <c r="K872" i="22"/>
  <c r="N872" i="22" s="1"/>
  <c r="K155" i="22"/>
  <c r="N155" i="22" s="1"/>
  <c r="K666" i="22"/>
  <c r="N666" i="22" s="1"/>
  <c r="K1115" i="22"/>
  <c r="N1217" i="22"/>
  <c r="N237" i="22"/>
  <c r="N946" i="22"/>
  <c r="N655" i="22"/>
  <c r="N76" i="22"/>
  <c r="N93" i="22"/>
  <c r="N549" i="22"/>
  <c r="N414" i="22"/>
  <c r="N768" i="22"/>
  <c r="N1095" i="22"/>
  <c r="N135" i="22"/>
  <c r="V184" i="22"/>
  <c r="V142" i="22"/>
  <c r="P711" i="22"/>
  <c r="N1135" i="22"/>
  <c r="N508" i="22"/>
  <c r="N789" i="22"/>
  <c r="N1234" i="22"/>
  <c r="N726" i="22"/>
  <c r="N657" i="22"/>
  <c r="P1146" i="22"/>
  <c r="V1166" i="22"/>
  <c r="AD1166" i="22" s="1"/>
  <c r="AM1166" i="22" s="1"/>
  <c r="V895" i="22"/>
  <c r="AD895" i="22" s="1"/>
  <c r="P895" i="22"/>
  <c r="O1211" i="22"/>
  <c r="P262" i="22"/>
  <c r="N633" i="22"/>
  <c r="N1148" i="22"/>
  <c r="N109" i="22"/>
  <c r="N797" i="22"/>
  <c r="N1211" i="22"/>
  <c r="N95" i="22"/>
  <c r="N1147" i="22"/>
  <c r="K49" i="22"/>
  <c r="N49" i="22" s="1"/>
  <c r="K475" i="22"/>
  <c r="N475" i="22" s="1"/>
  <c r="K918" i="22"/>
  <c r="N918" i="22" s="1"/>
  <c r="K240" i="22"/>
  <c r="N240" i="22" s="1"/>
  <c r="K681" i="22"/>
  <c r="K1097" i="22"/>
  <c r="N1097" i="22" s="1"/>
  <c r="K393" i="22"/>
  <c r="N393" i="22" s="1"/>
  <c r="K890" i="22"/>
  <c r="N890" i="22" s="1"/>
  <c r="K158" i="22"/>
  <c r="N158" i="22" s="1"/>
  <c r="K602" i="22"/>
  <c r="N602" i="22" s="1"/>
  <c r="K1043" i="22"/>
  <c r="N1043" i="22" s="1"/>
  <c r="K347" i="22"/>
  <c r="N347" i="22" s="1"/>
  <c r="K808" i="22"/>
  <c r="N808" i="22" s="1"/>
  <c r="K59" i="22"/>
  <c r="N59" i="22" s="1"/>
  <c r="K502" i="22"/>
  <c r="N502" i="22" s="1"/>
  <c r="K966" i="22"/>
  <c r="K166" i="22"/>
  <c r="K574" i="22"/>
  <c r="K1000" i="22"/>
  <c r="N1000" i="22" s="1"/>
  <c r="K167" i="22"/>
  <c r="N167" i="22" s="1"/>
  <c r="K522" i="22"/>
  <c r="N522" i="22" s="1"/>
  <c r="K864" i="22"/>
  <c r="K1106" i="22"/>
  <c r="K87" i="22"/>
  <c r="N87" i="22" s="1"/>
  <c r="K311" i="22"/>
  <c r="K102" i="22"/>
  <c r="N102" i="22" s="1"/>
  <c r="K594" i="22"/>
  <c r="N594" i="22" s="1"/>
  <c r="K1040" i="22"/>
  <c r="N1040" i="22" s="1"/>
  <c r="K234" i="22"/>
  <c r="N234" i="22" s="1"/>
  <c r="K731" i="22"/>
  <c r="K17" i="22"/>
  <c r="N17" i="22" s="1"/>
  <c r="K562" i="22"/>
  <c r="K1023" i="22"/>
  <c r="N1023" i="22" s="1"/>
  <c r="K294" i="22"/>
  <c r="N294" i="22" s="1"/>
  <c r="K819" i="22"/>
  <c r="K138" i="22"/>
  <c r="N138" i="22" s="1"/>
  <c r="K617" i="22"/>
  <c r="N617" i="22" s="1"/>
  <c r="K1126" i="22"/>
  <c r="N1126" i="22" s="1"/>
  <c r="K433" i="22"/>
  <c r="K894" i="22"/>
  <c r="N894" i="22" s="1"/>
  <c r="K211" i="22"/>
  <c r="N211" i="22" s="1"/>
  <c r="K1107" i="22"/>
  <c r="N1107" i="22" s="1"/>
  <c r="K422" i="22"/>
  <c r="N422" i="22" s="1"/>
  <c r="K830" i="22"/>
  <c r="N830" i="22" s="1"/>
  <c r="K10" i="22"/>
  <c r="N10" i="22" s="1"/>
  <c r="K438" i="22"/>
  <c r="N438" i="22" s="1"/>
  <c r="K798" i="22"/>
  <c r="N798" i="22" s="1"/>
  <c r="K1222" i="22"/>
  <c r="N1222" i="22" s="1"/>
  <c r="K55" i="22"/>
  <c r="K299" i="22"/>
  <c r="K545" i="22"/>
  <c r="N545" i="22" s="1"/>
  <c r="K791" i="22"/>
  <c r="N791" i="22" s="1"/>
  <c r="K1229" i="22"/>
  <c r="N1229" i="22" s="1"/>
  <c r="K1053" i="22"/>
  <c r="N1053" i="22" s="1"/>
  <c r="K877" i="22"/>
  <c r="N877" i="22" s="1"/>
  <c r="K685" i="22"/>
  <c r="K525" i="22"/>
  <c r="N525" i="22" s="1"/>
  <c r="K365" i="22"/>
  <c r="O365" i="22" s="1"/>
  <c r="K205" i="22"/>
  <c r="N205" i="22" s="1"/>
  <c r="K29" i="22"/>
  <c r="N29" i="22" s="1"/>
  <c r="K1116" i="22"/>
  <c r="N1116" i="22" s="1"/>
  <c r="K956" i="22"/>
  <c r="N956" i="22" s="1"/>
  <c r="K796" i="22"/>
  <c r="N796" i="22" s="1"/>
  <c r="K628" i="22"/>
  <c r="N628" i="22" s="1"/>
  <c r="K476" i="22"/>
  <c r="N476" i="22" s="1"/>
  <c r="K316" i="22"/>
  <c r="N316" i="22" s="1"/>
  <c r="K156" i="22"/>
  <c r="N156" i="22" s="1"/>
  <c r="K1224" i="22"/>
  <c r="N1224" i="22" s="1"/>
  <c r="K142" i="22"/>
  <c r="N142" i="22" s="1"/>
  <c r="K354" i="22"/>
  <c r="N354" i="22" s="1"/>
  <c r="K578" i="22"/>
  <c r="N578" i="22" s="1"/>
  <c r="K802" i="22"/>
  <c r="K1026" i="22"/>
  <c r="N1026" i="22" s="1"/>
  <c r="K1230" i="22"/>
  <c r="N1230" i="22" s="1"/>
  <c r="K195" i="22"/>
  <c r="K409" i="22"/>
  <c r="K623" i="22"/>
  <c r="N623" i="22" s="1"/>
  <c r="K825" i="22"/>
  <c r="N825" i="22" s="1"/>
  <c r="K1017" i="22"/>
  <c r="N1017" i="22" s="1"/>
  <c r="K1206" i="22"/>
  <c r="K338" i="22"/>
  <c r="N338" i="22" s="1"/>
  <c r="K799" i="22"/>
  <c r="K118" i="22"/>
  <c r="N118" i="22" s="1"/>
  <c r="K648" i="22"/>
  <c r="N648" i="22" s="1"/>
  <c r="K1075" i="22"/>
  <c r="K446" i="22"/>
  <c r="K938" i="22"/>
  <c r="K209" i="22"/>
  <c r="N209" i="22" s="1"/>
  <c r="K721" i="22"/>
  <c r="N721" i="22" s="1"/>
  <c r="K22" i="22"/>
  <c r="N22" i="22" s="1"/>
  <c r="K486" i="22"/>
  <c r="K960" i="22"/>
  <c r="K315" i="22"/>
  <c r="K758" i="22"/>
  <c r="N758" i="22" s="1"/>
  <c r="K9" i="22"/>
  <c r="N9" i="22" s="1"/>
  <c r="K488" i="22"/>
  <c r="N488" i="22" s="1"/>
  <c r="K881" i="22"/>
  <c r="N881" i="22" s="1"/>
  <c r="K114" i="22"/>
  <c r="N114" i="22" s="1"/>
  <c r="K489" i="22"/>
  <c r="N489" i="22" s="1"/>
  <c r="K849" i="22"/>
  <c r="N849" i="22" s="1"/>
  <c r="K1118" i="22"/>
  <c r="N1118" i="22" s="1"/>
  <c r="K107" i="22"/>
  <c r="K353" i="22"/>
  <c r="N353" i="22" s="1"/>
  <c r="K599" i="22"/>
  <c r="N599" i="22" s="1"/>
  <c r="K833" i="22"/>
  <c r="N833" i="22" s="1"/>
  <c r="K1197" i="22"/>
  <c r="K1021" i="22"/>
  <c r="N1021" i="22" s="1"/>
  <c r="K829" i="22"/>
  <c r="K661" i="22"/>
  <c r="O661" i="22" s="1"/>
  <c r="K501" i="22"/>
  <c r="N501" i="22" s="1"/>
  <c r="K358" i="22"/>
  <c r="N358" i="22" s="1"/>
  <c r="K870" i="22"/>
  <c r="N870" i="22" s="1"/>
  <c r="K306" i="22"/>
  <c r="N306" i="22" s="1"/>
  <c r="K800" i="22"/>
  <c r="K190" i="22"/>
  <c r="N190" i="22" s="1"/>
  <c r="K735" i="22"/>
  <c r="N735" i="22" s="1"/>
  <c r="K176" i="22"/>
  <c r="K774" i="22"/>
  <c r="N774" i="22" s="1"/>
  <c r="K106" i="22"/>
  <c r="K656" i="22"/>
  <c r="N656" i="22" s="1"/>
  <c r="K8" i="22"/>
  <c r="N8" i="22" s="1"/>
  <c r="K586" i="22"/>
  <c r="N586" i="22" s="1"/>
  <c r="K1065" i="22"/>
  <c r="N1065" i="22" s="1"/>
  <c r="K435" i="22"/>
  <c r="N435" i="22" s="1"/>
  <c r="K914" i="22"/>
  <c r="N914" i="22" s="1"/>
  <c r="K182" i="22"/>
  <c r="N182" i="22" s="1"/>
  <c r="K646" i="22"/>
  <c r="N646" i="22" s="1"/>
  <c r="K1072" i="22"/>
  <c r="K1223" i="22"/>
  <c r="N1223" i="22" s="1"/>
  <c r="K279" i="22"/>
  <c r="K567" i="22"/>
  <c r="N567" i="22" s="1"/>
  <c r="K843" i="22"/>
  <c r="N843" i="22" s="1"/>
  <c r="K1089" i="22"/>
  <c r="N1089" i="22" s="1"/>
  <c r="K1133" i="22"/>
  <c r="N1133" i="22" s="1"/>
  <c r="K933" i="22"/>
  <c r="K749" i="22"/>
  <c r="N749" i="22" s="1"/>
  <c r="K541" i="22"/>
  <c r="K357" i="22"/>
  <c r="N357" i="22" s="1"/>
  <c r="K165" i="22"/>
  <c r="N165" i="22" s="1"/>
  <c r="K1236" i="22"/>
  <c r="K1076" i="22"/>
  <c r="K900" i="22"/>
  <c r="K740" i="22"/>
  <c r="K564" i="22"/>
  <c r="K388" i="22"/>
  <c r="N388" i="22" s="1"/>
  <c r="K212" i="22"/>
  <c r="N212" i="22" s="1"/>
  <c r="K52" i="22"/>
  <c r="N52" i="22" s="1"/>
  <c r="K66" i="22"/>
  <c r="N66" i="22" s="1"/>
  <c r="K312" i="22"/>
  <c r="N312" i="22" s="1"/>
  <c r="K536" i="22"/>
  <c r="N536" i="22" s="1"/>
  <c r="K760" i="22"/>
  <c r="N760" i="22" s="1"/>
  <c r="K1016" i="22"/>
  <c r="N1016" i="22" s="1"/>
  <c r="K1242" i="22"/>
  <c r="N1242" i="22" s="1"/>
  <c r="K217" i="22"/>
  <c r="N217" i="22" s="1"/>
  <c r="K451" i="22"/>
  <c r="N451" i="22" s="1"/>
  <c r="K665" i="22"/>
  <c r="N665" i="22" s="1"/>
  <c r="K879" i="22"/>
  <c r="N879" i="22" s="1"/>
  <c r="K1081" i="22"/>
  <c r="N1081" i="22" s="1"/>
  <c r="K371" i="22"/>
  <c r="N371" i="22" s="1"/>
  <c r="K339" i="22"/>
  <c r="K904" i="22"/>
  <c r="N904" i="22" s="1"/>
  <c r="K406" i="22"/>
  <c r="N406" i="22" s="1"/>
  <c r="K1002" i="22"/>
  <c r="N1002" i="22" s="1"/>
  <c r="K374" i="22"/>
  <c r="N374" i="22" s="1"/>
  <c r="K955" i="22"/>
  <c r="N955" i="22" s="1"/>
  <c r="K274" i="22"/>
  <c r="N274" i="22" s="1"/>
  <c r="K905" i="22"/>
  <c r="N905" i="22" s="1"/>
  <c r="K262" i="22"/>
  <c r="O262" i="22" s="1"/>
  <c r="K822" i="22"/>
  <c r="N822" i="22" s="1"/>
  <c r="K159" i="22"/>
  <c r="N159" i="22" s="1"/>
  <c r="K742" i="22"/>
  <c r="N742" i="22" s="1"/>
  <c r="K112" i="22"/>
  <c r="N112" i="22" s="1"/>
  <c r="K690" i="22"/>
  <c r="N690" i="22" s="1"/>
  <c r="K1151" i="22"/>
  <c r="N1151" i="22" s="1"/>
  <c r="K521" i="22"/>
  <c r="N521" i="22" s="1"/>
  <c r="K1033" i="22"/>
  <c r="N1033" i="22" s="1"/>
  <c r="K251" i="22"/>
  <c r="N251" i="22" s="1"/>
  <c r="K730" i="22"/>
  <c r="N730" i="22" s="1"/>
  <c r="K1136" i="22"/>
  <c r="K33" i="22"/>
  <c r="N33" i="22" s="1"/>
  <c r="K343" i="22"/>
  <c r="N343" i="22" s="1"/>
  <c r="K631" i="22"/>
  <c r="N631" i="22" s="1"/>
  <c r="K887" i="22"/>
  <c r="N887" i="22" s="1"/>
  <c r="K1143" i="22"/>
  <c r="K1101" i="22"/>
  <c r="N1101" i="22" s="1"/>
  <c r="K909" i="22"/>
  <c r="N909" i="22" s="1"/>
  <c r="K717" i="22"/>
  <c r="O717" i="22" s="1"/>
  <c r="K509" i="22"/>
  <c r="N509" i="22" s="1"/>
  <c r="K309" i="22"/>
  <c r="K133" i="22"/>
  <c r="N133" i="22" s="1"/>
  <c r="K1212" i="22"/>
  <c r="N1212" i="22" s="1"/>
  <c r="K1052" i="22"/>
  <c r="N1052" i="22" s="1"/>
  <c r="K884" i="22"/>
  <c r="N884" i="22" s="1"/>
  <c r="K700" i="22"/>
  <c r="N700" i="22" s="1"/>
  <c r="K532" i="22"/>
  <c r="O532" i="22" s="1"/>
  <c r="K356" i="22"/>
  <c r="K188" i="22"/>
  <c r="N188" i="22" s="1"/>
  <c r="K20" i="22"/>
  <c r="N20" i="22" s="1"/>
  <c r="K120" i="22"/>
  <c r="K344" i="22"/>
  <c r="N344" i="22" s="1"/>
  <c r="K610" i="22"/>
  <c r="K834" i="22"/>
  <c r="K1058" i="22"/>
  <c r="K35" i="22"/>
  <c r="N35" i="22" s="1"/>
  <c r="K259" i="22"/>
  <c r="N259" i="22" s="1"/>
  <c r="K483" i="22"/>
  <c r="N483" i="22" s="1"/>
  <c r="K697" i="22"/>
  <c r="N697" i="22" s="1"/>
  <c r="K921" i="22"/>
  <c r="N921" i="22" s="1"/>
  <c r="K1123" i="22"/>
  <c r="N1123" i="22" s="1"/>
  <c r="K424" i="22"/>
  <c r="N424" i="22" s="1"/>
  <c r="K1055" i="22"/>
  <c r="K392" i="22"/>
  <c r="N392" i="22" s="1"/>
  <c r="K970" i="22"/>
  <c r="K327" i="22"/>
  <c r="N327" i="22" s="1"/>
  <c r="K976" i="22"/>
  <c r="N976" i="22" s="1"/>
  <c r="K295" i="22"/>
  <c r="N295" i="22" s="1"/>
  <c r="K840" i="22"/>
  <c r="N840" i="22" s="1"/>
  <c r="K177" i="22"/>
  <c r="N177" i="22" s="1"/>
  <c r="K790" i="22"/>
  <c r="N790" i="22" s="1"/>
  <c r="K145" i="22"/>
  <c r="N145" i="22" s="1"/>
  <c r="K723" i="22"/>
  <c r="K62" i="22"/>
  <c r="N62" i="22" s="1"/>
  <c r="K539" i="22"/>
  <c r="K1051" i="22"/>
  <c r="N1051" i="22" s="1"/>
  <c r="K266" i="22"/>
  <c r="N266" i="22" s="1"/>
  <c r="K745" i="22"/>
  <c r="N745" i="22" s="1"/>
  <c r="K1182" i="22"/>
  <c r="K65" i="22"/>
  <c r="K375" i="22"/>
  <c r="N375" i="22" s="1"/>
  <c r="K641" i="22"/>
  <c r="N641" i="22" s="1"/>
  <c r="K897" i="22"/>
  <c r="N897" i="22" s="1"/>
  <c r="K1153" i="22"/>
  <c r="N1153" i="22" s="1"/>
  <c r="K1085" i="22"/>
  <c r="N1085" i="22" s="1"/>
  <c r="K901" i="22"/>
  <c r="N901" i="22" s="1"/>
  <c r="K677" i="22"/>
  <c r="N677" i="22" s="1"/>
  <c r="K485" i="22"/>
  <c r="N485" i="22" s="1"/>
  <c r="K301" i="22"/>
  <c r="N301" i="22" s="1"/>
  <c r="K125" i="22"/>
  <c r="N125" i="22" s="1"/>
  <c r="K1204" i="22"/>
  <c r="N1204" i="22" s="1"/>
  <c r="K1044" i="22"/>
  <c r="K876" i="22"/>
  <c r="N876" i="22" s="1"/>
  <c r="K692" i="22"/>
  <c r="N692" i="22" s="1"/>
  <c r="K516" i="22"/>
  <c r="N516" i="22" s="1"/>
  <c r="K348" i="22"/>
  <c r="N348" i="22" s="1"/>
  <c r="P781" i="22"/>
  <c r="V345" i="22"/>
  <c r="O822" i="22"/>
  <c r="P401" i="22"/>
  <c r="P1197" i="22"/>
  <c r="P234" i="22"/>
  <c r="V1187" i="22"/>
  <c r="AD1187" i="22" s="1"/>
  <c r="AM1187" i="22" s="1"/>
  <c r="P1187" i="22"/>
  <c r="V1150" i="22"/>
  <c r="AD1150" i="22" s="1"/>
  <c r="P537" i="22"/>
  <c r="O537" i="22"/>
  <c r="O226" i="22"/>
  <c r="N238" i="22"/>
  <c r="O238" i="22"/>
  <c r="N564" i="22"/>
  <c r="V1242" i="22"/>
  <c r="AD1242" i="22" s="1"/>
  <c r="AM1242" i="22" s="1"/>
  <c r="O1242" i="22"/>
  <c r="V909" i="22"/>
  <c r="AD909" i="22" s="1"/>
  <c r="V883" i="22"/>
  <c r="AD883" i="22" s="1"/>
  <c r="O84" i="22"/>
  <c r="N84" i="22"/>
  <c r="O286" i="22"/>
  <c r="N286" i="22"/>
  <c r="O777" i="22"/>
  <c r="O140" i="22"/>
  <c r="O941" i="22"/>
  <c r="P941" i="22"/>
  <c r="O436" i="22"/>
  <c r="P436" i="22"/>
  <c r="P761" i="22"/>
  <c r="O761" i="22"/>
  <c r="P96" i="22"/>
  <c r="O96" i="22"/>
  <c r="O472" i="22"/>
  <c r="N472" i="22"/>
  <c r="O404" i="22"/>
  <c r="P400" i="22"/>
  <c r="O379" i="22"/>
  <c r="N945" i="22"/>
  <c r="P347" i="22"/>
  <c r="P481" i="22"/>
  <c r="O481" i="22"/>
  <c r="V441" i="22"/>
  <c r="AD441" i="22" s="1"/>
  <c r="V302" i="22"/>
  <c r="N1169" i="22"/>
  <c r="O530" i="22"/>
  <c r="N530" i="22"/>
  <c r="V257" i="22"/>
  <c r="N440" i="22"/>
  <c r="N400" i="22"/>
  <c r="V952" i="22"/>
  <c r="AD952" i="22" s="1"/>
  <c r="V875" i="22"/>
  <c r="AD875" i="22" s="1"/>
  <c r="AM875" i="22" s="1"/>
  <c r="N875" i="22"/>
  <c r="V701" i="22"/>
  <c r="AD701" i="22" s="1"/>
  <c r="AM701" i="22" s="1"/>
  <c r="V558" i="22"/>
  <c r="AD558" i="22" s="1"/>
  <c r="AM558" i="22" s="1"/>
  <c r="V68" i="22"/>
  <c r="N53" i="22"/>
  <c r="O53" i="22"/>
  <c r="N725" i="22"/>
  <c r="N520" i="22"/>
  <c r="P1180" i="22"/>
  <c r="V1180" i="22"/>
  <c r="AD1180" i="22" s="1"/>
  <c r="AM1180" i="22" s="1"/>
  <c r="S67" i="22"/>
  <c r="V67" i="22"/>
  <c r="P415" i="22"/>
  <c r="P419" i="22"/>
  <c r="O389" i="22"/>
  <c r="N737" i="22"/>
  <c r="O1124" i="22"/>
  <c r="V1233" i="22"/>
  <c r="AD1233" i="22" s="1"/>
  <c r="AM1233" i="22" s="1"/>
  <c r="V1179" i="22"/>
  <c r="AD1179" i="22" s="1"/>
  <c r="AM1179" i="22" s="1"/>
  <c r="V1105" i="22"/>
  <c r="AD1105" i="22" s="1"/>
  <c r="AM1105" i="22" s="1"/>
  <c r="V595" i="22"/>
  <c r="AD595" i="22" s="1"/>
  <c r="P595" i="22"/>
  <c r="V283" i="22"/>
  <c r="V188" i="22"/>
  <c r="O151" i="22"/>
  <c r="V28" i="22"/>
  <c r="N397" i="22"/>
  <c r="N257" i="22"/>
  <c r="V1065" i="22"/>
  <c r="V898" i="22"/>
  <c r="V723" i="22"/>
  <c r="AD723" i="22" s="1"/>
  <c r="AM723" i="22" s="1"/>
  <c r="P723" i="22"/>
  <c r="V698" i="22"/>
  <c r="AD698" i="22" s="1"/>
  <c r="V623" i="22"/>
  <c r="AD623" i="22" s="1"/>
  <c r="AM623" i="22" s="1"/>
  <c r="V490" i="22"/>
  <c r="AD490" i="22" s="1"/>
  <c r="AM490" i="22" s="1"/>
  <c r="P490" i="22"/>
  <c r="V463" i="22"/>
  <c r="AD463" i="22" s="1"/>
  <c r="P463" i="22"/>
  <c r="V201" i="22"/>
  <c r="N1098" i="22"/>
  <c r="V507" i="22"/>
  <c r="AD507" i="22" s="1"/>
  <c r="AM507" i="22" s="1"/>
  <c r="O507" i="22"/>
  <c r="V400" i="22"/>
  <c r="AD400" i="22" s="1"/>
  <c r="AM400" i="22" s="1"/>
  <c r="V288" i="22"/>
  <c r="P288" i="22"/>
  <c r="O109" i="22"/>
  <c r="O468" i="22"/>
  <c r="P561" i="22"/>
  <c r="O264" i="22"/>
  <c r="O1102" i="22"/>
  <c r="V467" i="22"/>
  <c r="AD467" i="22" s="1"/>
  <c r="V413" i="22"/>
  <c r="AD413" i="22" s="1"/>
  <c r="AM413" i="22" s="1"/>
  <c r="O30" i="22"/>
  <c r="O517" i="22"/>
  <c r="V1206" i="22"/>
  <c r="AD1206" i="22" s="1"/>
  <c r="AM1206" i="22" s="1"/>
  <c r="P396" i="22"/>
  <c r="V189" i="22"/>
  <c r="N152" i="22"/>
  <c r="N30" i="22"/>
  <c r="N302" i="22"/>
  <c r="O356" i="22"/>
  <c r="N356" i="22"/>
  <c r="P855" i="22"/>
  <c r="S3" i="22"/>
  <c r="T3" i="22" s="1"/>
  <c r="V3" i="22"/>
  <c r="W3" i="22" s="1"/>
  <c r="P3" i="22"/>
  <c r="V1001" i="22"/>
  <c r="AD1001" i="22" s="1"/>
  <c r="V476" i="22"/>
  <c r="AD476" i="22" s="1"/>
  <c r="AM476" i="22" s="1"/>
  <c r="V240" i="22"/>
  <c r="O1103" i="22"/>
  <c r="P302" i="22"/>
  <c r="N15" i="22"/>
  <c r="N1105" i="22"/>
  <c r="N661" i="22"/>
  <c r="N992" i="22"/>
  <c r="N939" i="22"/>
  <c r="V1244" i="22"/>
  <c r="AD1244" i="22" s="1"/>
  <c r="AM1244" i="22" s="1"/>
  <c r="N634" i="22"/>
  <c r="O338" i="22"/>
  <c r="O519" i="22"/>
  <c r="P672" i="22"/>
  <c r="O40" i="22"/>
  <c r="N40" i="22"/>
  <c r="P811" i="22"/>
  <c r="O811" i="22"/>
  <c r="O677" i="22"/>
  <c r="P843" i="22"/>
  <c r="O439" i="22"/>
  <c r="P439" i="22"/>
  <c r="V1005" i="22"/>
  <c r="AD1005" i="22" s="1"/>
  <c r="V824" i="22"/>
  <c r="AD824" i="22" s="1"/>
  <c r="AM824" i="22" s="1"/>
  <c r="N824" i="22"/>
  <c r="O975" i="22"/>
  <c r="N166" i="22"/>
  <c r="V713" i="22"/>
  <c r="AD713" i="22" s="1"/>
  <c r="AM713" i="22" s="1"/>
  <c r="V426" i="22"/>
  <c r="AD426" i="22" s="1"/>
  <c r="V397" i="22"/>
  <c r="AD397" i="22" s="1"/>
  <c r="AM397" i="22" s="1"/>
  <c r="N163" i="22"/>
  <c r="O74" i="22"/>
  <c r="N74" i="22"/>
  <c r="V1193" i="22"/>
  <c r="AD1193" i="22" s="1"/>
  <c r="AM1193" i="22" s="1"/>
  <c r="V1106" i="22"/>
  <c r="V734" i="22"/>
  <c r="AD734" i="22" s="1"/>
  <c r="AM734" i="22" s="1"/>
  <c r="O734" i="22"/>
  <c r="V697" i="22"/>
  <c r="AD697" i="22" s="1"/>
  <c r="AM697" i="22" s="1"/>
  <c r="P697" i="22"/>
  <c r="V670" i="22"/>
  <c r="AD670" i="22" s="1"/>
  <c r="AM670" i="22" s="1"/>
  <c r="V296" i="22"/>
  <c r="V78" i="22"/>
  <c r="O649" i="22"/>
  <c r="O706" i="22"/>
  <c r="N1180" i="22"/>
  <c r="P809" i="22"/>
  <c r="P120" i="22"/>
  <c r="O120" i="22"/>
  <c r="O303" i="22"/>
  <c r="P909" i="22"/>
  <c r="O971" i="22"/>
  <c r="V1243" i="22"/>
  <c r="AD1243" i="22" s="1"/>
  <c r="AM1243" i="22" s="1"/>
  <c r="P1243" i="22"/>
  <c r="V1141" i="22"/>
  <c r="AD1141" i="22" s="1"/>
  <c r="V933" i="22"/>
  <c r="AD933" i="22" s="1"/>
  <c r="P819" i="22"/>
  <c r="V806" i="22"/>
  <c r="AD806" i="22" s="1"/>
  <c r="AM806" i="22" s="1"/>
  <c r="V379" i="22"/>
  <c r="AD379" i="22" s="1"/>
  <c r="V366" i="22"/>
  <c r="AD366" i="22" s="1"/>
  <c r="O366" i="22"/>
  <c r="P366" i="22"/>
  <c r="V279" i="22"/>
  <c r="P279" i="22"/>
  <c r="N467" i="22"/>
  <c r="P572" i="22"/>
  <c r="O1036" i="22"/>
  <c r="V1036" i="22"/>
  <c r="AD1036" i="22" s="1"/>
  <c r="P1036" i="22"/>
  <c r="V605" i="22"/>
  <c r="AD605" i="22" s="1"/>
  <c r="AM605" i="22" s="1"/>
  <c r="N351" i="22"/>
  <c r="V351" i="22"/>
  <c r="N463" i="22"/>
  <c r="O35" i="22"/>
  <c r="O100" i="22"/>
  <c r="N605" i="22"/>
  <c r="N1125" i="22"/>
  <c r="N449" i="22"/>
  <c r="N1233" i="22"/>
  <c r="N192" i="22"/>
  <c r="N819" i="22"/>
  <c r="O1166" i="22"/>
  <c r="O690" i="22"/>
  <c r="V693" i="22"/>
  <c r="AD693" i="22" s="1"/>
  <c r="P693" i="22"/>
  <c r="N630" i="22"/>
  <c r="N1231" i="22"/>
  <c r="N452" i="22"/>
  <c r="N832" i="22"/>
  <c r="O281" i="22"/>
  <c r="O781" i="22"/>
  <c r="O1014" i="22"/>
  <c r="P1014" i="22"/>
  <c r="V1022" i="22"/>
  <c r="AD1022" i="22" s="1"/>
  <c r="AM1022" i="22" s="1"/>
  <c r="V1009" i="22"/>
  <c r="AD1009" i="22" s="1"/>
  <c r="AM1009" i="22" s="1"/>
  <c r="V981" i="22"/>
  <c r="AD981" i="22" s="1"/>
  <c r="AM981" i="22" s="1"/>
  <c r="O830" i="22"/>
  <c r="V830" i="22"/>
  <c r="AD830" i="22" s="1"/>
  <c r="V803" i="22"/>
  <c r="AD803" i="22" s="1"/>
  <c r="AM803" i="22" s="1"/>
  <c r="V1123" i="22"/>
  <c r="AD1123" i="22" s="1"/>
  <c r="AM1123" i="22" s="1"/>
  <c r="V789" i="22"/>
  <c r="AD789" i="22" s="1"/>
  <c r="AM789" i="22" s="1"/>
  <c r="V497" i="22"/>
  <c r="AD497" i="22" s="1"/>
  <c r="AM497" i="22" s="1"/>
  <c r="P403" i="22"/>
  <c r="V403" i="22"/>
  <c r="V196" i="22"/>
  <c r="V130" i="22"/>
  <c r="N1206" i="22"/>
  <c r="N1220" i="22"/>
  <c r="O1008" i="22"/>
  <c r="P731" i="22"/>
  <c r="O748" i="22"/>
  <c r="P480" i="22"/>
  <c r="K186" i="22"/>
  <c r="N186" i="22" s="1"/>
  <c r="K457" i="22"/>
  <c r="N457" i="22" s="1"/>
  <c r="K713" i="22"/>
  <c r="N713" i="22" s="1"/>
  <c r="K954" i="22"/>
  <c r="N954" i="22" s="1"/>
  <c r="K50" i="22"/>
  <c r="K326" i="22"/>
  <c r="N326" i="22" s="1"/>
  <c r="K595" i="22"/>
  <c r="N595" i="22" s="1"/>
  <c r="K871" i="22"/>
  <c r="N871" i="22" s="1"/>
  <c r="K1139" i="22"/>
  <c r="K208" i="22"/>
  <c r="K479" i="22"/>
  <c r="N479" i="22" s="1"/>
  <c r="K753" i="22"/>
  <c r="N753" i="22" s="1"/>
  <c r="K1024" i="22"/>
  <c r="K105" i="22"/>
  <c r="N105" i="22" s="1"/>
  <c r="K379" i="22"/>
  <c r="N379" i="22" s="1"/>
  <c r="K650" i="22"/>
  <c r="O650" i="22" s="1"/>
  <c r="K906" i="22"/>
  <c r="O906" i="22" s="1"/>
  <c r="K230" i="22"/>
  <c r="K499" i="22"/>
  <c r="N499" i="22" s="1"/>
  <c r="K775" i="22"/>
  <c r="K1046" i="22"/>
  <c r="N1046" i="22" s="1"/>
  <c r="K127" i="22"/>
  <c r="N127" i="22" s="1"/>
  <c r="K401" i="22"/>
  <c r="K672" i="22"/>
  <c r="K880" i="22"/>
  <c r="K199" i="22"/>
  <c r="N199" i="22" s="1"/>
  <c r="K470" i="22"/>
  <c r="N470" i="22" s="1"/>
  <c r="K744" i="22"/>
  <c r="N744" i="22" s="1"/>
  <c r="K1018" i="22"/>
  <c r="N1018" i="22" s="1"/>
  <c r="K81" i="22"/>
  <c r="N81" i="22" s="1"/>
  <c r="K352" i="22"/>
  <c r="N352" i="22" s="1"/>
  <c r="K626" i="22"/>
  <c r="N626" i="22" s="1"/>
  <c r="K882" i="22"/>
  <c r="K1158" i="22"/>
  <c r="K75" i="22"/>
  <c r="N75" i="22" s="1"/>
  <c r="K247" i="22"/>
  <c r="N247" i="22" s="1"/>
  <c r="K417" i="22"/>
  <c r="K587" i="22"/>
  <c r="N587" i="22" s="1"/>
  <c r="K759" i="22"/>
  <c r="N759" i="22" s="1"/>
  <c r="K929" i="22"/>
  <c r="N929" i="22" s="1"/>
  <c r="K1079" i="22"/>
  <c r="K1221" i="22"/>
  <c r="N1221" i="22" s="1"/>
  <c r="K1093" i="22"/>
  <c r="N1093" i="22" s="1"/>
  <c r="K965" i="22"/>
  <c r="K837" i="22"/>
  <c r="N837" i="22" s="1"/>
  <c r="K709" i="22"/>
  <c r="N709" i="22" s="1"/>
  <c r="N3" i="22"/>
  <c r="K201" i="22"/>
  <c r="N201" i="22" s="1"/>
  <c r="K490" i="22"/>
  <c r="N490" i="22" s="1"/>
  <c r="K1022" i="22"/>
  <c r="K136" i="22"/>
  <c r="K425" i="22"/>
  <c r="N425" i="22" s="1"/>
  <c r="K714" i="22"/>
  <c r="K990" i="22"/>
  <c r="N990" i="22" s="1"/>
  <c r="K86" i="22"/>
  <c r="N86" i="22" s="1"/>
  <c r="K378" i="22"/>
  <c r="N378" i="22" s="1"/>
  <c r="K667" i="22"/>
  <c r="N667" i="22" s="1"/>
  <c r="K958" i="22"/>
  <c r="K54" i="22"/>
  <c r="K346" i="22"/>
  <c r="N346" i="22" s="1"/>
  <c r="K635" i="22"/>
  <c r="N635" i="22" s="1"/>
  <c r="K926" i="22"/>
  <c r="K1226" i="22"/>
  <c r="K278" i="22"/>
  <c r="K570" i="22"/>
  <c r="N570" i="22" s="1"/>
  <c r="K859" i="22"/>
  <c r="N859" i="22" s="1"/>
  <c r="K1170" i="22"/>
  <c r="N1170" i="22" s="1"/>
  <c r="K246" i="22"/>
  <c r="N246" i="22" s="1"/>
  <c r="K538" i="22"/>
  <c r="N538" i="22" s="1"/>
  <c r="K794" i="22"/>
  <c r="K1032" i="22"/>
  <c r="K113" i="22"/>
  <c r="K402" i="22"/>
  <c r="K691" i="22"/>
  <c r="N691" i="22" s="1"/>
  <c r="K982" i="22"/>
  <c r="K63" i="22"/>
  <c r="K370" i="22"/>
  <c r="K659" i="22"/>
  <c r="K935" i="22"/>
  <c r="N935" i="22" s="1"/>
  <c r="K1195" i="22"/>
  <c r="N1195" i="22" s="1"/>
  <c r="K1185" i="22"/>
  <c r="N1185" i="22" s="1"/>
  <c r="K139" i="22"/>
  <c r="N139" i="22" s="1"/>
  <c r="K321" i="22"/>
  <c r="N321" i="22" s="1"/>
  <c r="K503" i="22"/>
  <c r="O503" i="22" s="1"/>
  <c r="K683" i="22"/>
  <c r="N683" i="22" s="1"/>
  <c r="K865" i="22"/>
  <c r="N865" i="22" s="1"/>
  <c r="K1035" i="22"/>
  <c r="K1215" i="22"/>
  <c r="N1215" i="22" s="1"/>
  <c r="K1117" i="22"/>
  <c r="N1117" i="22" s="1"/>
  <c r="K981" i="22"/>
  <c r="N981" i="22" s="1"/>
  <c r="K845" i="22"/>
  <c r="N845" i="22" s="1"/>
  <c r="K701" i="22"/>
  <c r="N701" i="22" s="1"/>
  <c r="K573" i="22"/>
  <c r="N573" i="22" s="1"/>
  <c r="K445" i="22"/>
  <c r="N445" i="22" s="1"/>
  <c r="K317" i="22"/>
  <c r="N317" i="22" s="1"/>
  <c r="K189" i="22"/>
  <c r="K61" i="22"/>
  <c r="K1196" i="22"/>
  <c r="K1084" i="22"/>
  <c r="N1084" i="22" s="1"/>
  <c r="K972" i="22"/>
  <c r="N972" i="22" s="1"/>
  <c r="K860" i="22"/>
  <c r="N860" i="22" s="1"/>
  <c r="K732" i="22"/>
  <c r="N732" i="22" s="1"/>
  <c r="K604" i="22"/>
  <c r="N604" i="22" s="1"/>
  <c r="K500" i="22"/>
  <c r="O500" i="22" s="1"/>
  <c r="K372" i="22"/>
  <c r="K244" i="22"/>
  <c r="N244" i="22" s="1"/>
  <c r="K124" i="22"/>
  <c r="N124" i="22" s="1"/>
  <c r="K1240" i="22"/>
  <c r="N1240" i="22" s="1"/>
  <c r="K78" i="22"/>
  <c r="N78" i="22" s="1"/>
  <c r="K248" i="22"/>
  <c r="N248" i="22" s="1"/>
  <c r="K418" i="22"/>
  <c r="O418" i="22" s="1"/>
  <c r="K590" i="22"/>
  <c r="N590" i="22" s="1"/>
  <c r="K750" i="22"/>
  <c r="N750" i="22" s="1"/>
  <c r="K920" i="22"/>
  <c r="N920" i="22" s="1"/>
  <c r="K272" i="22"/>
  <c r="K561" i="22"/>
  <c r="N561" i="22" s="1"/>
  <c r="K850" i="22"/>
  <c r="N850" i="22" s="1"/>
  <c r="K1159" i="22"/>
  <c r="N1159" i="22" s="1"/>
  <c r="K273" i="22"/>
  <c r="K582" i="22"/>
  <c r="N582" i="22" s="1"/>
  <c r="K307" i="22"/>
  <c r="N307" i="22" s="1"/>
  <c r="K616" i="22"/>
  <c r="N616" i="22" s="1"/>
  <c r="K923" i="22"/>
  <c r="K39" i="22"/>
  <c r="K361" i="22"/>
  <c r="N361" i="22" s="1"/>
  <c r="K688" i="22"/>
  <c r="K977" i="22"/>
  <c r="K58" i="22"/>
  <c r="K362" i="22"/>
  <c r="K671" i="22"/>
  <c r="N671" i="22" s="1"/>
  <c r="K978" i="22"/>
  <c r="K94" i="22"/>
  <c r="N94" i="22" s="1"/>
  <c r="K416" i="22"/>
  <c r="K710" i="22"/>
  <c r="N710" i="22" s="1"/>
  <c r="K42" i="22"/>
  <c r="N42" i="22" s="1"/>
  <c r="K351" i="22"/>
  <c r="K658" i="22"/>
  <c r="K967" i="22"/>
  <c r="K96" i="22"/>
  <c r="N96" i="22" s="1"/>
  <c r="K403" i="22"/>
  <c r="K712" i="22"/>
  <c r="N712" i="22" s="1"/>
  <c r="K1001" i="22"/>
  <c r="N1001" i="22" s="1"/>
  <c r="K1086" i="22"/>
  <c r="K23" i="22"/>
  <c r="N23" i="22" s="1"/>
  <c r="K215" i="22"/>
  <c r="N215" i="22" s="1"/>
  <c r="K407" i="22"/>
  <c r="N407" i="22" s="1"/>
  <c r="K609" i="22"/>
  <c r="N609" i="22" s="1"/>
  <c r="K801" i="22"/>
  <c r="N801" i="22" s="1"/>
  <c r="K993" i="22"/>
  <c r="K1163" i="22"/>
  <c r="N1163" i="22" s="1"/>
  <c r="K1141" i="22"/>
  <c r="N1141" i="22" s="1"/>
  <c r="K997" i="22"/>
  <c r="K853" i="22"/>
  <c r="N853" i="22" s="1"/>
  <c r="K693" i="22"/>
  <c r="K557" i="22"/>
  <c r="N557" i="22" s="1"/>
  <c r="K421" i="22"/>
  <c r="N421" i="22" s="1"/>
  <c r="K285" i="22"/>
  <c r="N285" i="22" s="1"/>
  <c r="K149" i="22"/>
  <c r="N149" i="22" s="1"/>
  <c r="K13" i="22"/>
  <c r="N13" i="22" s="1"/>
  <c r="K1036" i="22"/>
  <c r="N1036" i="22" s="1"/>
  <c r="K908" i="22"/>
  <c r="N908" i="22" s="1"/>
  <c r="K780" i="22"/>
  <c r="K644" i="22"/>
  <c r="K524" i="22"/>
  <c r="K396" i="22"/>
  <c r="K260" i="22"/>
  <c r="N260" i="22" s="1"/>
  <c r="K132" i="22"/>
  <c r="K1232" i="22"/>
  <c r="N1232" i="22" s="1"/>
  <c r="K98" i="22"/>
  <c r="N98" i="22" s="1"/>
  <c r="K280" i="22"/>
  <c r="N280" i="22" s="1"/>
  <c r="K462" i="22"/>
  <c r="N462" i="22" s="1"/>
  <c r="K642" i="22"/>
  <c r="K814" i="22"/>
  <c r="N814" i="22" s="1"/>
  <c r="K994" i="22"/>
  <c r="N994" i="22" s="1"/>
  <c r="K99" i="22"/>
  <c r="N99" i="22" s="1"/>
  <c r="K271" i="22"/>
  <c r="N271" i="22" s="1"/>
  <c r="K441" i="22"/>
  <c r="N441" i="22" s="1"/>
  <c r="K611" i="22"/>
  <c r="N611" i="22" s="1"/>
  <c r="K783" i="22"/>
  <c r="N783" i="22" s="1"/>
  <c r="K953" i="22"/>
  <c r="N953" i="22" s="1"/>
  <c r="K1113" i="22"/>
  <c r="N1113" i="22" s="1"/>
  <c r="K168" i="22"/>
  <c r="N168" i="22" s="1"/>
  <c r="K510" i="22"/>
  <c r="K784" i="22"/>
  <c r="K1073" i="22"/>
  <c r="N1073" i="22" s="1"/>
  <c r="K202" i="22"/>
  <c r="K511" i="22"/>
  <c r="N511" i="22" s="1"/>
  <c r="K818" i="22"/>
  <c r="K1119" i="22"/>
  <c r="N1119" i="22" s="1"/>
  <c r="K241" i="22"/>
  <c r="N241" i="22" s="1"/>
  <c r="K550" i="22"/>
  <c r="N550" i="22" s="1"/>
  <c r="K854" i="22"/>
  <c r="N854" i="22" s="1"/>
  <c r="K1187" i="22"/>
  <c r="K275" i="22"/>
  <c r="N275" i="22" s="1"/>
  <c r="K584" i="22"/>
  <c r="K873" i="22"/>
  <c r="N873" i="22" s="1"/>
  <c r="K1194" i="22"/>
  <c r="N1194" i="22" s="1"/>
  <c r="K296" i="22"/>
  <c r="N296" i="22" s="1"/>
  <c r="K603" i="22"/>
  <c r="K912" i="22"/>
  <c r="N912" i="22" s="1"/>
  <c r="K26" i="22"/>
  <c r="N26" i="22" s="1"/>
  <c r="K330" i="22"/>
  <c r="K639" i="22"/>
  <c r="N639" i="22" s="1"/>
  <c r="K895" i="22"/>
  <c r="K1201" i="22"/>
  <c r="N1201" i="22" s="1"/>
  <c r="K283" i="22"/>
  <c r="K592" i="22"/>
  <c r="N592" i="22" s="1"/>
  <c r="K896" i="22"/>
  <c r="N896" i="22" s="1"/>
  <c r="K1239" i="22"/>
  <c r="N1239" i="22" s="1"/>
  <c r="K304" i="22"/>
  <c r="K608" i="22"/>
  <c r="K915" i="22"/>
  <c r="N915" i="22" s="1"/>
  <c r="K1209" i="22"/>
  <c r="K1210" i="22"/>
  <c r="K171" i="22"/>
  <c r="K363" i="22"/>
  <c r="N363" i="22" s="1"/>
  <c r="K555" i="22"/>
  <c r="K747" i="22"/>
  <c r="N747" i="22" s="1"/>
  <c r="K951" i="22"/>
  <c r="N951" i="22" s="1"/>
  <c r="K1121" i="22"/>
  <c r="K1173" i="22"/>
  <c r="K1029" i="22"/>
  <c r="N1029" i="22" s="1"/>
  <c r="K885" i="22"/>
  <c r="N885" i="22" s="1"/>
  <c r="K741" i="22"/>
  <c r="K597" i="22"/>
  <c r="N597" i="22" s="1"/>
  <c r="K461" i="22"/>
  <c r="N461" i="22" s="1"/>
  <c r="K325" i="22"/>
  <c r="K181" i="22"/>
  <c r="N181" i="22" s="1"/>
  <c r="K45" i="22"/>
  <c r="N45" i="22" s="1"/>
  <c r="K1172" i="22"/>
  <c r="N1172" i="22" s="1"/>
  <c r="K932" i="22"/>
  <c r="N932" i="22" s="1"/>
  <c r="K812" i="22"/>
  <c r="N812" i="22" s="1"/>
  <c r="K676" i="22"/>
  <c r="K556" i="22"/>
  <c r="K428" i="22"/>
  <c r="N428" i="22" s="1"/>
  <c r="K292" i="22"/>
  <c r="K164" i="22"/>
  <c r="N164" i="22" s="1"/>
  <c r="K28" i="22"/>
  <c r="N28" i="22" s="1"/>
  <c r="K46" i="22"/>
  <c r="N46" i="22" s="1"/>
  <c r="K226" i="22"/>
  <c r="N226" i="22" s="1"/>
  <c r="K408" i="22"/>
  <c r="N408" i="22" s="1"/>
  <c r="K600" i="22"/>
  <c r="K770" i="22"/>
  <c r="K952" i="22"/>
  <c r="N952" i="22" s="1"/>
  <c r="K1122" i="22"/>
  <c r="K57" i="22"/>
  <c r="K227" i="22"/>
  <c r="K399" i="22"/>
  <c r="N399" i="22" s="1"/>
  <c r="K569" i="22"/>
  <c r="N569" i="22" s="1"/>
  <c r="K739" i="22"/>
  <c r="K911" i="22"/>
  <c r="N911" i="22" s="1"/>
  <c r="K1071" i="22"/>
  <c r="K1243" i="22"/>
  <c r="K320" i="22"/>
  <c r="K647" i="22"/>
  <c r="K969" i="22"/>
  <c r="K154" i="22"/>
  <c r="N154" i="22" s="1"/>
  <c r="K496" i="22"/>
  <c r="N496" i="22" s="1"/>
  <c r="K851" i="22"/>
  <c r="K18" i="22"/>
  <c r="N18" i="22" s="1"/>
  <c r="K360" i="22"/>
  <c r="K720" i="22"/>
  <c r="K1078" i="22"/>
  <c r="K224" i="22"/>
  <c r="N224" i="22" s="1"/>
  <c r="K566" i="22"/>
  <c r="N566" i="22" s="1"/>
  <c r="K944" i="22"/>
  <c r="N944" i="22" s="1"/>
  <c r="K73" i="22"/>
  <c r="N73" i="22" s="1"/>
  <c r="K415" i="22"/>
  <c r="K755" i="22"/>
  <c r="N755" i="22" s="1"/>
  <c r="K1127" i="22"/>
  <c r="K282" i="22"/>
  <c r="K150" i="22"/>
  <c r="N150" i="22" s="1"/>
  <c r="K543" i="22"/>
  <c r="N543" i="22" s="1"/>
  <c r="K883" i="22"/>
  <c r="N883" i="22" s="1"/>
  <c r="K83" i="22"/>
  <c r="K458" i="22"/>
  <c r="N458" i="22" s="1"/>
  <c r="K838" i="22"/>
  <c r="N838" i="22" s="1"/>
  <c r="K38" i="22"/>
  <c r="K411" i="22"/>
  <c r="K786" i="22"/>
  <c r="N786" i="22" s="1"/>
  <c r="K1162" i="22"/>
  <c r="K328" i="22"/>
  <c r="N328" i="22" s="1"/>
  <c r="K736" i="22"/>
  <c r="N736" i="22" s="1"/>
  <c r="K1082" i="22"/>
  <c r="N1082" i="22" s="1"/>
  <c r="K210" i="22"/>
  <c r="K618" i="22"/>
  <c r="K998" i="22"/>
  <c r="N998" i="22" s="1"/>
  <c r="K178" i="22"/>
  <c r="N178" i="22" s="1"/>
  <c r="K553" i="22"/>
  <c r="N553" i="22" s="1"/>
  <c r="K1174" i="22"/>
  <c r="N1174" i="22" s="1"/>
  <c r="K318" i="22"/>
  <c r="O318" i="22" s="1"/>
  <c r="K219" i="22"/>
  <c r="N219" i="22" s="1"/>
  <c r="K576" i="22"/>
  <c r="N576" i="22" s="1"/>
  <c r="K903" i="22"/>
  <c r="K103" i="22"/>
  <c r="N103" i="22" s="1"/>
  <c r="K478" i="22"/>
  <c r="O478" i="22" s="1"/>
  <c r="K886" i="22"/>
  <c r="N886" i="22" s="1"/>
  <c r="K51" i="22"/>
  <c r="N51" i="22" s="1"/>
  <c r="K426" i="22"/>
  <c r="N426" i="22" s="1"/>
  <c r="K806" i="22"/>
  <c r="N806" i="22" s="1"/>
  <c r="K1225" i="22"/>
  <c r="N1225" i="22" s="1"/>
  <c r="K394" i="22"/>
  <c r="K754" i="22"/>
  <c r="N754" i="22" s="1"/>
  <c r="K1104" i="22"/>
  <c r="N1104" i="22" s="1"/>
  <c r="K243" i="22"/>
  <c r="N243" i="22" s="1"/>
  <c r="K638" i="22"/>
  <c r="N638" i="22" s="1"/>
  <c r="K1011" i="22"/>
  <c r="N1011" i="22" s="1"/>
  <c r="K198" i="22"/>
  <c r="N198" i="22" s="1"/>
  <c r="K571" i="22"/>
  <c r="N571" i="22" s="1"/>
  <c r="K862" i="22"/>
  <c r="K1238" i="22"/>
  <c r="K336" i="22"/>
  <c r="N336" i="22" s="1"/>
  <c r="K711" i="22"/>
  <c r="K254" i="22"/>
  <c r="N254" i="22" s="1"/>
  <c r="K614" i="22"/>
  <c r="N614" i="22" s="1"/>
  <c r="K936" i="22"/>
  <c r="N936" i="22" s="1"/>
  <c r="K169" i="22"/>
  <c r="K544" i="22"/>
  <c r="N544" i="22" s="1"/>
  <c r="K922" i="22"/>
  <c r="N922" i="22" s="1"/>
  <c r="K104" i="22"/>
  <c r="N104" i="22" s="1"/>
  <c r="K464" i="22"/>
  <c r="N464" i="22" s="1"/>
  <c r="K839" i="22"/>
  <c r="K19" i="22"/>
  <c r="N19" i="22" s="1"/>
  <c r="K432" i="22"/>
  <c r="N432" i="22" s="1"/>
  <c r="K1146" i="22"/>
  <c r="N1146" i="22" s="1"/>
  <c r="K314" i="22"/>
  <c r="K689" i="22"/>
  <c r="N689" i="22" s="1"/>
  <c r="K1064" i="22"/>
  <c r="K231" i="22"/>
  <c r="N231" i="22" s="1"/>
  <c r="K606" i="22"/>
  <c r="K913" i="22"/>
  <c r="N913" i="22" s="1"/>
  <c r="K27" i="22"/>
  <c r="K384" i="22"/>
  <c r="K762" i="22"/>
  <c r="N762" i="22" s="1"/>
  <c r="K1110" i="22"/>
  <c r="N1110" i="22" s="1"/>
  <c r="K233" i="22"/>
  <c r="K575" i="22"/>
  <c r="N575" i="22" s="1"/>
  <c r="K950" i="22"/>
  <c r="K1074" i="22"/>
  <c r="O1074" i="22" s="1"/>
  <c r="K43" i="22"/>
  <c r="N43" i="22" s="1"/>
  <c r="K267" i="22"/>
  <c r="N267" i="22" s="1"/>
  <c r="K481" i="22"/>
  <c r="N481" i="22" s="1"/>
  <c r="K705" i="22"/>
  <c r="N705" i="22" s="1"/>
  <c r="K919" i="22"/>
  <c r="K1131" i="22"/>
  <c r="K1149" i="22"/>
  <c r="K973" i="22"/>
  <c r="N973" i="22" s="1"/>
  <c r="K805" i="22"/>
  <c r="K645" i="22"/>
  <c r="N645" i="22" s="1"/>
  <c r="K493" i="22"/>
  <c r="N493" i="22" s="1"/>
  <c r="K341" i="22"/>
  <c r="K173" i="22"/>
  <c r="N173" i="22" s="1"/>
  <c r="K21" i="22"/>
  <c r="N21" i="22" s="1"/>
  <c r="K1132" i="22"/>
  <c r="K1004" i="22"/>
  <c r="N1004" i="22" s="1"/>
  <c r="K868" i="22"/>
  <c r="N868" i="22" s="1"/>
  <c r="K708" i="22"/>
  <c r="K420" i="22"/>
  <c r="K268" i="22"/>
  <c r="K108" i="22"/>
  <c r="K1200" i="22"/>
  <c r="N1200" i="22" s="1"/>
  <c r="K162" i="22"/>
  <c r="N162" i="22" s="1"/>
  <c r="K366" i="22"/>
  <c r="N366" i="22" s="1"/>
  <c r="K568" i="22"/>
  <c r="K782" i="22"/>
  <c r="N782" i="22" s="1"/>
  <c r="K984" i="22"/>
  <c r="K1178" i="22"/>
  <c r="N1178" i="22" s="1"/>
  <c r="K143" i="22"/>
  <c r="N143" i="22" s="1"/>
  <c r="K335" i="22"/>
  <c r="N335" i="22" s="1"/>
  <c r="K527" i="22"/>
  <c r="K719" i="22"/>
  <c r="N719" i="22" s="1"/>
  <c r="P1134" i="22"/>
  <c r="V535" i="22"/>
  <c r="AD535" i="22" s="1"/>
  <c r="V470" i="22"/>
  <c r="AD470" i="22" s="1"/>
  <c r="O332" i="22"/>
  <c r="V332" i="22"/>
  <c r="P305" i="22"/>
  <c r="V143" i="22"/>
  <c r="V34" i="22"/>
  <c r="N1080" i="22"/>
  <c r="N413" i="22"/>
  <c r="O695" i="22"/>
  <c r="O542" i="22"/>
  <c r="P832" i="22"/>
  <c r="N622" i="22"/>
  <c r="O270" i="22"/>
  <c r="O1043" i="22"/>
  <c r="P1043" i="22"/>
  <c r="N802" i="22"/>
  <c r="V802" i="22"/>
  <c r="AD802" i="22" s="1"/>
  <c r="O755" i="22"/>
  <c r="O832" i="22"/>
  <c r="O1023" i="22"/>
  <c r="P500" i="22"/>
  <c r="N1067" i="22"/>
  <c r="L592" i="22"/>
  <c r="O592" i="22" s="1"/>
  <c r="L1212" i="22"/>
  <c r="L1200" i="22"/>
  <c r="L309" i="22"/>
  <c r="L789" i="22"/>
  <c r="O789" i="22" s="1"/>
  <c r="L1039" i="22"/>
  <c r="P1039" i="22" s="1"/>
  <c r="L1017" i="22"/>
  <c r="L1084" i="22"/>
  <c r="L493" i="22"/>
  <c r="P493" i="22" s="1"/>
  <c r="L874" i="22"/>
  <c r="L993" i="22"/>
  <c r="P993" i="22" s="1"/>
  <c r="L425" i="22"/>
  <c r="P425" i="22" s="1"/>
  <c r="L1179" i="22"/>
  <c r="O1179" i="22" s="1"/>
  <c r="L938" i="22"/>
  <c r="O938" i="22" s="1"/>
  <c r="L340" i="22"/>
  <c r="P340" i="22" s="1"/>
  <c r="L1208" i="22"/>
  <c r="O1208" i="22" s="1"/>
  <c r="L987" i="22"/>
  <c r="O987" i="22" s="1"/>
  <c r="L981" i="22"/>
  <c r="P981" i="22" s="1"/>
  <c r="L656" i="22"/>
  <c r="L1236" i="22"/>
  <c r="L1157" i="22"/>
  <c r="L1068" i="22"/>
  <c r="O1068" i="22" s="1"/>
  <c r="L985" i="22"/>
  <c r="L1112" i="22"/>
  <c r="O1112" i="22" s="1"/>
  <c r="L1225" i="22"/>
  <c r="P1225" i="22" s="1"/>
  <c r="L1169" i="22"/>
  <c r="P1169" i="22" s="1"/>
  <c r="L1156" i="22"/>
  <c r="L1170" i="22"/>
  <c r="L1025" i="22"/>
  <c r="L211" i="22"/>
  <c r="O211" i="22" s="1"/>
  <c r="L995" i="22"/>
  <c r="O995" i="22" s="1"/>
  <c r="L1116" i="22"/>
  <c r="P1116" i="22" s="1"/>
  <c r="L571" i="22"/>
  <c r="L1035" i="22"/>
  <c r="P1035" i="22" s="1"/>
  <c r="L1051" i="22"/>
  <c r="L621" i="22"/>
  <c r="L177" i="22"/>
  <c r="L1080" i="22"/>
  <c r="L675" i="22"/>
  <c r="L1173" i="22"/>
  <c r="P1173" i="22" s="1"/>
  <c r="L1029" i="22"/>
  <c r="P1029" i="22" s="1"/>
  <c r="L297" i="22"/>
  <c r="O297" i="22" s="1"/>
  <c r="L1152" i="22"/>
  <c r="L1072" i="22"/>
  <c r="P1072" i="22" s="1"/>
  <c r="L1015" i="22"/>
  <c r="L1201" i="22"/>
  <c r="L1060" i="22"/>
  <c r="L1061" i="22"/>
  <c r="L1145" i="22"/>
  <c r="L1053" i="22"/>
  <c r="P1053" i="22" s="1"/>
  <c r="L179" i="22"/>
  <c r="L948" i="22"/>
  <c r="L387" i="22"/>
  <c r="L810" i="22"/>
  <c r="L169" i="22"/>
  <c r="P169" i="22" s="1"/>
  <c r="L1092" i="22"/>
  <c r="P1092" i="22" s="1"/>
  <c r="L540" i="22"/>
  <c r="P540" i="22" s="1"/>
  <c r="L1141" i="22"/>
  <c r="L942" i="22"/>
  <c r="L501" i="22"/>
  <c r="L1184" i="22"/>
  <c r="O1184" i="22" s="1"/>
  <c r="L1042" i="22"/>
  <c r="L694" i="22"/>
  <c r="P694" i="22" s="1"/>
  <c r="L1041" i="22"/>
  <c r="L894" i="22"/>
  <c r="L691" i="22"/>
  <c r="L782" i="22"/>
  <c r="L432" i="22"/>
  <c r="L1239" i="22"/>
  <c r="L1143" i="22"/>
  <c r="L1037" i="22"/>
  <c r="O1037" i="22" s="1"/>
  <c r="L902" i="22"/>
  <c r="L660" i="22"/>
  <c r="L21" i="22"/>
  <c r="L117" i="22"/>
  <c r="L237" i="22"/>
  <c r="L94" i="22"/>
  <c r="L198" i="22"/>
  <c r="L302" i="22"/>
  <c r="O302" i="22" s="1"/>
  <c r="L898" i="22"/>
  <c r="L1219" i="22"/>
  <c r="O1219" i="22" s="1"/>
  <c r="L1176" i="22"/>
  <c r="L1047" i="22"/>
  <c r="L521" i="22"/>
  <c r="L778" i="22"/>
  <c r="L924" i="22"/>
  <c r="L1117" i="22"/>
  <c r="L443" i="22"/>
  <c r="O443" i="22" s="1"/>
  <c r="L673" i="22"/>
  <c r="L1006" i="22"/>
  <c r="L315" i="22"/>
  <c r="L1123" i="22"/>
  <c r="L773" i="22"/>
  <c r="P773" i="22" s="1"/>
  <c r="L267" i="22"/>
  <c r="P267" i="22" s="1"/>
  <c r="L1007" i="22"/>
  <c r="L219" i="22"/>
  <c r="L1077" i="22"/>
  <c r="O1077" i="22" s="1"/>
  <c r="L826" i="22"/>
  <c r="O826" i="22" s="1"/>
  <c r="L1108" i="22"/>
  <c r="L853" i="22"/>
  <c r="L220" i="22"/>
  <c r="L933" i="22"/>
  <c r="P933" i="22" s="1"/>
  <c r="L723" i="22"/>
  <c r="L413" i="22"/>
  <c r="L798" i="22"/>
  <c r="L405" i="22"/>
  <c r="O405" i="22" s="1"/>
  <c r="L1231" i="22"/>
  <c r="L1119" i="22"/>
  <c r="L1010" i="22"/>
  <c r="L845" i="22"/>
  <c r="P845" i="22" s="1"/>
  <c r="L557" i="22"/>
  <c r="L69" i="22"/>
  <c r="L189" i="22"/>
  <c r="P189" i="22" s="1"/>
  <c r="L62" i="22"/>
  <c r="L166" i="22"/>
  <c r="L390" i="22"/>
  <c r="L494" i="22"/>
  <c r="L614" i="22"/>
  <c r="P614" i="22" s="1"/>
  <c r="L31" i="22"/>
  <c r="P31" i="22" s="1"/>
  <c r="L127" i="22"/>
  <c r="L231" i="22"/>
  <c r="P231" i="22" s="1"/>
  <c r="L327" i="22"/>
  <c r="L423" i="22"/>
  <c r="P423" i="22" s="1"/>
  <c r="L631" i="22"/>
  <c r="O631" i="22" s="1"/>
  <c r="L64" i="22"/>
  <c r="L168" i="22"/>
  <c r="P168" i="22" s="1"/>
  <c r="L256" i="22"/>
  <c r="L74" i="22"/>
  <c r="P74" i="22" s="1"/>
  <c r="L186" i="22"/>
  <c r="L306" i="22"/>
  <c r="P306" i="22" s="1"/>
  <c r="L410" i="22"/>
  <c r="L514" i="22"/>
  <c r="L634" i="22"/>
  <c r="L139" i="22"/>
  <c r="L369" i="22"/>
  <c r="L548" i="22"/>
  <c r="L703" i="22"/>
  <c r="P703" i="22" s="1"/>
  <c r="L815" i="22"/>
  <c r="L293" i="22"/>
  <c r="P293" i="22" s="1"/>
  <c r="L460" i="22"/>
  <c r="L652" i="22"/>
  <c r="O652" i="22" s="1"/>
  <c r="L776" i="22"/>
  <c r="P776" i="22" s="1"/>
  <c r="L904" i="22"/>
  <c r="L1016" i="22"/>
  <c r="O1016" i="22" s="1"/>
  <c r="L164" i="22"/>
  <c r="L360" i="22"/>
  <c r="O360" i="22" s="1"/>
  <c r="L552" i="22"/>
  <c r="L825" i="22"/>
  <c r="L921" i="22"/>
  <c r="L172" i="22"/>
  <c r="L403" i="22"/>
  <c r="L569" i="22"/>
  <c r="L724" i="22"/>
  <c r="O724" i="22" s="1"/>
  <c r="L836" i="22"/>
  <c r="O836" i="22" s="1"/>
  <c r="L1174" i="22"/>
  <c r="L1086" i="22"/>
  <c r="L954" i="22"/>
  <c r="L763" i="22"/>
  <c r="L504" i="22"/>
  <c r="O504" i="22" s="1"/>
  <c r="L148" i="22"/>
  <c r="P148" i="22" s="1"/>
  <c r="L1241" i="22"/>
  <c r="L668" i="22"/>
  <c r="L648" i="22"/>
  <c r="L1082" i="22"/>
  <c r="L1186" i="22"/>
  <c r="L818" i="22"/>
  <c r="P818" i="22" s="1"/>
  <c r="L866" i="22"/>
  <c r="P866" i="22" s="1"/>
  <c r="L1097" i="22"/>
  <c r="L373" i="22"/>
  <c r="O373" i="22" s="1"/>
  <c r="L1193" i="22"/>
  <c r="L257" i="22"/>
  <c r="O257" i="22" s="1"/>
  <c r="L1106" i="22"/>
  <c r="L617" i="22"/>
  <c r="L1131" i="22"/>
  <c r="P1131" i="22" s="1"/>
  <c r="L923" i="22"/>
  <c r="P923" i="22" s="1"/>
  <c r="L962" i="22"/>
  <c r="P962" i="22" s="1"/>
  <c r="L444" i="22"/>
  <c r="P444" i="22" s="1"/>
  <c r="L994" i="22"/>
  <c r="L803" i="22"/>
  <c r="L516" i="22"/>
  <c r="L560" i="22"/>
  <c r="L156" i="22"/>
  <c r="L1167" i="22"/>
  <c r="L916" i="22"/>
  <c r="L635" i="22"/>
  <c r="P635" i="22" s="1"/>
  <c r="L328" i="22"/>
  <c r="P328" i="22" s="1"/>
  <c r="L45" i="22"/>
  <c r="L149" i="22"/>
  <c r="L30" i="22"/>
  <c r="P30" i="22" s="1"/>
  <c r="L134" i="22"/>
  <c r="P134" i="22" s="1"/>
  <c r="L246" i="22"/>
  <c r="L350" i="22"/>
  <c r="L462" i="22"/>
  <c r="P462" i="22" s="1"/>
  <c r="L582" i="22"/>
  <c r="O582" i="22" s="1"/>
  <c r="L678" i="22"/>
  <c r="L199" i="22"/>
  <c r="O199" i="22" s="1"/>
  <c r="L295" i="22"/>
  <c r="L391" i="22"/>
  <c r="L495" i="22"/>
  <c r="L599" i="22"/>
  <c r="P599" i="22" s="1"/>
  <c r="L32" i="22"/>
  <c r="P32" i="22" s="1"/>
  <c r="L144" i="22"/>
  <c r="L232" i="22"/>
  <c r="P232" i="22" s="1"/>
  <c r="L146" i="22"/>
  <c r="O146" i="22" s="1"/>
  <c r="L266" i="22"/>
  <c r="L378" i="22"/>
  <c r="L490" i="22"/>
  <c r="L602" i="22"/>
  <c r="P602" i="22" s="1"/>
  <c r="L664" i="22"/>
  <c r="L783" i="22"/>
  <c r="P783" i="22" s="1"/>
  <c r="L879" i="22"/>
  <c r="L204" i="22"/>
  <c r="L744" i="22"/>
  <c r="L864" i="22"/>
  <c r="L976" i="22"/>
  <c r="L308" i="22"/>
  <c r="L488" i="22"/>
  <c r="L667" i="22"/>
  <c r="O667" i="22" s="1"/>
  <c r="L793" i="22"/>
  <c r="L1114" i="22"/>
  <c r="O1114" i="22" s="1"/>
  <c r="L1202" i="22"/>
  <c r="P1202" i="22" s="1"/>
  <c r="L1113" i="22"/>
  <c r="O1113" i="22" s="1"/>
  <c r="L837" i="22"/>
  <c r="L892" i="22"/>
  <c r="L834" i="22"/>
  <c r="L1073" i="22"/>
  <c r="L1155" i="22"/>
  <c r="L629" i="22"/>
  <c r="L850" i="22"/>
  <c r="L1234" i="22"/>
  <c r="L934" i="22"/>
  <c r="L1205" i="22"/>
  <c r="L997" i="22"/>
  <c r="P997" i="22" s="1"/>
  <c r="L1140" i="22"/>
  <c r="O1140" i="22" s="1"/>
  <c r="L899" i="22"/>
  <c r="L908" i="22"/>
  <c r="L644" i="22"/>
  <c r="L212" i="22"/>
  <c r="L611" i="22"/>
  <c r="L115" i="22"/>
  <c r="L1135" i="22"/>
  <c r="L1001" i="22"/>
  <c r="L797" i="22"/>
  <c r="L456" i="22"/>
  <c r="L133" i="22"/>
  <c r="L38" i="22"/>
  <c r="P38" i="22" s="1"/>
  <c r="L150" i="22"/>
  <c r="L278" i="22"/>
  <c r="P278" i="22" s="1"/>
  <c r="L414" i="22"/>
  <c r="P414" i="22" s="1"/>
  <c r="L534" i="22"/>
  <c r="L646" i="22"/>
  <c r="L207" i="22"/>
  <c r="O207" i="22" s="1"/>
  <c r="L311" i="22"/>
  <c r="L431" i="22"/>
  <c r="P431" i="22" s="1"/>
  <c r="L543" i="22"/>
  <c r="P543" i="22" s="1"/>
  <c r="L671" i="22"/>
  <c r="L112" i="22"/>
  <c r="O112" i="22" s="1"/>
  <c r="L224" i="22"/>
  <c r="L42" i="22"/>
  <c r="L170" i="22"/>
  <c r="L314" i="22"/>
  <c r="L554" i="22"/>
  <c r="O554" i="22" s="1"/>
  <c r="L11" i="22"/>
  <c r="P11" i="22" s="1"/>
  <c r="L292" i="22"/>
  <c r="P292" i="22" s="1"/>
  <c r="L509" i="22"/>
  <c r="L687" i="22"/>
  <c r="L927" i="22"/>
  <c r="L121" i="22"/>
  <c r="O121" i="22" s="1"/>
  <c r="L357" i="22"/>
  <c r="L576" i="22"/>
  <c r="L752" i="22"/>
  <c r="P752" i="22" s="1"/>
  <c r="L888" i="22"/>
  <c r="L1240" i="22"/>
  <c r="L1210" i="22"/>
  <c r="O1210" i="22" s="1"/>
  <c r="L1224" i="22"/>
  <c r="L946" i="22"/>
  <c r="L323" i="22"/>
  <c r="L870" i="22"/>
  <c r="L907" i="22"/>
  <c r="P907" i="22" s="1"/>
  <c r="L361" i="22"/>
  <c r="L990" i="22"/>
  <c r="P990" i="22" s="1"/>
  <c r="L1030" i="22"/>
  <c r="O1030" i="22" s="1"/>
  <c r="L1227" i="22"/>
  <c r="O1227" i="22" s="1"/>
  <c r="L451" i="22"/>
  <c r="L1120" i="22"/>
  <c r="P1120" i="22" s="1"/>
  <c r="L790" i="22"/>
  <c r="P790" i="22" s="1"/>
  <c r="L1031" i="22"/>
  <c r="L851" i="22"/>
  <c r="P851" i="22" s="1"/>
  <c r="L491" i="22"/>
  <c r="L814" i="22"/>
  <c r="P814" i="22" s="1"/>
  <c r="L355" i="22"/>
  <c r="L1191" i="22"/>
  <c r="L1063" i="22"/>
  <c r="L877" i="22"/>
  <c r="O877" i="22" s="1"/>
  <c r="L532" i="22"/>
  <c r="P532" i="22" s="1"/>
  <c r="L68" i="22"/>
  <c r="L22" i="22"/>
  <c r="L158" i="22"/>
  <c r="L294" i="22"/>
  <c r="O294" i="22" s="1"/>
  <c r="L430" i="22"/>
  <c r="O430" i="22" s="1"/>
  <c r="L566" i="22"/>
  <c r="P566" i="22" s="1"/>
  <c r="L15" i="22"/>
  <c r="L135" i="22"/>
  <c r="L263" i="22"/>
  <c r="L487" i="22"/>
  <c r="O487" i="22" s="1"/>
  <c r="L615" i="22"/>
  <c r="L72" i="22"/>
  <c r="L192" i="22"/>
  <c r="L26" i="22"/>
  <c r="L154" i="22"/>
  <c r="L298" i="22"/>
  <c r="L434" i="22"/>
  <c r="L570" i="22"/>
  <c r="P570" i="22" s="1"/>
  <c r="L52" i="22"/>
  <c r="L344" i="22"/>
  <c r="L573" i="22"/>
  <c r="P573" i="22" s="1"/>
  <c r="L743" i="22"/>
  <c r="P743" i="22" s="1"/>
  <c r="L983" i="22"/>
  <c r="O983" i="22" s="1"/>
  <c r="L277" i="22"/>
  <c r="L499" i="22"/>
  <c r="L712" i="22"/>
  <c r="L848" i="22"/>
  <c r="L992" i="22"/>
  <c r="L397" i="22"/>
  <c r="L289" i="22"/>
  <c r="L1132" i="22"/>
  <c r="P1132" i="22" s="1"/>
  <c r="L1218" i="22"/>
  <c r="O1218" i="22" s="1"/>
  <c r="L392" i="22"/>
  <c r="L1003" i="22"/>
  <c r="L931" i="22"/>
  <c r="L105" i="22"/>
  <c r="L1081" i="22"/>
  <c r="P1081" i="22" s="1"/>
  <c r="L1136" i="22"/>
  <c r="P1136" i="22" s="1"/>
  <c r="L412" i="22"/>
  <c r="L1067" i="22"/>
  <c r="P1067" i="22" s="1"/>
  <c r="L730" i="22"/>
  <c r="L1194" i="22"/>
  <c r="L980" i="22"/>
  <c r="L291" i="22"/>
  <c r="L922" i="22"/>
  <c r="L619" i="22"/>
  <c r="L129" i="22"/>
  <c r="L508" i="22"/>
  <c r="P508" i="22" s="1"/>
  <c r="L1223" i="22"/>
  <c r="P1223" i="22" s="1"/>
  <c r="L1095" i="22"/>
  <c r="P1095" i="22" s="1"/>
  <c r="L955" i="22"/>
  <c r="L685" i="22"/>
  <c r="L241" i="22"/>
  <c r="P241" i="22" s="1"/>
  <c r="L85" i="22"/>
  <c r="L229" i="22"/>
  <c r="P229" i="22" s="1"/>
  <c r="L118" i="22"/>
  <c r="L382" i="22"/>
  <c r="O382" i="22" s="1"/>
  <c r="L518" i="22"/>
  <c r="L95" i="22"/>
  <c r="L215" i="22"/>
  <c r="L335" i="22"/>
  <c r="L455" i="22"/>
  <c r="L575" i="22"/>
  <c r="L40" i="22"/>
  <c r="P40" i="22" s="1"/>
  <c r="L250" i="22"/>
  <c r="L394" i="22"/>
  <c r="P394" i="22" s="1"/>
  <c r="L522" i="22"/>
  <c r="L666" i="22"/>
  <c r="L497" i="22"/>
  <c r="L695" i="22"/>
  <c r="P695" i="22" s="1"/>
  <c r="L831" i="22"/>
  <c r="L951" i="22"/>
  <c r="L185" i="22"/>
  <c r="L421" i="22"/>
  <c r="P421" i="22" s="1"/>
  <c r="L665" i="22"/>
  <c r="L808" i="22"/>
  <c r="L952" i="22"/>
  <c r="L81" i="22"/>
  <c r="L333" i="22"/>
  <c r="L539" i="22"/>
  <c r="P539" i="22" s="1"/>
  <c r="L721" i="22"/>
  <c r="L849" i="22"/>
  <c r="L953" i="22"/>
  <c r="L285" i="22"/>
  <c r="P285" i="22" s="1"/>
  <c r="L645" i="22"/>
  <c r="L788" i="22"/>
  <c r="O788" i="22" s="1"/>
  <c r="L1214" i="22"/>
  <c r="O1214" i="22" s="1"/>
  <c r="L1118" i="22"/>
  <c r="P1118" i="22" s="1"/>
  <c r="L998" i="22"/>
  <c r="P998" i="22" s="1"/>
  <c r="L795" i="22"/>
  <c r="L529" i="22"/>
  <c r="L1160" i="22"/>
  <c r="L1188" i="22"/>
  <c r="L1168" i="22"/>
  <c r="L1133" i="22"/>
  <c r="L316" i="22"/>
  <c r="L1163" i="22"/>
  <c r="L854" i="22"/>
  <c r="L1216" i="22"/>
  <c r="L996" i="22"/>
  <c r="L137" i="22"/>
  <c r="P137" i="22" s="1"/>
  <c r="L718" i="22"/>
  <c r="L201" i="22"/>
  <c r="L1111" i="22"/>
  <c r="L966" i="22"/>
  <c r="L609" i="22"/>
  <c r="P609" i="22" s="1"/>
  <c r="L113" i="22"/>
  <c r="O113" i="22" s="1"/>
  <c r="L141" i="22"/>
  <c r="L70" i="22"/>
  <c r="L358" i="22"/>
  <c r="L510" i="22"/>
  <c r="P510" i="22" s="1"/>
  <c r="L662" i="22"/>
  <c r="O662" i="22" s="1"/>
  <c r="L119" i="22"/>
  <c r="P119" i="22" s="1"/>
  <c r="L271" i="22"/>
  <c r="L399" i="22"/>
  <c r="L8" i="22"/>
  <c r="P8" i="22" s="1"/>
  <c r="L160" i="22"/>
  <c r="L288" i="22"/>
  <c r="O288" i="22" s="1"/>
  <c r="L138" i="22"/>
  <c r="L330" i="22"/>
  <c r="L466" i="22"/>
  <c r="L225" i="22"/>
  <c r="P225" i="22" s="1"/>
  <c r="L484" i="22"/>
  <c r="L719" i="22"/>
  <c r="L863" i="22"/>
  <c r="L999" i="22"/>
  <c r="L332" i="22"/>
  <c r="P332" i="22" s="1"/>
  <c r="L588" i="22"/>
  <c r="O588" i="22" s="1"/>
  <c r="L784" i="22"/>
  <c r="P784" i="22" s="1"/>
  <c r="L944" i="22"/>
  <c r="L123" i="22"/>
  <c r="L385" i="22"/>
  <c r="P385" i="22" s="1"/>
  <c r="L777" i="22"/>
  <c r="P777" i="22" s="1"/>
  <c r="L889" i="22"/>
  <c r="L131" i="22"/>
  <c r="O131" i="22" s="1"/>
  <c r="L416" i="22"/>
  <c r="P416" i="22" s="1"/>
  <c r="L756" i="22"/>
  <c r="L1230" i="22"/>
  <c r="L477" i="22"/>
  <c r="O477" i="22" s="1"/>
  <c r="L20" i="22"/>
  <c r="L528" i="22"/>
  <c r="L643" i="22"/>
  <c r="L1104" i="22"/>
  <c r="P1104" i="22" s="1"/>
  <c r="L710" i="22"/>
  <c r="L579" i="22"/>
  <c r="L1137" i="22"/>
  <c r="O1137" i="22" s="1"/>
  <c r="L417" i="22"/>
  <c r="P417" i="22" s="1"/>
  <c r="L1237" i="22"/>
  <c r="L963" i="22"/>
  <c r="O963" i="22" s="1"/>
  <c r="L233" i="22"/>
  <c r="L1066" i="22"/>
  <c r="L496" i="22"/>
  <c r="L329" i="22"/>
  <c r="O329" i="22" s="1"/>
  <c r="L733" i="22"/>
  <c r="O733" i="22" s="1"/>
  <c r="L273" i="22"/>
  <c r="L101" i="22"/>
  <c r="L14" i="22"/>
  <c r="L182" i="22"/>
  <c r="L334" i="22"/>
  <c r="L630" i="22"/>
  <c r="L87" i="22"/>
  <c r="L239" i="22"/>
  <c r="P239" i="22" s="1"/>
  <c r="L359" i="22"/>
  <c r="L511" i="22"/>
  <c r="O511" i="22" s="1"/>
  <c r="L655" i="22"/>
  <c r="L128" i="22"/>
  <c r="L106" i="22"/>
  <c r="L274" i="22"/>
  <c r="O274" i="22" s="1"/>
  <c r="L426" i="22"/>
  <c r="P426" i="22" s="1"/>
  <c r="L586" i="22"/>
  <c r="L116" i="22"/>
  <c r="L433" i="22"/>
  <c r="L823" i="22"/>
  <c r="L959" i="22"/>
  <c r="L261" i="22"/>
  <c r="L524" i="22"/>
  <c r="L736" i="22"/>
  <c r="P736" i="22" s="1"/>
  <c r="L920" i="22"/>
  <c r="P920" i="22" s="1"/>
  <c r="L36" i="22"/>
  <c r="L321" i="22"/>
  <c r="O321" i="22" s="1"/>
  <c r="L577" i="22"/>
  <c r="O577" i="22" s="1"/>
  <c r="L745" i="22"/>
  <c r="L873" i="22"/>
  <c r="L44" i="22"/>
  <c r="P44" i="22" s="1"/>
  <c r="L352" i="22"/>
  <c r="L544" i="22"/>
  <c r="L732" i="22"/>
  <c r="L860" i="22"/>
  <c r="L1150" i="22"/>
  <c r="L859" i="22"/>
  <c r="L235" i="22"/>
  <c r="L1090" i="22"/>
  <c r="O1090" i="22" s="1"/>
  <c r="L949" i="22"/>
  <c r="P949" i="22" s="1"/>
  <c r="L1105" i="22"/>
  <c r="O1105" i="22" s="1"/>
  <c r="L956" i="22"/>
  <c r="L520" i="22"/>
  <c r="L1065" i="22"/>
  <c r="L259" i="22"/>
  <c r="P259" i="22" s="1"/>
  <c r="L846" i="22"/>
  <c r="O846" i="22" s="1"/>
  <c r="L1089" i="22"/>
  <c r="L553" i="22"/>
  <c r="L1088" i="22"/>
  <c r="L393" i="22"/>
  <c r="L867" i="22"/>
  <c r="L388" i="22"/>
  <c r="L636" i="22"/>
  <c r="L1207" i="22"/>
  <c r="O1207" i="22" s="1"/>
  <c r="L1046" i="22"/>
  <c r="L765" i="22"/>
  <c r="L196" i="22"/>
  <c r="O196" i="22" s="1"/>
  <c r="L125" i="22"/>
  <c r="P125" i="22" s="1"/>
  <c r="L78" i="22"/>
  <c r="L1091" i="22"/>
  <c r="P1091" i="22" s="1"/>
  <c r="L858" i="22"/>
  <c r="L1002" i="22"/>
  <c r="P1002" i="22" s="1"/>
  <c r="L917" i="22"/>
  <c r="L437" i="22"/>
  <c r="L124" i="22"/>
  <c r="L1033" i="22"/>
  <c r="L49" i="22"/>
  <c r="L806" i="22"/>
  <c r="L1057" i="22"/>
  <c r="L400" i="22"/>
  <c r="O400" i="22" s="1"/>
  <c r="L1076" i="22"/>
  <c r="P1076" i="22" s="1"/>
  <c r="L341" i="22"/>
  <c r="L835" i="22"/>
  <c r="O835" i="22" s="1"/>
  <c r="L363" i="22"/>
  <c r="L585" i="22"/>
  <c r="O585" i="22" s="1"/>
  <c r="L1199" i="22"/>
  <c r="L1028" i="22"/>
  <c r="P1028" i="22" s="1"/>
  <c r="L749" i="22"/>
  <c r="L155" i="22"/>
  <c r="P155" i="22" s="1"/>
  <c r="L157" i="22"/>
  <c r="P157" i="22" s="1"/>
  <c r="L254" i="22"/>
  <c r="L438" i="22"/>
  <c r="L606" i="22"/>
  <c r="L79" i="22"/>
  <c r="L255" i="22"/>
  <c r="L407" i="22"/>
  <c r="P407" i="22" s="1"/>
  <c r="L559" i="22"/>
  <c r="P559" i="22" s="1"/>
  <c r="L216" i="22"/>
  <c r="L82" i="22"/>
  <c r="L258" i="22"/>
  <c r="O258" i="22" s="1"/>
  <c r="L450" i="22"/>
  <c r="O450" i="22" s="1"/>
  <c r="L626" i="22"/>
  <c r="P626" i="22" s="1"/>
  <c r="L276" i="22"/>
  <c r="L587" i="22"/>
  <c r="O587" i="22" s="1"/>
  <c r="L775" i="22"/>
  <c r="P775" i="22" s="1"/>
  <c r="L935" i="22"/>
  <c r="L245" i="22"/>
  <c r="P245" i="22" s="1"/>
  <c r="L549" i="22"/>
  <c r="L792" i="22"/>
  <c r="L968" i="22"/>
  <c r="L228" i="22"/>
  <c r="L475" i="22"/>
  <c r="L713" i="22"/>
  <c r="L865" i="22"/>
  <c r="L89" i="22"/>
  <c r="L428" i="22"/>
  <c r="L620" i="22"/>
  <c r="O620" i="22" s="1"/>
  <c r="L804" i="22"/>
  <c r="O804" i="22" s="1"/>
  <c r="L1182" i="22"/>
  <c r="P1182" i="22" s="1"/>
  <c r="L1054" i="22"/>
  <c r="O1054" i="22" s="1"/>
  <c r="L875" i="22"/>
  <c r="P875" i="22" s="1"/>
  <c r="L555" i="22"/>
  <c r="P555" i="22" s="1"/>
  <c r="L19" i="22"/>
  <c r="L1229" i="22"/>
  <c r="P1229" i="22" s="1"/>
  <c r="L754" i="22"/>
  <c r="L746" i="22"/>
  <c r="L1189" i="22"/>
  <c r="L624" i="22"/>
  <c r="L970" i="22"/>
  <c r="L1220" i="22"/>
  <c r="L722" i="22"/>
  <c r="L348" i="22"/>
  <c r="L1026" i="22"/>
  <c r="O1026" i="22" s="1"/>
  <c r="L51" i="22"/>
  <c r="L787" i="22"/>
  <c r="L312" i="22"/>
  <c r="L483" i="22"/>
  <c r="L1020" i="22"/>
  <c r="O1020" i="22" s="1"/>
  <c r="L1083" i="22"/>
  <c r="P1083" i="22" s="1"/>
  <c r="L1233" i="22"/>
  <c r="O1233" i="22" s="1"/>
  <c r="L464" i="22"/>
  <c r="L1052" i="22"/>
  <c r="L821" i="22"/>
  <c r="L1093" i="22"/>
  <c r="L1217" i="22"/>
  <c r="L762" i="22"/>
  <c r="P762" i="22" s="1"/>
  <c r="L1098" i="22"/>
  <c r="L1050" i="22"/>
  <c r="L766" i="22"/>
  <c r="P766" i="22" s="1"/>
  <c r="L28" i="22"/>
  <c r="L1055" i="22"/>
  <c r="P1055" i="22" s="1"/>
  <c r="L701" i="22"/>
  <c r="P701" i="22" s="1"/>
  <c r="L13" i="22"/>
  <c r="L213" i="22"/>
  <c r="L174" i="22"/>
  <c r="L550" i="22"/>
  <c r="P550" i="22" s="1"/>
  <c r="L191" i="22"/>
  <c r="L367" i="22"/>
  <c r="L551" i="22"/>
  <c r="L56" i="22"/>
  <c r="L98" i="22"/>
  <c r="L322" i="22"/>
  <c r="L682" i="22"/>
  <c r="O682" i="22" s="1"/>
  <c r="L395" i="22"/>
  <c r="O395" i="22" s="1"/>
  <c r="L871" i="22"/>
  <c r="L76" i="22"/>
  <c r="L435" i="22"/>
  <c r="P435" i="22" s="1"/>
  <c r="L728" i="22"/>
  <c r="P728" i="22" s="1"/>
  <c r="L928" i="22"/>
  <c r="L145" i="22"/>
  <c r="P145" i="22" s="1"/>
  <c r="L449" i="22"/>
  <c r="P449" i="22" s="1"/>
  <c r="L705" i="22"/>
  <c r="L153" i="22"/>
  <c r="L453" i="22"/>
  <c r="L684" i="22"/>
  <c r="L844" i="22"/>
  <c r="P844" i="22" s="1"/>
  <c r="L978" i="22"/>
  <c r="P978" i="22" s="1"/>
  <c r="L324" i="22"/>
  <c r="L91" i="22"/>
  <c r="L986" i="22"/>
  <c r="L1213" i="22"/>
  <c r="O1213" i="22" s="1"/>
  <c r="L1038" i="22"/>
  <c r="L1021" i="22"/>
  <c r="L757" i="22"/>
  <c r="L1011" i="22"/>
  <c r="P1011" i="22" s="1"/>
  <c r="L1178" i="22"/>
  <c r="P1178" i="22" s="1"/>
  <c r="L1195" i="22"/>
  <c r="P1195" i="22" s="1"/>
  <c r="L707" i="22"/>
  <c r="O707" i="22" s="1"/>
  <c r="L750" i="22"/>
  <c r="L29" i="22"/>
  <c r="L221" i="22"/>
  <c r="L190" i="22"/>
  <c r="L366" i="22"/>
  <c r="L558" i="22"/>
  <c r="L47" i="22"/>
  <c r="O47" i="22" s="1"/>
  <c r="L375" i="22"/>
  <c r="O375" i="22" s="1"/>
  <c r="L240" i="22"/>
  <c r="O240" i="22" s="1"/>
  <c r="L114" i="22"/>
  <c r="L338" i="22"/>
  <c r="P338" i="22" s="1"/>
  <c r="L498" i="22"/>
  <c r="P498" i="22" s="1"/>
  <c r="L9" i="22"/>
  <c r="L408" i="22"/>
  <c r="L676" i="22"/>
  <c r="L99" i="22"/>
  <c r="L448" i="22"/>
  <c r="L936" i="22"/>
  <c r="L187" i="22"/>
  <c r="L461" i="22"/>
  <c r="P461" i="22" s="1"/>
  <c r="L729" i="22"/>
  <c r="O729" i="22" s="1"/>
  <c r="L881" i="22"/>
  <c r="L195" i="22"/>
  <c r="P195" i="22" s="1"/>
  <c r="L467" i="22"/>
  <c r="L692" i="22"/>
  <c r="P692" i="22" s="1"/>
  <c r="L852" i="22"/>
  <c r="O852" i="22" s="1"/>
  <c r="L1134" i="22"/>
  <c r="L965" i="22"/>
  <c r="L715" i="22"/>
  <c r="L774" i="22"/>
  <c r="L1244" i="22"/>
  <c r="L738" i="22"/>
  <c r="L973" i="22"/>
  <c r="L1161" i="22"/>
  <c r="L914" i="22"/>
  <c r="P914" i="22" s="1"/>
  <c r="L709" i="22"/>
  <c r="L885" i="22"/>
  <c r="L1148" i="22"/>
  <c r="L604" i="22"/>
  <c r="P604" i="22" s="1"/>
  <c r="L1012" i="22"/>
  <c r="P1012" i="22" s="1"/>
  <c r="L1013" i="22"/>
  <c r="P1013" i="22" s="1"/>
  <c r="L669" i="22"/>
  <c r="P669" i="22" s="1"/>
  <c r="L702" i="22"/>
  <c r="O702" i="22" s="1"/>
  <c r="L989" i="22"/>
  <c r="L584" i="22"/>
  <c r="L206" i="22"/>
  <c r="L398" i="22"/>
  <c r="L590" i="22"/>
  <c r="P590" i="22" s="1"/>
  <c r="L63" i="22"/>
  <c r="P63" i="22" s="1"/>
  <c r="L247" i="22"/>
  <c r="L583" i="22"/>
  <c r="L88" i="22"/>
  <c r="P88" i="22" s="1"/>
  <c r="L248" i="22"/>
  <c r="L130" i="22"/>
  <c r="P130" i="22" s="1"/>
  <c r="L346" i="22"/>
  <c r="P346" i="22" s="1"/>
  <c r="L506" i="22"/>
  <c r="L75" i="22"/>
  <c r="L445" i="22"/>
  <c r="L727" i="22"/>
  <c r="P727" i="22" s="1"/>
  <c r="L887" i="22"/>
  <c r="P887" i="22" s="1"/>
  <c r="L485" i="22"/>
  <c r="L960" i="22"/>
  <c r="P960" i="22" s="1"/>
  <c r="L249" i="22"/>
  <c r="L513" i="22"/>
  <c r="O513" i="22" s="1"/>
  <c r="L753" i="22"/>
  <c r="P753" i="22" s="1"/>
  <c r="L897" i="22"/>
  <c r="O897" i="22" s="1"/>
  <c r="L236" i="22"/>
  <c r="L708" i="22"/>
  <c r="P708" i="22" s="1"/>
  <c r="L876" i="22"/>
  <c r="P876" i="22" s="1"/>
  <c r="L1110" i="22"/>
  <c r="L926" i="22"/>
  <c r="P926" i="22" s="1"/>
  <c r="L683" i="22"/>
  <c r="P683" i="22" s="1"/>
  <c r="L268" i="22"/>
  <c r="P268" i="22" s="1"/>
  <c r="N273" i="22"/>
  <c r="P233" i="22"/>
  <c r="V220" i="22"/>
  <c r="V207" i="22"/>
  <c r="V1016" i="22"/>
  <c r="AD1016" i="22" s="1"/>
  <c r="AM1016" i="22" s="1"/>
  <c r="P1016" i="22"/>
  <c r="V925" i="22"/>
  <c r="AD925" i="22" s="1"/>
  <c r="AM925" i="22" s="1"/>
  <c r="N811" i="22"/>
  <c r="V811" i="22"/>
  <c r="AD811" i="22" s="1"/>
  <c r="V585" i="22"/>
  <c r="AD585" i="22" s="1"/>
  <c r="AM585" i="22" s="1"/>
  <c r="V417" i="22"/>
  <c r="AD417" i="22" s="1"/>
  <c r="AM417" i="22" s="1"/>
  <c r="V27" i="22"/>
  <c r="V948" i="22"/>
  <c r="AD948" i="22" s="1"/>
  <c r="AM948" i="22" s="1"/>
  <c r="O912" i="22"/>
  <c r="P106" i="22"/>
  <c r="V1128" i="22"/>
  <c r="AD1128" i="22" s="1"/>
  <c r="AM1128" i="22" s="1"/>
  <c r="V648" i="22"/>
  <c r="AD648" i="22" s="1"/>
  <c r="N505" i="22"/>
  <c r="V505" i="22"/>
  <c r="V388" i="22"/>
  <c r="AD388" i="22" s="1"/>
  <c r="AM388" i="22" s="1"/>
  <c r="P12" i="22"/>
  <c r="V12" i="22"/>
  <c r="V1213" i="22"/>
  <c r="AD1213" i="22" s="1"/>
  <c r="AM1213" i="22" s="1"/>
  <c r="V1151" i="22"/>
  <c r="AD1151" i="22" s="1"/>
  <c r="P1151" i="22"/>
  <c r="V1139" i="22"/>
  <c r="AD1139" i="22" s="1"/>
  <c r="P1139" i="22"/>
  <c r="P1100" i="22"/>
  <c r="V776" i="22"/>
  <c r="AD776" i="22" s="1"/>
  <c r="AM776" i="22" s="1"/>
  <c r="V1086" i="22"/>
  <c r="AD1086" i="22" s="1"/>
  <c r="P677" i="22"/>
  <c r="V677" i="22"/>
  <c r="AD677" i="22" s="1"/>
  <c r="AM677" i="22" s="1"/>
  <c r="V191" i="22"/>
  <c r="V84" i="22"/>
  <c r="V1224" i="22"/>
  <c r="AD1224" i="22" s="1"/>
  <c r="AM1224" i="22" s="1"/>
  <c r="O1198" i="22"/>
  <c r="V1137" i="22"/>
  <c r="AD1137" i="22" s="1"/>
  <c r="AM1137" i="22" s="1"/>
  <c r="V164" i="22"/>
  <c r="P164" i="22"/>
  <c r="P1054" i="22"/>
  <c r="P938" i="22"/>
  <c r="V638" i="22"/>
  <c r="AD638" i="22" s="1"/>
  <c r="AM638" i="22" s="1"/>
  <c r="P638" i="22"/>
  <c r="V588" i="22"/>
  <c r="AD588" i="22" s="1"/>
  <c r="AM588" i="22" s="1"/>
  <c r="P588" i="22"/>
  <c r="V270" i="22"/>
  <c r="P270" i="22"/>
  <c r="P726" i="22"/>
  <c r="V527" i="22"/>
  <c r="AD527" i="22" s="1"/>
  <c r="AM527" i="22" s="1"/>
  <c r="P527" i="22"/>
  <c r="V385" i="22"/>
  <c r="AD385" i="22" s="1"/>
  <c r="AM385" i="22" s="1"/>
  <c r="V289" i="22"/>
  <c r="V274" i="22"/>
  <c r="V260" i="22"/>
  <c r="P260" i="22"/>
  <c r="N170" i="22"/>
  <c r="V170" i="22"/>
  <c r="V146" i="22"/>
  <c r="V1113" i="22"/>
  <c r="AD1113" i="22" s="1"/>
  <c r="AM1113" i="22" s="1"/>
  <c r="N1014" i="22"/>
  <c r="N821" i="22"/>
  <c r="N369" i="22"/>
  <c r="V1212" i="22"/>
  <c r="AD1212" i="22" s="1"/>
  <c r="AM1212" i="22" s="1"/>
  <c r="P838" i="22"/>
  <c r="V696" i="22"/>
  <c r="AD696" i="22" s="1"/>
  <c r="AM696" i="22" s="1"/>
  <c r="P574" i="22"/>
  <c r="V574" i="22"/>
  <c r="AD574" i="22" s="1"/>
  <c r="AM574" i="22" s="1"/>
  <c r="V373" i="22"/>
  <c r="AD373" i="22" s="1"/>
  <c r="AM373" i="22" s="1"/>
  <c r="P1094" i="22"/>
  <c r="V1094" i="22"/>
  <c r="AD1094" i="22" s="1"/>
  <c r="AM1094" i="22" s="1"/>
  <c r="V916" i="22"/>
  <c r="V707" i="22"/>
  <c r="AD707" i="22" s="1"/>
  <c r="N660" i="22"/>
  <c r="N339" i="22"/>
  <c r="V339" i="22"/>
  <c r="N965" i="22"/>
  <c r="N930" i="22"/>
  <c r="V611" i="22"/>
  <c r="P662" i="22"/>
  <c r="V662" i="22"/>
  <c r="AD662" i="22" s="1"/>
  <c r="N120" i="22"/>
  <c r="P1020" i="22"/>
  <c r="V1020" i="22"/>
  <c r="AD1020" i="22" s="1"/>
  <c r="AM1020" i="22" s="1"/>
  <c r="O771" i="22"/>
  <c r="P675" i="22"/>
  <c r="V395" i="22"/>
  <c r="AD395" i="22" s="1"/>
  <c r="O193" i="22"/>
  <c r="V193" i="22"/>
  <c r="P886" i="22"/>
  <c r="N436" i="22"/>
  <c r="V436" i="22"/>
  <c r="P112" i="22"/>
  <c r="P18" i="22"/>
  <c r="P733" i="22"/>
  <c r="N495" i="22"/>
  <c r="P365" i="22"/>
  <c r="N218" i="22"/>
  <c r="N41" i="22"/>
  <c r="N289" i="22"/>
  <c r="N1171" i="22"/>
  <c r="O1171" i="22"/>
  <c r="N423" i="22"/>
  <c r="P214" i="22"/>
  <c r="P1077" i="22"/>
  <c r="N1077" i="22"/>
  <c r="V1077" i="22"/>
  <c r="AD1054" i="22"/>
  <c r="AM495" i="22"/>
  <c r="AM737" i="22"/>
  <c r="N1076" i="22"/>
  <c r="O1076" i="22"/>
  <c r="P90" i="22"/>
  <c r="N1205" i="22"/>
  <c r="V1205" i="22"/>
  <c r="AD1174" i="22"/>
  <c r="P1164" i="22"/>
  <c r="V1164" i="22"/>
  <c r="O1164" i="22"/>
  <c r="AD1109" i="22"/>
  <c r="AD1087" i="22"/>
  <c r="AD1076" i="22"/>
  <c r="AM1064" i="22"/>
  <c r="AM944" i="22"/>
  <c r="AM742" i="22"/>
  <c r="N540" i="22"/>
  <c r="V540" i="22"/>
  <c r="V506" i="22"/>
  <c r="AD436" i="22"/>
  <c r="AM423" i="22"/>
  <c r="AD377" i="22"/>
  <c r="V365" i="22"/>
  <c r="N330" i="22"/>
  <c r="O319" i="22"/>
  <c r="AM1129" i="22"/>
  <c r="AD1019" i="22"/>
  <c r="V962" i="22"/>
  <c r="AD667" i="22"/>
  <c r="V637" i="22"/>
  <c r="AD614" i="22"/>
  <c r="AD590" i="22"/>
  <c r="AM1118" i="22"/>
  <c r="AM393" i="22"/>
  <c r="P317" i="22"/>
  <c r="AD1006" i="22"/>
  <c r="O50" i="22"/>
  <c r="P50" i="22"/>
  <c r="V50" i="22"/>
  <c r="O976" i="22"/>
  <c r="P976" i="22"/>
  <c r="AD994" i="22"/>
  <c r="AM844" i="22"/>
  <c r="AM563" i="22"/>
  <c r="P492" i="22"/>
  <c r="O492" i="22"/>
  <c r="AM599" i="22"/>
  <c r="AM561" i="22"/>
  <c r="O25" i="22"/>
  <c r="AD1015" i="22"/>
  <c r="AM884" i="22"/>
  <c r="O165" i="22"/>
  <c r="P165" i="22"/>
  <c r="V165" i="22"/>
  <c r="V97" i="22"/>
  <c r="P97" i="22"/>
  <c r="O97" i="22"/>
  <c r="AM1176" i="22"/>
  <c r="P300" i="22"/>
  <c r="O300" i="22"/>
  <c r="O1153" i="22"/>
  <c r="P1153" i="22"/>
  <c r="P223" i="22"/>
  <c r="O223" i="22"/>
  <c r="V108" i="22"/>
  <c r="N108" i="22"/>
  <c r="N443" i="22"/>
  <c r="N31" i="22"/>
  <c r="V1045" i="22"/>
  <c r="O1045" i="22"/>
  <c r="P1045" i="22"/>
  <c r="V154" i="22"/>
  <c r="O154" i="22"/>
  <c r="P154" i="22"/>
  <c r="AM649" i="22"/>
  <c r="N1143" i="22"/>
  <c r="N823" i="22"/>
  <c r="O16" i="22"/>
  <c r="N16" i="22"/>
  <c r="N1056" i="22"/>
  <c r="V1056" i="22"/>
  <c r="P1056" i="22"/>
  <c r="AD1035" i="22"/>
  <c r="AM934" i="22"/>
  <c r="V321" i="22"/>
  <c r="V308" i="22"/>
  <c r="N308" i="22"/>
  <c r="AM987" i="22"/>
  <c r="AM648" i="22"/>
  <c r="N157" i="22"/>
  <c r="N541" i="22"/>
  <c r="N669" i="22"/>
  <c r="N723" i="22"/>
  <c r="O723" i="22"/>
  <c r="N487" i="22"/>
  <c r="N314" i="22"/>
  <c r="O1002" i="22"/>
  <c r="AD1065" i="22"/>
  <c r="AD1055" i="22"/>
  <c r="O1044" i="22"/>
  <c r="N1044" i="22"/>
  <c r="P1044" i="22"/>
  <c r="V331" i="22"/>
  <c r="N331" i="22"/>
  <c r="V320" i="22"/>
  <c r="V294" i="22"/>
  <c r="AM647" i="22"/>
  <c r="N805" i="22"/>
  <c r="N933" i="22"/>
  <c r="N1061" i="22"/>
  <c r="N1189" i="22"/>
  <c r="P176" i="22"/>
  <c r="P283" i="22"/>
  <c r="AD1238" i="22"/>
  <c r="AD1227" i="22"/>
  <c r="P1184" i="22"/>
  <c r="V1184" i="22"/>
  <c r="AD1108" i="22"/>
  <c r="V1075" i="22"/>
  <c r="N1075" i="22"/>
  <c r="P1075" i="22"/>
  <c r="V550" i="22"/>
  <c r="AD539" i="22"/>
  <c r="AD516" i="22"/>
  <c r="AD494" i="22"/>
  <c r="AD482" i="22"/>
  <c r="AD447" i="22"/>
  <c r="AD422" i="22"/>
  <c r="V411" i="22"/>
  <c r="P411" i="22"/>
  <c r="AD398" i="22"/>
  <c r="V376" i="22"/>
  <c r="O340" i="22"/>
  <c r="AM799" i="22"/>
  <c r="N1039" i="22"/>
  <c r="N367" i="22"/>
  <c r="AM1151" i="22"/>
  <c r="AD549" i="22"/>
  <c r="AD458" i="22"/>
  <c r="AD435" i="22"/>
  <c r="AD387" i="22"/>
  <c r="AM716" i="22"/>
  <c r="AD1237" i="22"/>
  <c r="AM1226" i="22"/>
  <c r="AD1214" i="22"/>
  <c r="AD1192" i="22"/>
  <c r="AD1182" i="22"/>
  <c r="AD1140" i="22"/>
  <c r="V1120" i="22"/>
  <c r="O1120" i="22"/>
  <c r="AD1107" i="22"/>
  <c r="P1096" i="22"/>
  <c r="N1096" i="22"/>
  <c r="AD1085" i="22"/>
  <c r="P592" i="22"/>
  <c r="V592" i="22"/>
  <c r="AD581" i="22"/>
  <c r="AD571" i="22"/>
  <c r="AD492" i="22"/>
  <c r="AD481" i="22"/>
  <c r="AD469" i="22"/>
  <c r="O446" i="22"/>
  <c r="V446" i="22"/>
  <c r="N446" i="22"/>
  <c r="P446" i="22"/>
  <c r="V421" i="22"/>
  <c r="V409" i="22"/>
  <c r="P409" i="22"/>
  <c r="N409" i="22"/>
  <c r="O409" i="22"/>
  <c r="AD386" i="22"/>
  <c r="O364" i="22"/>
  <c r="N364" i="22"/>
  <c r="AM1124" i="22"/>
  <c r="AM795" i="22"/>
  <c r="AD973" i="22"/>
  <c r="V678" i="22"/>
  <c r="N678" i="22"/>
  <c r="AD626" i="22"/>
  <c r="AD601" i="22"/>
  <c r="AM580" i="22"/>
  <c r="N560" i="22"/>
  <c r="AM394" i="22"/>
  <c r="O613" i="22"/>
  <c r="P613" i="22"/>
  <c r="AD1029" i="22"/>
  <c r="AM961" i="22"/>
  <c r="O601" i="22"/>
  <c r="P601" i="22"/>
  <c r="AD984" i="22"/>
  <c r="AD928" i="22"/>
  <c r="AM845" i="22"/>
  <c r="O67" i="22"/>
  <c r="P67" i="22"/>
  <c r="AM430" i="22"/>
  <c r="V111" i="22"/>
  <c r="O111" i="22"/>
  <c r="N111" i="22"/>
  <c r="AM1183" i="22"/>
  <c r="P325" i="22"/>
  <c r="V982" i="22"/>
  <c r="V122" i="22"/>
  <c r="N122" i="22"/>
  <c r="V72" i="22"/>
  <c r="AM1177" i="22"/>
  <c r="AM470" i="22"/>
  <c r="N50" i="22"/>
  <c r="AM1004" i="22"/>
  <c r="AM839" i="22"/>
  <c r="V85" i="22"/>
  <c r="O85" i="22"/>
  <c r="P85" i="22"/>
  <c r="O313" i="22"/>
  <c r="P657" i="22"/>
  <c r="AM1002" i="22"/>
  <c r="N714" i="22"/>
  <c r="O714" i="22"/>
  <c r="O596" i="22"/>
  <c r="P596" i="22"/>
  <c r="V309" i="22"/>
  <c r="N309" i="22"/>
  <c r="AM1241" i="22"/>
  <c r="AM996" i="22"/>
  <c r="N189" i="22"/>
  <c r="N993" i="22"/>
  <c r="N583" i="22"/>
  <c r="N38" i="22"/>
  <c r="N699" i="22"/>
  <c r="O699" i="22"/>
  <c r="AD1066" i="22"/>
  <c r="AD1044" i="22"/>
  <c r="V269" i="22"/>
  <c r="P269" i="22"/>
  <c r="N195" i="22"/>
  <c r="N500" i="22"/>
  <c r="P418" i="22"/>
  <c r="AD1173" i="22"/>
  <c r="AD1131" i="22"/>
  <c r="AM1096" i="22"/>
  <c r="AD1074" i="22"/>
  <c r="V493" i="22"/>
  <c r="P447" i="22"/>
  <c r="O447" i="22"/>
  <c r="AD375" i="22"/>
  <c r="AB364" i="22"/>
  <c r="AD364" i="22"/>
  <c r="AC364" i="22"/>
  <c r="AC365" i="22" s="1"/>
  <c r="AC366" i="22" s="1"/>
  <c r="AG366" i="22" s="1"/>
  <c r="AM798" i="22"/>
  <c r="O298" i="22"/>
  <c r="P298" i="22"/>
  <c r="V1236" i="22"/>
  <c r="O1236" i="22"/>
  <c r="P1236" i="22"/>
  <c r="N1236" i="22"/>
  <c r="AD898" i="22"/>
  <c r="AD822" i="22"/>
  <c r="V602" i="22"/>
  <c r="P581" i="22"/>
  <c r="O581" i="22"/>
  <c r="V570" i="22"/>
  <c r="V560" i="22"/>
  <c r="N410" i="22"/>
  <c r="V1202" i="22"/>
  <c r="O1202" i="22"/>
  <c r="AM1172" i="22"/>
  <c r="N1140" i="22"/>
  <c r="AM1119" i="22"/>
  <c r="AD1106" i="22"/>
  <c r="P896" i="22"/>
  <c r="V896" i="22"/>
  <c r="AD864" i="22"/>
  <c r="AM820" i="22"/>
  <c r="AD788" i="22"/>
  <c r="V738" i="22"/>
  <c r="N738" i="22"/>
  <c r="AD728" i="22"/>
  <c r="AM718" i="22"/>
  <c r="AM708" i="22"/>
  <c r="V688" i="22"/>
  <c r="AD636" i="22"/>
  <c r="AM625" i="22"/>
  <c r="AM537" i="22"/>
  <c r="V514" i="22"/>
  <c r="N514" i="22"/>
  <c r="AD503" i="22"/>
  <c r="AM445" i="22"/>
  <c r="AM420" i="22"/>
  <c r="V396" i="22"/>
  <c r="N396" i="22"/>
  <c r="V374" i="22"/>
  <c r="V363" i="22"/>
  <c r="V318" i="22"/>
  <c r="P318" i="22"/>
  <c r="V280" i="22"/>
  <c r="O280" i="22"/>
  <c r="P280" i="22"/>
  <c r="V232" i="22"/>
  <c r="AM1239" i="22"/>
  <c r="AM1175" i="22"/>
  <c r="AM903" i="22"/>
  <c r="AM783" i="22"/>
  <c r="AM645" i="22"/>
  <c r="AM538" i="22"/>
  <c r="AM392" i="22"/>
  <c r="AM468" i="22"/>
  <c r="N779" i="22"/>
  <c r="O779" i="22"/>
  <c r="P1149" i="22"/>
  <c r="V1149" i="22"/>
  <c r="AD916" i="22"/>
  <c r="AD906" i="22"/>
  <c r="AM895" i="22"/>
  <c r="V874" i="22"/>
  <c r="N874" i="22"/>
  <c r="V851" i="22"/>
  <c r="AD810" i="22"/>
  <c r="V787" i="22"/>
  <c r="O787" i="22"/>
  <c r="P787" i="22"/>
  <c r="AD777" i="22"/>
  <c r="AD747" i="22"/>
  <c r="N708" i="22"/>
  <c r="V646" i="22"/>
  <c r="AM513" i="22"/>
  <c r="P503" i="22"/>
  <c r="V491" i="22"/>
  <c r="N491" i="22"/>
  <c r="AM479" i="22"/>
  <c r="V456" i="22"/>
  <c r="V433" i="22"/>
  <c r="N433" i="22"/>
  <c r="AD407" i="22"/>
  <c r="AM1235" i="22"/>
  <c r="AM902" i="22"/>
  <c r="AM841" i="22"/>
  <c r="AM709" i="22"/>
  <c r="AM533" i="22"/>
  <c r="AM391" i="22"/>
  <c r="V1160" i="22"/>
  <c r="AM1148" i="22"/>
  <c r="AD1138" i="22"/>
  <c r="N979" i="22"/>
  <c r="V979" i="22"/>
  <c r="V947" i="22"/>
  <c r="AM926" i="22"/>
  <c r="V894" i="22"/>
  <c r="AM873" i="22"/>
  <c r="AD850" i="22"/>
  <c r="AD829" i="22"/>
  <c r="AD786" i="22"/>
  <c r="AD766" i="22"/>
  <c r="AD726" i="22"/>
  <c r="P717" i="22"/>
  <c r="AM676" i="22"/>
  <c r="V635" i="22"/>
  <c r="AM624" i="22"/>
  <c r="V612" i="22"/>
  <c r="AD578" i="22"/>
  <c r="AM568" i="22"/>
  <c r="P524" i="22"/>
  <c r="V524" i="22"/>
  <c r="AD502" i="22"/>
  <c r="P478" i="22"/>
  <c r="V478" i="22"/>
  <c r="N478" i="22"/>
  <c r="AM455" i="22"/>
  <c r="V81" i="22"/>
  <c r="AM1230" i="22"/>
  <c r="AM901" i="22"/>
  <c r="AM771" i="22"/>
  <c r="AM532" i="22"/>
  <c r="AM390" i="22"/>
  <c r="N376" i="22"/>
  <c r="N416" i="22"/>
  <c r="O13" i="22"/>
  <c r="P13" i="22"/>
  <c r="O1135" i="22"/>
  <c r="P1135" i="22"/>
  <c r="O1185" i="22"/>
  <c r="AD1223" i="22"/>
  <c r="V1200" i="22"/>
  <c r="AM1190" i="22"/>
  <c r="AD1159" i="22"/>
  <c r="V1072" i="22"/>
  <c r="V1032" i="22"/>
  <c r="N1032" i="22"/>
  <c r="V978" i="22"/>
  <c r="N968" i="22"/>
  <c r="AD957" i="22"/>
  <c r="AD946" i="22"/>
  <c r="AD915" i="22"/>
  <c r="AD905" i="22"/>
  <c r="AD893" i="22"/>
  <c r="V797" i="22"/>
  <c r="AM756" i="22"/>
  <c r="AD746" i="22"/>
  <c r="V736" i="22"/>
  <c r="AM686" i="22"/>
  <c r="AM634" i="22"/>
  <c r="AD611" i="22"/>
  <c r="AD523" i="22"/>
  <c r="V512" i="22"/>
  <c r="P512" i="22"/>
  <c r="O512" i="22"/>
  <c r="AD405" i="22"/>
  <c r="N80" i="22"/>
  <c r="V80" i="22"/>
  <c r="P24" i="22"/>
  <c r="O24" i="22"/>
  <c r="V24" i="22"/>
  <c r="AM1229" i="22"/>
  <c r="AM1038" i="22"/>
  <c r="AM897" i="22"/>
  <c r="AD600" i="22"/>
  <c r="AM389" i="22"/>
  <c r="O786" i="22"/>
  <c r="O148" i="22"/>
  <c r="O947" i="22"/>
  <c r="N696" i="22"/>
  <c r="N1227" i="22"/>
  <c r="N225" i="22"/>
  <c r="N55" i="22"/>
  <c r="N319" i="22"/>
  <c r="N982" i="22"/>
  <c r="O435" i="22"/>
  <c r="N486" i="22"/>
  <c r="O486" i="22"/>
  <c r="O1042" i="22"/>
  <c r="P1042" i="22"/>
  <c r="AM1146" i="22"/>
  <c r="V1114" i="22"/>
  <c r="AM1103" i="22"/>
  <c r="V1092" i="22"/>
  <c r="N1092" i="22"/>
  <c r="AM1070" i="22"/>
  <c r="AM1049" i="22"/>
  <c r="V1000" i="22"/>
  <c r="AD988" i="22"/>
  <c r="AD924" i="22"/>
  <c r="AD914" i="22"/>
  <c r="V904" i="22"/>
  <c r="AD860" i="22"/>
  <c r="AM827" i="22"/>
  <c r="O725" i="22"/>
  <c r="AD695" i="22"/>
  <c r="AM685" i="22"/>
  <c r="V674" i="22"/>
  <c r="P674" i="22"/>
  <c r="N674" i="22"/>
  <c r="AD653" i="22"/>
  <c r="AD643" i="22"/>
  <c r="AD633" i="22"/>
  <c r="N610" i="22"/>
  <c r="V610" i="22"/>
  <c r="V566" i="22"/>
  <c r="AD555" i="22"/>
  <c r="V544" i="22"/>
  <c r="O533" i="22"/>
  <c r="P533" i="22"/>
  <c r="AD522" i="22"/>
  <c r="S128" i="22"/>
  <c r="P128" i="22"/>
  <c r="V128" i="22"/>
  <c r="O128" i="22"/>
  <c r="O92" i="22"/>
  <c r="AM1034" i="22"/>
  <c r="AM952" i="22"/>
  <c r="AM831" i="22"/>
  <c r="AM598" i="22"/>
  <c r="AM437" i="22"/>
  <c r="AM1181" i="22"/>
  <c r="P351" i="22"/>
  <c r="N997" i="22"/>
  <c r="O727" i="22"/>
  <c r="N727" i="22"/>
  <c r="N385" i="22"/>
  <c r="O422" i="22"/>
  <c r="N368" i="22"/>
  <c r="O368" i="22"/>
  <c r="P205" i="22"/>
  <c r="V1030" i="22"/>
  <c r="V966" i="22"/>
  <c r="O966" i="22"/>
  <c r="P966" i="22"/>
  <c r="AM955" i="22"/>
  <c r="V891" i="22"/>
  <c r="P891" i="22"/>
  <c r="V837" i="22"/>
  <c r="P837" i="22"/>
  <c r="AD784" i="22"/>
  <c r="AD774" i="22"/>
  <c r="AD754" i="22"/>
  <c r="AD744" i="22"/>
  <c r="N734" i="22"/>
  <c r="AM724" i="22"/>
  <c r="AM694" i="22"/>
  <c r="N685" i="22"/>
  <c r="AM673" i="22"/>
  <c r="AD576" i="22"/>
  <c r="AM565" i="22"/>
  <c r="V554" i="22"/>
  <c r="P554" i="22"/>
  <c r="AD543" i="22"/>
  <c r="AD403" i="22"/>
  <c r="V216" i="22"/>
  <c r="N216" i="22"/>
  <c r="V127" i="22"/>
  <c r="V91" i="22"/>
  <c r="V54" i="22"/>
  <c r="N54" i="22"/>
  <c r="V42" i="22"/>
  <c r="AM1091" i="22"/>
  <c r="AM1033" i="22"/>
  <c r="AM883" i="22"/>
  <c r="AM763" i="22"/>
  <c r="AM680" i="22"/>
  <c r="AM597" i="22"/>
  <c r="AM508" i="22"/>
  <c r="P469" i="22"/>
  <c r="N32" i="22"/>
  <c r="N365" i="22"/>
  <c r="O1005" i="22"/>
  <c r="N1005" i="22"/>
  <c r="N1202" i="22"/>
  <c r="N947" i="22"/>
  <c r="N128" i="22"/>
  <c r="O485" i="22"/>
  <c r="P485" i="22"/>
  <c r="P150" i="22"/>
  <c r="P197" i="22"/>
  <c r="P882" i="22"/>
  <c r="AM1101" i="22"/>
  <c r="V1048" i="22"/>
  <c r="AM998" i="22"/>
  <c r="V965" i="22"/>
  <c r="AM933" i="22"/>
  <c r="N923" i="22"/>
  <c r="O923" i="22"/>
  <c r="V923" i="22"/>
  <c r="AM913" i="22"/>
  <c r="AD847" i="22"/>
  <c r="AD826" i="22"/>
  <c r="AM816" i="22"/>
  <c r="AM805" i="22"/>
  <c r="N794" i="22"/>
  <c r="V794" i="22"/>
  <c r="AM753" i="22"/>
  <c r="V733" i="22"/>
  <c r="P724" i="22"/>
  <c r="AD714" i="22"/>
  <c r="O694" i="22"/>
  <c r="AM684" i="22"/>
  <c r="V652" i="22"/>
  <c r="P652" i="22"/>
  <c r="AM620" i="22"/>
  <c r="AD575" i="22"/>
  <c r="AM553" i="22"/>
  <c r="AM521" i="22"/>
  <c r="AM485" i="22"/>
  <c r="AD451" i="22"/>
  <c r="AD427" i="22"/>
  <c r="P287" i="22"/>
  <c r="V287" i="22"/>
  <c r="O287" i="22"/>
  <c r="V251" i="22"/>
  <c r="O251" i="22"/>
  <c r="N239" i="22"/>
  <c r="P203" i="22"/>
  <c r="V102" i="22"/>
  <c r="O102" i="22"/>
  <c r="V41" i="22"/>
  <c r="O12" i="22"/>
  <c r="AM1017" i="22"/>
  <c r="AM880" i="22"/>
  <c r="AM596" i="22"/>
  <c r="N107" i="22"/>
  <c r="O107" i="22"/>
  <c r="O718" i="22"/>
  <c r="P718" i="22"/>
  <c r="O396" i="22"/>
  <c r="N232" i="22"/>
  <c r="N278" i="22"/>
  <c r="O563" i="22"/>
  <c r="AD717" i="22"/>
  <c r="AM968" i="22"/>
  <c r="N1193" i="22"/>
  <c r="N902" i="22"/>
  <c r="AD1234" i="22"/>
  <c r="V958" i="22"/>
  <c r="N958" i="22"/>
  <c r="N546" i="22"/>
  <c r="O546" i="22"/>
  <c r="N1186" i="22"/>
  <c r="P737" i="22"/>
  <c r="O737" i="22"/>
  <c r="O979" i="22"/>
  <c r="N1203" i="22"/>
  <c r="O1203" i="22"/>
  <c r="N24" i="22"/>
  <c r="N341" i="22"/>
  <c r="N235" i="22"/>
  <c r="N864" i="22"/>
  <c r="N123" i="22"/>
  <c r="N223" i="22"/>
  <c r="P740" i="22"/>
  <c r="O841" i="22"/>
  <c r="P841" i="22"/>
  <c r="P244" i="22"/>
  <c r="O244" i="22"/>
  <c r="P15" i="22"/>
  <c r="O15" i="22"/>
  <c r="P950" i="22"/>
  <c r="AM1199" i="22"/>
  <c r="AM1115" i="22"/>
  <c r="AM1082" i="22"/>
  <c r="AM1021" i="22"/>
  <c r="AM977" i="22"/>
  <c r="V808" i="22"/>
  <c r="AM785" i="22"/>
  <c r="AD735" i="22"/>
  <c r="AD725" i="22"/>
  <c r="O686" i="22"/>
  <c r="P686" i="22"/>
  <c r="P654" i="22"/>
  <c r="V654" i="22"/>
  <c r="O654" i="22"/>
  <c r="AD501" i="22"/>
  <c r="V151" i="22"/>
  <c r="P151" i="22"/>
  <c r="N151" i="22"/>
  <c r="N44" i="22"/>
  <c r="V44" i="22"/>
  <c r="O44" i="22"/>
  <c r="AD885" i="22"/>
  <c r="AM439" i="22"/>
  <c r="N417" i="22"/>
  <c r="N676" i="22"/>
  <c r="P161" i="22"/>
  <c r="O161" i="22"/>
  <c r="P1058" i="22"/>
  <c r="O1058" i="22"/>
  <c r="V1058" i="22"/>
  <c r="N1019" i="22"/>
  <c r="AM1008" i="22"/>
  <c r="N987" i="22"/>
  <c r="AM932" i="22"/>
  <c r="AM869" i="22"/>
  <c r="AD858" i="22"/>
  <c r="AD762" i="22"/>
  <c r="AD743" i="22"/>
  <c r="AM693" i="22"/>
  <c r="N498" i="22"/>
  <c r="V498" i="22"/>
  <c r="O498" i="22"/>
  <c r="AM402" i="22"/>
  <c r="V226" i="22"/>
  <c r="AM937" i="22"/>
  <c r="AM429" i="22"/>
  <c r="N966" i="22"/>
  <c r="N916" i="22"/>
  <c r="N777" i="22"/>
  <c r="O768" i="22"/>
  <c r="P43" i="22"/>
  <c r="AM1067" i="22"/>
  <c r="AD1057" i="22"/>
  <c r="P1038" i="22"/>
  <c r="O1038" i="22"/>
  <c r="AM1018" i="22"/>
  <c r="AD986" i="22"/>
  <c r="V974" i="22"/>
  <c r="N974" i="22"/>
  <c r="AM868" i="22"/>
  <c r="N846" i="22"/>
  <c r="V804" i="22"/>
  <c r="AM772" i="22"/>
  <c r="AM752" i="22"/>
  <c r="AD732" i="22"/>
  <c r="O704" i="22"/>
  <c r="AM682" i="22"/>
  <c r="AM671" i="22"/>
  <c r="AD619" i="22"/>
  <c r="AM552" i="22"/>
  <c r="AD484" i="22"/>
  <c r="AM462" i="22"/>
  <c r="V213" i="22"/>
  <c r="P213" i="22"/>
  <c r="O213" i="22"/>
  <c r="O137" i="22"/>
  <c r="V137" i="22"/>
  <c r="N137" i="22"/>
  <c r="AM1084" i="22"/>
  <c r="AM936" i="22"/>
  <c r="AM664" i="22"/>
  <c r="O1101" i="22"/>
  <c r="O508" i="22"/>
  <c r="N510" i="22"/>
  <c r="P897" i="22"/>
  <c r="P880" i="22"/>
  <c r="P979" i="22"/>
  <c r="AD1195" i="22"/>
  <c r="AD1186" i="22"/>
  <c r="AM1165" i="22"/>
  <c r="AM1133" i="22"/>
  <c r="AM1078" i="22"/>
  <c r="P1046" i="22"/>
  <c r="V1037" i="22"/>
  <c r="O1028" i="22"/>
  <c r="AD985" i="22"/>
  <c r="AD931" i="22"/>
  <c r="V878" i="22"/>
  <c r="AD834" i="22"/>
  <c r="AD792" i="22"/>
  <c r="AM782" i="22"/>
  <c r="AM761" i="22"/>
  <c r="O752" i="22"/>
  <c r="V722" i="22"/>
  <c r="AM712" i="22"/>
  <c r="AM703" i="22"/>
  <c r="N682" i="22"/>
  <c r="V661" i="22"/>
  <c r="AM629" i="22"/>
  <c r="V618" i="22"/>
  <c r="AD606" i="22"/>
  <c r="AM573" i="22"/>
  <c r="V355" i="22"/>
  <c r="V342" i="22"/>
  <c r="O342" i="22"/>
  <c r="N322" i="22"/>
  <c r="V310" i="22"/>
  <c r="P310" i="22"/>
  <c r="N310" i="22"/>
  <c r="V273" i="22"/>
  <c r="V88" i="22"/>
  <c r="O88" i="22"/>
  <c r="P10" i="22"/>
  <c r="O10" i="22"/>
  <c r="AM1196" i="22"/>
  <c r="AD1130" i="22"/>
  <c r="AM1083" i="22"/>
  <c r="AM935" i="22"/>
  <c r="AM663" i="22"/>
  <c r="AM1125" i="22"/>
  <c r="N679" i="22"/>
  <c r="N1238" i="22"/>
  <c r="N1120" i="22"/>
  <c r="AD547" i="22"/>
  <c r="AM975" i="22"/>
  <c r="N97" i="22"/>
  <c r="N506" i="22"/>
  <c r="O353" i="22"/>
  <c r="P353" i="22"/>
  <c r="O937" i="22"/>
  <c r="N1150" i="22"/>
  <c r="N1083" i="22"/>
  <c r="O380" i="22"/>
  <c r="P1085" i="22"/>
  <c r="O1085" i="22"/>
  <c r="N77" i="22"/>
  <c r="O77" i="22"/>
  <c r="N717" i="22"/>
  <c r="O1018" i="22"/>
  <c r="N65" i="22"/>
  <c r="O65" i="22"/>
  <c r="N1136" i="22"/>
  <c r="O1136" i="22"/>
  <c r="N906" i="22"/>
  <c r="P729" i="22"/>
  <c r="N1210" i="22"/>
  <c r="V1210" i="22"/>
  <c r="N1190" i="22"/>
  <c r="P1158" i="22"/>
  <c r="V1158" i="22"/>
  <c r="V1104" i="22"/>
  <c r="AM1010" i="22"/>
  <c r="AM989" i="22"/>
  <c r="AM956" i="22"/>
  <c r="AM828" i="22"/>
  <c r="V796" i="22"/>
  <c r="AD755" i="22"/>
  <c r="P644" i="22"/>
  <c r="V644" i="22"/>
  <c r="AD511" i="22"/>
  <c r="P171" i="22"/>
  <c r="V171" i="22"/>
  <c r="V4" i="22"/>
  <c r="N4" i="22"/>
  <c r="AM833" i="22"/>
  <c r="AM517" i="22"/>
  <c r="O866" i="22"/>
  <c r="P1000" i="22"/>
  <c r="N1184" i="22"/>
  <c r="O670" i="22"/>
  <c r="V1155" i="22"/>
  <c r="P1112" i="22"/>
  <c r="V1112" i="22"/>
  <c r="AM1047" i="22"/>
  <c r="AM997" i="22"/>
  <c r="AD793" i="22"/>
  <c r="AD704" i="22"/>
  <c r="AM672" i="22"/>
  <c r="V651" i="22"/>
  <c r="N651" i="22"/>
  <c r="O651" i="22"/>
  <c r="AM608" i="22"/>
  <c r="V584" i="22"/>
  <c r="P584" i="22"/>
  <c r="AD531" i="22"/>
  <c r="V323" i="22"/>
  <c r="V299" i="22"/>
  <c r="AM1142" i="22"/>
  <c r="AM879" i="22"/>
  <c r="AM500" i="22"/>
  <c r="P610" i="22"/>
  <c r="P824" i="22"/>
  <c r="P369" i="22"/>
  <c r="O369" i="22"/>
  <c r="P1218" i="22"/>
  <c r="V1218" i="22"/>
  <c r="AD1154" i="22"/>
  <c r="AM1046" i="22"/>
  <c r="AD473" i="22"/>
  <c r="AD450" i="22"/>
  <c r="O311" i="22"/>
  <c r="P311" i="22"/>
  <c r="N311" i="22"/>
  <c r="O202" i="22"/>
  <c r="N202" i="22"/>
  <c r="V179" i="22"/>
  <c r="V52" i="22"/>
  <c r="AM1136" i="22"/>
  <c r="AD1011" i="22"/>
  <c r="O444" i="22"/>
  <c r="O134" i="22"/>
  <c r="O845" i="22"/>
  <c r="P202" i="22"/>
  <c r="N116" i="22"/>
  <c r="O801" i="22"/>
  <c r="P801" i="22"/>
  <c r="P984" i="22"/>
  <c r="O1059" i="22"/>
  <c r="AD1228" i="22"/>
  <c r="AM1185" i="22"/>
  <c r="V1088" i="22"/>
  <c r="AD1027" i="22"/>
  <c r="N995" i="22"/>
  <c r="V995" i="22"/>
  <c r="V941" i="22"/>
  <c r="N941" i="22"/>
  <c r="V920" i="22"/>
  <c r="AM910" i="22"/>
  <c r="AD899" i="22"/>
  <c r="AM888" i="22"/>
  <c r="AD867" i="22"/>
  <c r="AD856" i="22"/>
  <c r="AM628" i="22"/>
  <c r="AM518" i="22"/>
  <c r="AM412" i="22"/>
  <c r="V297" i="22"/>
  <c r="N297" i="22"/>
  <c r="N284" i="22"/>
  <c r="O212" i="22"/>
  <c r="P212" i="22"/>
  <c r="V87" i="22"/>
  <c r="V9" i="22"/>
  <c r="AM1005" i="22"/>
  <c r="AM801" i="22"/>
  <c r="AM739" i="22"/>
  <c r="AM569" i="22"/>
  <c r="N637" i="22"/>
  <c r="P929" i="22"/>
  <c r="O929" i="22"/>
  <c r="O1221" i="22"/>
  <c r="V1221" i="22"/>
  <c r="AM1209" i="22"/>
  <c r="AM1198" i="22"/>
  <c r="AM1189" i="22"/>
  <c r="AM1157" i="22"/>
  <c r="V1147" i="22"/>
  <c r="O1138" i="22"/>
  <c r="AM1013" i="22"/>
  <c r="V939" i="22"/>
  <c r="P888" i="22"/>
  <c r="AM877" i="22"/>
  <c r="O856" i="22"/>
  <c r="AM617" i="22"/>
  <c r="AM594" i="22"/>
  <c r="AD564" i="22"/>
  <c r="N532" i="22"/>
  <c r="AM477" i="22"/>
  <c r="V443" i="22"/>
  <c r="V431" i="22"/>
  <c r="AM406" i="22"/>
  <c r="V328" i="22"/>
  <c r="V305" i="22"/>
  <c r="O305" i="22"/>
  <c r="V71" i="22"/>
  <c r="P71" i="22"/>
  <c r="O71" i="22"/>
  <c r="P60" i="22"/>
  <c r="O60" i="22"/>
  <c r="N60" i="22"/>
  <c r="V17" i="22"/>
  <c r="AM757" i="22"/>
  <c r="AM559" i="22"/>
  <c r="AM428" i="22"/>
  <c r="AJ428" i="22"/>
  <c r="P350" i="22"/>
  <c r="P856" i="22"/>
  <c r="N71" i="22"/>
  <c r="N695" i="22"/>
  <c r="P759" i="22"/>
  <c r="P459" i="22"/>
  <c r="O276" i="22"/>
  <c r="P276" i="22"/>
  <c r="P6" i="22"/>
  <c r="O301" i="22"/>
  <c r="P301" i="22"/>
  <c r="P275" i="22"/>
  <c r="AM1220" i="22"/>
  <c r="V1168" i="22"/>
  <c r="AM1073" i="22"/>
  <c r="AM1024" i="22"/>
  <c r="AM1003" i="22"/>
  <c r="AD970" i="22"/>
  <c r="V960" i="22"/>
  <c r="N960" i="22"/>
  <c r="N949" i="22"/>
  <c r="V949" i="22"/>
  <c r="AM887" i="22"/>
  <c r="AD866" i="22"/>
  <c r="AM855" i="22"/>
  <c r="AM843" i="22"/>
  <c r="AM791" i="22"/>
  <c r="V770" i="22"/>
  <c r="AM760" i="22"/>
  <c r="AD730" i="22"/>
  <c r="AM711" i="22"/>
  <c r="AM593" i="22"/>
  <c r="P564" i="22"/>
  <c r="V542" i="22"/>
  <c r="P542" i="22"/>
  <c r="V487" i="22"/>
  <c r="V454" i="22"/>
  <c r="O454" i="22"/>
  <c r="P454" i="22"/>
  <c r="AD442" i="22"/>
  <c r="AM418" i="22"/>
  <c r="O267" i="22"/>
  <c r="V267" i="22"/>
  <c r="V255" i="22"/>
  <c r="O162" i="22"/>
  <c r="P162" i="22"/>
  <c r="V119" i="22"/>
  <c r="O119" i="22"/>
  <c r="V82" i="22"/>
  <c r="AM814" i="22"/>
  <c r="AM607" i="22"/>
  <c r="O350" i="22"/>
  <c r="N962" i="22"/>
  <c r="N792" i="22"/>
  <c r="O352" i="22"/>
  <c r="P352" i="22"/>
  <c r="O913" i="22"/>
  <c r="P913" i="22"/>
  <c r="O11" i="22"/>
  <c r="P502" i="22"/>
  <c r="P37" i="22"/>
  <c r="O37" i="22"/>
  <c r="O1095" i="22"/>
  <c r="O972" i="22"/>
  <c r="P972" i="22"/>
  <c r="P1074" i="22"/>
  <c r="AD1219" i="22"/>
  <c r="AM1188" i="22"/>
  <c r="AM1167" i="22"/>
  <c r="V1156" i="22"/>
  <c r="N1156" i="22"/>
  <c r="P1115" i="22"/>
  <c r="AM1012" i="22"/>
  <c r="AD969" i="22"/>
  <c r="AM907" i="22"/>
  <c r="AM886" i="22"/>
  <c r="AM865" i="22"/>
  <c r="V854" i="22"/>
  <c r="AD832" i="22"/>
  <c r="P822" i="22"/>
  <c r="AM812" i="22"/>
  <c r="V780" i="22"/>
  <c r="P780" i="22"/>
  <c r="V659" i="22"/>
  <c r="V616" i="22"/>
  <c r="O616" i="22"/>
  <c r="AM582" i="22"/>
  <c r="P531" i="22"/>
  <c r="O465" i="22"/>
  <c r="V465" i="22"/>
  <c r="AD453" i="22"/>
  <c r="P430" i="22"/>
  <c r="V384" i="22"/>
  <c r="O384" i="22"/>
  <c r="AM1153" i="22"/>
  <c r="AM1040" i="22"/>
  <c r="AD603" i="22"/>
  <c r="AM480" i="22"/>
  <c r="AD419" i="22"/>
  <c r="P800" i="22"/>
  <c r="N57" i="22"/>
  <c r="O817" i="22"/>
  <c r="P935" i="22"/>
  <c r="O935" i="22"/>
  <c r="P1240" i="22"/>
  <c r="N1208" i="22"/>
  <c r="AM1145" i="22"/>
  <c r="AM1126" i="22"/>
  <c r="AM1062" i="22"/>
  <c r="O907" i="22"/>
  <c r="V842" i="22"/>
  <c r="AM821" i="22"/>
  <c r="V668" i="22"/>
  <c r="AD658" i="22"/>
  <c r="P627" i="22"/>
  <c r="AM615" i="22"/>
  <c r="AD572" i="22"/>
  <c r="V562" i="22"/>
  <c r="N562" i="22"/>
  <c r="O562" i="22"/>
  <c r="P562" i="22"/>
  <c r="AM551" i="22"/>
  <c r="AM530" i="22"/>
  <c r="AD475" i="22"/>
  <c r="AM464" i="22"/>
  <c r="V452" i="22"/>
  <c r="AM404" i="22"/>
  <c r="P383" i="22"/>
  <c r="O383" i="22"/>
  <c r="V383" i="22"/>
  <c r="AD371" i="22"/>
  <c r="V360" i="22"/>
  <c r="N360" i="22"/>
  <c r="V348" i="22"/>
  <c r="V315" i="22"/>
  <c r="N315" i="22"/>
  <c r="V69" i="22"/>
  <c r="N69" i="22"/>
  <c r="O46" i="22"/>
  <c r="V46" i="22"/>
  <c r="AM976" i="22"/>
  <c r="AM919" i="22"/>
  <c r="AM1117" i="22"/>
  <c r="AM528" i="22"/>
  <c r="AM426" i="22"/>
  <c r="N92" i="22"/>
  <c r="N340" i="22"/>
  <c r="N820" i="22"/>
  <c r="N373" i="22"/>
  <c r="N1106" i="22"/>
  <c r="N1072" i="22"/>
  <c r="N384" i="22"/>
  <c r="N606" i="22"/>
  <c r="O988" i="22"/>
  <c r="P988" i="22"/>
  <c r="O168" i="22"/>
  <c r="O126" i="22"/>
  <c r="P126" i="22"/>
  <c r="O1067" i="22"/>
  <c r="P690" i="22"/>
  <c r="AM1203" i="22"/>
  <c r="V1134" i="22"/>
  <c r="O1134" i="22"/>
  <c r="N1102" i="22"/>
  <c r="V1102" i="22"/>
  <c r="AM1023" i="22"/>
  <c r="AM993" i="22"/>
  <c r="AM972" i="22"/>
  <c r="AM942" i="22"/>
  <c r="AD882" i="22"/>
  <c r="V861" i="22"/>
  <c r="O861" i="22"/>
  <c r="V840" i="22"/>
  <c r="AM790" i="22"/>
  <c r="AM741" i="22"/>
  <c r="N702" i="22"/>
  <c r="P702" i="22"/>
  <c r="V702" i="22"/>
  <c r="AM691" i="22"/>
  <c r="AD642" i="22"/>
  <c r="V621" i="22"/>
  <c r="AM589" i="22"/>
  <c r="V496" i="22"/>
  <c r="V474" i="22"/>
  <c r="P474" i="22"/>
  <c r="O474" i="22"/>
  <c r="AM372" i="22"/>
  <c r="V361" i="22"/>
  <c r="O349" i="22"/>
  <c r="P349" i="22"/>
  <c r="V290" i="22"/>
  <c r="P290" i="22"/>
  <c r="V278" i="22"/>
  <c r="V175" i="22"/>
  <c r="P175" i="22"/>
  <c r="O147" i="22"/>
  <c r="P147" i="22"/>
  <c r="AM1063" i="22"/>
  <c r="AM921" i="22"/>
  <c r="AM471" i="22"/>
  <c r="AM548" i="22"/>
  <c r="N627" i="22"/>
  <c r="P377" i="22"/>
  <c r="O377" i="22"/>
  <c r="O753" i="22"/>
  <c r="AM1232" i="22"/>
  <c r="O1192" i="22"/>
  <c r="P1090" i="22"/>
  <c r="V1090" i="22"/>
  <c r="V1069" i="22"/>
  <c r="N1069" i="22"/>
  <c r="V922" i="22"/>
  <c r="V870" i="22"/>
  <c r="P820" i="22"/>
  <c r="O578" i="22"/>
  <c r="P578" i="22"/>
  <c r="AD515" i="22"/>
  <c r="AM461" i="22"/>
  <c r="AD438" i="22"/>
  <c r="V113" i="22"/>
  <c r="N113" i="22"/>
  <c r="AM1204" i="22"/>
  <c r="AM1110" i="22"/>
  <c r="AM817" i="22"/>
  <c r="AM767" i="22"/>
  <c r="AM679" i="22"/>
  <c r="N389" i="22"/>
  <c r="N898" i="22"/>
  <c r="N236" i="22"/>
  <c r="N484" i="22"/>
  <c r="N716" i="22"/>
  <c r="O605" i="22"/>
  <c r="O728" i="22"/>
  <c r="AM1122" i="22"/>
  <c r="P1099" i="22"/>
  <c r="V1099" i="22"/>
  <c r="AM1068" i="22"/>
  <c r="AM1059" i="22"/>
  <c r="O1040" i="22"/>
  <c r="AM991" i="22"/>
  <c r="V930" i="22"/>
  <c r="V859" i="22"/>
  <c r="V848" i="22"/>
  <c r="O838" i="22"/>
  <c r="V819" i="22"/>
  <c r="AM699" i="22"/>
  <c r="V587" i="22"/>
  <c r="AM535" i="22"/>
  <c r="V525" i="22"/>
  <c r="P525" i="22"/>
  <c r="O525" i="22"/>
  <c r="N515" i="22"/>
  <c r="AM483" i="22"/>
  <c r="V414" i="22"/>
  <c r="V381" i="22"/>
  <c r="O381" i="22"/>
  <c r="P381" i="22"/>
  <c r="V370" i="22"/>
  <c r="V163" i="22"/>
  <c r="O155" i="22"/>
  <c r="V112" i="22"/>
  <c r="V66" i="22"/>
  <c r="AM1098" i="22"/>
  <c r="AM459" i="22"/>
  <c r="N418" i="22"/>
  <c r="P458" i="22"/>
  <c r="O266" i="22"/>
  <c r="P266" i="22"/>
  <c r="AM1222" i="22"/>
  <c r="AM1201" i="22"/>
  <c r="AM1080" i="22"/>
  <c r="AM940" i="22"/>
  <c r="N829" i="22"/>
  <c r="O829" i="22"/>
  <c r="AM779" i="22"/>
  <c r="V750" i="22"/>
  <c r="AM720" i="22"/>
  <c r="AD690" i="22"/>
  <c r="AM669" i="22"/>
  <c r="AD630" i="22"/>
  <c r="AD505" i="22"/>
  <c r="P427" i="22"/>
  <c r="V101" i="22"/>
  <c r="V36" i="22"/>
  <c r="AM1152" i="22"/>
  <c r="AM863" i="22"/>
  <c r="AM415" i="22"/>
  <c r="N1012" i="22"/>
  <c r="N1058" i="22"/>
  <c r="N1003" i="22"/>
  <c r="N91" i="22"/>
  <c r="N787" i="22"/>
  <c r="N262" i="22"/>
  <c r="O265" i="22"/>
  <c r="O887" i="22"/>
  <c r="AM1231" i="22"/>
  <c r="AM1162" i="22"/>
  <c r="AM1141" i="22"/>
  <c r="AM1121" i="22"/>
  <c r="P1021" i="22"/>
  <c r="O1021" i="22"/>
  <c r="AM990" i="22"/>
  <c r="AM980" i="22"/>
  <c r="P970" i="22"/>
  <c r="AM950" i="22"/>
  <c r="P788" i="22"/>
  <c r="N788" i="22"/>
  <c r="AD778" i="22"/>
  <c r="AM586" i="22"/>
  <c r="P556" i="22"/>
  <c r="V556" i="22"/>
  <c r="AM545" i="22"/>
  <c r="AM534" i="22"/>
  <c r="V504" i="22"/>
  <c r="N504" i="22"/>
  <c r="AM460" i="22"/>
  <c r="N437" i="22"/>
  <c r="P402" i="22"/>
  <c r="AM369" i="22"/>
  <c r="V300" i="22"/>
  <c r="N300" i="22"/>
  <c r="V264" i="22"/>
  <c r="O229" i="22"/>
  <c r="V194" i="22"/>
  <c r="O194" i="22"/>
  <c r="O173" i="22"/>
  <c r="P173" i="22"/>
  <c r="O145" i="22"/>
  <c r="AM1097" i="22"/>
  <c r="AM908" i="22"/>
  <c r="N323" i="22"/>
  <c r="N153" i="22"/>
  <c r="N1048" i="22"/>
  <c r="N878" i="22"/>
  <c r="N724" i="22"/>
  <c r="N405" i="22"/>
  <c r="N1045" i="22"/>
  <c r="N1173" i="22"/>
  <c r="N1086" i="22"/>
  <c r="O889" i="22"/>
  <c r="P889" i="22"/>
  <c r="O93" i="22"/>
  <c r="P93" i="22"/>
  <c r="O918" i="22"/>
  <c r="P918" i="22"/>
  <c r="AM1093" i="22"/>
  <c r="AM1053" i="22"/>
  <c r="AM835" i="22"/>
  <c r="AM769" i="22"/>
  <c r="AM731" i="22"/>
  <c r="AM721" i="22"/>
  <c r="V683" i="22"/>
  <c r="O628" i="22"/>
  <c r="AD579" i="22"/>
  <c r="V457" i="22"/>
  <c r="P457" i="22"/>
  <c r="V382" i="22"/>
  <c r="V233" i="22"/>
  <c r="N233" i="22"/>
  <c r="V222" i="22"/>
  <c r="P222" i="22"/>
  <c r="P211" i="22"/>
  <c r="P98" i="22"/>
  <c r="AM1216" i="22"/>
  <c r="O580" i="22"/>
  <c r="N429" i="22"/>
  <c r="O429" i="22"/>
  <c r="N574" i="22"/>
  <c r="N342" i="22"/>
  <c r="N1115" i="22"/>
  <c r="P1214" i="22"/>
  <c r="AM1194" i="22"/>
  <c r="N1176" i="22"/>
  <c r="V1100" i="22"/>
  <c r="N1100" i="22"/>
  <c r="O1100" i="22"/>
  <c r="O1091" i="22"/>
  <c r="AM1081" i="22"/>
  <c r="V1014" i="22"/>
  <c r="V938" i="22"/>
  <c r="AM929" i="22"/>
  <c r="V912" i="22"/>
  <c r="O893" i="22"/>
  <c r="V852" i="22"/>
  <c r="AM729" i="22"/>
  <c r="V700" i="22"/>
  <c r="N636" i="22"/>
  <c r="P557" i="22"/>
  <c r="V557" i="22"/>
  <c r="AM526" i="22"/>
  <c r="AM466" i="22"/>
  <c r="AM401" i="22"/>
  <c r="V254" i="22"/>
  <c r="P254" i="22"/>
  <c r="V242" i="22"/>
  <c r="O242" i="22"/>
  <c r="V62" i="22"/>
  <c r="AM951" i="22"/>
  <c r="N834" i="22"/>
  <c r="N554" i="22"/>
  <c r="N743" i="22"/>
  <c r="O743" i="22"/>
  <c r="N329" i="22"/>
  <c r="O1118" i="22"/>
  <c r="O178" i="22"/>
  <c r="P1127" i="22"/>
  <c r="N1130" i="22"/>
  <c r="O1130" i="22"/>
  <c r="P1130" i="22"/>
  <c r="AM1060" i="22"/>
  <c r="V1050" i="22"/>
  <c r="N1050" i="22"/>
  <c r="N986" i="22"/>
  <c r="AM862" i="22"/>
  <c r="AM748" i="22"/>
  <c r="AM546" i="22"/>
  <c r="AM379" i="22"/>
  <c r="P209" i="22"/>
  <c r="V117" i="22"/>
  <c r="V106" i="22"/>
  <c r="O106" i="22"/>
  <c r="N106" i="22"/>
  <c r="AM665" i="22"/>
  <c r="AM892" i="22"/>
  <c r="N36" i="22"/>
  <c r="N404" i="22"/>
  <c r="N680" i="22"/>
  <c r="AM1197" i="22"/>
  <c r="V1171" i="22"/>
  <c r="AM1089" i="22"/>
  <c r="AM1026" i="22"/>
  <c r="AM999" i="22"/>
  <c r="V963" i="22"/>
  <c r="AM900" i="22"/>
  <c r="AM890" i="22"/>
  <c r="AM818" i="22"/>
  <c r="AM773" i="22"/>
  <c r="V764" i="22"/>
  <c r="P755" i="22"/>
  <c r="V675" i="22"/>
  <c r="V666" i="22"/>
  <c r="O595" i="22"/>
  <c r="V520" i="22"/>
  <c r="N450" i="22"/>
  <c r="V410" i="22"/>
  <c r="V368" i="22"/>
  <c r="P368" i="22"/>
  <c r="V282" i="22"/>
  <c r="V218" i="22"/>
  <c r="V110" i="22"/>
  <c r="AM959" i="22"/>
  <c r="N412" i="22"/>
  <c r="N996" i="22"/>
  <c r="N299" i="22"/>
  <c r="N456" i="22"/>
  <c r="N938" i="22"/>
  <c r="N1214" i="22"/>
  <c r="V1052" i="22"/>
  <c r="AM1025" i="22"/>
  <c r="V954" i="22"/>
  <c r="AM918" i="22"/>
  <c r="AM909" i="22"/>
  <c r="P658" i="22"/>
  <c r="AM613" i="22"/>
  <c r="AM567" i="22"/>
  <c r="AM529" i="22"/>
  <c r="AM519" i="22"/>
  <c r="AM489" i="22"/>
  <c r="P131" i="22"/>
  <c r="V120" i="22"/>
  <c r="AM1127" i="22"/>
  <c r="AM927" i="22"/>
  <c r="AM857" i="22"/>
  <c r="N420" i="22"/>
  <c r="AM1215" i="22"/>
  <c r="AM1079" i="22"/>
  <c r="AM1042" i="22"/>
  <c r="AM889" i="22"/>
  <c r="AM745" i="22"/>
  <c r="AM727" i="22"/>
  <c r="O632" i="22"/>
  <c r="P594" i="22"/>
  <c r="AM499" i="22"/>
  <c r="V448" i="22"/>
  <c r="V399" i="22"/>
  <c r="V344" i="22"/>
  <c r="AM440" i="22"/>
  <c r="L1228" i="22"/>
  <c r="L802" i="22"/>
  <c r="L515" i="22"/>
  <c r="P515" i="22" s="1"/>
  <c r="L1177" i="22"/>
  <c r="L842" i="22"/>
  <c r="O842" i="22" s="1"/>
  <c r="L4" i="22"/>
  <c r="L1232" i="22"/>
  <c r="L1181" i="22"/>
  <c r="AM1178" i="22"/>
  <c r="AM1001" i="22"/>
  <c r="AM706" i="22"/>
  <c r="AM631" i="22"/>
  <c r="AM583" i="22"/>
  <c r="AM408" i="22"/>
  <c r="AM849" i="22"/>
  <c r="AM639" i="22"/>
  <c r="AM751" i="22"/>
  <c r="AM432" i="22"/>
  <c r="AM983" i="22"/>
  <c r="AM655" i="22"/>
  <c r="AM434" i="22"/>
  <c r="AM366" i="22"/>
  <c r="AM967" i="22"/>
  <c r="K10" i="15"/>
  <c r="M10" i="15" s="1"/>
  <c r="L11" i="15"/>
  <c r="L19" i="15"/>
  <c r="K20" i="15"/>
  <c r="M20" i="15" s="1"/>
  <c r="L20" i="15"/>
  <c r="L4" i="15"/>
  <c r="L21" i="15"/>
  <c r="M21" i="15" s="1"/>
  <c r="L15" i="15"/>
  <c r="K54" i="15"/>
  <c r="M54" i="15" s="1"/>
  <c r="L54" i="15"/>
  <c r="L16" i="15"/>
  <c r="K17" i="15"/>
  <c r="L9" i="15"/>
  <c r="K19" i="15"/>
  <c r="M19" i="15" s="1"/>
  <c r="L10" i="15"/>
  <c r="L18" i="15"/>
  <c r="K16" i="15"/>
  <c r="K3" i="15"/>
  <c r="L8" i="15"/>
  <c r="L6" i="15"/>
  <c r="K14" i="15"/>
  <c r="K9" i="15"/>
  <c r="L7" i="15"/>
  <c r="L12" i="15"/>
  <c r="L14" i="15"/>
  <c r="R9" i="15"/>
  <c r="S9" i="15" s="1"/>
  <c r="L3" i="15"/>
  <c r="R54" i="15"/>
  <c r="K18" i="15"/>
  <c r="M18" i="15" s="1"/>
  <c r="K15" i="15"/>
  <c r="R8" i="15"/>
  <c r="S8" i="15" s="1"/>
  <c r="R3" i="15"/>
  <c r="S3" i="15" s="1"/>
  <c r="R7" i="15"/>
  <c r="S7" i="15" s="1"/>
  <c r="L17" i="15"/>
  <c r="K7" i="15"/>
  <c r="K13" i="15"/>
  <c r="K11" i="15"/>
  <c r="M11" i="15" s="1"/>
  <c r="L5" i="15"/>
  <c r="K22" i="15"/>
  <c r="L22" i="15"/>
  <c r="K5" i="15"/>
  <c r="K8" i="15"/>
  <c r="M8" i="15" s="1"/>
  <c r="K12" i="15"/>
  <c r="M12" i="15" s="1"/>
  <c r="R15" i="15"/>
  <c r="S15" i="15" s="1"/>
  <c r="K4" i="15"/>
  <c r="M4" i="15" s="1"/>
  <c r="L13" i="15"/>
  <c r="R14" i="15"/>
  <c r="S14" i="15" s="1"/>
  <c r="K6" i="15"/>
  <c r="R13" i="15"/>
  <c r="S13" i="15" s="1"/>
  <c r="R12" i="15"/>
  <c r="S12" i="15" s="1"/>
  <c r="P153" i="14"/>
  <c r="N80" i="14"/>
  <c r="O60" i="14"/>
  <c r="O54" i="14"/>
  <c r="O33" i="14"/>
  <c r="O66" i="14"/>
  <c r="O90" i="14"/>
  <c r="O129" i="14"/>
  <c r="O163" i="14"/>
  <c r="O67" i="14"/>
  <c r="N125" i="14"/>
  <c r="N57" i="14"/>
  <c r="N145" i="14"/>
  <c r="N33" i="14"/>
  <c r="P33" i="14" s="1"/>
  <c r="N86" i="14"/>
  <c r="N88" i="14"/>
  <c r="P88" i="14" s="1"/>
  <c r="O166" i="14"/>
  <c r="O88" i="14"/>
  <c r="O142" i="14"/>
  <c r="O97" i="14"/>
  <c r="N119" i="14"/>
  <c r="N92" i="14"/>
  <c r="N11" i="14"/>
  <c r="P11" i="14" s="1"/>
  <c r="N83" i="14"/>
  <c r="N15" i="14"/>
  <c r="N163" i="14"/>
  <c r="P163" i="14" s="1"/>
  <c r="N160" i="14"/>
  <c r="P160" i="14" s="1"/>
  <c r="O56" i="14"/>
  <c r="O141" i="14"/>
  <c r="N20" i="14"/>
  <c r="O47" i="14"/>
  <c r="O34" i="14"/>
  <c r="O100" i="14"/>
  <c r="N123" i="14"/>
  <c r="O168" i="14"/>
  <c r="O93" i="14"/>
  <c r="N84" i="14"/>
  <c r="O153" i="14"/>
  <c r="O35" i="14"/>
  <c r="N102" i="14"/>
  <c r="P102" i="14" s="1"/>
  <c r="N62" i="14"/>
  <c r="N122" i="14"/>
  <c r="N17" i="14"/>
  <c r="N61" i="14"/>
  <c r="P61" i="14" s="1"/>
  <c r="O156" i="14"/>
  <c r="N27" i="14"/>
  <c r="N156" i="14"/>
  <c r="P156" i="14" s="1"/>
  <c r="N6" i="14"/>
  <c r="P6" i="14" s="1"/>
  <c r="N8" i="14"/>
  <c r="N29" i="14"/>
  <c r="O131" i="14"/>
  <c r="O120" i="14"/>
  <c r="N65" i="14"/>
  <c r="N63" i="14"/>
  <c r="P63" i="14" s="1"/>
  <c r="O123" i="14"/>
  <c r="P123" i="14" s="1"/>
  <c r="O160" i="14"/>
  <c r="O84" i="14"/>
  <c r="N70" i="14"/>
  <c r="N71" i="14"/>
  <c r="O16" i="14"/>
  <c r="O102" i="14"/>
  <c r="O29" i="14"/>
  <c r="O122" i="14"/>
  <c r="N23" i="14"/>
  <c r="O69" i="14"/>
  <c r="O89" i="14"/>
  <c r="O117" i="14"/>
  <c r="N32" i="14"/>
  <c r="O95" i="14"/>
  <c r="N12" i="14"/>
  <c r="O42" i="14"/>
  <c r="O139" i="14"/>
  <c r="O140" i="14"/>
  <c r="N113" i="14"/>
  <c r="N129" i="14"/>
  <c r="N137" i="14"/>
  <c r="N13" i="14"/>
  <c r="P13" i="14" s="1"/>
  <c r="O61" i="14"/>
  <c r="N7" i="14"/>
  <c r="O127" i="14"/>
  <c r="O27" i="14"/>
  <c r="N151" i="14"/>
  <c r="O137" i="14"/>
  <c r="N106" i="14"/>
  <c r="N14" i="14"/>
  <c r="O36" i="14"/>
  <c r="O30" i="14"/>
  <c r="N74" i="14"/>
  <c r="O20" i="14"/>
  <c r="O85" i="14"/>
  <c r="O92" i="14"/>
  <c r="P92" i="14" s="1"/>
  <c r="O48" i="14"/>
  <c r="O5" i="14"/>
  <c r="O79" i="14"/>
  <c r="O125" i="14"/>
  <c r="P125" i="14" s="1"/>
  <c r="O70" i="14"/>
  <c r="N18" i="14"/>
  <c r="N26" i="14"/>
  <c r="N159" i="14"/>
  <c r="N133" i="14"/>
  <c r="P133" i="14" s="1"/>
  <c r="N56" i="14"/>
  <c r="P56" i="14" s="1"/>
  <c r="N110" i="14"/>
  <c r="P110" i="14" s="1"/>
  <c r="O11" i="14"/>
  <c r="O62" i="14"/>
  <c r="O25" i="14"/>
  <c r="O86" i="14"/>
  <c r="O43" i="14"/>
  <c r="N24" i="14"/>
  <c r="N25" i="14"/>
  <c r="O46" i="14"/>
  <c r="O151" i="14"/>
  <c r="N94" i="14"/>
  <c r="O39" i="14"/>
  <c r="O152" i="14"/>
  <c r="N130" i="14"/>
  <c r="N51" i="14"/>
  <c r="N9" i="14"/>
  <c r="P9" i="14" s="1"/>
  <c r="N138" i="14"/>
  <c r="O143" i="14"/>
  <c r="O162" i="14"/>
  <c r="N49" i="14"/>
  <c r="N162" i="14"/>
  <c r="N67" i="14"/>
  <c r="N5" i="14"/>
  <c r="P5" i="14" s="1"/>
  <c r="N40" i="14"/>
  <c r="P142" i="14"/>
  <c r="P85" i="14"/>
  <c r="O22" i="14"/>
  <c r="N168" i="14"/>
  <c r="P168" i="14" s="1"/>
  <c r="N52" i="14"/>
  <c r="O9" i="14"/>
  <c r="O49" i="14"/>
  <c r="O158" i="14"/>
  <c r="O19" i="14"/>
  <c r="P19" i="14" s="1"/>
  <c r="O154" i="14"/>
  <c r="O53" i="14"/>
  <c r="O169" i="14"/>
  <c r="O14" i="14"/>
  <c r="O164" i="14"/>
  <c r="N30" i="14"/>
  <c r="N155" i="14"/>
  <c r="N116" i="14"/>
  <c r="O52" i="14"/>
  <c r="N164" i="14"/>
  <c r="O57" i="14"/>
  <c r="O40" i="14"/>
  <c r="N45" i="14"/>
  <c r="P45" i="14" s="1"/>
  <c r="O110" i="14"/>
  <c r="N10" i="14"/>
  <c r="P10" i="14" s="1"/>
  <c r="N46" i="14"/>
  <c r="P46" i="14" s="1"/>
  <c r="N127" i="14"/>
  <c r="P127" i="14" s="1"/>
  <c r="O64" i="14"/>
  <c r="N135" i="14"/>
  <c r="N90" i="14"/>
  <c r="P90" i="14" s="1"/>
  <c r="O104" i="14"/>
  <c r="O75" i="14"/>
  <c r="O133" i="14"/>
  <c r="O23" i="14"/>
  <c r="O146" i="14"/>
  <c r="O167" i="14"/>
  <c r="O31" i="14"/>
  <c r="N107" i="14"/>
  <c r="N39" i="14"/>
  <c r="N41" i="14"/>
  <c r="O68" i="14"/>
  <c r="O106" i="14"/>
  <c r="N48" i="14"/>
  <c r="P48" i="14" s="1"/>
  <c r="N121" i="14"/>
  <c r="O59" i="14"/>
  <c r="O87" i="14"/>
  <c r="O145" i="14"/>
  <c r="O135" i="14"/>
  <c r="O112" i="14"/>
  <c r="N22" i="14"/>
  <c r="N96" i="14"/>
  <c r="N112" i="14"/>
  <c r="P112" i="14" s="1"/>
  <c r="N104" i="14"/>
  <c r="O98" i="14"/>
  <c r="N50" i="14"/>
  <c r="P50" i="14" s="1"/>
  <c r="N87" i="14"/>
  <c r="P87" i="14" s="1"/>
  <c r="N136" i="14"/>
  <c r="P136" i="14" s="1"/>
  <c r="O18" i="14"/>
  <c r="O99" i="14"/>
  <c r="N43" i="14"/>
  <c r="N144" i="14"/>
  <c r="O38" i="14"/>
  <c r="N81" i="14"/>
  <c r="N152" i="14"/>
  <c r="O10" i="14"/>
  <c r="O15" i="14"/>
  <c r="O41" i="14"/>
  <c r="O159" i="14"/>
  <c r="O130" i="14"/>
  <c r="O136" i="14"/>
  <c r="N108" i="14"/>
  <c r="N59" i="14"/>
  <c r="P59" i="14" s="1"/>
  <c r="N149" i="14"/>
  <c r="N126" i="14"/>
  <c r="P126" i="14" s="1"/>
  <c r="N4" i="14"/>
  <c r="P4" i="14" s="1"/>
  <c r="O50" i="14"/>
  <c r="O72" i="14"/>
  <c r="O58" i="14"/>
  <c r="O6" i="14"/>
  <c r="O45" i="14"/>
  <c r="O105" i="14"/>
  <c r="N3" i="14"/>
  <c r="N75" i="14"/>
  <c r="N60" i="14"/>
  <c r="P60" i="14" s="1"/>
  <c r="N134" i="14"/>
  <c r="O107" i="14"/>
  <c r="O24" i="14"/>
  <c r="O71" i="14"/>
  <c r="O165" i="14"/>
  <c r="O76" i="14"/>
  <c r="O121" i="14"/>
  <c r="N166" i="14"/>
  <c r="N28" i="14"/>
  <c r="N141" i="14"/>
  <c r="P141" i="14" s="1"/>
  <c r="N161" i="14"/>
  <c r="N64" i="14"/>
  <c r="N143" i="14"/>
  <c r="N150" i="14"/>
  <c r="N111" i="14"/>
  <c r="N78" i="14"/>
  <c r="N97" i="14"/>
  <c r="P97" i="14" s="1"/>
  <c r="N31" i="14"/>
  <c r="N165" i="14"/>
  <c r="N148" i="14"/>
  <c r="N118" i="14"/>
  <c r="P118" i="14" s="1"/>
  <c r="N103" i="14"/>
  <c r="N140" i="14"/>
  <c r="P140" i="14" s="1"/>
  <c r="N55" i="14"/>
  <c r="N54" i="14"/>
  <c r="P54" i="14" s="1"/>
  <c r="N132" i="14"/>
  <c r="N131" i="14"/>
  <c r="P131" i="14" s="1"/>
  <c r="N101" i="14"/>
  <c r="P101" i="14" s="1"/>
  <c r="N124" i="14"/>
  <c r="N115" i="14"/>
  <c r="N154" i="14"/>
  <c r="N158" i="14"/>
  <c r="N114" i="14"/>
  <c r="N93" i="14"/>
  <c r="P93" i="14" s="1"/>
  <c r="N91" i="14"/>
  <c r="N146" i="14"/>
  <c r="P146" i="14" s="1"/>
  <c r="N169" i="14"/>
  <c r="P169" i="14" s="1"/>
  <c r="N38" i="14"/>
  <c r="N37" i="14"/>
  <c r="N53" i="14"/>
  <c r="N73" i="14"/>
  <c r="N128" i="14"/>
  <c r="P128" i="14" s="1"/>
  <c r="N167" i="14"/>
  <c r="N47" i="14"/>
  <c r="N34" i="14"/>
  <c r="N58" i="14"/>
  <c r="N120" i="14"/>
  <c r="P120" i="14" s="1"/>
  <c r="N139" i="14"/>
  <c r="N147" i="14"/>
  <c r="P147" i="14" s="1"/>
  <c r="N109" i="14"/>
  <c r="N44" i="14"/>
  <c r="N79" i="14"/>
  <c r="P79" i="14" s="1"/>
  <c r="O51" i="14"/>
  <c r="O44" i="14"/>
  <c r="N89" i="14"/>
  <c r="P89" i="14" s="1"/>
  <c r="O77" i="14"/>
  <c r="N68" i="14"/>
  <c r="N36" i="14"/>
  <c r="N66" i="14"/>
  <c r="P66" i="14" s="1"/>
  <c r="O113" i="14"/>
  <c r="O21" i="14"/>
  <c r="O65" i="14"/>
  <c r="O138" i="14"/>
  <c r="N82" i="14"/>
  <c r="O144" i="14"/>
  <c r="O103" i="14"/>
  <c r="N72" i="14"/>
  <c r="N100" i="14"/>
  <c r="P100" i="14" s="1"/>
  <c r="N69" i="14"/>
  <c r="O150" i="14"/>
  <c r="O134" i="14"/>
  <c r="O3" i="14"/>
  <c r="O80" i="14"/>
  <c r="O82" i="14"/>
  <c r="O4" i="14"/>
  <c r="N105" i="14"/>
  <c r="N76" i="14"/>
  <c r="O109" i="14"/>
  <c r="O12" i="14"/>
  <c r="O81" i="14"/>
  <c r="O132" i="14"/>
  <c r="N16" i="14"/>
  <c r="N42" i="14"/>
  <c r="N95" i="14"/>
  <c r="P95" i="14" s="1"/>
  <c r="O124" i="14"/>
  <c r="O114" i="14"/>
  <c r="O108" i="14"/>
  <c r="O155" i="14"/>
  <c r="O74" i="14"/>
  <c r="N35" i="14"/>
  <c r="P35" i="14" s="1"/>
  <c r="O78" i="14"/>
  <c r="O147" i="14"/>
  <c r="O96" i="14"/>
  <c r="O161" i="14"/>
  <c r="O83" i="14"/>
  <c r="O91" i="14"/>
  <c r="O116" i="14"/>
  <c r="N157" i="14"/>
  <c r="N98" i="14"/>
  <c r="P98" i="14" s="1"/>
  <c r="O17" i="14"/>
  <c r="O148" i="14"/>
  <c r="O73" i="14"/>
  <c r="O94" i="14"/>
  <c r="O111" i="14"/>
  <c r="O28" i="14"/>
  <c r="O37" i="14"/>
  <c r="O26" i="14"/>
  <c r="N117" i="14"/>
  <c r="P117" i="14" s="1"/>
  <c r="N21" i="14"/>
  <c r="P21" i="14" s="1"/>
  <c r="N99" i="14"/>
  <c r="O8" i="14"/>
  <c r="P8" i="14" s="1"/>
  <c r="O55" i="14"/>
  <c r="O157" i="14"/>
  <c r="O7" i="14"/>
  <c r="O119" i="14"/>
  <c r="P119" i="14" s="1"/>
  <c r="O32" i="14"/>
  <c r="O149" i="14"/>
  <c r="O115" i="14"/>
  <c r="G35" i="59"/>
  <c r="J579" i="1"/>
  <c r="L579" i="1" s="1"/>
  <c r="J689" i="1"/>
  <c r="L689" i="1" s="1"/>
  <c r="J660" i="1"/>
  <c r="L660" i="1" s="1"/>
  <c r="J638" i="1"/>
  <c r="L638" i="1" s="1"/>
  <c r="J375" i="1"/>
  <c r="L375" i="1" s="1"/>
  <c r="J477" i="1"/>
  <c r="J602" i="1"/>
  <c r="L602" i="1" s="1"/>
  <c r="J666" i="1"/>
  <c r="L666" i="1" s="1"/>
  <c r="J127" i="1"/>
  <c r="L127" i="1" s="1"/>
  <c r="J48" i="1"/>
  <c r="L48" i="1" s="1"/>
  <c r="J149" i="1"/>
  <c r="L149" i="1" s="1"/>
  <c r="L713" i="1"/>
  <c r="J710" i="1"/>
  <c r="L710" i="1" s="1"/>
  <c r="J705" i="1"/>
  <c r="L705" i="1" s="1"/>
  <c r="J456" i="1"/>
  <c r="L456" i="1" s="1"/>
  <c r="J597" i="1"/>
  <c r="L597" i="1" s="1"/>
  <c r="J300" i="1"/>
  <c r="L300" i="1" s="1"/>
  <c r="J198" i="1"/>
  <c r="L198" i="1" s="1"/>
  <c r="J721" i="1"/>
  <c r="L721" i="1" s="1"/>
  <c r="J713" i="1"/>
  <c r="J684" i="1"/>
  <c r="L684" i="1" s="1"/>
  <c r="J606" i="1"/>
  <c r="L606" i="1" s="1"/>
  <c r="J648" i="1"/>
  <c r="L648" i="1" s="1"/>
  <c r="J703" i="1"/>
  <c r="L703" i="1" s="1"/>
  <c r="J704" i="1"/>
  <c r="L704" i="1" s="1"/>
  <c r="J623" i="1"/>
  <c r="L623" i="1" s="1"/>
  <c r="J694" i="1"/>
  <c r="L694" i="1" s="1"/>
  <c r="J619" i="1"/>
  <c r="L619" i="1" s="1"/>
  <c r="J532" i="1"/>
  <c r="L532" i="1" s="1"/>
  <c r="L678" i="1"/>
  <c r="J613" i="1"/>
  <c r="L613" i="1" s="1"/>
  <c r="J334" i="1"/>
  <c r="L334" i="1" s="1"/>
  <c r="J674" i="1"/>
  <c r="L674" i="1" s="1"/>
  <c r="J628" i="1"/>
  <c r="L628" i="1" s="1"/>
  <c r="J654" i="1"/>
  <c r="L654" i="1" s="1"/>
  <c r="J588" i="1"/>
  <c r="L588" i="1" s="1"/>
  <c r="J512" i="1"/>
  <c r="L512" i="1" s="1"/>
  <c r="J486" i="1"/>
  <c r="L486" i="1" s="1"/>
  <c r="J702" i="1"/>
  <c r="L702" i="1" s="1"/>
  <c r="J637" i="1"/>
  <c r="J496" i="1"/>
  <c r="L496" i="1" s="1"/>
  <c r="J614" i="1"/>
  <c r="L614" i="1" s="1"/>
  <c r="J562" i="1"/>
  <c r="L562" i="1" s="1"/>
  <c r="J719" i="1"/>
  <c r="L719" i="1" s="1"/>
  <c r="J441" i="1"/>
  <c r="L441" i="1" s="1"/>
  <c r="J413" i="1"/>
  <c r="L413" i="1" s="1"/>
  <c r="J718" i="1"/>
  <c r="L718" i="1" s="1"/>
  <c r="J611" i="1"/>
  <c r="L611" i="1" s="1"/>
  <c r="J432" i="1"/>
  <c r="L432" i="1" s="1"/>
  <c r="J699" i="1"/>
  <c r="L699" i="1" s="1"/>
  <c r="J561" i="1"/>
  <c r="L561" i="1" s="1"/>
  <c r="J563" i="1"/>
  <c r="L563" i="1" s="1"/>
  <c r="J352" i="1"/>
  <c r="L352" i="1" s="1"/>
  <c r="J679" i="1"/>
  <c r="L679" i="1" s="1"/>
  <c r="J377" i="1"/>
  <c r="L377" i="1" s="1"/>
  <c r="J625" i="1"/>
  <c r="L625" i="1" s="1"/>
  <c r="J723" i="1"/>
  <c r="L723" i="1" s="1"/>
  <c r="J665" i="1"/>
  <c r="L665" i="1" s="1"/>
  <c r="J595" i="1"/>
  <c r="L595" i="1" s="1"/>
  <c r="J697" i="1"/>
  <c r="L697" i="1" s="1"/>
  <c r="L631" i="1"/>
  <c r="J624" i="1"/>
  <c r="L624" i="1" s="1"/>
  <c r="J552" i="1"/>
  <c r="L552" i="1" s="1"/>
  <c r="J586" i="1"/>
  <c r="L586" i="1" s="1"/>
  <c r="J530" i="1"/>
  <c r="L530" i="1" s="1"/>
  <c r="J439" i="1"/>
  <c r="L439" i="1" s="1"/>
  <c r="J458" i="1"/>
  <c r="L458" i="1" s="1"/>
  <c r="J671" i="1"/>
  <c r="L671" i="1" s="1"/>
  <c r="J313" i="1"/>
  <c r="L313" i="1" s="1"/>
  <c r="J369" i="1"/>
  <c r="L685" i="1"/>
  <c r="J631" i="1"/>
  <c r="J349" i="1"/>
  <c r="L349" i="1" s="1"/>
  <c r="J589" i="1"/>
  <c r="L589" i="1" s="1"/>
  <c r="J393" i="1"/>
  <c r="L393" i="1" s="1"/>
  <c r="J612" i="1"/>
  <c r="L612" i="1" s="1"/>
  <c r="J246" i="1"/>
  <c r="L246" i="1" s="1"/>
  <c r="J495" i="1"/>
  <c r="L495" i="1" s="1"/>
  <c r="J722" i="1"/>
  <c r="L722" i="1" s="1"/>
  <c r="L516" i="1"/>
  <c r="J685" i="1"/>
  <c r="J539" i="1"/>
  <c r="L539" i="1" s="1"/>
  <c r="J651" i="1"/>
  <c r="L651" i="1" s="1"/>
  <c r="J329" i="1"/>
  <c r="L329" i="1" s="1"/>
  <c r="J508" i="1"/>
  <c r="L508" i="1" s="1"/>
  <c r="J587" i="1"/>
  <c r="L587" i="1" s="1"/>
  <c r="J116" i="1"/>
  <c r="L116" i="1" s="1"/>
  <c r="J491" i="1"/>
  <c r="L491" i="1" s="1"/>
  <c r="J659" i="1"/>
  <c r="J645" i="1"/>
  <c r="L645" i="1" s="1"/>
  <c r="J524" i="1"/>
  <c r="L524" i="1" s="1"/>
  <c r="J244" i="1"/>
  <c r="L244" i="1" s="1"/>
  <c r="J317" i="1"/>
  <c r="L317" i="1" s="1"/>
  <c r="J154" i="1"/>
  <c r="L154" i="1" s="1"/>
  <c r="J686" i="1"/>
  <c r="L686" i="1" s="1"/>
  <c r="J568" i="1"/>
  <c r="L568" i="1" s="1"/>
  <c r="J680" i="1"/>
  <c r="L680" i="1" s="1"/>
  <c r="J516" i="1"/>
  <c r="J575" i="1"/>
  <c r="L575" i="1" s="1"/>
  <c r="J673" i="1"/>
  <c r="L673" i="1" s="1"/>
  <c r="J652" i="1"/>
  <c r="L652" i="1" s="1"/>
  <c r="J197" i="1"/>
  <c r="J531" i="1"/>
  <c r="L531" i="1" s="1"/>
  <c r="J195" i="1"/>
  <c r="L195" i="1" s="1"/>
  <c r="J720" i="1"/>
  <c r="L720" i="1" s="1"/>
  <c r="J669" i="1"/>
  <c r="L669" i="1" s="1"/>
  <c r="J676" i="1"/>
  <c r="L676" i="1" s="1"/>
  <c r="J481" i="1"/>
  <c r="L481" i="1" s="1"/>
  <c r="J570" i="1"/>
  <c r="L570" i="1" s="1"/>
  <c r="J309" i="1"/>
  <c r="L309" i="1" s="1"/>
  <c r="J630" i="1"/>
  <c r="L630" i="1" s="1"/>
  <c r="J13" i="1"/>
  <c r="L13" i="1" s="1"/>
  <c r="J583" i="1"/>
  <c r="L583" i="1" s="1"/>
  <c r="J425" i="1"/>
  <c r="L425" i="1" s="1"/>
  <c r="J634" i="1"/>
  <c r="L634" i="1" s="1"/>
  <c r="J215" i="1"/>
  <c r="L215" i="1" s="1"/>
  <c r="J231" i="1"/>
  <c r="L231" i="1" s="1"/>
  <c r="L701" i="1"/>
  <c r="J714" i="1"/>
  <c r="L714" i="1" s="1"/>
  <c r="J701" i="1"/>
  <c r="J692" i="1"/>
  <c r="L692" i="1" s="1"/>
  <c r="J717" i="1"/>
  <c r="L717" i="1" s="1"/>
  <c r="J716" i="1"/>
  <c r="L716" i="1" s="1"/>
  <c r="J672" i="1"/>
  <c r="L672" i="1" s="1"/>
  <c r="J399" i="1"/>
  <c r="L399" i="1" s="1"/>
  <c r="J683" i="1"/>
  <c r="L683" i="1" s="1"/>
  <c r="J391" i="1"/>
  <c r="L391" i="1" s="1"/>
  <c r="L637" i="1"/>
  <c r="L706" i="1"/>
  <c r="J711" i="1"/>
  <c r="L711" i="1" s="1"/>
  <c r="L518" i="1"/>
  <c r="L492" i="1"/>
  <c r="J677" i="1"/>
  <c r="L677" i="1" s="1"/>
  <c r="J691" i="1"/>
  <c r="L691" i="1" s="1"/>
  <c r="J522" i="1"/>
  <c r="L522" i="1" s="1"/>
  <c r="L715" i="1"/>
  <c r="L477" i="1"/>
  <c r="L350" i="1"/>
  <c r="L646" i="1"/>
  <c r="L610" i="1"/>
  <c r="L369" i="1"/>
  <c r="L659" i="1"/>
  <c r="L571" i="1"/>
  <c r="L709" i="1"/>
  <c r="J489" i="1"/>
  <c r="L489" i="1" s="1"/>
  <c r="J228" i="1"/>
  <c r="L228" i="1" s="1"/>
  <c r="J252" i="1"/>
  <c r="L252" i="1" s="1"/>
  <c r="J138" i="1"/>
  <c r="L138" i="1" s="1"/>
  <c r="J275" i="1"/>
  <c r="L275" i="1" s="1"/>
  <c r="J139" i="1"/>
  <c r="L139" i="1" s="1"/>
  <c r="J186" i="1"/>
  <c r="L186" i="1" s="1"/>
  <c r="J54" i="1"/>
  <c r="L54" i="1" s="1"/>
  <c r="J14" i="1"/>
  <c r="L14" i="1" s="1"/>
  <c r="J237" i="1"/>
  <c r="L237" i="1" s="1"/>
  <c r="J368" i="1"/>
  <c r="L368" i="1" s="1"/>
  <c r="J504" i="1"/>
  <c r="L504" i="1" s="1"/>
  <c r="J258" i="1"/>
  <c r="L258" i="1" s="1"/>
  <c r="J167" i="1"/>
  <c r="L167" i="1" s="1"/>
  <c r="J343" i="1"/>
  <c r="L343" i="1" s="1"/>
  <c r="J622" i="1"/>
  <c r="L622" i="1" s="1"/>
  <c r="J471" i="1"/>
  <c r="L471" i="1" s="1"/>
  <c r="J593" i="1"/>
  <c r="L593" i="1" s="1"/>
  <c r="J440" i="1"/>
  <c r="L440" i="1" s="1"/>
  <c r="J546" i="1"/>
  <c r="L546" i="1" s="1"/>
  <c r="J426" i="1"/>
  <c r="L426" i="1" s="1"/>
  <c r="J523" i="1"/>
  <c r="L523" i="1" s="1"/>
  <c r="J279" i="1"/>
  <c r="L279" i="1" s="1"/>
  <c r="J423" i="1"/>
  <c r="L423" i="1" s="1"/>
  <c r="J517" i="1"/>
  <c r="L517" i="1" s="1"/>
  <c r="J212" i="1"/>
  <c r="L212" i="1" s="1"/>
  <c r="J380" i="1"/>
  <c r="L380" i="1" s="1"/>
  <c r="J519" i="1"/>
  <c r="L519" i="1" s="1"/>
  <c r="J466" i="1"/>
  <c r="L466" i="1" s="1"/>
  <c r="J482" i="1"/>
  <c r="L482" i="1" s="1"/>
  <c r="J394" i="1"/>
  <c r="L394" i="1" s="1"/>
  <c r="J385" i="1"/>
  <c r="L385" i="1" s="1"/>
  <c r="J403" i="1"/>
  <c r="L403" i="1" s="1"/>
  <c r="J345" i="1"/>
  <c r="L345" i="1" s="1"/>
  <c r="J318" i="1"/>
  <c r="L318" i="1" s="1"/>
  <c r="J67" i="1"/>
  <c r="L67" i="1" s="1"/>
  <c r="J284" i="1"/>
  <c r="L284" i="1" s="1"/>
  <c r="J204" i="1"/>
  <c r="L204" i="1" s="1"/>
  <c r="J332" i="1"/>
  <c r="L332" i="1" s="1"/>
  <c r="J62" i="1"/>
  <c r="L62" i="1" s="1"/>
  <c r="J222" i="1"/>
  <c r="L222" i="1" s="1"/>
  <c r="J21" i="1"/>
  <c r="L21" i="1" s="1"/>
  <c r="J107" i="1"/>
  <c r="L107" i="1" s="1"/>
  <c r="J104" i="1"/>
  <c r="L104" i="1" s="1"/>
  <c r="J185" i="1"/>
  <c r="L185" i="1" s="1"/>
  <c r="J99" i="1"/>
  <c r="L99" i="1" s="1"/>
  <c r="J22" i="1"/>
  <c r="L22" i="1" s="1"/>
  <c r="J32" i="1"/>
  <c r="L32" i="1" s="1"/>
  <c r="J286" i="1"/>
  <c r="L286" i="1" s="1"/>
  <c r="J603" i="1"/>
  <c r="L603" i="1" s="1"/>
  <c r="J323" i="1"/>
  <c r="L323" i="1" s="1"/>
  <c r="J573" i="1"/>
  <c r="L573" i="1" s="1"/>
  <c r="J401" i="1"/>
  <c r="L401" i="1" s="1"/>
  <c r="J448" i="1"/>
  <c r="L448" i="1" s="1"/>
  <c r="J207" i="1"/>
  <c r="L207" i="1" s="1"/>
  <c r="J356" i="1"/>
  <c r="L356" i="1" s="1"/>
  <c r="J450" i="1"/>
  <c r="L450" i="1" s="1"/>
  <c r="J68" i="1"/>
  <c r="L68" i="1" s="1"/>
  <c r="J38" i="1"/>
  <c r="L38" i="1" s="1"/>
  <c r="J656" i="1"/>
  <c r="L656" i="1" s="1"/>
  <c r="J647" i="1"/>
  <c r="L647" i="1" s="1"/>
  <c r="J594" i="1"/>
  <c r="L594" i="1" s="1"/>
  <c r="J177" i="1"/>
  <c r="L177" i="1" s="1"/>
  <c r="J480" i="1"/>
  <c r="L480" i="1" s="1"/>
  <c r="J499" i="1"/>
  <c r="L499" i="1" s="1"/>
  <c r="J364" i="1"/>
  <c r="L364" i="1" s="1"/>
  <c r="J169" i="1"/>
  <c r="L169" i="1" s="1"/>
  <c r="J137" i="1"/>
  <c r="L137" i="1" s="1"/>
  <c r="J70" i="1"/>
  <c r="L70" i="1" s="1"/>
  <c r="J241" i="1"/>
  <c r="L241" i="1" s="1"/>
  <c r="J415" i="1"/>
  <c r="L415" i="1" s="1"/>
  <c r="J235" i="1"/>
  <c r="L235" i="1" s="1"/>
  <c r="J257" i="1"/>
  <c r="L257" i="1" s="1"/>
  <c r="L632" i="1"/>
  <c r="J320" i="1"/>
  <c r="L320" i="1" s="1"/>
  <c r="J404" i="1"/>
  <c r="L404" i="1" s="1"/>
  <c r="J260" i="1"/>
  <c r="L260" i="1" s="1"/>
  <c r="J254" i="1"/>
  <c r="L254" i="1" s="1"/>
  <c r="J274" i="1"/>
  <c r="L274" i="1" s="1"/>
  <c r="J132" i="1"/>
  <c r="L132" i="1" s="1"/>
  <c r="J388" i="1"/>
  <c r="L388" i="1" s="1"/>
  <c r="J105" i="1"/>
  <c r="L105" i="1" s="1"/>
  <c r="J469" i="1"/>
  <c r="L469" i="1" s="1"/>
  <c r="J270" i="1"/>
  <c r="L270" i="1" s="1"/>
  <c r="J261" i="1"/>
  <c r="L261" i="1" s="1"/>
  <c r="J190" i="1"/>
  <c r="L190" i="1" s="1"/>
  <c r="J16" i="1"/>
  <c r="L16" i="1" s="1"/>
  <c r="J635" i="1"/>
  <c r="L635" i="1" s="1"/>
  <c r="J627" i="1"/>
  <c r="L627" i="1" s="1"/>
  <c r="J578" i="1"/>
  <c r="L578" i="1" s="1"/>
  <c r="J414" i="1"/>
  <c r="L414" i="1" s="1"/>
  <c r="J473" i="1"/>
  <c r="L473" i="1" s="1"/>
  <c r="J555" i="1"/>
  <c r="L555" i="1" s="1"/>
  <c r="J208" i="1"/>
  <c r="L208" i="1" s="1"/>
  <c r="J326" i="1"/>
  <c r="L326" i="1" s="1"/>
  <c r="J192" i="1"/>
  <c r="L192" i="1" s="1"/>
  <c r="J213" i="1"/>
  <c r="L213" i="1" s="1"/>
  <c r="J49" i="1"/>
  <c r="L49" i="1" s="1"/>
  <c r="J354" i="1"/>
  <c r="L354" i="1" s="1"/>
  <c r="J488" i="1"/>
  <c r="L488" i="1" s="1"/>
  <c r="J330" i="1"/>
  <c r="L330" i="1" s="1"/>
  <c r="J118" i="1"/>
  <c r="L118" i="1" s="1"/>
  <c r="J396" i="1"/>
  <c r="L396" i="1" s="1"/>
  <c r="J27" i="1"/>
  <c r="L27" i="1" s="1"/>
  <c r="J445" i="1"/>
  <c r="L445" i="1" s="1"/>
  <c r="J567" i="1"/>
  <c r="L567" i="1" s="1"/>
  <c r="J513" i="1"/>
  <c r="L513" i="1" s="1"/>
  <c r="J467" i="1"/>
  <c r="L467" i="1" s="1"/>
  <c r="J164" i="1"/>
  <c r="L164" i="1" s="1"/>
  <c r="J262" i="1"/>
  <c r="L262" i="1" s="1"/>
  <c r="J171" i="1"/>
  <c r="L171" i="1" s="1"/>
  <c r="J50" i="1"/>
  <c r="L50" i="1" s="1"/>
  <c r="J159" i="1"/>
  <c r="L159" i="1" s="1"/>
  <c r="J146" i="1"/>
  <c r="L146" i="1" s="1"/>
  <c r="J470" i="1"/>
  <c r="L470" i="1" s="1"/>
  <c r="J693" i="1"/>
  <c r="L693" i="1" s="1"/>
  <c r="J682" i="1"/>
  <c r="L682" i="1" s="1"/>
  <c r="J435" i="1"/>
  <c r="L435" i="1" s="1"/>
  <c r="J663" i="1"/>
  <c r="L663" i="1" s="1"/>
  <c r="J644" i="1"/>
  <c r="L644" i="1" s="1"/>
  <c r="J485" i="1"/>
  <c r="L485" i="1" s="1"/>
  <c r="J358" i="1"/>
  <c r="L358" i="1" s="1"/>
  <c r="J503" i="1"/>
  <c r="L503" i="1" s="1"/>
  <c r="J615" i="1"/>
  <c r="L615" i="1" s="1"/>
  <c r="J536" i="1"/>
  <c r="L536" i="1" s="1"/>
  <c r="J527" i="1"/>
  <c r="L527" i="1" s="1"/>
  <c r="J328" i="1"/>
  <c r="L328" i="1" s="1"/>
  <c r="J447" i="1"/>
  <c r="L447" i="1" s="1"/>
  <c r="J397" i="1"/>
  <c r="L397" i="1" s="1"/>
  <c r="J321" i="1"/>
  <c r="L321" i="1" s="1"/>
  <c r="J542" i="1"/>
  <c r="L542" i="1" s="1"/>
  <c r="J210" i="1"/>
  <c r="L210" i="1" s="1"/>
  <c r="J585" i="1"/>
  <c r="L585" i="1" s="1"/>
  <c r="J636" i="1"/>
  <c r="L636" i="1" s="1"/>
  <c r="J572" i="1"/>
  <c r="L572" i="1" s="1"/>
  <c r="J446" i="1"/>
  <c r="L446" i="1" s="1"/>
  <c r="J598" i="1"/>
  <c r="L598" i="1" s="1"/>
  <c r="J574" i="1"/>
  <c r="L574" i="1" s="1"/>
  <c r="J608" i="1"/>
  <c r="L608" i="1" s="1"/>
  <c r="J556" i="1"/>
  <c r="L556" i="1" s="1"/>
  <c r="J667" i="1"/>
  <c r="L667" i="1" s="1"/>
  <c r="J681" i="1"/>
  <c r="L681" i="1" s="1"/>
  <c r="J283" i="1"/>
  <c r="L283" i="1" s="1"/>
  <c r="J51" i="1"/>
  <c r="L51" i="1" s="1"/>
  <c r="J249" i="1"/>
  <c r="L249" i="1" s="1"/>
  <c r="J649" i="1"/>
  <c r="L649" i="1" s="1"/>
  <c r="J658" i="1"/>
  <c r="L658" i="1" s="1"/>
  <c r="J174" i="1"/>
  <c r="L174" i="1" s="1"/>
  <c r="J442" i="1"/>
  <c r="L442" i="1" s="1"/>
  <c r="J325" i="1"/>
  <c r="L325" i="1" s="1"/>
  <c r="J653" i="1"/>
  <c r="L653" i="1" s="1"/>
  <c r="J640" i="1"/>
  <c r="L640" i="1" s="1"/>
  <c r="J553" i="1"/>
  <c r="L553" i="1" s="1"/>
  <c r="J351" i="1"/>
  <c r="L351" i="1" s="1"/>
  <c r="J6" i="1"/>
  <c r="L6" i="1" s="1"/>
  <c r="J57" i="1"/>
  <c r="L57" i="1" s="1"/>
  <c r="J80" i="1"/>
  <c r="L80" i="1" s="1"/>
  <c r="J362" i="1"/>
  <c r="L362" i="1" s="1"/>
  <c r="J179" i="1"/>
  <c r="L179" i="1" s="1"/>
  <c r="J277" i="1"/>
  <c r="L277" i="1" s="1"/>
  <c r="J303" i="1"/>
  <c r="L303" i="1" s="1"/>
  <c r="J392" i="1"/>
  <c r="L392" i="1" s="1"/>
  <c r="J133" i="1"/>
  <c r="L133" i="1" s="1"/>
  <c r="J400" i="1"/>
  <c r="L400" i="1" s="1"/>
  <c r="J110" i="1"/>
  <c r="L110" i="1" s="1"/>
  <c r="J559" i="1"/>
  <c r="L559" i="1" s="1"/>
  <c r="J299" i="1"/>
  <c r="L299" i="1" s="1"/>
  <c r="J376" i="1"/>
  <c r="L376" i="1" s="1"/>
  <c r="J112" i="1"/>
  <c r="L112" i="1" s="1"/>
  <c r="J462" i="1"/>
  <c r="L462" i="1" s="1"/>
  <c r="J255" i="1"/>
  <c r="L255" i="1" s="1"/>
  <c r="J265" i="1"/>
  <c r="L265" i="1" s="1"/>
  <c r="J390" i="1"/>
  <c r="L390" i="1" s="1"/>
  <c r="J34" i="1"/>
  <c r="L34" i="1" s="1"/>
  <c r="J311" i="1"/>
  <c r="L311" i="1" s="1"/>
  <c r="J87" i="1"/>
  <c r="L87" i="1" s="1"/>
  <c r="J221" i="1"/>
  <c r="L221" i="1" s="1"/>
  <c r="J71" i="1"/>
  <c r="L71" i="1" s="1"/>
  <c r="J18" i="1"/>
  <c r="L18" i="1" s="1"/>
  <c r="J698" i="1"/>
  <c r="L698" i="1" s="1"/>
  <c r="J617" i="1"/>
  <c r="L617" i="1" s="1"/>
  <c r="J688" i="1"/>
  <c r="L688" i="1" s="1"/>
  <c r="J695" i="1"/>
  <c r="L695" i="1" s="1"/>
  <c r="J641" i="1"/>
  <c r="L641" i="1" s="1"/>
  <c r="J639" i="1"/>
  <c r="L639" i="1" s="1"/>
  <c r="J476" i="1"/>
  <c r="L476" i="1" s="1"/>
  <c r="J438" i="1"/>
  <c r="L438" i="1" s="1"/>
  <c r="J387" i="1"/>
  <c r="L387" i="1" s="1"/>
  <c r="J436" i="1"/>
  <c r="L436" i="1" s="1"/>
  <c r="J131" i="1"/>
  <c r="L131" i="1" s="1"/>
  <c r="J184" i="1"/>
  <c r="L184" i="1" s="1"/>
  <c r="J136" i="1"/>
  <c r="L136" i="1" s="1"/>
  <c r="J40" i="1"/>
  <c r="L40" i="1" s="1"/>
  <c r="J662" i="1"/>
  <c r="L662" i="1" s="1"/>
  <c r="J408" i="1"/>
  <c r="L408" i="1" s="1"/>
  <c r="J600" i="1"/>
  <c r="L600" i="1" s="1"/>
  <c r="J206" i="1"/>
  <c r="L206" i="1" s="1"/>
  <c r="J152" i="1"/>
  <c r="L152" i="1" s="1"/>
  <c r="J363" i="1"/>
  <c r="L363" i="1" s="1"/>
  <c r="J150" i="1"/>
  <c r="L150" i="1" s="1"/>
  <c r="J428" i="1"/>
  <c r="L428" i="1" s="1"/>
  <c r="J92" i="1"/>
  <c r="L92" i="1" s="1"/>
  <c r="J75" i="1"/>
  <c r="L75" i="1" s="1"/>
  <c r="J45" i="1"/>
  <c r="L45" i="1" s="1"/>
  <c r="J296" i="1"/>
  <c r="L296" i="1" s="1"/>
  <c r="J468" i="1"/>
  <c r="L468" i="1" s="1"/>
  <c r="J243" i="1"/>
  <c r="L243" i="1" s="1"/>
  <c r="J47" i="1"/>
  <c r="L47" i="1" s="1"/>
  <c r="J314" i="1"/>
  <c r="L314" i="1" s="1"/>
  <c r="J73" i="1"/>
  <c r="L73" i="1" s="1"/>
  <c r="J175" i="1"/>
  <c r="L175" i="1" s="1"/>
  <c r="L197" i="1"/>
  <c r="J437" i="1"/>
  <c r="L437" i="1" s="1"/>
  <c r="J253" i="1"/>
  <c r="L253" i="1" s="1"/>
  <c r="J417" i="1"/>
  <c r="L417" i="1" s="1"/>
  <c r="J115" i="1"/>
  <c r="L115" i="1" s="1"/>
  <c r="J248" i="1"/>
  <c r="L248" i="1" s="1"/>
  <c r="J78" i="1"/>
  <c r="L78" i="1" s="1"/>
  <c r="J135" i="1"/>
  <c r="L135" i="1" s="1"/>
  <c r="J153" i="1"/>
  <c r="L153" i="1" s="1"/>
  <c r="J664" i="1"/>
  <c r="L664" i="1" s="1"/>
  <c r="J540" i="1"/>
  <c r="L540" i="1" s="1"/>
  <c r="J670" i="1"/>
  <c r="L670" i="1" s="1"/>
  <c r="J657" i="1"/>
  <c r="L657" i="1" s="1"/>
  <c r="J618" i="1"/>
  <c r="L618" i="1" s="1"/>
  <c r="J547" i="1"/>
  <c r="L547" i="1" s="1"/>
  <c r="J511" i="1"/>
  <c r="L511" i="1" s="1"/>
  <c r="J564" i="1"/>
  <c r="L564" i="1" s="1"/>
  <c r="J170" i="1"/>
  <c r="L170" i="1" s="1"/>
  <c r="J305" i="1"/>
  <c r="L305" i="1" s="1"/>
  <c r="J398" i="1"/>
  <c r="L398" i="1" s="1"/>
  <c r="J344" i="1"/>
  <c r="L344" i="1" s="1"/>
  <c r="J82" i="1"/>
  <c r="L82" i="1" s="1"/>
  <c r="J58" i="1"/>
  <c r="L58" i="1" s="1"/>
  <c r="J61" i="1"/>
  <c r="L61" i="1" s="1"/>
  <c r="J11" i="1"/>
  <c r="L11" i="1" s="1"/>
  <c r="J15" i="1"/>
  <c r="L15" i="1" s="1"/>
  <c r="J609" i="1"/>
  <c r="L609" i="1" s="1"/>
  <c r="J633" i="1"/>
  <c r="L633" i="1" s="1"/>
  <c r="J581" i="1"/>
  <c r="L581" i="1" s="1"/>
  <c r="J460" i="1"/>
  <c r="L460" i="1" s="1"/>
  <c r="J490" i="1"/>
  <c r="L490" i="1" s="1"/>
  <c r="J529" i="1"/>
  <c r="L529" i="1" s="1"/>
  <c r="J525" i="1"/>
  <c r="L525" i="1" s="1"/>
  <c r="J580" i="1"/>
  <c r="L580" i="1" s="1"/>
  <c r="J315" i="1"/>
  <c r="L315" i="1" s="1"/>
  <c r="J357" i="1"/>
  <c r="L357" i="1" s="1"/>
  <c r="J389" i="1"/>
  <c r="L389" i="1" s="1"/>
  <c r="J514" i="1"/>
  <c r="L514" i="1" s="1"/>
  <c r="J161" i="1"/>
  <c r="L161" i="1" s="1"/>
  <c r="J119" i="1"/>
  <c r="L119" i="1" s="1"/>
  <c r="J121" i="1"/>
  <c r="L121" i="1" s="1"/>
  <c r="J333" i="1"/>
  <c r="L333" i="1" s="1"/>
  <c r="J455" i="1"/>
  <c r="L455" i="1" s="1"/>
  <c r="J165" i="1"/>
  <c r="L165" i="1" s="1"/>
  <c r="J199" i="1"/>
  <c r="L199" i="1" s="1"/>
  <c r="J98" i="1"/>
  <c r="L98" i="1" s="1"/>
  <c r="J117" i="1"/>
  <c r="L117" i="1" s="1"/>
  <c r="J111" i="1"/>
  <c r="L111" i="1" s="1"/>
  <c r="J216" i="1"/>
  <c r="L216" i="1" s="1"/>
  <c r="J268" i="1"/>
  <c r="L268" i="1" s="1"/>
  <c r="J55" i="1"/>
  <c r="L55" i="1" s="1"/>
  <c r="J373" i="1"/>
  <c r="L373" i="1" s="1"/>
  <c r="J85" i="1"/>
  <c r="L85" i="1" s="1"/>
  <c r="J69" i="1"/>
  <c r="L69" i="1" s="1"/>
  <c r="J156" i="1"/>
  <c r="L156" i="1" s="1"/>
  <c r="J158" i="1"/>
  <c r="L158" i="1" s="1"/>
  <c r="J183" i="1"/>
  <c r="L183" i="1" s="1"/>
  <c r="J129" i="1"/>
  <c r="L129" i="1" s="1"/>
  <c r="J141" i="1"/>
  <c r="L141" i="1" s="1"/>
  <c r="J24" i="1"/>
  <c r="L24" i="1" s="1"/>
  <c r="J26" i="1"/>
  <c r="L26" i="1" s="1"/>
  <c r="J541" i="1"/>
  <c r="L541" i="1" s="1"/>
  <c r="J601" i="1"/>
  <c r="L601" i="1" s="1"/>
  <c r="J533" i="1"/>
  <c r="L533" i="1" s="1"/>
  <c r="J420" i="1"/>
  <c r="L420" i="1" s="1"/>
  <c r="J310" i="1"/>
  <c r="L310" i="1" s="1"/>
  <c r="J483" i="1"/>
  <c r="L483" i="1" s="1"/>
  <c r="J245" i="1"/>
  <c r="L245" i="1" s="1"/>
  <c r="J591" i="1"/>
  <c r="L591" i="1" s="1"/>
  <c r="J319" i="1"/>
  <c r="L319" i="1" s="1"/>
  <c r="J474" i="1"/>
  <c r="L474" i="1" s="1"/>
  <c r="J340" i="1"/>
  <c r="L340" i="1" s="1"/>
  <c r="J551" i="1"/>
  <c r="L551" i="1" s="1"/>
  <c r="J430" i="1"/>
  <c r="L430" i="1" s="1"/>
  <c r="J196" i="1"/>
  <c r="L196" i="1" s="1"/>
  <c r="J427" i="1"/>
  <c r="L427" i="1" s="1"/>
  <c r="J475" i="1"/>
  <c r="L475" i="1" s="1"/>
  <c r="J267" i="1"/>
  <c r="L267" i="1" s="1"/>
  <c r="J367" i="1"/>
  <c r="L367" i="1" s="1"/>
  <c r="J348" i="1"/>
  <c r="L348" i="1" s="1"/>
  <c r="J124" i="1"/>
  <c r="L124" i="1" s="1"/>
  <c r="J56" i="1"/>
  <c r="L56" i="1" s="1"/>
  <c r="J187" i="1"/>
  <c r="L187" i="1" s="1"/>
  <c r="J53" i="1"/>
  <c r="L53" i="1" s="1"/>
  <c r="J429" i="1"/>
  <c r="L429" i="1" s="1"/>
  <c r="J168" i="1"/>
  <c r="L168" i="1" s="1"/>
  <c r="J395" i="1"/>
  <c r="L395" i="1" s="1"/>
  <c r="J289" i="1"/>
  <c r="L289" i="1" s="1"/>
  <c r="J109" i="1"/>
  <c r="L109" i="1" s="1"/>
  <c r="J148" i="1"/>
  <c r="L148" i="1" s="1"/>
  <c r="J128" i="1"/>
  <c r="L128" i="1" s="1"/>
  <c r="J28" i="1"/>
  <c r="L28" i="1" s="1"/>
  <c r="J134" i="1"/>
  <c r="L134" i="1" s="1"/>
  <c r="J7" i="1"/>
  <c r="L7" i="1" s="1"/>
  <c r="J3" i="1"/>
  <c r="L3" i="1" s="1"/>
  <c r="J76" i="1"/>
  <c r="L76" i="1" s="1"/>
  <c r="J20" i="1"/>
  <c r="L20" i="1" s="1"/>
  <c r="J83" i="1"/>
  <c r="L83" i="1" s="1"/>
  <c r="J629" i="1"/>
  <c r="L629" i="1" s="1"/>
  <c r="J280" i="1"/>
  <c r="L280" i="1" s="1"/>
  <c r="J582" i="1"/>
  <c r="L582" i="1" s="1"/>
  <c r="J465" i="1"/>
  <c r="L465" i="1" s="1"/>
  <c r="J526" i="1"/>
  <c r="L526" i="1" s="1"/>
  <c r="J604" i="1"/>
  <c r="L604" i="1" s="1"/>
  <c r="J596" i="1"/>
  <c r="L596" i="1" s="1"/>
  <c r="J238" i="1"/>
  <c r="L238" i="1" s="1"/>
  <c r="J223" i="1"/>
  <c r="L223" i="1" s="1"/>
  <c r="J537" i="1"/>
  <c r="L537" i="1" s="1"/>
  <c r="J565" i="1"/>
  <c r="L565" i="1" s="1"/>
  <c r="J227" i="1"/>
  <c r="L227" i="1" s="1"/>
  <c r="J550" i="1"/>
  <c r="L550" i="1" s="1"/>
  <c r="J188" i="1"/>
  <c r="L188" i="1" s="1"/>
  <c r="J510" i="1"/>
  <c r="L510" i="1" s="1"/>
  <c r="J374" i="1"/>
  <c r="L374" i="1" s="1"/>
  <c r="J335" i="1"/>
  <c r="L335" i="1" s="1"/>
  <c r="J294" i="1"/>
  <c r="L294" i="1" s="1"/>
  <c r="J502" i="1"/>
  <c r="L502" i="1" s="1"/>
  <c r="J493" i="1"/>
  <c r="L493" i="1" s="1"/>
  <c r="J77" i="1"/>
  <c r="L77" i="1" s="1"/>
  <c r="J163" i="1"/>
  <c r="L163" i="1" s="1"/>
  <c r="J316" i="1"/>
  <c r="L316" i="1" s="1"/>
  <c r="J151" i="1"/>
  <c r="L151" i="1" s="1"/>
  <c r="J293" i="1"/>
  <c r="L293" i="1" s="1"/>
  <c r="J287" i="1"/>
  <c r="L287" i="1" s="1"/>
  <c r="J459" i="1"/>
  <c r="L459" i="1" s="1"/>
  <c r="J308" i="1"/>
  <c r="L308" i="1" s="1"/>
  <c r="J123" i="1"/>
  <c r="L123" i="1" s="1"/>
  <c r="J108" i="1"/>
  <c r="L108" i="1" s="1"/>
  <c r="J36" i="1"/>
  <c r="L36" i="1" s="1"/>
  <c r="J272" i="1"/>
  <c r="L272" i="1" s="1"/>
  <c r="J23" i="1"/>
  <c r="L23" i="1" s="1"/>
  <c r="J144" i="1"/>
  <c r="L144" i="1" s="1"/>
  <c r="J239" i="1"/>
  <c r="L239" i="1" s="1"/>
  <c r="J290" i="1"/>
  <c r="L290" i="1" s="1"/>
  <c r="J66" i="1"/>
  <c r="L66" i="1" s="1"/>
  <c r="J162" i="1"/>
  <c r="L162" i="1" s="1"/>
  <c r="J273" i="1"/>
  <c r="L273" i="1" s="1"/>
  <c r="J202" i="1"/>
  <c r="L202" i="1" s="1"/>
  <c r="J217" i="1"/>
  <c r="L217" i="1" s="1"/>
  <c r="J271" i="1"/>
  <c r="L271" i="1" s="1"/>
  <c r="J463" i="1"/>
  <c r="L463" i="1" s="1"/>
  <c r="J324" i="1"/>
  <c r="L324" i="1" s="1"/>
  <c r="J327" i="1"/>
  <c r="L327" i="1" s="1"/>
  <c r="J487" i="1"/>
  <c r="L487" i="1" s="1"/>
  <c r="J457" i="1"/>
  <c r="L457" i="1" s="1"/>
  <c r="J263" i="1"/>
  <c r="L263" i="1" s="1"/>
  <c r="J180" i="1"/>
  <c r="L180" i="1" s="1"/>
  <c r="J247" i="1"/>
  <c r="L247" i="1" s="1"/>
  <c r="J382" i="1"/>
  <c r="L382" i="1" s="1"/>
  <c r="J60" i="1"/>
  <c r="L60" i="1" s="1"/>
  <c r="J86" i="1"/>
  <c r="L86" i="1" s="1"/>
  <c r="J331" i="1"/>
  <c r="L331" i="1" s="1"/>
  <c r="J302" i="1"/>
  <c r="L302" i="1" s="1"/>
  <c r="J90" i="1"/>
  <c r="L90" i="1" s="1"/>
  <c r="J122" i="1"/>
  <c r="L122" i="1" s="1"/>
  <c r="J155" i="1"/>
  <c r="L155" i="1" s="1"/>
  <c r="J63" i="1"/>
  <c r="L63" i="1" s="1"/>
  <c r="J65" i="1"/>
  <c r="L65" i="1" s="1"/>
  <c r="J145" i="1"/>
  <c r="L145" i="1" s="1"/>
  <c r="J52" i="1"/>
  <c r="L52" i="1" s="1"/>
  <c r="J449" i="1"/>
  <c r="L449" i="1" s="1"/>
  <c r="J259" i="1"/>
  <c r="L259" i="1" s="1"/>
  <c r="J211" i="1"/>
  <c r="L211" i="1" s="1"/>
  <c r="J278" i="1"/>
  <c r="L278" i="1" s="1"/>
  <c r="J176" i="1"/>
  <c r="L176" i="1" s="1"/>
  <c r="J205" i="1"/>
  <c r="L205" i="1" s="1"/>
  <c r="J412" i="1"/>
  <c r="L412" i="1" s="1"/>
  <c r="J269" i="1"/>
  <c r="L269" i="1" s="1"/>
  <c r="J201" i="1"/>
  <c r="L201" i="1" s="1"/>
  <c r="J282" i="1"/>
  <c r="L282" i="1" s="1"/>
  <c r="J406" i="1"/>
  <c r="L406" i="1" s="1"/>
  <c r="J371" i="1"/>
  <c r="L371" i="1" s="1"/>
  <c r="J360" i="1"/>
  <c r="L360" i="1" s="1"/>
  <c r="J378" i="1"/>
  <c r="L378" i="1" s="1"/>
  <c r="J361" i="1"/>
  <c r="L361" i="1" s="1"/>
  <c r="J43" i="1"/>
  <c r="L43" i="1" s="1"/>
  <c r="J301" i="1"/>
  <c r="L301" i="1" s="1"/>
  <c r="J100" i="1"/>
  <c r="L100" i="1" s="1"/>
  <c r="J46" i="1"/>
  <c r="L46" i="1" s="1"/>
  <c r="J218" i="1"/>
  <c r="L218" i="1" s="1"/>
  <c r="J41" i="1"/>
  <c r="L41" i="1" s="1"/>
  <c r="J30" i="1"/>
  <c r="L30" i="1" s="1"/>
  <c r="J219" i="1"/>
  <c r="L219" i="1" s="1"/>
  <c r="J72" i="1"/>
  <c r="L72" i="1" s="1"/>
  <c r="J8" i="1"/>
  <c r="L8" i="1" s="1"/>
  <c r="J10" i="1"/>
  <c r="L10" i="1" s="1"/>
  <c r="J95" i="1"/>
  <c r="L95" i="1" s="1"/>
  <c r="J84" i="1"/>
  <c r="L84" i="1" s="1"/>
  <c r="J353" i="1"/>
  <c r="L353" i="1" s="1"/>
  <c r="J102" i="1"/>
  <c r="L102" i="1" s="1"/>
  <c r="J79" i="1"/>
  <c r="L79" i="1" s="1"/>
  <c r="J19" i="1"/>
  <c r="L19" i="1" s="1"/>
  <c r="J31" i="1"/>
  <c r="L31" i="1" s="1"/>
  <c r="J37" i="1"/>
  <c r="L37" i="1" s="1"/>
  <c r="J498" i="1"/>
  <c r="L498" i="1" s="1"/>
  <c r="J560" i="1"/>
  <c r="L560" i="1" s="1"/>
  <c r="J605" i="1"/>
  <c r="L605" i="1" s="1"/>
  <c r="J497" i="1"/>
  <c r="L497" i="1" s="1"/>
  <c r="J384" i="1"/>
  <c r="L384" i="1" s="1"/>
  <c r="J484" i="1"/>
  <c r="L484" i="1" s="1"/>
  <c r="J535" i="1"/>
  <c r="L535" i="1" s="1"/>
  <c r="J528" i="1"/>
  <c r="L528" i="1" s="1"/>
  <c r="J569" i="1"/>
  <c r="L569" i="1" s="1"/>
  <c r="J178" i="1"/>
  <c r="L178" i="1" s="1"/>
  <c r="J443" i="1"/>
  <c r="L443" i="1" s="1"/>
  <c r="J545" i="1"/>
  <c r="L545" i="1" s="1"/>
  <c r="J543" i="1"/>
  <c r="L543" i="1" s="1"/>
  <c r="J521" i="1"/>
  <c r="L521" i="1" s="1"/>
  <c r="J494" i="1"/>
  <c r="L494" i="1" s="1"/>
  <c r="J200" i="1"/>
  <c r="L200" i="1" s="1"/>
  <c r="J347" i="1"/>
  <c r="L347" i="1" s="1"/>
  <c r="J194" i="1"/>
  <c r="L194" i="1" s="1"/>
  <c r="J464" i="1"/>
  <c r="L464" i="1" s="1"/>
  <c r="J97" i="1"/>
  <c r="L97" i="1" s="1"/>
  <c r="J250" i="1"/>
  <c r="L250" i="1" s="1"/>
  <c r="J312" i="1"/>
  <c r="L312" i="1" s="1"/>
  <c r="J338" i="1"/>
  <c r="L338" i="1" s="1"/>
  <c r="J472" i="1"/>
  <c r="L472" i="1" s="1"/>
  <c r="J433" i="1"/>
  <c r="L433" i="1" s="1"/>
  <c r="J42" i="1"/>
  <c r="L42" i="1" s="1"/>
  <c r="J220" i="1"/>
  <c r="L220" i="1" s="1"/>
  <c r="J142" i="1"/>
  <c r="L142" i="1" s="1"/>
  <c r="J88" i="1"/>
  <c r="L88" i="1" s="1"/>
  <c r="J130" i="1"/>
  <c r="L130" i="1" s="1"/>
  <c r="J203" i="1"/>
  <c r="L203" i="1" s="1"/>
  <c r="J114" i="1"/>
  <c r="L114" i="1" s="1"/>
  <c r="J74" i="1"/>
  <c r="L74" i="1" s="1"/>
  <c r="J229" i="1"/>
  <c r="L229" i="1" s="1"/>
  <c r="J9" i="1"/>
  <c r="L9" i="1" s="1"/>
  <c r="J81" i="1"/>
  <c r="L81" i="1" s="1"/>
  <c r="J4" i="1"/>
  <c r="L4" i="1" s="1"/>
  <c r="J544" i="1"/>
  <c r="L544" i="1" s="1"/>
  <c r="J592" i="1"/>
  <c r="L592" i="1" s="1"/>
  <c r="J379" i="1"/>
  <c r="L379" i="1" s="1"/>
  <c r="J621" i="1"/>
  <c r="L621" i="1" s="1"/>
  <c r="J590" i="1"/>
  <c r="L590" i="1" s="1"/>
  <c r="J566" i="1"/>
  <c r="L566" i="1" s="1"/>
  <c r="J534" i="1"/>
  <c r="L534" i="1" s="1"/>
  <c r="J576" i="1"/>
  <c r="L576" i="1" s="1"/>
  <c r="J304" i="1"/>
  <c r="L304" i="1" s="1"/>
  <c r="J520" i="1"/>
  <c r="L520" i="1" s="1"/>
  <c r="J453" i="1"/>
  <c r="L453" i="1" s="1"/>
  <c r="J140" i="1"/>
  <c r="L140" i="1" s="1"/>
  <c r="J182" i="1"/>
  <c r="L182" i="1" s="1"/>
  <c r="J172" i="1"/>
  <c r="L172" i="1" s="1"/>
  <c r="J454" i="1"/>
  <c r="L454" i="1" s="1"/>
  <c r="J232" i="1"/>
  <c r="L232" i="1" s="1"/>
  <c r="J339" i="1"/>
  <c r="L339" i="1" s="1"/>
  <c r="J405" i="1"/>
  <c r="L405" i="1" s="1"/>
  <c r="J143" i="1"/>
  <c r="L143" i="1" s="1"/>
  <c r="J292" i="1"/>
  <c r="L292" i="1" s="1"/>
  <c r="J96" i="1"/>
  <c r="L96" i="1" s="1"/>
  <c r="J281" i="1"/>
  <c r="L281" i="1" s="1"/>
  <c r="J189" i="1"/>
  <c r="L189" i="1" s="1"/>
  <c r="J419" i="1"/>
  <c r="L419" i="1" s="1"/>
  <c r="J93" i="1"/>
  <c r="L93" i="1" s="1"/>
  <c r="J256" i="1"/>
  <c r="L256" i="1" s="1"/>
  <c r="J103" i="1"/>
  <c r="L103" i="1" s="1"/>
  <c r="J236" i="1"/>
  <c r="L236" i="1" s="1"/>
  <c r="J191" i="1"/>
  <c r="L191" i="1" s="1"/>
  <c r="J242" i="1"/>
  <c r="L242" i="1" s="1"/>
  <c r="J94" i="1"/>
  <c r="L94" i="1" s="1"/>
  <c r="J126" i="1"/>
  <c r="L126" i="1" s="1"/>
  <c r="J125" i="1"/>
  <c r="L125" i="1" s="1"/>
  <c r="J17" i="1"/>
  <c r="L17" i="1" s="1"/>
  <c r="J5" i="1"/>
  <c r="L5" i="1" s="1"/>
  <c r="J35" i="1"/>
  <c r="L35" i="1" s="1"/>
  <c r="J381" i="1"/>
  <c r="L381" i="1" s="1"/>
  <c r="J181" i="1"/>
  <c r="L181" i="1" s="1"/>
  <c r="J266" i="1"/>
  <c r="L266" i="1" s="1"/>
  <c r="J173" i="1"/>
  <c r="L173" i="1" s="1"/>
  <c r="J424" i="1"/>
  <c r="L424" i="1" s="1"/>
  <c r="J166" i="1"/>
  <c r="L166" i="1" s="1"/>
  <c r="J411" i="1"/>
  <c r="L411" i="1" s="1"/>
  <c r="J478" i="1"/>
  <c r="L478" i="1" s="1"/>
  <c r="J264" i="1"/>
  <c r="L264" i="1" s="1"/>
  <c r="J407" i="1"/>
  <c r="L407" i="1" s="1"/>
  <c r="J297" i="1"/>
  <c r="L297" i="1" s="1"/>
  <c r="J120" i="1"/>
  <c r="L120" i="1" s="1"/>
  <c r="J422" i="1"/>
  <c r="L422" i="1" s="1"/>
  <c r="J91" i="1"/>
  <c r="L91" i="1" s="1"/>
  <c r="J307" i="1"/>
  <c r="L307" i="1" s="1"/>
  <c r="J209" i="1"/>
  <c r="L209" i="1" s="1"/>
  <c r="J225" i="1"/>
  <c r="L225" i="1" s="1"/>
  <c r="J230" i="1"/>
  <c r="L230" i="1" s="1"/>
  <c r="J386" i="1"/>
  <c r="L386" i="1" s="1"/>
  <c r="J106" i="1"/>
  <c r="L106" i="1" s="1"/>
  <c r="J410" i="1"/>
  <c r="L410" i="1" s="1"/>
  <c r="J370" i="1"/>
  <c r="L370" i="1" s="1"/>
  <c r="J306" i="1"/>
  <c r="L306" i="1" s="1"/>
  <c r="J25" i="1"/>
  <c r="L25" i="1" s="1"/>
  <c r="J64" i="1"/>
  <c r="L64" i="1" s="1"/>
  <c r="J59" i="1"/>
  <c r="L59" i="1" s="1"/>
  <c r="J44" i="1"/>
  <c r="L44" i="1" s="1"/>
  <c r="J12" i="1"/>
  <c r="L12" i="1" s="1"/>
  <c r="J409" i="1"/>
  <c r="L409" i="1" s="1"/>
  <c r="J355" i="1"/>
  <c r="L355" i="1" s="1"/>
  <c r="J557" i="1"/>
  <c r="L557" i="1" s="1"/>
  <c r="J276" i="1"/>
  <c r="L276" i="1" s="1"/>
  <c r="J418" i="1"/>
  <c r="L418" i="1" s="1"/>
  <c r="J434" i="1"/>
  <c r="L434" i="1" s="1"/>
  <c r="J500" i="1"/>
  <c r="L500" i="1" s="1"/>
  <c r="J337" i="1"/>
  <c r="L337" i="1" s="1"/>
  <c r="J515" i="1"/>
  <c r="L515" i="1" s="1"/>
  <c r="J342" i="1"/>
  <c r="L342" i="1" s="1"/>
  <c r="J507" i="1"/>
  <c r="L507" i="1" s="1"/>
  <c r="J285" i="1"/>
  <c r="L285" i="1" s="1"/>
  <c r="J224" i="1"/>
  <c r="L224" i="1" s="1"/>
  <c r="J288" i="1"/>
  <c r="L288" i="1" s="1"/>
  <c r="J501" i="1"/>
  <c r="L501" i="1" s="1"/>
  <c r="J113" i="1"/>
  <c r="L113" i="1" s="1"/>
  <c r="J383" i="1"/>
  <c r="L383" i="1" s="1"/>
  <c r="J101" i="1"/>
  <c r="L101" i="1" s="1"/>
  <c r="J291" i="1"/>
  <c r="L291" i="1" s="1"/>
  <c r="J157" i="1"/>
  <c r="L157" i="1" s="1"/>
  <c r="J341" i="1"/>
  <c r="L341" i="1" s="1"/>
  <c r="J234" i="1"/>
  <c r="L234" i="1" s="1"/>
  <c r="J295" i="1"/>
  <c r="L295" i="1" s="1"/>
  <c r="J365" i="1"/>
  <c r="L365" i="1" s="1"/>
  <c r="J214" i="1"/>
  <c r="L214" i="1" s="1"/>
  <c r="J160" i="1"/>
  <c r="L160" i="1" s="1"/>
  <c r="J33" i="1"/>
  <c r="L33" i="1" s="1"/>
  <c r="J336" i="1"/>
  <c r="L336" i="1" s="1"/>
  <c r="J251" i="1"/>
  <c r="L251" i="1" s="1"/>
  <c r="J89" i="1"/>
  <c r="L89" i="1" s="1"/>
  <c r="J39" i="1"/>
  <c r="L39" i="1" s="1"/>
  <c r="J29" i="1"/>
  <c r="L29" i="1" s="1"/>
  <c r="E123" i="39"/>
  <c r="D8" i="38"/>
  <c r="D14" i="38" s="1"/>
  <c r="C21" i="38" s="1"/>
  <c r="G62" i="38"/>
  <c r="D30" i="13"/>
  <c r="F101" i="59"/>
  <c r="F107" i="59"/>
  <c r="F95" i="59"/>
  <c r="F100" i="59"/>
  <c r="F91" i="59"/>
  <c r="H35" i="59"/>
  <c r="F112" i="59"/>
  <c r="F104" i="59"/>
  <c r="F96" i="59"/>
  <c r="F88" i="59"/>
  <c r="E35" i="59"/>
  <c r="E39" i="59" s="1"/>
  <c r="F114" i="59"/>
  <c r="F106" i="59"/>
  <c r="F82" i="59"/>
  <c r="F113" i="59"/>
  <c r="I38" i="59"/>
  <c r="I39" i="59" s="1"/>
  <c r="F31" i="56"/>
  <c r="D76" i="39"/>
  <c r="D79" i="39" s="1"/>
  <c r="G53" i="39"/>
  <c r="G264" i="81"/>
  <c r="G286" i="81" s="1"/>
  <c r="G10" i="90"/>
  <c r="G12" i="90" s="1"/>
  <c r="F264" i="81"/>
  <c r="F286" i="81" s="1"/>
  <c r="F10" i="90"/>
  <c r="F12" i="90" s="1"/>
  <c r="C13" i="32"/>
  <c r="C32" i="32"/>
  <c r="C36" i="32" s="1"/>
  <c r="C39" i="32" s="1"/>
  <c r="F40" i="32"/>
  <c r="F42" i="32" s="1"/>
  <c r="H28" i="47"/>
  <c r="I28" i="47" s="1"/>
  <c r="J28" i="47" s="1"/>
  <c r="H38" i="59"/>
  <c r="F93" i="59"/>
  <c r="F85" i="59"/>
  <c r="L38" i="59"/>
  <c r="L39" i="59" s="1"/>
  <c r="F89" i="59"/>
  <c r="F111" i="59"/>
  <c r="F99" i="59"/>
  <c r="F97" i="59"/>
  <c r="J35" i="59"/>
  <c r="F94" i="59"/>
  <c r="F86" i="59"/>
  <c r="F103" i="59"/>
  <c r="F108" i="59"/>
  <c r="K35" i="59"/>
  <c r="K39" i="59" s="1"/>
  <c r="F105" i="59"/>
  <c r="F83" i="59"/>
  <c r="G94" i="13"/>
  <c r="G112" i="13"/>
  <c r="G38" i="59"/>
  <c r="G101" i="13"/>
  <c r="G93" i="13"/>
  <c r="G122" i="13"/>
  <c r="F98" i="59"/>
  <c r="J38" i="59"/>
  <c r="F35" i="59"/>
  <c r="F39" i="59" s="1"/>
  <c r="F87" i="59"/>
  <c r="F110" i="59"/>
  <c r="F84" i="59"/>
  <c r="F90" i="59"/>
  <c r="F109" i="59"/>
  <c r="G121" i="13"/>
  <c r="V14" i="13"/>
  <c r="G103" i="13"/>
  <c r="G85" i="13"/>
  <c r="G44" i="16"/>
  <c r="I44" i="16" s="1"/>
  <c r="C45" i="16" s="1"/>
  <c r="E23" i="16"/>
  <c r="N22" i="16"/>
  <c r="J22" i="16"/>
  <c r="J23" i="16" s="1"/>
  <c r="D45" i="16"/>
  <c r="O21" i="16"/>
  <c r="F81" i="59"/>
  <c r="E166" i="33"/>
  <c r="C107" i="33"/>
  <c r="C95" i="33"/>
  <c r="D54" i="39"/>
  <c r="E53" i="39" s="1"/>
  <c r="E54" i="39" s="1"/>
  <c r="D56" i="39" s="1"/>
  <c r="K12" i="69"/>
  <c r="J12" i="69"/>
  <c r="D14" i="69"/>
  <c r="H13" i="69"/>
  <c r="I13" i="69" s="1"/>
  <c r="E13" i="69"/>
  <c r="G21" i="16"/>
  <c r="I21" i="16"/>
  <c r="C22" i="16" s="1"/>
  <c r="G22" i="16" s="1"/>
  <c r="I22" i="16" s="1"/>
  <c r="C23" i="16" s="1"/>
  <c r="J40" i="2"/>
  <c r="H35" i="2"/>
  <c r="H36" i="2"/>
  <c r="H34" i="2"/>
  <c r="O23" i="2"/>
  <c r="D51" i="38"/>
  <c r="E13" i="38"/>
  <c r="E8" i="38" s="1"/>
  <c r="E14" i="38" s="1"/>
  <c r="I17" i="56"/>
  <c r="I16" i="56"/>
  <c r="C28" i="56"/>
  <c r="C31" i="56" s="1"/>
  <c r="E55" i="55"/>
  <c r="H63" i="55"/>
  <c r="H65" i="55" s="1"/>
  <c r="I63" i="55"/>
  <c r="I65" i="55" s="1"/>
  <c r="K63" i="55"/>
  <c r="K65" i="55" s="1"/>
  <c r="C21" i="55"/>
  <c r="C9" i="55"/>
  <c r="C8" i="55"/>
  <c r="H45" i="55"/>
  <c r="O63" i="55"/>
  <c r="O65" i="55" s="1"/>
  <c r="N63" i="55"/>
  <c r="N65" i="55" s="1"/>
  <c r="M63" i="55"/>
  <c r="M65" i="55" s="1"/>
  <c r="L63" i="55"/>
  <c r="L65" i="55" s="1"/>
  <c r="D53" i="55"/>
  <c r="J63" i="55"/>
  <c r="J65" i="55" s="1"/>
  <c r="C52" i="55"/>
  <c r="C46" i="55"/>
  <c r="J66" i="70"/>
  <c r="J70" i="70"/>
  <c r="I71" i="70"/>
  <c r="I68" i="70"/>
  <c r="K24" i="70"/>
  <c r="K28" i="70"/>
  <c r="J26" i="70"/>
  <c r="J29" i="70"/>
  <c r="L39" i="70"/>
  <c r="M34" i="70"/>
  <c r="K43" i="70"/>
  <c r="J41" i="70"/>
  <c r="J44" i="70"/>
  <c r="K4" i="70"/>
  <c r="J13" i="70"/>
  <c r="J14" i="70"/>
  <c r="K9" i="70"/>
  <c r="J11" i="70"/>
  <c r="J28" i="69"/>
  <c r="H28" i="69"/>
  <c r="D29" i="69"/>
  <c r="E29" i="69" s="1"/>
  <c r="C166" i="33"/>
  <c r="G227" i="33"/>
  <c r="K227" i="33"/>
  <c r="L8" i="33"/>
  <c r="L9" i="33" s="1"/>
  <c r="L13" i="33" s="1"/>
  <c r="D8" i="39" s="1"/>
  <c r="C64" i="47"/>
  <c r="D64" i="47" s="1"/>
  <c r="D211" i="33"/>
  <c r="C227" i="33"/>
  <c r="K166" i="33"/>
  <c r="G166" i="33"/>
  <c r="L163" i="33"/>
  <c r="L33" i="33"/>
  <c r="L228" i="33" s="1"/>
  <c r="L229" i="33" s="1"/>
  <c r="C163" i="33"/>
  <c r="J166" i="33"/>
  <c r="F24" i="47"/>
  <c r="D166" i="33"/>
  <c r="L234" i="33"/>
  <c r="F166" i="33"/>
  <c r="D192" i="33"/>
  <c r="E146" i="33"/>
  <c r="E148" i="33" s="1"/>
  <c r="G163" i="33"/>
  <c r="E265" i="33"/>
  <c r="E163" i="33"/>
  <c r="I166" i="33"/>
  <c r="H166" i="33"/>
  <c r="I228" i="33"/>
  <c r="I229" i="33" s="1"/>
  <c r="I267" i="33"/>
  <c r="I266" i="33"/>
  <c r="K266" i="33"/>
  <c r="K267" i="33"/>
  <c r="K228" i="33"/>
  <c r="C254" i="33"/>
  <c r="C256" i="33" s="1"/>
  <c r="C258" i="33" s="1"/>
  <c r="F267" i="33"/>
  <c r="F266" i="33"/>
  <c r="F228" i="33"/>
  <c r="F229" i="33" s="1"/>
  <c r="D265" i="33"/>
  <c r="D16" i="33"/>
  <c r="D9" i="33"/>
  <c r="D13" i="33" s="1"/>
  <c r="D17" i="33" s="1"/>
  <c r="H8" i="33"/>
  <c r="C192" i="33"/>
  <c r="F163" i="33"/>
  <c r="L165" i="33"/>
  <c r="L166" i="33" s="1"/>
  <c r="D227" i="33"/>
  <c r="L41" i="33"/>
  <c r="L48" i="33" s="1"/>
  <c r="L53" i="33" s="1"/>
  <c r="N315" i="33"/>
  <c r="K146" i="33"/>
  <c r="K148" i="33" s="1"/>
  <c r="I163" i="33"/>
  <c r="I8" i="33"/>
  <c r="I265" i="33" s="1"/>
  <c r="L81" i="33"/>
  <c r="J163" i="33"/>
  <c r="H163" i="33"/>
  <c r="K9" i="33"/>
  <c r="K13" i="33" s="1"/>
  <c r="D163" i="33"/>
  <c r="K163" i="33"/>
  <c r="G228" i="33"/>
  <c r="G267" i="33"/>
  <c r="G266" i="33"/>
  <c r="C9" i="33"/>
  <c r="C13" i="33" s="1"/>
  <c r="C16" i="33"/>
  <c r="C265" i="33"/>
  <c r="H267" i="33"/>
  <c r="H228" i="33"/>
  <c r="H229" i="33" s="1"/>
  <c r="H266" i="33"/>
  <c r="F9" i="33"/>
  <c r="F13" i="33" s="1"/>
  <c r="F16" i="33"/>
  <c r="F146" i="33"/>
  <c r="F148" i="33" s="1"/>
  <c r="F265" i="33"/>
  <c r="J266" i="33"/>
  <c r="J228" i="33"/>
  <c r="J229" i="33" s="1"/>
  <c r="J267" i="33"/>
  <c r="E228" i="33"/>
  <c r="E229" i="33" s="1"/>
  <c r="E266" i="33"/>
  <c r="E267" i="33"/>
  <c r="G16" i="33"/>
  <c r="G146" i="33"/>
  <c r="G148" i="33" s="1"/>
  <c r="G9" i="33"/>
  <c r="G13" i="33" s="1"/>
  <c r="G265" i="33"/>
  <c r="D228" i="33"/>
  <c r="D266" i="33"/>
  <c r="D267" i="33"/>
  <c r="D310" i="33"/>
  <c r="D309" i="33"/>
  <c r="C266" i="33"/>
  <c r="K16" i="33"/>
  <c r="C217" i="33"/>
  <c r="H10" i="47"/>
  <c r="D83" i="47"/>
  <c r="E9" i="33"/>
  <c r="E13" i="33" s="1"/>
  <c r="J9" i="33"/>
  <c r="J13" i="33" s="1"/>
  <c r="C248" i="33"/>
  <c r="C250" i="33" s="1"/>
  <c r="C252" i="33" s="1"/>
  <c r="J265" i="33"/>
  <c r="C228" i="33"/>
  <c r="D146" i="33"/>
  <c r="D148" i="33" s="1"/>
  <c r="J146" i="33"/>
  <c r="J148" i="33" s="1"/>
  <c r="C39" i="47"/>
  <c r="C48" i="47"/>
  <c r="D48" i="47" s="1"/>
  <c r="C49" i="47"/>
  <c r="D49" i="47" s="1"/>
  <c r="F25" i="47"/>
  <c r="G25" i="47"/>
  <c r="E25" i="47"/>
  <c r="C45" i="47"/>
  <c r="F33" i="31"/>
  <c r="L23" i="31" s="1"/>
  <c r="T42" i="13"/>
  <c r="L42" i="13"/>
  <c r="D42" i="13"/>
  <c r="V15" i="13"/>
  <c r="S42" i="13"/>
  <c r="R42" i="13"/>
  <c r="Q42" i="13"/>
  <c r="D38" i="59"/>
  <c r="G42" i="13"/>
  <c r="P42" i="13"/>
  <c r="K42" i="13"/>
  <c r="M42" i="13"/>
  <c r="D35" i="59"/>
  <c r="G104" i="13"/>
  <c r="G60" i="13"/>
  <c r="G96" i="13"/>
  <c r="C51" i="13"/>
  <c r="G95" i="13"/>
  <c r="G138" i="13"/>
  <c r="G87" i="13"/>
  <c r="G130" i="13"/>
  <c r="G86" i="13"/>
  <c r="G78" i="13"/>
  <c r="G137" i="13"/>
  <c r="G129" i="13"/>
  <c r="K30" i="13"/>
  <c r="N42" i="13"/>
  <c r="H42" i="13"/>
  <c r="F42" i="13"/>
  <c r="V5" i="13"/>
  <c r="I42" i="13"/>
  <c r="V10" i="13"/>
  <c r="V9" i="13"/>
  <c r="O42" i="13"/>
  <c r="U42" i="13"/>
  <c r="V6" i="13"/>
  <c r="E42" i="13"/>
  <c r="J42" i="13"/>
  <c r="V7" i="13"/>
  <c r="V8" i="13"/>
  <c r="G135" i="13"/>
  <c r="G133" i="13"/>
  <c r="G75" i="13"/>
  <c r="G127" i="13"/>
  <c r="G125" i="13"/>
  <c r="G67" i="13"/>
  <c r="G128" i="13"/>
  <c r="G119" i="13"/>
  <c r="G110" i="13"/>
  <c r="G117" i="13"/>
  <c r="G76" i="13"/>
  <c r="G59" i="13"/>
  <c r="G144" i="13"/>
  <c r="G126" i="13"/>
  <c r="G92" i="13"/>
  <c r="G136" i="13"/>
  <c r="G118" i="13"/>
  <c r="G84" i="13"/>
  <c r="G120" i="13"/>
  <c r="G111" i="13"/>
  <c r="G102" i="13"/>
  <c r="G109" i="13"/>
  <c r="G68" i="13"/>
  <c r="C50" i="13"/>
  <c r="G89" i="13"/>
  <c r="G64" i="13"/>
  <c r="G55" i="13"/>
  <c r="G140" i="13"/>
  <c r="G123" i="13"/>
  <c r="G90" i="13"/>
  <c r="G97" i="13"/>
  <c r="G72" i="13"/>
  <c r="G63" i="13"/>
  <c r="G61" i="13"/>
  <c r="G131" i="13"/>
  <c r="G98" i="13"/>
  <c r="G81" i="13"/>
  <c r="G56" i="13"/>
  <c r="G132" i="13"/>
  <c r="G115" i="13"/>
  <c r="G82" i="13"/>
  <c r="G106" i="13"/>
  <c r="G73" i="13"/>
  <c r="G124" i="13"/>
  <c r="G107" i="13"/>
  <c r="G74" i="13"/>
  <c r="G113" i="13"/>
  <c r="G79" i="13"/>
  <c r="G77" i="13"/>
  <c r="G114" i="13"/>
  <c r="G65" i="13"/>
  <c r="G116" i="13"/>
  <c r="G99" i="13"/>
  <c r="G66" i="13"/>
  <c r="G105" i="13"/>
  <c r="G80" i="13"/>
  <c r="G71" i="13"/>
  <c r="G62" i="13"/>
  <c r="G69" i="13"/>
  <c r="G139" i="13"/>
  <c r="G57" i="13"/>
  <c r="G142" i="13"/>
  <c r="G108" i="13"/>
  <c r="G91" i="13"/>
  <c r="G58" i="13"/>
  <c r="G88" i="13"/>
  <c r="G70" i="13"/>
  <c r="G145" i="13"/>
  <c r="G143" i="13"/>
  <c r="G134" i="13"/>
  <c r="G141" i="13"/>
  <c r="G100" i="13"/>
  <c r="G83" i="13"/>
  <c r="C49" i="13"/>
  <c r="K22" i="13"/>
  <c r="S30" i="13"/>
  <c r="O30" i="13"/>
  <c r="N30" i="13"/>
  <c r="C42" i="13"/>
  <c r="O22" i="13"/>
  <c r="G22" i="13"/>
  <c r="D22" i="13"/>
  <c r="S22" i="13"/>
  <c r="R22" i="13"/>
  <c r="J22" i="13"/>
  <c r="Q22" i="13"/>
  <c r="C22" i="13" s="1"/>
  <c r="I22" i="13"/>
  <c r="U22" i="13"/>
  <c r="F22" i="13"/>
  <c r="P22" i="13"/>
  <c r="E22" i="13"/>
  <c r="T22" i="13"/>
  <c r="H22" i="13"/>
  <c r="N22" i="13"/>
  <c r="H30" i="13"/>
  <c r="J30" i="13"/>
  <c r="Q30" i="13"/>
  <c r="L30" i="13"/>
  <c r="I30" i="13"/>
  <c r="M22" i="13"/>
  <c r="T30" i="13"/>
  <c r="C30" i="13" s="1"/>
  <c r="G30" i="13"/>
  <c r="R30" i="13"/>
  <c r="U30" i="13"/>
  <c r="L22" i="13"/>
  <c r="F30" i="13"/>
  <c r="M30" i="13"/>
  <c r="P30" i="13"/>
  <c r="E30" i="13"/>
  <c r="F34" i="31"/>
  <c r="L24" i="31" s="1"/>
  <c r="F35" i="31"/>
  <c r="L25" i="31" s="1"/>
  <c r="F39" i="31"/>
  <c r="L29" i="31" s="1"/>
  <c r="F38" i="31"/>
  <c r="L28" i="31" s="1"/>
  <c r="F37" i="31"/>
  <c r="L27" i="31" s="1"/>
  <c r="F36" i="31"/>
  <c r="L26" i="31" s="1"/>
  <c r="F16" i="30"/>
  <c r="F12" i="30"/>
  <c r="D105" i="39"/>
  <c r="E14" i="39"/>
  <c r="E16" i="39" s="1"/>
  <c r="F4" i="39"/>
  <c r="D107" i="39"/>
  <c r="N20" i="24"/>
  <c r="N21" i="24" s="1"/>
  <c r="G20" i="24" s="1"/>
  <c r="D52" i="24" s="1"/>
  <c r="G52" i="24" s="1"/>
  <c r="M20" i="24"/>
  <c r="M21" i="24" s="1"/>
  <c r="F20" i="24" s="1"/>
  <c r="D51" i="24" s="1"/>
  <c r="G51" i="24" s="1"/>
  <c r="K20" i="24"/>
  <c r="K21" i="24" s="1"/>
  <c r="L20" i="24"/>
  <c r="D50" i="24" s="1"/>
  <c r="G50" i="24" s="1"/>
  <c r="D53" i="24"/>
  <c r="G53" i="24" s="1"/>
  <c r="D99" i="27"/>
  <c r="D199" i="27"/>
  <c r="E15" i="27"/>
  <c r="C16" i="27" s="1"/>
  <c r="E16" i="27" s="1"/>
  <c r="C17" i="27" s="1"/>
  <c r="E17" i="27" s="1"/>
  <c r="C18" i="27" s="1"/>
  <c r="E18" i="27" s="1"/>
  <c r="C19" i="27" s="1"/>
  <c r="E19" i="27" s="1"/>
  <c r="C20" i="27" s="1"/>
  <c r="E20" i="27" s="1"/>
  <c r="C21" i="27" s="1"/>
  <c r="E21" i="27" s="1"/>
  <c r="C22" i="27" s="1"/>
  <c r="E22" i="27" s="1"/>
  <c r="C23" i="27" s="1"/>
  <c r="E23" i="27" s="1"/>
  <c r="C24" i="27" s="1"/>
  <c r="E24" i="27" s="1"/>
  <c r="C25" i="27" s="1"/>
  <c r="E25" i="27" s="1"/>
  <c r="C26" i="27" s="1"/>
  <c r="E26" i="27" s="1"/>
  <c r="C27" i="27" s="1"/>
  <c r="E27" i="27" s="1"/>
  <c r="C28" i="27" s="1"/>
  <c r="E28" i="27" s="1"/>
  <c r="C29" i="27" s="1"/>
  <c r="E29" i="27" s="1"/>
  <c r="C30" i="27" s="1"/>
  <c r="E30" i="27" s="1"/>
  <c r="C31" i="27" s="1"/>
  <c r="E31" i="27" s="1"/>
  <c r="C32" i="27" s="1"/>
  <c r="E32" i="27" s="1"/>
  <c r="C33" i="27" s="1"/>
  <c r="E33" i="27" s="1"/>
  <c r="C34" i="27" s="1"/>
  <c r="E34" i="27" s="1"/>
  <c r="C35" i="27" s="1"/>
  <c r="E35" i="27" s="1"/>
  <c r="C36" i="27" s="1"/>
  <c r="E36" i="27" s="1"/>
  <c r="C37" i="27" s="1"/>
  <c r="E37" i="27" s="1"/>
  <c r="C38" i="27" s="1"/>
  <c r="E38" i="27" s="1"/>
  <c r="C39" i="27" s="1"/>
  <c r="E39" i="27" s="1"/>
  <c r="C40" i="27" s="1"/>
  <c r="E40" i="27" s="1"/>
  <c r="C41" i="27" s="1"/>
  <c r="E41" i="27" s="1"/>
  <c r="C42" i="27" s="1"/>
  <c r="E42" i="27" s="1"/>
  <c r="C43" i="27" s="1"/>
  <c r="E43" i="27" s="1"/>
  <c r="C131" i="27"/>
  <c r="C132" i="27" s="1"/>
  <c r="C133" i="27" s="1"/>
  <c r="C134" i="27" s="1"/>
  <c r="C135" i="27" s="1"/>
  <c r="C136" i="27" s="1"/>
  <c r="C137" i="27" s="1"/>
  <c r="F109" i="27"/>
  <c r="G109" i="27"/>
  <c r="D110" i="27" s="1"/>
  <c r="D169" i="27"/>
  <c r="D170" i="27" s="1"/>
  <c r="D171" i="27" s="1"/>
  <c r="D172" i="27" s="1"/>
  <c r="D173" i="27" s="1"/>
  <c r="D174" i="27" s="1"/>
  <c r="D175" i="27" s="1"/>
  <c r="F192" i="27"/>
  <c r="F193" i="27" s="1"/>
  <c r="F194" i="27" s="1"/>
  <c r="F195" i="27" s="1"/>
  <c r="D129" i="27"/>
  <c r="C19" i="43"/>
  <c r="C18" i="43"/>
  <c r="P1237" i="22" l="1"/>
  <c r="O1237" i="22"/>
  <c r="P1050" i="22"/>
  <c r="O1050" i="22"/>
  <c r="P953" i="22"/>
  <c r="O953" i="22"/>
  <c r="O1006" i="22"/>
  <c r="P1006" i="22"/>
  <c r="P905" i="22"/>
  <c r="O905" i="22"/>
  <c r="P847" i="22"/>
  <c r="O847" i="22"/>
  <c r="P443" i="22"/>
  <c r="O1104" i="22"/>
  <c r="P321" i="22"/>
  <c r="P247" i="22"/>
  <c r="O247" i="22"/>
  <c r="O528" i="22"/>
  <c r="P528" i="22"/>
  <c r="O952" i="22"/>
  <c r="P952" i="22"/>
  <c r="P629" i="22"/>
  <c r="O629" i="22"/>
  <c r="P516" i="22"/>
  <c r="O516" i="22"/>
  <c r="O621" i="22"/>
  <c r="P621" i="22"/>
  <c r="O990" i="22"/>
  <c r="O785" i="22"/>
  <c r="N809" i="22"/>
  <c r="O809" i="22"/>
  <c r="P796" i="22"/>
  <c r="O796" i="22"/>
  <c r="P253" i="22"/>
  <c r="O253" i="22"/>
  <c r="O1129" i="22"/>
  <c r="P1129" i="22"/>
  <c r="O66" i="22"/>
  <c r="P66" i="22"/>
  <c r="P48" i="22"/>
  <c r="O48" i="22"/>
  <c r="P869" i="22"/>
  <c r="O869" i="22"/>
  <c r="P103" i="22"/>
  <c r="O103" i="22"/>
  <c r="O769" i="22"/>
  <c r="P769" i="22"/>
  <c r="P1204" i="22"/>
  <c r="O1204" i="22"/>
  <c r="O890" i="22"/>
  <c r="P890" i="22"/>
  <c r="O857" i="22"/>
  <c r="P857" i="22"/>
  <c r="P337" i="22"/>
  <c r="O337" i="22"/>
  <c r="P816" i="22"/>
  <c r="O816" i="22"/>
  <c r="O1032" i="22"/>
  <c r="P1032" i="22"/>
  <c r="P1207" i="22"/>
  <c r="P1068" i="22"/>
  <c r="O458" i="22"/>
  <c r="O275" i="22"/>
  <c r="O1092" i="22"/>
  <c r="P199" i="22"/>
  <c r="O195" i="22"/>
  <c r="P925" i="22"/>
  <c r="P49" i="22"/>
  <c r="O49" i="22"/>
  <c r="P992" i="22"/>
  <c r="O992" i="22"/>
  <c r="P797" i="22"/>
  <c r="O797" i="22"/>
  <c r="O552" i="22"/>
  <c r="P552" i="22"/>
  <c r="O878" i="22"/>
  <c r="N214" i="22"/>
  <c r="O214" i="22"/>
  <c r="O343" i="22"/>
  <c r="P343" i="22"/>
  <c r="P307" i="22"/>
  <c r="O307" i="22"/>
  <c r="P884" i="22"/>
  <c r="O884" i="22"/>
  <c r="P526" i="22"/>
  <c r="O526" i="22"/>
  <c r="P442" i="22"/>
  <c r="O442" i="22"/>
  <c r="P296" i="22"/>
  <c r="O296" i="22"/>
  <c r="P376" i="22"/>
  <c r="O376" i="22"/>
  <c r="O218" i="22"/>
  <c r="P218" i="22"/>
  <c r="P622" i="22"/>
  <c r="O622" i="22"/>
  <c r="O59" i="22"/>
  <c r="P59" i="22"/>
  <c r="P698" i="22"/>
  <c r="O698" i="22"/>
  <c r="P473" i="22"/>
  <c r="O473" i="22"/>
  <c r="P760" i="22"/>
  <c r="O760" i="22"/>
  <c r="O911" i="22"/>
  <c r="P911" i="22"/>
  <c r="O827" i="22"/>
  <c r="P827" i="22"/>
  <c r="O844" i="22"/>
  <c r="O183" i="22"/>
  <c r="O515" i="22"/>
  <c r="O284" i="22"/>
  <c r="N503" i="22"/>
  <c r="O868" i="22"/>
  <c r="P1009" i="22"/>
  <c r="O843" i="22"/>
  <c r="O1000" i="22"/>
  <c r="P751" i="22"/>
  <c r="O751" i="22"/>
  <c r="O633" i="22"/>
  <c r="P633" i="22"/>
  <c r="P143" i="22"/>
  <c r="O143" i="22"/>
  <c r="P612" i="22"/>
  <c r="O612" i="22"/>
  <c r="O1190" i="22"/>
  <c r="P1190" i="22"/>
  <c r="O742" i="22"/>
  <c r="P742" i="22"/>
  <c r="O872" i="22"/>
  <c r="P872" i="22"/>
  <c r="P1235" i="22"/>
  <c r="O1235" i="22"/>
  <c r="O184" i="22"/>
  <c r="P184" i="22"/>
  <c r="O716" i="22"/>
  <c r="P716" i="22"/>
  <c r="P964" i="22"/>
  <c r="O964" i="22"/>
  <c r="P991" i="22"/>
  <c r="O991" i="22"/>
  <c r="O939" i="22"/>
  <c r="P939" i="22"/>
  <c r="O614" i="22"/>
  <c r="P877" i="22"/>
  <c r="O17" i="22"/>
  <c r="N318" i="22"/>
  <c r="O933" i="22"/>
  <c r="O386" i="22"/>
  <c r="O970" i="22"/>
  <c r="N970" i="22"/>
  <c r="N176" i="22"/>
  <c r="O176" i="22"/>
  <c r="N681" i="22"/>
  <c r="O681" i="22"/>
  <c r="O188" i="22"/>
  <c r="P188" i="22"/>
  <c r="O520" i="22"/>
  <c r="P520" i="22"/>
  <c r="P666" i="22"/>
  <c r="O666" i="22"/>
  <c r="P685" i="22"/>
  <c r="O685" i="22"/>
  <c r="N740" i="22"/>
  <c r="O740" i="22"/>
  <c r="O986" i="22"/>
  <c r="P986" i="22"/>
  <c r="P36" i="22"/>
  <c r="O36" i="22"/>
  <c r="P955" i="22"/>
  <c r="O955" i="22"/>
  <c r="O52" i="22"/>
  <c r="P52" i="22"/>
  <c r="P158" i="22"/>
  <c r="O158" i="22"/>
  <c r="P1141" i="22"/>
  <c r="O1141" i="22"/>
  <c r="O874" i="22"/>
  <c r="P874" i="22"/>
  <c r="N900" i="22"/>
  <c r="O900" i="22"/>
  <c r="N731" i="22"/>
  <c r="O731" i="22"/>
  <c r="O813" i="22"/>
  <c r="P813" i="22"/>
  <c r="P336" i="22"/>
  <c r="O336" i="22"/>
  <c r="P679" i="22"/>
  <c r="O679" i="22"/>
  <c r="P34" i="22"/>
  <c r="O34" i="22"/>
  <c r="O828" i="22"/>
  <c r="P828" i="22"/>
  <c r="P545" i="22"/>
  <c r="O545" i="22"/>
  <c r="P598" i="22"/>
  <c r="O598" i="22"/>
  <c r="O958" i="22"/>
  <c r="P958" i="22"/>
  <c r="P680" i="22"/>
  <c r="O680" i="22"/>
  <c r="O637" i="22"/>
  <c r="P637" i="22"/>
  <c r="P764" i="22"/>
  <c r="O764" i="22"/>
  <c r="O1013" i="22"/>
  <c r="O91" i="22"/>
  <c r="P91" i="22"/>
  <c r="P1098" i="22"/>
  <c r="O1098" i="22"/>
  <c r="O722" i="22"/>
  <c r="P722" i="22"/>
  <c r="O82" i="22"/>
  <c r="P82" i="22"/>
  <c r="P944" i="22"/>
  <c r="O944" i="22"/>
  <c r="P854" i="22"/>
  <c r="O854" i="22"/>
  <c r="O1003" i="22"/>
  <c r="P1003" i="22"/>
  <c r="P22" i="22"/>
  <c r="O22" i="22"/>
  <c r="O798" i="22"/>
  <c r="P798" i="22"/>
  <c r="O660" i="22"/>
  <c r="P660" i="22"/>
  <c r="N524" i="22"/>
  <c r="O524" i="22"/>
  <c r="O200" i="22"/>
  <c r="P200" i="22"/>
  <c r="P1048" i="22"/>
  <c r="O1048" i="22"/>
  <c r="P835" i="22"/>
  <c r="O1012" i="22"/>
  <c r="O1148" i="22"/>
  <c r="P1148" i="22"/>
  <c r="P558" i="22"/>
  <c r="O558" i="22"/>
  <c r="P322" i="22"/>
  <c r="O322" i="22"/>
  <c r="O1220" i="22"/>
  <c r="P1220" i="22"/>
  <c r="P865" i="22"/>
  <c r="O865" i="22"/>
  <c r="P216" i="22"/>
  <c r="O216" i="22"/>
  <c r="P87" i="22"/>
  <c r="O87" i="22"/>
  <c r="P721" i="22"/>
  <c r="O721" i="22"/>
  <c r="O250" i="22"/>
  <c r="P250" i="22"/>
  <c r="O392" i="22"/>
  <c r="P392" i="22"/>
  <c r="P434" i="22"/>
  <c r="O434" i="22"/>
  <c r="O68" i="22"/>
  <c r="P68" i="22"/>
  <c r="O361" i="22"/>
  <c r="P361" i="22"/>
  <c r="O1205" i="22"/>
  <c r="P1205" i="22"/>
  <c r="O308" i="22"/>
  <c r="P308" i="22"/>
  <c r="P916" i="22"/>
  <c r="O916" i="22"/>
  <c r="P127" i="22"/>
  <c r="O127" i="22"/>
  <c r="O413" i="22"/>
  <c r="P413" i="22"/>
  <c r="O902" i="22"/>
  <c r="P902" i="22"/>
  <c r="N851" i="22"/>
  <c r="O851" i="22"/>
  <c r="O770" i="22"/>
  <c r="N770" i="22"/>
  <c r="N325" i="22"/>
  <c r="O325" i="22"/>
  <c r="N608" i="22"/>
  <c r="O608" i="22"/>
  <c r="N584" i="22"/>
  <c r="O584" i="22"/>
  <c r="O644" i="22"/>
  <c r="N644" i="22"/>
  <c r="N978" i="22"/>
  <c r="O978" i="22"/>
  <c r="N272" i="22"/>
  <c r="O272" i="22"/>
  <c r="N136" i="22"/>
  <c r="O136" i="22"/>
  <c r="O371" i="22"/>
  <c r="N1074" i="22"/>
  <c r="O55" i="22"/>
  <c r="N527" i="22"/>
  <c r="O527" i="22"/>
  <c r="N950" i="22"/>
  <c r="O950" i="22"/>
  <c r="N600" i="22"/>
  <c r="O600" i="22"/>
  <c r="O780" i="22"/>
  <c r="N780" i="22"/>
  <c r="N1158" i="22"/>
  <c r="O1158" i="22"/>
  <c r="O230" i="22"/>
  <c r="N230" i="22"/>
  <c r="O697" i="22"/>
  <c r="O414" i="22"/>
  <c r="O502" i="22"/>
  <c r="O232" i="22"/>
  <c r="P235" i="22"/>
  <c r="O235" i="22"/>
  <c r="P261" i="22"/>
  <c r="O261" i="22"/>
  <c r="P333" i="22"/>
  <c r="O333" i="22"/>
  <c r="P870" i="22"/>
  <c r="O870" i="22"/>
  <c r="O864" i="22"/>
  <c r="P864" i="22"/>
  <c r="O391" i="22"/>
  <c r="P391" i="22"/>
  <c r="P156" i="22"/>
  <c r="O156" i="22"/>
  <c r="P924" i="22"/>
  <c r="O924" i="22"/>
  <c r="P1143" i="22"/>
  <c r="O1143" i="22"/>
  <c r="P810" i="22"/>
  <c r="O810" i="22"/>
  <c r="O1080" i="22"/>
  <c r="P1080" i="22"/>
  <c r="O181" i="22"/>
  <c r="O1151" i="22"/>
  <c r="O1147" i="22"/>
  <c r="O920" i="22"/>
  <c r="P1069" i="22"/>
  <c r="O221" i="22"/>
  <c r="P221" i="22"/>
  <c r="O1189" i="22"/>
  <c r="P1189" i="22"/>
  <c r="O636" i="22"/>
  <c r="P636" i="22"/>
  <c r="P26" i="22"/>
  <c r="O26" i="22"/>
  <c r="P850" i="22"/>
  <c r="O850" i="22"/>
  <c r="O152" i="22"/>
  <c r="O1004" i="22"/>
  <c r="P110" i="22"/>
  <c r="O110" i="22"/>
  <c r="P1062" i="22"/>
  <c r="O1062" i="22"/>
  <c r="P957" i="22"/>
  <c r="O957" i="22"/>
  <c r="O1125" i="22"/>
  <c r="P1125" i="22"/>
  <c r="O440" i="22"/>
  <c r="P440" i="22"/>
  <c r="O663" i="22"/>
  <c r="P663" i="22"/>
  <c r="P538" i="22"/>
  <c r="O538" i="22"/>
  <c r="O758" i="22"/>
  <c r="P758" i="22"/>
  <c r="O593" i="22"/>
  <c r="P593" i="22"/>
  <c r="O217" i="22"/>
  <c r="P217" i="22"/>
  <c r="O883" i="22"/>
  <c r="P883" i="22"/>
  <c r="O523" i="22"/>
  <c r="P523" i="22"/>
  <c r="O5" i="22"/>
  <c r="P5" i="22"/>
  <c r="O420" i="22"/>
  <c r="P420" i="22"/>
  <c r="O535" i="22"/>
  <c r="P535" i="22"/>
  <c r="P1183" i="22"/>
  <c r="O1183" i="22"/>
  <c r="P1159" i="22"/>
  <c r="O1159" i="22"/>
  <c r="P424" i="22"/>
  <c r="O424" i="22"/>
  <c r="P1215" i="22"/>
  <c r="O1215" i="22"/>
  <c r="P167" i="22"/>
  <c r="P591" i="22"/>
  <c r="O783" i="22"/>
  <c r="O840" i="22"/>
  <c r="O915" i="22"/>
  <c r="P747" i="22"/>
  <c r="P1227" i="22"/>
  <c r="P294" i="22"/>
  <c r="O1149" i="22"/>
  <c r="N1149" i="22"/>
  <c r="N693" i="22"/>
  <c r="O693" i="22"/>
  <c r="O130" i="22"/>
  <c r="N1182" i="22"/>
  <c r="O1182" i="22"/>
  <c r="N1055" i="22"/>
  <c r="O1055" i="22"/>
  <c r="N203" i="22"/>
  <c r="O203" i="22"/>
  <c r="O252" i="22"/>
  <c r="O599" i="22"/>
  <c r="O570" i="22"/>
  <c r="N1131" i="22"/>
  <c r="O1131" i="22"/>
  <c r="N279" i="22"/>
  <c r="O279" i="22"/>
  <c r="N800" i="22"/>
  <c r="O800" i="22"/>
  <c r="N799" i="22"/>
  <c r="O799" i="22"/>
  <c r="O315" i="22"/>
  <c r="P315" i="22"/>
  <c r="N539" i="22"/>
  <c r="O539" i="22"/>
  <c r="O506" i="22"/>
  <c r="P506" i="22"/>
  <c r="P956" i="22"/>
  <c r="O956" i="22"/>
  <c r="P399" i="22"/>
  <c r="O399" i="22"/>
  <c r="O931" i="22"/>
  <c r="P931" i="22"/>
  <c r="P1193" i="22"/>
  <c r="O1193" i="22"/>
  <c r="O641" i="22"/>
  <c r="P641" i="22"/>
  <c r="O949" i="22"/>
  <c r="O708" i="22"/>
  <c r="O762" i="22"/>
  <c r="O1223" i="22"/>
  <c r="O736" i="22"/>
  <c r="O1039" i="22"/>
  <c r="O540" i="22"/>
  <c r="P196" i="22"/>
  <c r="P1105" i="22"/>
  <c r="O738" i="22"/>
  <c r="P738" i="22"/>
  <c r="P549" i="22"/>
  <c r="O549" i="22"/>
  <c r="O484" i="22"/>
  <c r="O1176" i="22"/>
  <c r="P1176" i="22"/>
  <c r="P243" i="22"/>
  <c r="O243" i="22"/>
  <c r="O406" i="22"/>
  <c r="P406" i="22"/>
  <c r="P1175" i="22"/>
  <c r="O1175" i="22"/>
  <c r="O254" i="22"/>
  <c r="O491" i="22"/>
  <c r="P491" i="22"/>
  <c r="O894" i="22"/>
  <c r="P894" i="22"/>
  <c r="P571" i="22"/>
  <c r="O571" i="22"/>
  <c r="O278" i="22"/>
  <c r="P331" i="22"/>
  <c r="O331" i="22"/>
  <c r="O1070" i="22"/>
  <c r="P1070" i="22"/>
  <c r="P696" i="22"/>
  <c r="P1233" i="22"/>
  <c r="O653" i="22"/>
  <c r="O7" i="22"/>
  <c r="P7" i="22"/>
  <c r="O1128" i="22"/>
  <c r="P1128" i="22"/>
  <c r="O1087" i="22"/>
  <c r="P1087" i="22"/>
  <c r="P536" i="22"/>
  <c r="O536" i="22"/>
  <c r="O1154" i="22"/>
  <c r="P1154" i="22"/>
  <c r="P565" i="22"/>
  <c r="O565" i="22"/>
  <c r="O33" i="22"/>
  <c r="P33" i="22"/>
  <c r="O489" i="22"/>
  <c r="P489" i="22"/>
  <c r="P940" i="22"/>
  <c r="O940" i="22"/>
  <c r="O602" i="22"/>
  <c r="O189" i="22"/>
  <c r="O1173" i="22"/>
  <c r="O347" i="22"/>
  <c r="O269" i="22"/>
  <c r="N269" i="22"/>
  <c r="O23" i="22"/>
  <c r="O80" i="22"/>
  <c r="P80" i="22"/>
  <c r="P374" i="22"/>
  <c r="O374" i="22"/>
  <c r="P589" i="22"/>
  <c r="O589" i="22"/>
  <c r="P73" i="22"/>
  <c r="O73" i="22"/>
  <c r="P901" i="22"/>
  <c r="O901" i="22"/>
  <c r="O122" i="22"/>
  <c r="P122" i="22"/>
  <c r="P1126" i="22"/>
  <c r="O1126" i="22"/>
  <c r="P541" i="22"/>
  <c r="O541" i="22"/>
  <c r="O700" i="22"/>
  <c r="P1238" i="22"/>
  <c r="O1238" i="22"/>
  <c r="O299" i="22"/>
  <c r="P299" i="22"/>
  <c r="O142" i="22"/>
  <c r="P142" i="22"/>
  <c r="P1165" i="22"/>
  <c r="O543" i="22"/>
  <c r="O1195" i="22"/>
  <c r="O805" i="22"/>
  <c r="P1142" i="22"/>
  <c r="O1142" i="22"/>
  <c r="O561" i="22"/>
  <c r="P833" i="22"/>
  <c r="O833" i="22"/>
  <c r="O932" i="22"/>
  <c r="P932" i="22"/>
  <c r="O1222" i="22"/>
  <c r="P1222" i="22"/>
  <c r="O1019" i="22"/>
  <c r="P1019" i="22"/>
  <c r="O345" i="22"/>
  <c r="P345" i="22"/>
  <c r="O1027" i="22"/>
  <c r="P1027" i="22"/>
  <c r="O104" i="22"/>
  <c r="P567" i="22"/>
  <c r="O567" i="22"/>
  <c r="O1034" i="22"/>
  <c r="P1034" i="22"/>
  <c r="O1197" i="22"/>
  <c r="N1197" i="22"/>
  <c r="P476" i="22"/>
  <c r="O476" i="22"/>
  <c r="P689" i="22"/>
  <c r="O689" i="22"/>
  <c r="O974" i="22"/>
  <c r="P974" i="22"/>
  <c r="P700" i="22"/>
  <c r="N650" i="22"/>
  <c r="O1083" i="22"/>
  <c r="O471" i="22"/>
  <c r="O945" i="22"/>
  <c r="O645" i="22"/>
  <c r="P1086" i="22"/>
  <c r="O1086" i="22"/>
  <c r="O501" i="22"/>
  <c r="O982" i="22"/>
  <c r="O54" i="22"/>
  <c r="N773" i="22"/>
  <c r="O773" i="22"/>
  <c r="P597" i="22"/>
  <c r="O597" i="22"/>
  <c r="P910" i="22"/>
  <c r="O910" i="22"/>
  <c r="O86" i="22"/>
  <c r="P86" i="22"/>
  <c r="P930" i="22"/>
  <c r="O930" i="22"/>
  <c r="O1115" i="22"/>
  <c r="P482" i="22"/>
  <c r="O482" i="22"/>
  <c r="P1107" i="22"/>
  <c r="O1107" i="22"/>
  <c r="P607" i="22"/>
  <c r="O607" i="22"/>
  <c r="O767" i="22"/>
  <c r="P767" i="22"/>
  <c r="O943" i="22"/>
  <c r="P274" i="22"/>
  <c r="O713" i="22"/>
  <c r="O1046" i="22"/>
  <c r="O675" i="22"/>
  <c r="O163" i="22"/>
  <c r="P1179" i="22"/>
  <c r="P772" i="22"/>
  <c r="O772" i="22"/>
  <c r="P943" i="22"/>
  <c r="O791" i="22"/>
  <c r="P791" i="22"/>
  <c r="O1075" i="22"/>
  <c r="O419" i="22"/>
  <c r="O175" i="22"/>
  <c r="P735" i="22"/>
  <c r="O735" i="22"/>
  <c r="O819" i="22"/>
  <c r="O888" i="22"/>
  <c r="O108" i="22"/>
  <c r="O997" i="22"/>
  <c r="O351" i="22"/>
  <c r="O623" i="22"/>
  <c r="P623" i="22"/>
  <c r="P180" i="22"/>
  <c r="O180" i="22"/>
  <c r="P354" i="22"/>
  <c r="O354" i="22"/>
  <c r="O496" i="22"/>
  <c r="O330" i="22"/>
  <c r="O837" i="22"/>
  <c r="O490" i="22"/>
  <c r="O557" i="22"/>
  <c r="O510" i="22"/>
  <c r="P1049" i="22"/>
  <c r="O1049" i="22"/>
  <c r="O431" i="22"/>
  <c r="O38" i="22"/>
  <c r="O57" i="22"/>
  <c r="O794" i="22"/>
  <c r="O159" i="22"/>
  <c r="P159" i="22"/>
  <c r="P1144" i="22"/>
  <c r="O1144" i="22"/>
  <c r="O961" i="22"/>
  <c r="P961" i="22"/>
  <c r="O1206" i="22"/>
  <c r="P807" i="22"/>
  <c r="O807" i="22"/>
  <c r="P236" i="22"/>
  <c r="O236" i="22"/>
  <c r="P583" i="22"/>
  <c r="O583" i="22"/>
  <c r="O187" i="22"/>
  <c r="P187" i="22"/>
  <c r="O684" i="22"/>
  <c r="P684" i="22"/>
  <c r="P551" i="22"/>
  <c r="O551" i="22"/>
  <c r="P821" i="22"/>
  <c r="O821" i="22"/>
  <c r="O228" i="22"/>
  <c r="P228" i="22"/>
  <c r="O255" i="22"/>
  <c r="P255" i="22"/>
  <c r="P1057" i="22"/>
  <c r="O1057" i="22"/>
  <c r="P859" i="22"/>
  <c r="O859" i="22"/>
  <c r="P959" i="22"/>
  <c r="O959" i="22"/>
  <c r="P182" i="22"/>
  <c r="O182" i="22"/>
  <c r="P643" i="22"/>
  <c r="O643" i="22"/>
  <c r="P999" i="22"/>
  <c r="O999" i="22"/>
  <c r="O358" i="22"/>
  <c r="P358" i="22"/>
  <c r="P1168" i="22"/>
  <c r="O1168" i="22"/>
  <c r="O81" i="22"/>
  <c r="P81" i="22"/>
  <c r="O455" i="22"/>
  <c r="P455" i="22"/>
  <c r="O619" i="22"/>
  <c r="P619" i="22"/>
  <c r="O1063" i="22"/>
  <c r="P1063" i="22"/>
  <c r="O323" i="22"/>
  <c r="P323" i="22"/>
  <c r="P314" i="22"/>
  <c r="O314" i="22"/>
  <c r="P133" i="22"/>
  <c r="O133" i="22"/>
  <c r="P744" i="22"/>
  <c r="O744" i="22"/>
  <c r="O295" i="22"/>
  <c r="P295" i="22"/>
  <c r="O560" i="22"/>
  <c r="P560" i="22"/>
  <c r="P1186" i="22"/>
  <c r="O1186" i="22"/>
  <c r="O921" i="22"/>
  <c r="P921" i="22"/>
  <c r="P634" i="22"/>
  <c r="O634" i="22"/>
  <c r="O494" i="22"/>
  <c r="P494" i="22"/>
  <c r="O220" i="22"/>
  <c r="P220" i="22"/>
  <c r="P778" i="22"/>
  <c r="O778" i="22"/>
  <c r="P387" i="22"/>
  <c r="O387" i="22"/>
  <c r="P177" i="22"/>
  <c r="O177" i="22"/>
  <c r="O1157" i="22"/>
  <c r="P1157" i="22"/>
  <c r="O169" i="22"/>
  <c r="N169" i="22"/>
  <c r="N210" i="22"/>
  <c r="O210" i="22"/>
  <c r="N1243" i="22"/>
  <c r="O1243" i="22"/>
  <c r="N370" i="22"/>
  <c r="O370" i="22"/>
  <c r="N1024" i="22"/>
  <c r="O1024" i="22"/>
  <c r="N394" i="22"/>
  <c r="O394" i="22"/>
  <c r="N1127" i="22"/>
  <c r="O1127" i="22"/>
  <c r="N688" i="22"/>
  <c r="O688" i="22"/>
  <c r="N926" i="22"/>
  <c r="O926" i="22"/>
  <c r="P1239" i="22"/>
  <c r="O1239" i="22"/>
  <c r="P1161" i="22"/>
  <c r="O1161" i="22"/>
  <c r="O936" i="22"/>
  <c r="P936" i="22"/>
  <c r="O29" i="22"/>
  <c r="P29" i="22"/>
  <c r="O453" i="22"/>
  <c r="P453" i="22"/>
  <c r="P367" i="22"/>
  <c r="O367" i="22"/>
  <c r="O1052" i="22"/>
  <c r="P1052" i="22"/>
  <c r="O746" i="22"/>
  <c r="P746" i="22"/>
  <c r="P968" i="22"/>
  <c r="O968" i="22"/>
  <c r="P79" i="22"/>
  <c r="O79" i="22"/>
  <c r="P806" i="22"/>
  <c r="O806" i="22"/>
  <c r="O388" i="22"/>
  <c r="P388" i="22"/>
  <c r="P1150" i="22"/>
  <c r="O1150" i="22"/>
  <c r="P823" i="22"/>
  <c r="O823" i="22"/>
  <c r="P14" i="22"/>
  <c r="O14" i="22"/>
  <c r="O863" i="22"/>
  <c r="P863" i="22"/>
  <c r="P70" i="22"/>
  <c r="O70" i="22"/>
  <c r="P1188" i="22"/>
  <c r="O1188" i="22"/>
  <c r="P335" i="22"/>
  <c r="O335" i="22"/>
  <c r="O922" i="22"/>
  <c r="P922" i="22"/>
  <c r="P397" i="22"/>
  <c r="O397" i="22"/>
  <c r="P192" i="22"/>
  <c r="O192" i="22"/>
  <c r="P1191" i="22"/>
  <c r="O1191" i="22"/>
  <c r="O946" i="22"/>
  <c r="P946" i="22"/>
  <c r="P170" i="22"/>
  <c r="O170" i="22"/>
  <c r="P456" i="22"/>
  <c r="O456" i="22"/>
  <c r="P204" i="22"/>
  <c r="O204" i="22"/>
  <c r="P1082" i="22"/>
  <c r="O1082" i="22"/>
  <c r="O825" i="22"/>
  <c r="P825" i="22"/>
  <c r="O514" i="22"/>
  <c r="P514" i="22"/>
  <c r="P390" i="22"/>
  <c r="O390" i="22"/>
  <c r="P853" i="22"/>
  <c r="O853" i="22"/>
  <c r="O521" i="22"/>
  <c r="P521" i="22"/>
  <c r="P432" i="22"/>
  <c r="O432" i="22"/>
  <c r="O948" i="22"/>
  <c r="P948" i="22"/>
  <c r="P309" i="22"/>
  <c r="O309" i="22"/>
  <c r="N568" i="22"/>
  <c r="O568" i="22"/>
  <c r="N27" i="22"/>
  <c r="O27" i="22"/>
  <c r="N415" i="22"/>
  <c r="O415" i="22"/>
  <c r="N1071" i="22"/>
  <c r="O1071" i="22"/>
  <c r="N292" i="22"/>
  <c r="O292" i="22"/>
  <c r="N1121" i="22"/>
  <c r="O1121" i="22"/>
  <c r="N895" i="22"/>
  <c r="O895" i="22"/>
  <c r="N818" i="22"/>
  <c r="O818" i="22"/>
  <c r="N642" i="22"/>
  <c r="O642" i="22"/>
  <c r="N403" i="22"/>
  <c r="O403" i="22"/>
  <c r="N39" i="22"/>
  <c r="O39" i="22"/>
  <c r="O63" i="22"/>
  <c r="N63" i="22"/>
  <c r="P789" i="22"/>
  <c r="N984" i="22"/>
  <c r="O984" i="22"/>
  <c r="N659" i="22"/>
  <c r="O659" i="22"/>
  <c r="P289" i="22"/>
  <c r="O289" i="22"/>
  <c r="O635" i="22"/>
  <c r="O973" i="22"/>
  <c r="P973" i="22"/>
  <c r="P448" i="22"/>
  <c r="O448" i="22"/>
  <c r="P750" i="22"/>
  <c r="O750" i="22"/>
  <c r="O153" i="22"/>
  <c r="P153" i="22"/>
  <c r="P191" i="22"/>
  <c r="O191" i="22"/>
  <c r="P464" i="22"/>
  <c r="O464" i="22"/>
  <c r="P754" i="22"/>
  <c r="O754" i="22"/>
  <c r="P792" i="22"/>
  <c r="O792" i="22"/>
  <c r="O606" i="22"/>
  <c r="P606" i="22"/>
  <c r="O867" i="22"/>
  <c r="P867" i="22"/>
  <c r="P860" i="22"/>
  <c r="O860" i="22"/>
  <c r="O433" i="22"/>
  <c r="P433" i="22"/>
  <c r="P101" i="22"/>
  <c r="O101" i="22"/>
  <c r="O20" i="22"/>
  <c r="P20" i="22"/>
  <c r="P719" i="22"/>
  <c r="O719" i="22"/>
  <c r="P141" i="22"/>
  <c r="O141" i="22"/>
  <c r="O1160" i="22"/>
  <c r="P1160" i="22"/>
  <c r="O808" i="22"/>
  <c r="P808" i="22"/>
  <c r="P215" i="22"/>
  <c r="O215" i="22"/>
  <c r="P291" i="22"/>
  <c r="O291" i="22"/>
  <c r="O72" i="22"/>
  <c r="P72" i="22"/>
  <c r="P355" i="22"/>
  <c r="O355" i="22"/>
  <c r="P1224" i="22"/>
  <c r="O1224" i="22"/>
  <c r="O42" i="22"/>
  <c r="P42" i="22"/>
  <c r="P1155" i="22"/>
  <c r="O1155" i="22"/>
  <c r="O879" i="22"/>
  <c r="P879" i="22"/>
  <c r="P678" i="22"/>
  <c r="O678" i="22"/>
  <c r="O803" i="22"/>
  <c r="P803" i="22"/>
  <c r="P648" i="22"/>
  <c r="O648" i="22"/>
  <c r="O410" i="22"/>
  <c r="P410" i="22"/>
  <c r="O166" i="22"/>
  <c r="P166" i="22"/>
  <c r="P1108" i="22"/>
  <c r="O1108" i="22"/>
  <c r="P1047" i="22"/>
  <c r="O1047" i="22"/>
  <c r="P782" i="22"/>
  <c r="O782" i="22"/>
  <c r="P179" i="22"/>
  <c r="O179" i="22"/>
  <c r="P1051" i="22"/>
  <c r="O1051" i="22"/>
  <c r="P656" i="22"/>
  <c r="O656" i="22"/>
  <c r="P1200" i="22"/>
  <c r="O1200" i="22"/>
  <c r="P4" i="22"/>
  <c r="O4" i="22"/>
  <c r="O618" i="22"/>
  <c r="N618" i="22"/>
  <c r="O320" i="22"/>
  <c r="N320" i="22"/>
  <c r="O283" i="22"/>
  <c r="N283" i="22"/>
  <c r="O994" i="22"/>
  <c r="O914" i="22"/>
  <c r="P99" i="22"/>
  <c r="O99" i="22"/>
  <c r="P705" i="22"/>
  <c r="O705" i="22"/>
  <c r="O438" i="22"/>
  <c r="P438" i="22"/>
  <c r="P1033" i="22"/>
  <c r="O1033" i="22"/>
  <c r="O393" i="22"/>
  <c r="P393" i="22"/>
  <c r="P732" i="22"/>
  <c r="O732" i="22"/>
  <c r="O116" i="22"/>
  <c r="P116" i="22"/>
  <c r="P273" i="22"/>
  <c r="O273" i="22"/>
  <c r="O529" i="22"/>
  <c r="P529" i="22"/>
  <c r="P665" i="22"/>
  <c r="O665" i="22"/>
  <c r="O95" i="22"/>
  <c r="P95" i="22"/>
  <c r="P980" i="22"/>
  <c r="O980" i="22"/>
  <c r="O848" i="22"/>
  <c r="P848" i="22"/>
  <c r="O615" i="22"/>
  <c r="P615" i="22"/>
  <c r="P224" i="22"/>
  <c r="O224" i="22"/>
  <c r="O1001" i="22"/>
  <c r="P1001" i="22"/>
  <c r="P1073" i="22"/>
  <c r="O1073" i="22"/>
  <c r="O668" i="22"/>
  <c r="P668" i="22"/>
  <c r="O62" i="22"/>
  <c r="P62" i="22"/>
  <c r="O691" i="22"/>
  <c r="P691" i="22"/>
  <c r="O1212" i="22"/>
  <c r="P1212" i="22"/>
  <c r="P645" i="22"/>
  <c r="O1081" i="22"/>
  <c r="P207" i="22"/>
  <c r="P249" i="22"/>
  <c r="O249" i="22"/>
  <c r="P398" i="22"/>
  <c r="O398" i="22"/>
  <c r="O1244" i="22"/>
  <c r="P1244" i="22"/>
  <c r="O676" i="22"/>
  <c r="P676" i="22"/>
  <c r="P174" i="22"/>
  <c r="O174" i="22"/>
  <c r="O19" i="22"/>
  <c r="P19" i="22"/>
  <c r="P124" i="22"/>
  <c r="O124" i="22"/>
  <c r="P1088" i="22"/>
  <c r="O1088" i="22"/>
  <c r="O544" i="22"/>
  <c r="P586" i="22"/>
  <c r="O586" i="22"/>
  <c r="O1230" i="22"/>
  <c r="P1230" i="22"/>
  <c r="P795" i="22"/>
  <c r="O795" i="22"/>
  <c r="O518" i="22"/>
  <c r="P518" i="22"/>
  <c r="P1194" i="22"/>
  <c r="O1194" i="22"/>
  <c r="O712" i="22"/>
  <c r="P712" i="22"/>
  <c r="O1240" i="22"/>
  <c r="P834" i="22"/>
  <c r="O834" i="22"/>
  <c r="P664" i="22"/>
  <c r="O664" i="22"/>
  <c r="P1241" i="22"/>
  <c r="O1241" i="22"/>
  <c r="O164" i="22"/>
  <c r="O186" i="22"/>
  <c r="P186" i="22"/>
  <c r="P1145" i="22"/>
  <c r="O1145" i="22"/>
  <c r="O462" i="22"/>
  <c r="O245" i="22"/>
  <c r="P631" i="22"/>
  <c r="P121" i="22"/>
  <c r="P804" i="22"/>
  <c r="P707" i="22"/>
  <c r="P206" i="22"/>
  <c r="O206" i="22"/>
  <c r="O774" i="22"/>
  <c r="P774" i="22"/>
  <c r="P408" i="22"/>
  <c r="O408" i="22"/>
  <c r="O437" i="22"/>
  <c r="P437" i="22"/>
  <c r="P553" i="22"/>
  <c r="O553" i="22"/>
  <c r="O756" i="22"/>
  <c r="P756" i="22"/>
  <c r="P466" i="22"/>
  <c r="O466" i="22"/>
  <c r="P185" i="22"/>
  <c r="O185" i="22"/>
  <c r="O730" i="22"/>
  <c r="P730" i="22"/>
  <c r="P499" i="22"/>
  <c r="O499" i="22"/>
  <c r="O263" i="22"/>
  <c r="P263" i="22"/>
  <c r="P671" i="22"/>
  <c r="O671" i="22"/>
  <c r="O115" i="22"/>
  <c r="P115" i="22"/>
  <c r="P892" i="22"/>
  <c r="O892" i="22"/>
  <c r="O69" i="22"/>
  <c r="P69" i="22"/>
  <c r="O219" i="22"/>
  <c r="P219" i="22"/>
  <c r="O898" i="22"/>
  <c r="P898" i="22"/>
  <c r="P1041" i="22"/>
  <c r="O1041" i="22"/>
  <c r="P1061" i="22"/>
  <c r="O1061" i="22"/>
  <c r="O711" i="22"/>
  <c r="N711" i="22"/>
  <c r="N1162" i="22"/>
  <c r="O1162" i="22"/>
  <c r="O555" i="22"/>
  <c r="N555" i="22"/>
  <c r="N658" i="22"/>
  <c r="O658" i="22"/>
  <c r="N372" i="22"/>
  <c r="O372" i="22"/>
  <c r="N402" i="22"/>
  <c r="O402" i="22"/>
  <c r="O1079" i="22"/>
  <c r="N1079" i="22"/>
  <c r="N880" i="22"/>
  <c r="O880" i="22"/>
  <c r="N1139" i="22"/>
  <c r="O1139" i="22"/>
  <c r="P382" i="22"/>
  <c r="P405" i="22"/>
  <c r="O626" i="22"/>
  <c r="P667" i="22"/>
  <c r="P544" i="22"/>
  <c r="O241" i="22"/>
  <c r="P375" i="22"/>
  <c r="O1116" i="22"/>
  <c r="O715" i="22"/>
  <c r="P715" i="22"/>
  <c r="P9" i="22"/>
  <c r="O9" i="22"/>
  <c r="O928" i="22"/>
  <c r="P928" i="22"/>
  <c r="P483" i="22"/>
  <c r="O483" i="22"/>
  <c r="O917" i="22"/>
  <c r="P917" i="22"/>
  <c r="O1089" i="22"/>
  <c r="P1089" i="22"/>
  <c r="O1111" i="22"/>
  <c r="P1111" i="22"/>
  <c r="O951" i="22"/>
  <c r="P951" i="22"/>
  <c r="P118" i="22"/>
  <c r="O118" i="22"/>
  <c r="O277" i="22"/>
  <c r="P277" i="22"/>
  <c r="O135" i="22"/>
  <c r="P135" i="22"/>
  <c r="P1031" i="22"/>
  <c r="O1031" i="22"/>
  <c r="P611" i="22"/>
  <c r="O611" i="22"/>
  <c r="O246" i="22"/>
  <c r="P246" i="22"/>
  <c r="P904" i="22"/>
  <c r="O904" i="22"/>
  <c r="P256" i="22"/>
  <c r="O256" i="22"/>
  <c r="P1007" i="22"/>
  <c r="O1007" i="22"/>
  <c r="O1060" i="22"/>
  <c r="P1060" i="22"/>
  <c r="O919" i="22"/>
  <c r="N919" i="22"/>
  <c r="N1064" i="22"/>
  <c r="O1064" i="22"/>
  <c r="O784" i="22"/>
  <c r="N784" i="22"/>
  <c r="N672" i="22"/>
  <c r="O672" i="22"/>
  <c r="O692" i="22"/>
  <c r="P1208" i="22"/>
  <c r="P511" i="22"/>
  <c r="P297" i="22"/>
  <c r="P995" i="22"/>
  <c r="O566" i="22"/>
  <c r="P1030" i="22"/>
  <c r="O385" i="22"/>
  <c r="O766" i="22"/>
  <c r="O1072" i="22"/>
  <c r="O962" i="22"/>
  <c r="P484" i="22"/>
  <c r="P989" i="22"/>
  <c r="O989" i="22"/>
  <c r="P965" i="22"/>
  <c r="O965" i="22"/>
  <c r="P757" i="22"/>
  <c r="O757" i="22"/>
  <c r="P312" i="22"/>
  <c r="O312" i="22"/>
  <c r="P749" i="22"/>
  <c r="O749" i="22"/>
  <c r="P873" i="22"/>
  <c r="O873" i="22"/>
  <c r="P1066" i="22"/>
  <c r="O1066" i="22"/>
  <c r="P138" i="22"/>
  <c r="O138" i="22"/>
  <c r="P201" i="22"/>
  <c r="O201" i="22"/>
  <c r="O831" i="22"/>
  <c r="P831" i="22"/>
  <c r="O268" i="22"/>
  <c r="N268" i="22"/>
  <c r="O411" i="22"/>
  <c r="N411" i="22"/>
  <c r="N1078" i="22"/>
  <c r="O1078" i="22"/>
  <c r="N227" i="22"/>
  <c r="O227" i="22"/>
  <c r="N171" i="22"/>
  <c r="O171" i="22"/>
  <c r="O603" i="22"/>
  <c r="N603" i="22"/>
  <c r="O132" i="22"/>
  <c r="N132" i="22"/>
  <c r="O1035" i="22"/>
  <c r="N1035" i="22"/>
  <c r="N401" i="22"/>
  <c r="O401" i="22"/>
  <c r="O426" i="22"/>
  <c r="O638" i="22"/>
  <c r="P257" i="22"/>
  <c r="O457" i="22"/>
  <c r="P360" i="22"/>
  <c r="O125" i="22"/>
  <c r="P826" i="22"/>
  <c r="P1210" i="22"/>
  <c r="P846" i="22"/>
  <c r="O416" i="22"/>
  <c r="P513" i="22"/>
  <c r="O993" i="22"/>
  <c r="P963" i="22"/>
  <c r="P1213" i="22"/>
  <c r="P445" i="22"/>
  <c r="O445" i="22"/>
  <c r="O76" i="22"/>
  <c r="P76" i="22"/>
  <c r="P1199" i="22"/>
  <c r="O1199" i="22"/>
  <c r="O1106" i="22"/>
  <c r="P1106" i="22"/>
  <c r="P1119" i="22"/>
  <c r="O1119" i="22"/>
  <c r="O981" i="22"/>
  <c r="O590" i="22"/>
  <c r="O306" i="22"/>
  <c r="O75" i="22"/>
  <c r="P75" i="22"/>
  <c r="O78" i="22"/>
  <c r="P78" i="22"/>
  <c r="O996" i="22"/>
  <c r="P996" i="22"/>
  <c r="O344" i="22"/>
  <c r="P344" i="22"/>
  <c r="O646" i="22"/>
  <c r="P646" i="22"/>
  <c r="P45" i="22"/>
  <c r="O45" i="22"/>
  <c r="O117" i="22"/>
  <c r="P117" i="22"/>
  <c r="O814" i="22"/>
  <c r="P1114" i="22"/>
  <c r="O348" i="22"/>
  <c r="P348" i="22"/>
  <c r="O363" i="22"/>
  <c r="P363" i="22"/>
  <c r="O123" i="22"/>
  <c r="P123" i="22"/>
  <c r="O522" i="22"/>
  <c r="P522" i="22"/>
  <c r="P534" i="22"/>
  <c r="O534" i="22"/>
  <c r="O327" i="22"/>
  <c r="P327" i="22"/>
  <c r="O1169" i="22"/>
  <c r="P987" i="22"/>
  <c r="P329" i="22"/>
  <c r="O304" i="22"/>
  <c r="N304" i="22"/>
  <c r="P477" i="22"/>
  <c r="O683" i="22"/>
  <c r="O285" i="22"/>
  <c r="O1178" i="22"/>
  <c r="O609" i="22"/>
  <c r="O960" i="22"/>
  <c r="O328" i="22"/>
  <c r="P620" i="22"/>
  <c r="O407" i="22"/>
  <c r="P1140" i="22"/>
  <c r="O421" i="22"/>
  <c r="P994" i="22"/>
  <c r="P146" i="22"/>
  <c r="N1187" i="22"/>
  <c r="O1187" i="22"/>
  <c r="N362" i="22"/>
  <c r="O362" i="22"/>
  <c r="N61" i="22"/>
  <c r="O61" i="22"/>
  <c r="N882" i="22"/>
  <c r="O882" i="22"/>
  <c r="O812" i="22"/>
  <c r="O701" i="22"/>
  <c r="O441" i="22"/>
  <c r="O550" i="22"/>
  <c r="O114" i="22"/>
  <c r="P114" i="22"/>
  <c r="P28" i="22"/>
  <c r="O28" i="22"/>
  <c r="P655" i="22"/>
  <c r="O655" i="22"/>
  <c r="P160" i="22"/>
  <c r="O160" i="22"/>
  <c r="O497" i="22"/>
  <c r="P497" i="22"/>
  <c r="O451" i="22"/>
  <c r="P451" i="22"/>
  <c r="P908" i="22"/>
  <c r="O908" i="22"/>
  <c r="O149" i="22"/>
  <c r="P149" i="22"/>
  <c r="P460" i="22"/>
  <c r="O460" i="22"/>
  <c r="P237" i="22"/>
  <c r="O237" i="22"/>
  <c r="P582" i="22"/>
  <c r="P105" i="22"/>
  <c r="O105" i="22"/>
  <c r="P927" i="22"/>
  <c r="O927" i="22"/>
  <c r="O899" i="22"/>
  <c r="P899" i="22"/>
  <c r="P942" i="22"/>
  <c r="O942" i="22"/>
  <c r="O1156" i="22"/>
  <c r="P1156" i="22"/>
  <c r="P852" i="22"/>
  <c r="P577" i="22"/>
  <c r="P1216" i="22"/>
  <c r="O1216" i="22"/>
  <c r="P687" i="22"/>
  <c r="O687" i="22"/>
  <c r="P815" i="22"/>
  <c r="O815" i="22"/>
  <c r="P1219" i="22"/>
  <c r="N839" i="22"/>
  <c r="O839" i="22"/>
  <c r="N1196" i="22"/>
  <c r="O1196" i="22"/>
  <c r="P450" i="22"/>
  <c r="P836" i="22"/>
  <c r="P504" i="22"/>
  <c r="P587" i="22"/>
  <c r="O1011" i="22"/>
  <c r="O293" i="22"/>
  <c r="P258" i="22"/>
  <c r="O423" i="22"/>
  <c r="P487" i="22"/>
  <c r="O969" i="22"/>
  <c r="N969" i="22"/>
  <c r="N741" i="22"/>
  <c r="O741" i="22"/>
  <c r="N58" i="22"/>
  <c r="O58" i="22"/>
  <c r="P240" i="22"/>
  <c r="O886" i="22"/>
  <c r="P51" i="22"/>
  <c r="O51" i="22"/>
  <c r="P1065" i="22"/>
  <c r="O1065" i="22"/>
  <c r="O573" i="22"/>
  <c r="P1123" i="22"/>
  <c r="O1123" i="22"/>
  <c r="P1170" i="22"/>
  <c r="O1170" i="22"/>
  <c r="O669" i="22"/>
  <c r="O871" i="22"/>
  <c r="P871" i="22"/>
  <c r="P793" i="22"/>
  <c r="O793" i="22"/>
  <c r="P1174" i="22"/>
  <c r="O1174" i="22"/>
  <c r="O1231" i="22"/>
  <c r="P1231" i="22"/>
  <c r="O1152" i="22"/>
  <c r="P1152" i="22"/>
  <c r="P113" i="22"/>
  <c r="O1229" i="22"/>
  <c r="P1026" i="22"/>
  <c r="O467" i="22"/>
  <c r="P467" i="22"/>
  <c r="O428" i="22"/>
  <c r="P428" i="22"/>
  <c r="P359" i="22"/>
  <c r="O359" i="22"/>
  <c r="O144" i="22"/>
  <c r="P144" i="22"/>
  <c r="O21" i="22"/>
  <c r="P21" i="22"/>
  <c r="O998" i="22"/>
  <c r="O449" i="22"/>
  <c r="P585" i="22"/>
  <c r="O1225" i="22"/>
  <c r="N1132" i="22"/>
  <c r="O1132" i="22"/>
  <c r="N1022" i="22"/>
  <c r="O1022" i="22"/>
  <c r="O425" i="22"/>
  <c r="O1053" i="22"/>
  <c r="O98" i="22"/>
  <c r="P496" i="22"/>
  <c r="O225" i="22"/>
  <c r="O157" i="22"/>
  <c r="P330" i="22"/>
  <c r="O8" i="22"/>
  <c r="P395" i="22"/>
  <c r="P501" i="22"/>
  <c r="O282" i="22"/>
  <c r="N282" i="22"/>
  <c r="N647" i="22"/>
  <c r="O647" i="22"/>
  <c r="N977" i="22"/>
  <c r="O977" i="22"/>
  <c r="N1226" i="22"/>
  <c r="O1226" i="22"/>
  <c r="O412" i="22"/>
  <c r="P412" i="22"/>
  <c r="O576" i="22"/>
  <c r="P576" i="22"/>
  <c r="O378" i="22"/>
  <c r="P378" i="22"/>
  <c r="O763" i="22"/>
  <c r="P763" i="22"/>
  <c r="O198" i="22"/>
  <c r="P198" i="22"/>
  <c r="P1201" i="22"/>
  <c r="O1201" i="22"/>
  <c r="O479" i="22"/>
  <c r="O703" i="22"/>
  <c r="O559" i="22"/>
  <c r="O1172" i="22"/>
  <c r="O31" i="22"/>
  <c r="P858" i="22"/>
  <c r="O858" i="22"/>
  <c r="P745" i="22"/>
  <c r="O745" i="22"/>
  <c r="O233" i="22"/>
  <c r="O357" i="22"/>
  <c r="P357" i="22"/>
  <c r="P617" i="22"/>
  <c r="O617" i="22"/>
  <c r="P954" i="22"/>
  <c r="O954" i="22"/>
  <c r="P64" i="22"/>
  <c r="O64" i="22"/>
  <c r="O1010" i="22"/>
  <c r="P1010" i="22"/>
  <c r="O94" i="22"/>
  <c r="P94" i="22"/>
  <c r="P1015" i="22"/>
  <c r="O1015" i="22"/>
  <c r="O1025" i="22"/>
  <c r="P1025" i="22"/>
  <c r="N739" i="22"/>
  <c r="O739" i="22"/>
  <c r="O556" i="22"/>
  <c r="N556" i="22"/>
  <c r="N967" i="22"/>
  <c r="O967" i="22"/>
  <c r="N208" i="22"/>
  <c r="O208" i="22"/>
  <c r="O346" i="22"/>
  <c r="P89" i="22"/>
  <c r="O89" i="22"/>
  <c r="P271" i="22"/>
  <c r="O271" i="22"/>
  <c r="P849" i="22"/>
  <c r="O849" i="22"/>
  <c r="O509" i="22"/>
  <c r="P509" i="22"/>
  <c r="P488" i="22"/>
  <c r="O488" i="22"/>
  <c r="O231" i="22"/>
  <c r="P673" i="22"/>
  <c r="O673" i="22"/>
  <c r="O1029" i="22"/>
  <c r="O493" i="22"/>
  <c r="O862" i="22"/>
  <c r="N862" i="22"/>
  <c r="N903" i="22"/>
  <c r="O903" i="22"/>
  <c r="N720" i="22"/>
  <c r="O720" i="22"/>
  <c r="O32" i="22"/>
  <c r="O790" i="22"/>
  <c r="P682" i="22"/>
  <c r="O876" i="22"/>
  <c r="O239" i="22"/>
  <c r="O470" i="22"/>
  <c r="P47" i="22"/>
  <c r="P983" i="22"/>
  <c r="O639" i="22"/>
  <c r="P373" i="22"/>
  <c r="P1037" i="22"/>
  <c r="O776" i="22"/>
  <c r="P1110" i="22"/>
  <c r="O1110" i="22"/>
  <c r="O881" i="22"/>
  <c r="P881" i="22"/>
  <c r="P324" i="22"/>
  <c r="O324" i="22"/>
  <c r="O341" i="22"/>
  <c r="P341" i="22"/>
  <c r="P765" i="22"/>
  <c r="O765" i="22"/>
  <c r="P579" i="22"/>
  <c r="O579" i="22"/>
  <c r="O1163" i="22"/>
  <c r="P1163" i="22"/>
  <c r="P1097" i="22"/>
  <c r="O1097" i="22"/>
  <c r="O569" i="22"/>
  <c r="P569" i="22"/>
  <c r="P548" i="22"/>
  <c r="O548" i="22"/>
  <c r="P1084" i="22"/>
  <c r="O1084" i="22"/>
  <c r="N1122" i="22"/>
  <c r="O1122" i="22"/>
  <c r="N1209" i="22"/>
  <c r="O1209" i="22"/>
  <c r="O417" i="22"/>
  <c r="P1137" i="22"/>
  <c r="P248" i="22"/>
  <c r="O248" i="22"/>
  <c r="O885" i="22"/>
  <c r="P885" i="22"/>
  <c r="P1217" i="22"/>
  <c r="O1217" i="22"/>
  <c r="P630" i="22"/>
  <c r="O630" i="22"/>
  <c r="P710" i="22"/>
  <c r="O710" i="22"/>
  <c r="P316" i="22"/>
  <c r="O316" i="22"/>
  <c r="O150" i="22"/>
  <c r="O934" i="22"/>
  <c r="P934" i="22"/>
  <c r="O495" i="22"/>
  <c r="P495" i="22"/>
  <c r="P1167" i="22"/>
  <c r="O1167" i="22"/>
  <c r="O1117" i="22"/>
  <c r="P1117" i="22"/>
  <c r="P985" i="22"/>
  <c r="O985" i="22"/>
  <c r="O1017" i="22"/>
  <c r="P1017" i="22"/>
  <c r="O775" i="22"/>
  <c r="N775" i="22"/>
  <c r="P713" i="22"/>
  <c r="O260" i="22"/>
  <c r="O604" i="22"/>
  <c r="O326" i="22"/>
  <c r="P1113" i="22"/>
  <c r="O709" i="22"/>
  <c r="P709" i="22"/>
  <c r="O461" i="22"/>
  <c r="O190" i="22"/>
  <c r="P190" i="22"/>
  <c r="P56" i="22"/>
  <c r="O56" i="22"/>
  <c r="P1093" i="22"/>
  <c r="O1093" i="22"/>
  <c r="P624" i="22"/>
  <c r="O624" i="22"/>
  <c r="P475" i="22"/>
  <c r="O475" i="22"/>
  <c r="O334" i="22"/>
  <c r="P334" i="22"/>
  <c r="O1133" i="22"/>
  <c r="P1133" i="22"/>
  <c r="O575" i="22"/>
  <c r="P575" i="22"/>
  <c r="P129" i="22"/>
  <c r="O129" i="22"/>
  <c r="O1234" i="22"/>
  <c r="P1234" i="22"/>
  <c r="O172" i="22"/>
  <c r="P172" i="22"/>
  <c r="O139" i="22"/>
  <c r="P139" i="22"/>
  <c r="N83" i="22"/>
  <c r="O83" i="22"/>
  <c r="O259" i="22"/>
  <c r="O18" i="22"/>
  <c r="AM858" i="22"/>
  <c r="AM387" i="22"/>
  <c r="AM1130" i="22"/>
  <c r="AM436" i="22"/>
  <c r="AM502" i="22"/>
  <c r="AD443" i="22"/>
  <c r="AD804" i="22"/>
  <c r="AM899" i="22"/>
  <c r="AD963" i="22"/>
  <c r="AD700" i="22"/>
  <c r="AD896" i="22"/>
  <c r="AM1086" i="22"/>
  <c r="AM667" i="22"/>
  <c r="AD1221" i="22"/>
  <c r="AD666" i="22"/>
  <c r="AD930" i="22"/>
  <c r="AD1072" i="22"/>
  <c r="P1181" i="22"/>
  <c r="O1181" i="22"/>
  <c r="AM1106" i="22"/>
  <c r="AM447" i="22"/>
  <c r="AD448" i="22"/>
  <c r="AD750" i="22"/>
  <c r="AD1134" i="22"/>
  <c r="AM1192" i="22"/>
  <c r="AD764" i="22"/>
  <c r="AD683" i="22"/>
  <c r="AD496" i="22"/>
  <c r="AD770" i="22"/>
  <c r="AD1112" i="22"/>
  <c r="AM511" i="22"/>
  <c r="AM946" i="22"/>
  <c r="AD736" i="22"/>
  <c r="AD1200" i="22"/>
  <c r="AM766" i="22"/>
  <c r="AM928" i="22"/>
  <c r="AD1069" i="22"/>
  <c r="AD651" i="22"/>
  <c r="AD1155" i="22"/>
  <c r="AM931" i="22"/>
  <c r="AM732" i="22"/>
  <c r="AM403" i="22"/>
  <c r="AE364" i="22"/>
  <c r="AB365" i="22"/>
  <c r="AD421" i="22"/>
  <c r="AM994" i="22"/>
  <c r="AD1077" i="22"/>
  <c r="AD520" i="22"/>
  <c r="AM969" i="22"/>
  <c r="AM1074" i="22"/>
  <c r="AM481" i="22"/>
  <c r="AM1006" i="22"/>
  <c r="AM531" i="22"/>
  <c r="AD922" i="22"/>
  <c r="AM906" i="22"/>
  <c r="AM1150" i="22"/>
  <c r="AM834" i="22"/>
  <c r="AD1171" i="22"/>
  <c r="AM832" i="22"/>
  <c r="AD995" i="22"/>
  <c r="AD837" i="22"/>
  <c r="AM633" i="22"/>
  <c r="AD592" i="22"/>
  <c r="AD557" i="22"/>
  <c r="AD974" i="22"/>
  <c r="AD904" i="22"/>
  <c r="AM591" i="22"/>
  <c r="AM505" i="22"/>
  <c r="AM986" i="22"/>
  <c r="AD612" i="22"/>
  <c r="AM1054" i="22"/>
  <c r="O802" i="22"/>
  <c r="P802" i="22"/>
  <c r="AD1099" i="22"/>
  <c r="AD1090" i="22"/>
  <c r="AM441" i="22"/>
  <c r="AM395" i="22"/>
  <c r="AM856" i="22"/>
  <c r="AM543" i="22"/>
  <c r="AD550" i="22"/>
  <c r="AM427" i="22"/>
  <c r="AM601" i="22"/>
  <c r="AD859" i="22"/>
  <c r="AD1168" i="22"/>
  <c r="AD1218" i="22"/>
  <c r="AM619" i="22"/>
  <c r="AD524" i="22"/>
  <c r="AM422" i="22"/>
  <c r="AD852" i="22"/>
  <c r="AD954" i="22"/>
  <c r="AD675" i="22"/>
  <c r="AM778" i="22"/>
  <c r="AD504" i="22"/>
  <c r="AM371" i="22"/>
  <c r="AM1186" i="22"/>
  <c r="AM1159" i="22"/>
  <c r="AD979" i="22"/>
  <c r="AM777" i="22"/>
  <c r="AM1029" i="22"/>
  <c r="O1228" i="22"/>
  <c r="P1228" i="22"/>
  <c r="AD368" i="22"/>
  <c r="AD452" i="22"/>
  <c r="AD674" i="22"/>
  <c r="AD1147" i="22"/>
  <c r="AD478" i="22"/>
  <c r="AD374" i="22"/>
  <c r="AM898" i="22"/>
  <c r="AM630" i="22"/>
  <c r="AD487" i="22"/>
  <c r="AD431" i="22"/>
  <c r="AD618" i="22"/>
  <c r="AM762" i="22"/>
  <c r="AM735" i="22"/>
  <c r="AD554" i="22"/>
  <c r="AM1107" i="22"/>
  <c r="AM398" i="22"/>
  <c r="AM614" i="22"/>
  <c r="AM1076" i="22"/>
  <c r="AD668" i="22"/>
  <c r="AM774" i="22"/>
  <c r="AD1000" i="22"/>
  <c r="AD433" i="22"/>
  <c r="AM811" i="22"/>
  <c r="AM458" i="22"/>
  <c r="AD399" i="22"/>
  <c r="AM784" i="22"/>
  <c r="AM1044" i="22"/>
  <c r="AM730" i="22"/>
  <c r="AD733" i="22"/>
  <c r="AM915" i="22"/>
  <c r="AD514" i="22"/>
  <c r="AD1050" i="22"/>
  <c r="AD1014" i="22"/>
  <c r="AM627" i="22"/>
  <c r="AD512" i="22"/>
  <c r="AM1237" i="22"/>
  <c r="AD454" i="22"/>
  <c r="AD1114" i="22"/>
  <c r="AD1160" i="22"/>
  <c r="AM1065" i="22"/>
  <c r="AD414" i="22"/>
  <c r="AM658" i="22"/>
  <c r="AM1219" i="22"/>
  <c r="AM866" i="22"/>
  <c r="T67" i="22"/>
  <c r="T128" i="22" s="1"/>
  <c r="W128" i="22" s="1"/>
  <c r="T4" i="22"/>
  <c r="T5" i="22" s="1"/>
  <c r="U3" i="22"/>
  <c r="U4" i="22" s="1"/>
  <c r="U5" i="22" s="1"/>
  <c r="U6" i="22" s="1"/>
  <c r="U7" i="22" s="1"/>
  <c r="U8" i="22" s="1"/>
  <c r="U9" i="22" s="1"/>
  <c r="U10" i="22" s="1"/>
  <c r="U11" i="22" s="1"/>
  <c r="U12" i="22" s="1"/>
  <c r="U13" i="22" s="1"/>
  <c r="U14" i="22" s="1"/>
  <c r="U15" i="22" s="1"/>
  <c r="U16" i="22" s="1"/>
  <c r="U17" i="22" s="1"/>
  <c r="U18" i="22" s="1"/>
  <c r="U19" i="22" s="1"/>
  <c r="U20" i="22" s="1"/>
  <c r="U21" i="22" s="1"/>
  <c r="U22" i="22" s="1"/>
  <c r="U23" i="22" s="1"/>
  <c r="U24" i="22" s="1"/>
  <c r="U25" i="22" s="1"/>
  <c r="U26" i="22" s="1"/>
  <c r="U27" i="22" s="1"/>
  <c r="U28" i="22" s="1"/>
  <c r="U29" i="22" s="1"/>
  <c r="U30" i="22" s="1"/>
  <c r="U31" i="22" s="1"/>
  <c r="U32" i="22" s="1"/>
  <c r="U33" i="22" s="1"/>
  <c r="U34" i="22" s="1"/>
  <c r="U35" i="22" s="1"/>
  <c r="U36" i="22" s="1"/>
  <c r="U37" i="22" s="1"/>
  <c r="U38" i="22" s="1"/>
  <c r="U39" i="22" s="1"/>
  <c r="U40" i="22" s="1"/>
  <c r="U41" i="22" s="1"/>
  <c r="U42" i="22" s="1"/>
  <c r="U43" i="22" s="1"/>
  <c r="U44" i="22" s="1"/>
  <c r="U45" i="22" s="1"/>
  <c r="U46" i="22" s="1"/>
  <c r="U47" i="22" s="1"/>
  <c r="U48" i="22" s="1"/>
  <c r="U49" i="22" s="1"/>
  <c r="U50" i="22" s="1"/>
  <c r="U51" i="22" s="1"/>
  <c r="U52" i="22" s="1"/>
  <c r="U53" i="22" s="1"/>
  <c r="U54" i="22" s="1"/>
  <c r="U55" i="22" s="1"/>
  <c r="U56" i="22" s="1"/>
  <c r="U57" i="22" s="1"/>
  <c r="U58" i="22" s="1"/>
  <c r="U59" i="22" s="1"/>
  <c r="U60" i="22" s="1"/>
  <c r="U61" i="22" s="1"/>
  <c r="U62" i="22" s="1"/>
  <c r="U63" i="22" s="1"/>
  <c r="U64" i="22" s="1"/>
  <c r="U65" i="22" s="1"/>
  <c r="U66" i="22" s="1"/>
  <c r="AD652" i="22"/>
  <c r="AD1030" i="22"/>
  <c r="AM611" i="22"/>
  <c r="AD396" i="22"/>
  <c r="AM1087" i="22"/>
  <c r="AD819" i="22"/>
  <c r="AD474" i="22"/>
  <c r="AM867" i="22"/>
  <c r="AD923" i="22"/>
  <c r="AM746" i="22"/>
  <c r="AD874" i="22"/>
  <c r="AM728" i="22"/>
  <c r="AD560" i="22"/>
  <c r="AD1236" i="22"/>
  <c r="AM1085" i="22"/>
  <c r="AD411" i="22"/>
  <c r="AD1045" i="22"/>
  <c r="AD637" i="22"/>
  <c r="AD1052" i="22"/>
  <c r="AM698" i="22"/>
  <c r="AM515" i="22"/>
  <c r="AD1102" i="22"/>
  <c r="AM475" i="22"/>
  <c r="AM442" i="22"/>
  <c r="AD949" i="22"/>
  <c r="AM1027" i="22"/>
  <c r="AM1154" i="22"/>
  <c r="AM704" i="22"/>
  <c r="AM606" i="22"/>
  <c r="AD722" i="22"/>
  <c r="AD498" i="22"/>
  <c r="AM575" i="22"/>
  <c r="AD794" i="22"/>
  <c r="AM653" i="22"/>
  <c r="AM523" i="22"/>
  <c r="AM957" i="22"/>
  <c r="AM829" i="22"/>
  <c r="AM747" i="22"/>
  <c r="AD570" i="22"/>
  <c r="AD446" i="22"/>
  <c r="AM549" i="22"/>
  <c r="AD1075" i="22"/>
  <c r="AD365" i="22"/>
  <c r="AD525" i="22"/>
  <c r="AD644" i="22"/>
  <c r="AM547" i="22"/>
  <c r="AM1057" i="22"/>
  <c r="AM451" i="22"/>
  <c r="AD965" i="22"/>
  <c r="AD544" i="22"/>
  <c r="AM914" i="22"/>
  <c r="AM707" i="22"/>
  <c r="AM916" i="22"/>
  <c r="AM788" i="22"/>
  <c r="AM973" i="22"/>
  <c r="AD1120" i="22"/>
  <c r="AD1184" i="22"/>
  <c r="AD506" i="22"/>
  <c r="O1232" i="22"/>
  <c r="P1232" i="22"/>
  <c r="AD410" i="22"/>
  <c r="AD382" i="22"/>
  <c r="AD370" i="22"/>
  <c r="AD621" i="22"/>
  <c r="AD861" i="22"/>
  <c r="AM603" i="22"/>
  <c r="AM802" i="22"/>
  <c r="AD920" i="22"/>
  <c r="AM1011" i="22"/>
  <c r="AD661" i="22"/>
  <c r="AM985" i="22"/>
  <c r="AM501" i="22"/>
  <c r="AD958" i="22"/>
  <c r="AM826" i="22"/>
  <c r="AD894" i="22"/>
  <c r="AD491" i="22"/>
  <c r="AD787" i="22"/>
  <c r="AD602" i="22"/>
  <c r="AM386" i="22"/>
  <c r="AJ492" i="22"/>
  <c r="AM492" i="22"/>
  <c r="AM1015" i="22"/>
  <c r="AM1019" i="22"/>
  <c r="AM595" i="22"/>
  <c r="AD808" i="22"/>
  <c r="AM576" i="22"/>
  <c r="AM695" i="22"/>
  <c r="AD797" i="22"/>
  <c r="AM1139" i="22"/>
  <c r="AM1036" i="22"/>
  <c r="AM1227" i="22"/>
  <c r="AD1100" i="22"/>
  <c r="AD556" i="22"/>
  <c r="AM690" i="22"/>
  <c r="AD383" i="22"/>
  <c r="AD562" i="22"/>
  <c r="P842" i="22"/>
  <c r="AM450" i="22"/>
  <c r="AM755" i="22"/>
  <c r="AD1037" i="22"/>
  <c r="AD1058" i="22"/>
  <c r="AM1234" i="22"/>
  <c r="AD1092" i="22"/>
  <c r="AM503" i="22"/>
  <c r="AM830" i="22"/>
  <c r="AD1202" i="22"/>
  <c r="AM1131" i="22"/>
  <c r="AD982" i="22"/>
  <c r="AM571" i="22"/>
  <c r="O1177" i="22"/>
  <c r="P1177" i="22"/>
  <c r="AD381" i="22"/>
  <c r="AD587" i="22"/>
  <c r="AM453" i="22"/>
  <c r="AD854" i="22"/>
  <c r="AM970" i="22"/>
  <c r="AD941" i="22"/>
  <c r="AM792" i="22"/>
  <c r="AM743" i="22"/>
  <c r="AD1048" i="22"/>
  <c r="AD566" i="22"/>
  <c r="AM726" i="22"/>
  <c r="AD688" i="22"/>
  <c r="AM822" i="22"/>
  <c r="AC367" i="22"/>
  <c r="AM1173" i="22"/>
  <c r="AM1140" i="22"/>
  <c r="AM539" i="22"/>
  <c r="AM1238" i="22"/>
  <c r="AD540" i="22"/>
  <c r="AD1164" i="22"/>
  <c r="AD1104" i="22"/>
  <c r="AM555" i="22"/>
  <c r="AM924" i="22"/>
  <c r="AM407" i="22"/>
  <c r="AM494" i="22"/>
  <c r="AM1035" i="22"/>
  <c r="AM1109" i="22"/>
  <c r="AD912" i="22"/>
  <c r="AD457" i="22"/>
  <c r="AD870" i="22"/>
  <c r="AD702" i="22"/>
  <c r="AD465" i="22"/>
  <c r="AD616" i="22"/>
  <c r="AM1228" i="22"/>
  <c r="AM473" i="22"/>
  <c r="AD796" i="22"/>
  <c r="AD1158" i="22"/>
  <c r="AM847" i="22"/>
  <c r="AM754" i="22"/>
  <c r="AD966" i="22"/>
  <c r="AD610" i="22"/>
  <c r="AM905" i="22"/>
  <c r="AD1032" i="22"/>
  <c r="AM578" i="22"/>
  <c r="AD947" i="22"/>
  <c r="AD851" i="22"/>
  <c r="AM864" i="22"/>
  <c r="AJ364" i="22"/>
  <c r="AF364" i="22"/>
  <c r="AM364" i="22"/>
  <c r="AL364" i="22"/>
  <c r="AL365" i="22" s="1"/>
  <c r="AL366" i="22" s="1"/>
  <c r="AL367" i="22" s="1"/>
  <c r="AL368" i="22" s="1"/>
  <c r="AL369" i="22" s="1"/>
  <c r="AL370" i="22" s="1"/>
  <c r="AL371" i="22" s="1"/>
  <c r="AL372" i="22" s="1"/>
  <c r="AL373" i="22" s="1"/>
  <c r="AL374" i="22" s="1"/>
  <c r="AL375" i="22" s="1"/>
  <c r="AL376" i="22" s="1"/>
  <c r="AL377" i="22" s="1"/>
  <c r="AL378" i="22" s="1"/>
  <c r="AL379" i="22" s="1"/>
  <c r="AL380" i="22" s="1"/>
  <c r="AL381" i="22" s="1"/>
  <c r="AL382" i="22" s="1"/>
  <c r="AL383" i="22" s="1"/>
  <c r="AL384" i="22" s="1"/>
  <c r="AL385" i="22" s="1"/>
  <c r="AL386" i="22" s="1"/>
  <c r="AL387" i="22" s="1"/>
  <c r="AL388" i="22" s="1"/>
  <c r="AL389" i="22" s="1"/>
  <c r="AL390" i="22" s="1"/>
  <c r="AL391" i="22" s="1"/>
  <c r="AL392" i="22" s="1"/>
  <c r="AL393" i="22" s="1"/>
  <c r="AL394" i="22" s="1"/>
  <c r="AL395" i="22" s="1"/>
  <c r="AL396" i="22" s="1"/>
  <c r="AL397" i="22" s="1"/>
  <c r="AL398" i="22" s="1"/>
  <c r="AL399" i="22" s="1"/>
  <c r="AL400" i="22" s="1"/>
  <c r="AL401" i="22" s="1"/>
  <c r="AL402" i="22" s="1"/>
  <c r="AL403" i="22" s="1"/>
  <c r="AL404" i="22" s="1"/>
  <c r="AL405" i="22" s="1"/>
  <c r="AL406" i="22" s="1"/>
  <c r="AL407" i="22" s="1"/>
  <c r="AL408" i="22" s="1"/>
  <c r="AL409" i="22" s="1"/>
  <c r="AL410" i="22" s="1"/>
  <c r="AL411" i="22" s="1"/>
  <c r="AL412" i="22" s="1"/>
  <c r="AL413" i="22" s="1"/>
  <c r="AL414" i="22" s="1"/>
  <c r="AL415" i="22" s="1"/>
  <c r="AL416" i="22" s="1"/>
  <c r="AL417" i="22" s="1"/>
  <c r="AL418" i="22" s="1"/>
  <c r="AL419" i="22" s="1"/>
  <c r="AL420" i="22" s="1"/>
  <c r="AL421" i="22" s="1"/>
  <c r="AL422" i="22" s="1"/>
  <c r="AL423" i="22" s="1"/>
  <c r="AL424" i="22" s="1"/>
  <c r="AL425" i="22" s="1"/>
  <c r="AL426" i="22" s="1"/>
  <c r="AL427" i="22" s="1"/>
  <c r="AG364" i="22"/>
  <c r="AD409" i="22"/>
  <c r="AM581" i="22"/>
  <c r="AD1056" i="22"/>
  <c r="AM590" i="22"/>
  <c r="AD842" i="22"/>
  <c r="AD542" i="22"/>
  <c r="AM793" i="22"/>
  <c r="AM467" i="22"/>
  <c r="AM885" i="22"/>
  <c r="AD654" i="22"/>
  <c r="AM717" i="22"/>
  <c r="AM463" i="22"/>
  <c r="AM988" i="22"/>
  <c r="AD635" i="22"/>
  <c r="AM786" i="22"/>
  <c r="AM810" i="22"/>
  <c r="AD1149" i="22"/>
  <c r="AM375" i="22"/>
  <c r="AM626" i="22"/>
  <c r="AM1174" i="22"/>
  <c r="AD840" i="22"/>
  <c r="AM572" i="22"/>
  <c r="AD384" i="22"/>
  <c r="AD659" i="22"/>
  <c r="AD1156" i="22"/>
  <c r="AD584" i="22"/>
  <c r="AD878" i="22"/>
  <c r="AD891" i="22"/>
  <c r="AM522" i="22"/>
  <c r="AM643" i="22"/>
  <c r="AD978" i="22"/>
  <c r="AM1223" i="22"/>
  <c r="AM1138" i="22"/>
  <c r="AD646" i="22"/>
  <c r="AM636" i="22"/>
  <c r="AD738" i="22"/>
  <c r="AM1066" i="22"/>
  <c r="AM984" i="22"/>
  <c r="AM1182" i="22"/>
  <c r="AM482" i="22"/>
  <c r="AM1108" i="22"/>
  <c r="AM1055" i="22"/>
  <c r="AD962" i="22"/>
  <c r="AM377" i="22"/>
  <c r="AM642" i="22"/>
  <c r="AM419" i="22"/>
  <c r="AD960" i="22"/>
  <c r="AM564" i="22"/>
  <c r="AD939" i="22"/>
  <c r="AD1210" i="22"/>
  <c r="AM484" i="22"/>
  <c r="AM714" i="22"/>
  <c r="AM744" i="22"/>
  <c r="AM893" i="22"/>
  <c r="AM850" i="22"/>
  <c r="AD493" i="22"/>
  <c r="AD678" i="22"/>
  <c r="AD376" i="22"/>
  <c r="AD1205" i="22"/>
  <c r="AD938" i="22"/>
  <c r="AM579" i="22"/>
  <c r="AD848" i="22"/>
  <c r="AM438" i="22"/>
  <c r="AM882" i="22"/>
  <c r="AD780" i="22"/>
  <c r="AD1088" i="22"/>
  <c r="AM1195" i="22"/>
  <c r="AM662" i="22"/>
  <c r="AM725" i="22"/>
  <c r="AM860" i="22"/>
  <c r="AM600" i="22"/>
  <c r="AM405" i="22"/>
  <c r="AD456" i="22"/>
  <c r="AM469" i="22"/>
  <c r="AM1214" i="22"/>
  <c r="AM435" i="22"/>
  <c r="AM516" i="22"/>
  <c r="G23" i="16"/>
  <c r="I23" i="16" s="1"/>
  <c r="C24" i="16" s="1"/>
  <c r="M5" i="15"/>
  <c r="N9" i="15"/>
  <c r="M9" i="15"/>
  <c r="M3" i="15"/>
  <c r="M16" i="15"/>
  <c r="N17" i="15"/>
  <c r="M6" i="15"/>
  <c r="M15" i="15"/>
  <c r="S23" i="15"/>
  <c r="F27" i="15" s="1"/>
  <c r="F28" i="15" s="1"/>
  <c r="N18" i="15"/>
  <c r="N10" i="15"/>
  <c r="N13" i="15"/>
  <c r="N11" i="15"/>
  <c r="N3" i="15"/>
  <c r="N12" i="15"/>
  <c r="M22" i="15"/>
  <c r="N7" i="15"/>
  <c r="N16" i="15"/>
  <c r="N14" i="15"/>
  <c r="N5" i="15"/>
  <c r="M14" i="15"/>
  <c r="N21" i="15"/>
  <c r="N15" i="15"/>
  <c r="N22" i="15"/>
  <c r="M13" i="15"/>
  <c r="N6" i="15"/>
  <c r="N4" i="15"/>
  <c r="N19" i="15"/>
  <c r="M17" i="15"/>
  <c r="N54" i="15"/>
  <c r="M7" i="15"/>
  <c r="N8" i="15"/>
  <c r="N20" i="15"/>
  <c r="P42" i="14"/>
  <c r="P44" i="14"/>
  <c r="P91" i="14"/>
  <c r="P108" i="14"/>
  <c r="P157" i="14"/>
  <c r="P109" i="14"/>
  <c r="P159" i="14"/>
  <c r="P154" i="14"/>
  <c r="Q153" i="14"/>
  <c r="P94" i="14"/>
  <c r="P23" i="14"/>
  <c r="P18" i="14"/>
  <c r="P115" i="14"/>
  <c r="P150" i="14"/>
  <c r="P7" i="14"/>
  <c r="P76" i="14"/>
  <c r="P34" i="14"/>
  <c r="P143" i="14"/>
  <c r="P47" i="14"/>
  <c r="P152" i="14"/>
  <c r="P30" i="14"/>
  <c r="P40" i="14"/>
  <c r="P81" i="14"/>
  <c r="P145" i="14"/>
  <c r="P24" i="14"/>
  <c r="P137" i="14"/>
  <c r="P99" i="14"/>
  <c r="Q37" i="14"/>
  <c r="P36" i="14"/>
  <c r="P132" i="14"/>
  <c r="P67" i="14"/>
  <c r="P129" i="14"/>
  <c r="P68" i="14"/>
  <c r="P73" i="14"/>
  <c r="P144" i="14"/>
  <c r="P162" i="14"/>
  <c r="P113" i="14"/>
  <c r="Q35" i="14"/>
  <c r="P53" i="14"/>
  <c r="P55" i="14"/>
  <c r="P166" i="14"/>
  <c r="P49" i="14"/>
  <c r="Q75" i="14"/>
  <c r="Q39" i="14"/>
  <c r="Q93" i="14"/>
  <c r="Q148" i="14"/>
  <c r="P69" i="14"/>
  <c r="Q165" i="14"/>
  <c r="Q16" i="14"/>
  <c r="Q32" i="14"/>
  <c r="P148" i="14"/>
  <c r="Q106" i="14"/>
  <c r="Q24" i="14"/>
  <c r="Q68" i="14"/>
  <c r="Q86" i="14"/>
  <c r="Q83" i="14"/>
  <c r="Q12" i="14"/>
  <c r="Q138" i="14"/>
  <c r="P75" i="14"/>
  <c r="Q31" i="14"/>
  <c r="P12" i="14"/>
  <c r="Q100" i="14"/>
  <c r="Q166" i="14"/>
  <c r="Q161" i="14"/>
  <c r="Q65" i="14"/>
  <c r="Q15" i="14"/>
  <c r="Q167" i="14"/>
  <c r="Q49" i="14"/>
  <c r="Q95" i="14"/>
  <c r="Q34" i="14"/>
  <c r="P86" i="14"/>
  <c r="Q10" i="14"/>
  <c r="Q146" i="14"/>
  <c r="Q9" i="14"/>
  <c r="P32" i="14"/>
  <c r="Q118" i="14"/>
  <c r="Q26" i="14"/>
  <c r="Q78" i="14"/>
  <c r="Q4" i="14"/>
  <c r="P167" i="14"/>
  <c r="P161" i="14"/>
  <c r="Q6" i="14"/>
  <c r="Q112" i="14"/>
  <c r="Q133" i="14"/>
  <c r="P155" i="14"/>
  <c r="Q152" i="14"/>
  <c r="P26" i="14"/>
  <c r="P151" i="14"/>
  <c r="Q89" i="14"/>
  <c r="P29" i="14"/>
  <c r="Q38" i="14"/>
  <c r="Q27" i="14"/>
  <c r="Q67" i="14"/>
  <c r="Q74" i="14"/>
  <c r="Q80" i="14"/>
  <c r="P28" i="14"/>
  <c r="Q72" i="14"/>
  <c r="Q145" i="14"/>
  <c r="Q104" i="14"/>
  <c r="Q164" i="14"/>
  <c r="Q70" i="14"/>
  <c r="Q127" i="14"/>
  <c r="Q163" i="14"/>
  <c r="Q111" i="14"/>
  <c r="Q155" i="14"/>
  <c r="Q3" i="14"/>
  <c r="Q101" i="14"/>
  <c r="Q77" i="14"/>
  <c r="Q50" i="14"/>
  <c r="P43" i="14"/>
  <c r="Q87" i="14"/>
  <c r="Q54" i="14"/>
  <c r="Q13" i="14"/>
  <c r="Q151" i="14"/>
  <c r="Q125" i="14"/>
  <c r="Q122" i="14"/>
  <c r="P77" i="14"/>
  <c r="Q129" i="14"/>
  <c r="Q94" i="14"/>
  <c r="Q108" i="14"/>
  <c r="Q134" i="14"/>
  <c r="P37" i="14"/>
  <c r="Q121" i="14"/>
  <c r="Q99" i="14"/>
  <c r="Q59" i="14"/>
  <c r="P135" i="14"/>
  <c r="Q46" i="14"/>
  <c r="Q79" i="14"/>
  <c r="Q61" i="14"/>
  <c r="Q29" i="14"/>
  <c r="P80" i="14"/>
  <c r="P15" i="14"/>
  <c r="Q90" i="14"/>
  <c r="Q115" i="14"/>
  <c r="Q73" i="14"/>
  <c r="Q114" i="14"/>
  <c r="Q150" i="14"/>
  <c r="Q44" i="14"/>
  <c r="P38" i="14"/>
  <c r="P103" i="14"/>
  <c r="Q76" i="14"/>
  <c r="Q18" i="14"/>
  <c r="P121" i="14"/>
  <c r="Q64" i="14"/>
  <c r="Q56" i="14"/>
  <c r="P25" i="14"/>
  <c r="Q5" i="14"/>
  <c r="Q102" i="14"/>
  <c r="P83" i="14"/>
  <c r="Q33" i="14"/>
  <c r="Q82" i="14"/>
  <c r="Q58" i="14"/>
  <c r="Q69" i="14"/>
  <c r="Q28" i="14"/>
  <c r="Q124" i="14"/>
  <c r="P149" i="14"/>
  <c r="Q48" i="14"/>
  <c r="Q43" i="14"/>
  <c r="P71" i="14"/>
  <c r="Q169" i="14"/>
  <c r="P70" i="14"/>
  <c r="Q141" i="14"/>
  <c r="Q7" i="14"/>
  <c r="P16" i="14"/>
  <c r="Q103" i="14"/>
  <c r="P31" i="14"/>
  <c r="Q107" i="14"/>
  <c r="Q136" i="14"/>
  <c r="Q98" i="14"/>
  <c r="P41" i="14"/>
  <c r="Q110" i="14"/>
  <c r="Q53" i="14"/>
  <c r="Q25" i="14"/>
  <c r="Q20" i="14"/>
  <c r="Q140" i="14"/>
  <c r="Q84" i="14"/>
  <c r="Q97" i="14"/>
  <c r="Q156" i="14"/>
  <c r="Q157" i="14"/>
  <c r="Q116" i="14"/>
  <c r="Q132" i="14"/>
  <c r="Q144" i="14"/>
  <c r="P114" i="14"/>
  <c r="P134" i="14"/>
  <c r="Q130" i="14"/>
  <c r="P104" i="14"/>
  <c r="P39" i="14"/>
  <c r="Q154" i="14"/>
  <c r="Q162" i="14"/>
  <c r="Q62" i="14"/>
  <c r="P74" i="14"/>
  <c r="Q139" i="14"/>
  <c r="Q160" i="14"/>
  <c r="P20" i="14"/>
  <c r="Q142" i="14"/>
  <c r="P62" i="14"/>
  <c r="Q55" i="14"/>
  <c r="Q91" i="14"/>
  <c r="Q81" i="14"/>
  <c r="P82" i="14"/>
  <c r="P139" i="14"/>
  <c r="P158" i="14"/>
  <c r="P78" i="14"/>
  <c r="Q159" i="14"/>
  <c r="Q66" i="14"/>
  <c r="P107" i="14"/>
  <c r="Q40" i="14"/>
  <c r="Q19" i="14"/>
  <c r="Q143" i="14"/>
  <c r="Q11" i="14"/>
  <c r="Q30" i="14"/>
  <c r="Q42" i="14"/>
  <c r="Q123" i="14"/>
  <c r="Q128" i="14"/>
  <c r="Q88" i="14"/>
  <c r="P84" i="14"/>
  <c r="Q135" i="14"/>
  <c r="Q22" i="14"/>
  <c r="Q149" i="14"/>
  <c r="Q51" i="14"/>
  <c r="Q60" i="14"/>
  <c r="Q17" i="14"/>
  <c r="Q71" i="14"/>
  <c r="Q14" i="14"/>
  <c r="Q92" i="14"/>
  <c r="Q47" i="14"/>
  <c r="Q119" i="14"/>
  <c r="P72" i="14"/>
  <c r="P165" i="14"/>
  <c r="Q85" i="14"/>
  <c r="Q8" i="14"/>
  <c r="P111" i="14"/>
  <c r="Q41" i="14"/>
  <c r="Q126" i="14"/>
  <c r="Q57" i="14"/>
  <c r="Q158" i="14"/>
  <c r="P138" i="14"/>
  <c r="Q36" i="14"/>
  <c r="Q63" i="14"/>
  <c r="Q109" i="14"/>
  <c r="P58" i="14"/>
  <c r="P3" i="14"/>
  <c r="P164" i="14"/>
  <c r="P14" i="14"/>
  <c r="P65" i="14"/>
  <c r="P27" i="14"/>
  <c r="Q96" i="14"/>
  <c r="Q21" i="14"/>
  <c r="P124" i="14"/>
  <c r="Q105" i="14"/>
  <c r="P96" i="14"/>
  <c r="Q52" i="14"/>
  <c r="P51" i="14"/>
  <c r="P106" i="14"/>
  <c r="Q120" i="14"/>
  <c r="P122" i="14"/>
  <c r="Q147" i="14"/>
  <c r="P105" i="14"/>
  <c r="Q113" i="14"/>
  <c r="P64" i="14"/>
  <c r="Q45" i="14"/>
  <c r="P22" i="14"/>
  <c r="Q23" i="14"/>
  <c r="P116" i="14"/>
  <c r="P52" i="14"/>
  <c r="P130" i="14"/>
  <c r="Q137" i="14"/>
  <c r="Q117" i="14"/>
  <c r="Q131" i="14"/>
  <c r="P17" i="14"/>
  <c r="P57" i="14"/>
  <c r="Q168" i="14"/>
  <c r="G39" i="59"/>
  <c r="M702" i="1"/>
  <c r="M418" i="1"/>
  <c r="M42" i="1"/>
  <c r="M631" i="1"/>
  <c r="M225" i="1"/>
  <c r="M697" i="1"/>
  <c r="M537" i="1"/>
  <c r="M177" i="1"/>
  <c r="M209" i="1"/>
  <c r="M196" i="1"/>
  <c r="M681" i="1"/>
  <c r="M472" i="1"/>
  <c r="M430" i="1"/>
  <c r="M296" i="1"/>
  <c r="M667" i="1"/>
  <c r="M260" i="1"/>
  <c r="M466" i="1"/>
  <c r="M701" i="1"/>
  <c r="M101" i="1"/>
  <c r="M91" i="1"/>
  <c r="M405" i="1"/>
  <c r="M338" i="1"/>
  <c r="M8" i="1"/>
  <c r="M201" i="1"/>
  <c r="M302" i="1"/>
  <c r="M273" i="1"/>
  <c r="M316" i="1"/>
  <c r="M596" i="1"/>
  <c r="M109" i="1"/>
  <c r="M551" i="1"/>
  <c r="M183" i="1"/>
  <c r="M121" i="1"/>
  <c r="M11" i="1"/>
  <c r="M153" i="1"/>
  <c r="M45" i="1"/>
  <c r="M387" i="1"/>
  <c r="M265" i="1"/>
  <c r="M57" i="1"/>
  <c r="M556" i="1"/>
  <c r="M615" i="1"/>
  <c r="M467" i="1"/>
  <c r="M473" i="1"/>
  <c r="M404" i="1"/>
  <c r="M656" i="1"/>
  <c r="M104" i="1"/>
  <c r="M519" i="1"/>
  <c r="M504" i="1"/>
  <c r="M721" i="1"/>
  <c r="M309" i="1"/>
  <c r="M516" i="1"/>
  <c r="M610" i="1"/>
  <c r="M48" i="1"/>
  <c r="M570" i="1"/>
  <c r="M669" i="1"/>
  <c r="M674" i="1"/>
  <c r="M341" i="1"/>
  <c r="M287" i="1"/>
  <c r="M326" i="1"/>
  <c r="M276" i="1"/>
  <c r="M223" i="1"/>
  <c r="M482" i="1"/>
  <c r="M379" i="1"/>
  <c r="M151" i="1"/>
  <c r="M15" i="1"/>
  <c r="M390" i="1"/>
  <c r="M555" i="1"/>
  <c r="M185" i="1"/>
  <c r="M258" i="1"/>
  <c r="M709" i="1"/>
  <c r="M587" i="1"/>
  <c r="M700" i="1"/>
  <c r="M431" i="1"/>
  <c r="M638" i="1"/>
  <c r="M456" i="1"/>
  <c r="M355" i="1"/>
  <c r="M17" i="1"/>
  <c r="M592" i="1"/>
  <c r="M535" i="1"/>
  <c r="M383" i="1"/>
  <c r="M409" i="1"/>
  <c r="M422" i="1"/>
  <c r="M125" i="1"/>
  <c r="M339" i="1"/>
  <c r="M544" i="1"/>
  <c r="M312" i="1"/>
  <c r="M484" i="1"/>
  <c r="M72" i="1"/>
  <c r="M269" i="1"/>
  <c r="M331" i="1"/>
  <c r="M162" i="1"/>
  <c r="M163" i="1"/>
  <c r="M604" i="1"/>
  <c r="M289" i="1"/>
  <c r="M340" i="1"/>
  <c r="M158" i="1"/>
  <c r="M119" i="1"/>
  <c r="M61" i="1"/>
  <c r="M135" i="1"/>
  <c r="M75" i="1"/>
  <c r="M438" i="1"/>
  <c r="M255" i="1"/>
  <c r="M6" i="1"/>
  <c r="M608" i="1"/>
  <c r="M503" i="1"/>
  <c r="M513" i="1"/>
  <c r="M414" i="1"/>
  <c r="M320" i="1"/>
  <c r="M38" i="1"/>
  <c r="M107" i="1"/>
  <c r="M380" i="1"/>
  <c r="M368" i="1"/>
  <c r="M571" i="1"/>
  <c r="M634" i="1"/>
  <c r="M369" i="1"/>
  <c r="M694" i="1"/>
  <c r="M313" i="1"/>
  <c r="M691" i="1"/>
  <c r="M720" i="1"/>
  <c r="M723" i="1"/>
  <c r="M371" i="1"/>
  <c r="M22" i="1"/>
  <c r="M406" i="1"/>
  <c r="M254" i="1"/>
  <c r="M282" i="1"/>
  <c r="M129" i="1"/>
  <c r="M536" i="1"/>
  <c r="M113" i="1"/>
  <c r="M232" i="1"/>
  <c r="M219" i="1"/>
  <c r="M66" i="1"/>
  <c r="M526" i="1"/>
  <c r="M395" i="1"/>
  <c r="M474" i="1"/>
  <c r="M156" i="1"/>
  <c r="M161" i="1"/>
  <c r="M58" i="1"/>
  <c r="M78" i="1"/>
  <c r="M92" i="1"/>
  <c r="M476" i="1"/>
  <c r="M462" i="1"/>
  <c r="M351" i="1"/>
  <c r="M574" i="1"/>
  <c r="M358" i="1"/>
  <c r="M567" i="1"/>
  <c r="M578" i="1"/>
  <c r="M632" i="1"/>
  <c r="M68" i="1"/>
  <c r="M21" i="1"/>
  <c r="M212" i="1"/>
  <c r="M237" i="1"/>
  <c r="M699" i="1"/>
  <c r="M679" i="1"/>
  <c r="M461" i="1"/>
  <c r="M646" i="1"/>
  <c r="M193" i="1"/>
  <c r="M713" i="1"/>
  <c r="M246" i="1"/>
  <c r="M650" i="1"/>
  <c r="M178" i="1"/>
  <c r="M633" i="1"/>
  <c r="M283" i="1"/>
  <c r="M198" i="1"/>
  <c r="M95" i="1"/>
  <c r="M540" i="1"/>
  <c r="M167" i="1"/>
  <c r="M558" i="1"/>
  <c r="M528" i="1"/>
  <c r="M238" i="1"/>
  <c r="M333" i="1"/>
  <c r="M436" i="1"/>
  <c r="M164" i="1"/>
  <c r="M29" i="1"/>
  <c r="M120" i="1"/>
  <c r="M4" i="1"/>
  <c r="M384" i="1"/>
  <c r="M412" i="1"/>
  <c r="M77" i="1"/>
  <c r="M39" i="1"/>
  <c r="M501" i="1"/>
  <c r="M44" i="1"/>
  <c r="M297" i="1"/>
  <c r="M94" i="1"/>
  <c r="M454" i="1"/>
  <c r="M81" i="1"/>
  <c r="M97" i="1"/>
  <c r="M497" i="1"/>
  <c r="M30" i="1"/>
  <c r="M205" i="1"/>
  <c r="M60" i="1"/>
  <c r="M290" i="1"/>
  <c r="M493" i="1"/>
  <c r="M465" i="1"/>
  <c r="M168" i="1"/>
  <c r="M319" i="1"/>
  <c r="M69" i="1"/>
  <c r="M514" i="1"/>
  <c r="M82" i="1"/>
  <c r="M248" i="1"/>
  <c r="M428" i="1"/>
  <c r="M639" i="1"/>
  <c r="M112" i="1"/>
  <c r="M553" i="1"/>
  <c r="M598" i="1"/>
  <c r="M485" i="1"/>
  <c r="M445" i="1"/>
  <c r="M627" i="1"/>
  <c r="M257" i="1"/>
  <c r="M450" i="1"/>
  <c r="M222" i="1"/>
  <c r="M517" i="1"/>
  <c r="M14" i="1"/>
  <c r="M391" i="1"/>
  <c r="M352" i="1"/>
  <c r="M538" i="1"/>
  <c r="M625" i="1"/>
  <c r="M607" i="1"/>
  <c r="M718" i="1"/>
  <c r="M561" i="1"/>
  <c r="M684" i="1"/>
  <c r="M96" i="1"/>
  <c r="M165" i="1"/>
  <c r="M171" i="1"/>
  <c r="M506" i="1"/>
  <c r="M433" i="1"/>
  <c r="M455" i="1"/>
  <c r="M594" i="1"/>
  <c r="M444" i="1"/>
  <c r="M300" i="1"/>
  <c r="M10" i="1"/>
  <c r="M148" i="1"/>
  <c r="M664" i="1"/>
  <c r="M80" i="1"/>
  <c r="M647" i="1"/>
  <c r="M12" i="1"/>
  <c r="M126" i="1"/>
  <c r="M250" i="1"/>
  <c r="M86" i="1"/>
  <c r="M89" i="1"/>
  <c r="M288" i="1"/>
  <c r="M59" i="1"/>
  <c r="M407" i="1"/>
  <c r="M242" i="1"/>
  <c r="M172" i="1"/>
  <c r="M9" i="1"/>
  <c r="M464" i="1"/>
  <c r="M605" i="1"/>
  <c r="M41" i="1"/>
  <c r="M176" i="1"/>
  <c r="M382" i="1"/>
  <c r="M239" i="1"/>
  <c r="M502" i="1"/>
  <c r="M582" i="1"/>
  <c r="M429" i="1"/>
  <c r="M591" i="1"/>
  <c r="M85" i="1"/>
  <c r="M389" i="1"/>
  <c r="M344" i="1"/>
  <c r="M115" i="1"/>
  <c r="M150" i="1"/>
  <c r="M641" i="1"/>
  <c r="M376" i="1"/>
  <c r="M640" i="1"/>
  <c r="M446" i="1"/>
  <c r="M644" i="1"/>
  <c r="M27" i="1"/>
  <c r="M635" i="1"/>
  <c r="M235" i="1"/>
  <c r="M356" i="1"/>
  <c r="M62" i="1"/>
  <c r="M423" i="1"/>
  <c r="M54" i="1"/>
  <c r="M393" i="1"/>
  <c r="M724" i="1"/>
  <c r="M505" i="1"/>
  <c r="M599" i="1"/>
  <c r="M690" i="1"/>
  <c r="M522" i="1"/>
  <c r="M195" i="1"/>
  <c r="M671" i="1"/>
  <c r="M155" i="1"/>
  <c r="M179" i="1"/>
  <c r="M614" i="1"/>
  <c r="M293" i="1"/>
  <c r="M527" i="1"/>
  <c r="M714" i="1"/>
  <c r="M224" i="1"/>
  <c r="M278" i="1"/>
  <c r="M144" i="1"/>
  <c r="M53" i="1"/>
  <c r="M373" i="1"/>
  <c r="M299" i="1"/>
  <c r="M653" i="1"/>
  <c r="M572" i="1"/>
  <c r="M663" i="1"/>
  <c r="M396" i="1"/>
  <c r="M16" i="1"/>
  <c r="M415" i="1"/>
  <c r="M207" i="1"/>
  <c r="M332" i="1"/>
  <c r="M279" i="1"/>
  <c r="M186" i="1"/>
  <c r="M481" i="1"/>
  <c r="M154" i="1"/>
  <c r="M413" i="1"/>
  <c r="M703" i="1"/>
  <c r="M705" i="1"/>
  <c r="M346" i="1"/>
  <c r="M215" i="1"/>
  <c r="M375" i="1"/>
  <c r="M271" i="1"/>
  <c r="M394" i="1"/>
  <c r="M35" i="1"/>
  <c r="M141" i="1"/>
  <c r="M262" i="1"/>
  <c r="M680" i="1"/>
  <c r="M90" i="1"/>
  <c r="M229" i="1"/>
  <c r="M247" i="1"/>
  <c r="M294" i="1"/>
  <c r="M280" i="1"/>
  <c r="M245" i="1"/>
  <c r="M357" i="1"/>
  <c r="M398" i="1"/>
  <c r="M417" i="1"/>
  <c r="M363" i="1"/>
  <c r="M695" i="1"/>
  <c r="M336" i="1"/>
  <c r="M285" i="1"/>
  <c r="M25" i="1"/>
  <c r="M478" i="1"/>
  <c r="M236" i="1"/>
  <c r="M140" i="1"/>
  <c r="M74" i="1"/>
  <c r="M347" i="1"/>
  <c r="M498" i="1"/>
  <c r="M46" i="1"/>
  <c r="M211" i="1"/>
  <c r="M180" i="1"/>
  <c r="M23" i="1"/>
  <c r="M335" i="1"/>
  <c r="M629" i="1"/>
  <c r="M187" i="1"/>
  <c r="M483" i="1"/>
  <c r="M55" i="1"/>
  <c r="M315" i="1"/>
  <c r="M305" i="1"/>
  <c r="M253" i="1"/>
  <c r="M152" i="1"/>
  <c r="M688" i="1"/>
  <c r="M559" i="1"/>
  <c r="M325" i="1"/>
  <c r="M636" i="1"/>
  <c r="M435" i="1"/>
  <c r="M118" i="1"/>
  <c r="M190" i="1"/>
  <c r="M241" i="1"/>
  <c r="M448" i="1"/>
  <c r="M204" i="1"/>
  <c r="M523" i="1"/>
  <c r="M139" i="1"/>
  <c r="M554" i="1"/>
  <c r="M317" i="1"/>
  <c r="M613" i="1"/>
  <c r="M495" i="1"/>
  <c r="M710" i="1"/>
  <c r="M677" i="1"/>
  <c r="M652" i="1"/>
  <c r="M660" i="1"/>
  <c r="M184" i="1"/>
  <c r="M292" i="1"/>
  <c r="M131" i="1"/>
  <c r="M557" i="1"/>
  <c r="M191" i="1"/>
  <c r="M306" i="1"/>
  <c r="M200" i="1"/>
  <c r="M259" i="1"/>
  <c r="M263" i="1"/>
  <c r="M272" i="1"/>
  <c r="M374" i="1"/>
  <c r="M83" i="1"/>
  <c r="M56" i="1"/>
  <c r="M310" i="1"/>
  <c r="M268" i="1"/>
  <c r="M580" i="1"/>
  <c r="M170" i="1"/>
  <c r="M437" i="1"/>
  <c r="M206" i="1"/>
  <c r="M617" i="1"/>
  <c r="M110" i="1"/>
  <c r="M442" i="1"/>
  <c r="M585" i="1"/>
  <c r="M682" i="1"/>
  <c r="M330" i="1"/>
  <c r="M261" i="1"/>
  <c r="M70" i="1"/>
  <c r="M401" i="1"/>
  <c r="M284" i="1"/>
  <c r="M426" i="1"/>
  <c r="M275" i="1"/>
  <c r="M689" i="1"/>
  <c r="M244" i="1"/>
  <c r="M563" i="1"/>
  <c r="M439" i="1"/>
  <c r="M696" i="1"/>
  <c r="M518" i="1"/>
  <c r="M575" i="1"/>
  <c r="M719" i="1"/>
  <c r="M243" i="1"/>
  <c r="M157" i="1"/>
  <c r="M468" i="1"/>
  <c r="M291" i="1"/>
  <c r="M264" i="1"/>
  <c r="M507" i="1"/>
  <c r="M160" i="1"/>
  <c r="M520" i="1"/>
  <c r="M31" i="1"/>
  <c r="M449" i="1"/>
  <c r="M457" i="1"/>
  <c r="M510" i="1"/>
  <c r="M124" i="1"/>
  <c r="M420" i="1"/>
  <c r="M216" i="1"/>
  <c r="M525" i="1"/>
  <c r="M564" i="1"/>
  <c r="M197" i="1"/>
  <c r="M600" i="1"/>
  <c r="M698" i="1"/>
  <c r="M400" i="1"/>
  <c r="M174" i="1"/>
  <c r="M210" i="1"/>
  <c r="M693" i="1"/>
  <c r="M488" i="1"/>
  <c r="M270" i="1"/>
  <c r="M137" i="1"/>
  <c r="M573" i="1"/>
  <c r="M67" i="1"/>
  <c r="M546" i="1"/>
  <c r="M138" i="1"/>
  <c r="M13" i="1"/>
  <c r="M524" i="1"/>
  <c r="M686" i="1"/>
  <c r="M619" i="1"/>
  <c r="M486" i="1"/>
  <c r="M712" i="1"/>
  <c r="M643" i="1"/>
  <c r="M496" i="1"/>
  <c r="M28" i="1"/>
  <c r="M274" i="1"/>
  <c r="M231" i="1"/>
  <c r="M122" i="1"/>
  <c r="M34" i="1"/>
  <c r="M143" i="1"/>
  <c r="M182" i="1"/>
  <c r="M33" i="1"/>
  <c r="M36" i="1"/>
  <c r="M20" i="1"/>
  <c r="M214" i="1"/>
  <c r="M515" i="1"/>
  <c r="M410" i="1"/>
  <c r="M424" i="1"/>
  <c r="M93" i="1"/>
  <c r="M304" i="1"/>
  <c r="M130" i="1"/>
  <c r="M521" i="1"/>
  <c r="M19" i="1"/>
  <c r="M43" i="1"/>
  <c r="M52" i="1"/>
  <c r="M487" i="1"/>
  <c r="M108" i="1"/>
  <c r="M188" i="1"/>
  <c r="M76" i="1"/>
  <c r="M348" i="1"/>
  <c r="M533" i="1"/>
  <c r="M111" i="1"/>
  <c r="M529" i="1"/>
  <c r="M511" i="1"/>
  <c r="M175" i="1"/>
  <c r="M408" i="1"/>
  <c r="M18" i="1"/>
  <c r="M133" i="1"/>
  <c r="M658" i="1"/>
  <c r="M542" i="1"/>
  <c r="M470" i="1"/>
  <c r="M354" i="1"/>
  <c r="M469" i="1"/>
  <c r="M169" i="1"/>
  <c r="M323" i="1"/>
  <c r="M318" i="1"/>
  <c r="M440" i="1"/>
  <c r="M252" i="1"/>
  <c r="M589" i="1"/>
  <c r="M645" i="1"/>
  <c r="M432" i="1"/>
  <c r="M350" i="1"/>
  <c r="M298" i="1"/>
  <c r="M706" i="1"/>
  <c r="M539" i="1"/>
  <c r="M381" i="1"/>
  <c r="M427" i="1"/>
  <c r="M311" i="1"/>
  <c r="M611" i="1"/>
  <c r="M621" i="1"/>
  <c r="M128" i="1"/>
  <c r="M208" i="1"/>
  <c r="M5" i="1"/>
  <c r="M64" i="1"/>
  <c r="M218" i="1"/>
  <c r="M411" i="1"/>
  <c r="M114" i="1"/>
  <c r="M342" i="1"/>
  <c r="M256" i="1"/>
  <c r="M494" i="1"/>
  <c r="M301" i="1"/>
  <c r="M365" i="1"/>
  <c r="M337" i="1"/>
  <c r="M106" i="1"/>
  <c r="M173" i="1"/>
  <c r="M419" i="1"/>
  <c r="M576" i="1"/>
  <c r="M88" i="1"/>
  <c r="M543" i="1"/>
  <c r="M79" i="1"/>
  <c r="M361" i="1"/>
  <c r="M145" i="1"/>
  <c r="M327" i="1"/>
  <c r="M123" i="1"/>
  <c r="M550" i="1"/>
  <c r="M549" i="1"/>
  <c r="M479" i="1"/>
  <c r="M441" i="1"/>
  <c r="M377" i="1"/>
  <c r="M149" i="1"/>
  <c r="M366" i="1"/>
  <c r="M642" i="1"/>
  <c r="M562" i="1"/>
  <c r="M372" i="1"/>
  <c r="M458" i="1"/>
  <c r="M548" i="1"/>
  <c r="M451" i="1"/>
  <c r="M668" i="1"/>
  <c r="M704" i="1"/>
  <c r="M579" i="1"/>
  <c r="M240" i="1"/>
  <c r="M673" i="1"/>
  <c r="M584" i="1"/>
  <c r="M532" i="1"/>
  <c r="M661" i="1"/>
  <c r="M577" i="1"/>
  <c r="M322" i="1"/>
  <c r="M508" i="1"/>
  <c r="M588" i="1"/>
  <c r="M491" i="1"/>
  <c r="M626" i="1"/>
  <c r="M672" i="1"/>
  <c r="M116" i="1"/>
  <c r="M620" i="1"/>
  <c r="M676" i="1"/>
  <c r="M552" i="1"/>
  <c r="M359" i="1"/>
  <c r="M3" i="1"/>
  <c r="M637" i="1"/>
  <c r="M425" i="1"/>
  <c r="M612" i="1"/>
  <c r="M685" i="1"/>
  <c r="M711" i="1"/>
  <c r="M654" i="1"/>
  <c r="M421" i="1"/>
  <c r="M531" i="1"/>
  <c r="M666" i="1"/>
  <c r="M509" i="1"/>
  <c r="M651" i="1"/>
  <c r="M623" i="1"/>
  <c r="M568" i="1"/>
  <c r="M648" i="1"/>
  <c r="M334" i="1"/>
  <c r="M127" i="1"/>
  <c r="M606" i="1"/>
  <c r="M492" i="1"/>
  <c r="M628" i="1"/>
  <c r="M586" i="1"/>
  <c r="M147" i="1"/>
  <c r="M530" i="1"/>
  <c r="M452" i="1"/>
  <c r="M367" i="1"/>
  <c r="M601" i="1"/>
  <c r="M117" i="1"/>
  <c r="M490" i="1"/>
  <c r="M547" i="1"/>
  <c r="M73" i="1"/>
  <c r="M662" i="1"/>
  <c r="M71" i="1"/>
  <c r="M392" i="1"/>
  <c r="M649" i="1"/>
  <c r="M321" i="1"/>
  <c r="M146" i="1"/>
  <c r="M49" i="1"/>
  <c r="M105" i="1"/>
  <c r="M364" i="1"/>
  <c r="M603" i="1"/>
  <c r="M345" i="1"/>
  <c r="M593" i="1"/>
  <c r="M228" i="1"/>
  <c r="M349" i="1"/>
  <c r="M659" i="1"/>
  <c r="M708" i="1"/>
  <c r="M583" i="1"/>
  <c r="M597" i="1"/>
  <c r="M402" i="1"/>
  <c r="M722" i="1"/>
  <c r="M416" i="1"/>
  <c r="M84" i="1"/>
  <c r="M670" i="1"/>
  <c r="M343" i="1"/>
  <c r="M655" i="1"/>
  <c r="M675" i="1"/>
  <c r="M217" i="1"/>
  <c r="M362" i="1"/>
  <c r="M307" i="1"/>
  <c r="M251" i="1"/>
  <c r="M560" i="1"/>
  <c r="M103" i="1"/>
  <c r="M37" i="1"/>
  <c r="M166" i="1"/>
  <c r="M295" i="1"/>
  <c r="M386" i="1"/>
  <c r="M189" i="1"/>
  <c r="M142" i="1"/>
  <c r="M545" i="1"/>
  <c r="M378" i="1"/>
  <c r="M65" i="1"/>
  <c r="M324" i="1"/>
  <c r="M308" i="1"/>
  <c r="M227" i="1"/>
  <c r="M7" i="1"/>
  <c r="M267" i="1"/>
  <c r="M541" i="1"/>
  <c r="M98" i="1"/>
  <c r="M460" i="1"/>
  <c r="M618" i="1"/>
  <c r="M314" i="1"/>
  <c r="M40" i="1"/>
  <c r="M221" i="1"/>
  <c r="M303" i="1"/>
  <c r="M249" i="1"/>
  <c r="M397" i="1"/>
  <c r="M159" i="1"/>
  <c r="M213" i="1"/>
  <c r="M388" i="1"/>
  <c r="M499" i="1"/>
  <c r="M286" i="1"/>
  <c r="M403" i="1"/>
  <c r="M471" i="1"/>
  <c r="M489" i="1"/>
  <c r="M692" i="1"/>
  <c r="M630" i="1"/>
  <c r="M226" i="1"/>
  <c r="M477" i="1"/>
  <c r="M683" i="1"/>
  <c r="M716" i="1"/>
  <c r="M624" i="1"/>
  <c r="M602" i="1"/>
  <c r="M590" i="1"/>
  <c r="M24" i="1"/>
  <c r="M328" i="1"/>
  <c r="M707" i="1"/>
  <c r="M569" i="1"/>
  <c r="M609" i="1"/>
  <c r="M99" i="1"/>
  <c r="M512" i="1"/>
  <c r="M233" i="1"/>
  <c r="M202" i="1"/>
  <c r="M194" i="1"/>
  <c r="M453" i="1"/>
  <c r="M100" i="1"/>
  <c r="M370" i="1"/>
  <c r="M203" i="1"/>
  <c r="M500" i="1"/>
  <c r="M266" i="1"/>
  <c r="M534" i="1"/>
  <c r="M102" i="1"/>
  <c r="M234" i="1"/>
  <c r="M434" i="1"/>
  <c r="M230" i="1"/>
  <c r="M181" i="1"/>
  <c r="M281" i="1"/>
  <c r="M566" i="1"/>
  <c r="M220" i="1"/>
  <c r="M443" i="1"/>
  <c r="M353" i="1"/>
  <c r="M360" i="1"/>
  <c r="M63" i="1"/>
  <c r="M463" i="1"/>
  <c r="M459" i="1"/>
  <c r="M565" i="1"/>
  <c r="M134" i="1"/>
  <c r="M475" i="1"/>
  <c r="M26" i="1"/>
  <c r="M199" i="1"/>
  <c r="M581" i="1"/>
  <c r="M657" i="1"/>
  <c r="M47" i="1"/>
  <c r="M136" i="1"/>
  <c r="M87" i="1"/>
  <c r="M277" i="1"/>
  <c r="M51" i="1"/>
  <c r="M447" i="1"/>
  <c r="M50" i="1"/>
  <c r="M192" i="1"/>
  <c r="M132" i="1"/>
  <c r="M480" i="1"/>
  <c r="M32" i="1"/>
  <c r="M385" i="1"/>
  <c r="M622" i="1"/>
  <c r="M329" i="1"/>
  <c r="M399" i="1"/>
  <c r="M616" i="1"/>
  <c r="M678" i="1"/>
  <c r="M665" i="1"/>
  <c r="M715" i="1"/>
  <c r="M717" i="1"/>
  <c r="M595" i="1"/>
  <c r="M687" i="1"/>
  <c r="C42" i="38"/>
  <c r="D42" i="38"/>
  <c r="D21" i="38"/>
  <c r="C71" i="38"/>
  <c r="D71" i="38" s="1"/>
  <c r="G63" i="38"/>
  <c r="H51" i="38"/>
  <c r="H39" i="59"/>
  <c r="C33" i="56"/>
  <c r="G287" i="81"/>
  <c r="G8" i="91"/>
  <c r="G9" i="91" s="1"/>
  <c r="F287" i="81"/>
  <c r="F8" i="91"/>
  <c r="F9" i="91" s="1"/>
  <c r="C15" i="32"/>
  <c r="C14" i="32"/>
  <c r="J39" i="59"/>
  <c r="D39" i="59"/>
  <c r="D46" i="16"/>
  <c r="O22" i="16"/>
  <c r="E24" i="16"/>
  <c r="G24" i="16" s="1"/>
  <c r="I24" i="16" s="1"/>
  <c r="C25" i="16" s="1"/>
  <c r="N23" i="16"/>
  <c r="G45" i="16"/>
  <c r="I45" i="16" s="1"/>
  <c r="C46" i="16" s="1"/>
  <c r="E167" i="33"/>
  <c r="D77" i="55"/>
  <c r="C12" i="56"/>
  <c r="D15" i="69"/>
  <c r="H14" i="69"/>
  <c r="I14" i="69" s="1"/>
  <c r="E14" i="69"/>
  <c r="K13" i="69"/>
  <c r="J13" i="69"/>
  <c r="J24" i="16"/>
  <c r="J25" i="16" s="1"/>
  <c r="H40" i="2"/>
  <c r="I34" i="2" s="1"/>
  <c r="E27" i="39"/>
  <c r="E20" i="39"/>
  <c r="E42" i="38"/>
  <c r="D74" i="38"/>
  <c r="E71" i="38"/>
  <c r="D24" i="38"/>
  <c r="E21" i="38"/>
  <c r="F54" i="55"/>
  <c r="P64" i="55" s="1"/>
  <c r="P65" i="55" s="1"/>
  <c r="H46" i="55"/>
  <c r="C48" i="55"/>
  <c r="C39" i="55"/>
  <c r="C38" i="55"/>
  <c r="D55" i="55"/>
  <c r="G63" i="55"/>
  <c r="G65" i="55" s="1"/>
  <c r="F63" i="55"/>
  <c r="F65" i="55" s="1"/>
  <c r="E63" i="55"/>
  <c r="E65" i="55" s="1"/>
  <c r="D63" i="55"/>
  <c r="D65" i="55" s="1"/>
  <c r="C62" i="55"/>
  <c r="C65" i="55" s="1"/>
  <c r="C55" i="55"/>
  <c r="K66" i="70"/>
  <c r="K70" i="70"/>
  <c r="J71" i="70"/>
  <c r="J68" i="70"/>
  <c r="L24" i="70"/>
  <c r="L28" i="70"/>
  <c r="K29" i="70"/>
  <c r="K26" i="70"/>
  <c r="M39" i="70"/>
  <c r="N34" i="70"/>
  <c r="N39" i="70" s="1"/>
  <c r="L43" i="70"/>
  <c r="K41" i="70"/>
  <c r="K44" i="70"/>
  <c r="L4" i="70"/>
  <c r="K13" i="70"/>
  <c r="K14" i="70"/>
  <c r="K11" i="70"/>
  <c r="L9" i="70"/>
  <c r="M9" i="70" s="1"/>
  <c r="J29" i="69"/>
  <c r="H29" i="69"/>
  <c r="D30" i="69"/>
  <c r="E30" i="69" s="1"/>
  <c r="J167" i="33"/>
  <c r="G229" i="33"/>
  <c r="L17" i="33"/>
  <c r="D182" i="33" s="1"/>
  <c r="L15" i="33"/>
  <c r="K229" i="33"/>
  <c r="L146" i="33"/>
  <c r="L148" i="33" s="1"/>
  <c r="C68" i="47"/>
  <c r="C69" i="47" s="1"/>
  <c r="L16" i="33"/>
  <c r="D217" i="33"/>
  <c r="C167" i="33"/>
  <c r="E24" i="47"/>
  <c r="G167" i="33"/>
  <c r="K167" i="33"/>
  <c r="C229" i="33"/>
  <c r="D24" i="47"/>
  <c r="L167" i="33"/>
  <c r="D167" i="33"/>
  <c r="D229" i="33"/>
  <c r="H167" i="33"/>
  <c r="C18" i="47"/>
  <c r="C84" i="47" s="1"/>
  <c r="C85" i="47" s="1"/>
  <c r="C87" i="47" s="1"/>
  <c r="I167" i="33"/>
  <c r="H12" i="47"/>
  <c r="F167" i="33"/>
  <c r="I146" i="33"/>
  <c r="I148" i="33" s="1"/>
  <c r="I9" i="33"/>
  <c r="I13" i="33" s="1"/>
  <c r="I17" i="33" s="1"/>
  <c r="I16" i="33"/>
  <c r="D15" i="33"/>
  <c r="C255" i="33"/>
  <c r="D264" i="33"/>
  <c r="H265" i="33"/>
  <c r="H16" i="33"/>
  <c r="H146" i="33"/>
  <c r="H148" i="33" s="1"/>
  <c r="H9" i="33"/>
  <c r="H13" i="33" s="1"/>
  <c r="F26" i="47"/>
  <c r="G26" i="47"/>
  <c r="H26" i="47" s="1"/>
  <c r="G17" i="33"/>
  <c r="G15" i="33"/>
  <c r="G264" i="33"/>
  <c r="J264" i="33"/>
  <c r="J17" i="33"/>
  <c r="J15" i="33"/>
  <c r="F15" i="33"/>
  <c r="F264" i="33"/>
  <c r="F17" i="33"/>
  <c r="E17" i="33"/>
  <c r="E264" i="33"/>
  <c r="E15" i="33"/>
  <c r="C17" i="33"/>
  <c r="C264" i="33"/>
  <c r="C15" i="33"/>
  <c r="C245" i="33"/>
  <c r="C247" i="33" s="1"/>
  <c r="C249" i="33" s="1"/>
  <c r="K17" i="33"/>
  <c r="K264" i="33"/>
  <c r="K15" i="33"/>
  <c r="D137" i="33"/>
  <c r="D263" i="33"/>
  <c r="D233" i="33"/>
  <c r="D235" i="33" s="1"/>
  <c r="G27" i="47"/>
  <c r="N27" i="47" s="1"/>
  <c r="O27" i="47" s="1"/>
  <c r="I25" i="47"/>
  <c r="J25" i="47" s="1"/>
  <c r="L25" i="47"/>
  <c r="M25" i="47" s="1"/>
  <c r="D18" i="47"/>
  <c r="D84" i="47" s="1"/>
  <c r="D85" i="47" s="1"/>
  <c r="D87" i="47" s="1"/>
  <c r="F149" i="81" s="1"/>
  <c r="D7" i="86" s="1"/>
  <c r="D50" i="47"/>
  <c r="C50" i="47"/>
  <c r="C55" i="47" s="1"/>
  <c r="C57" i="47" s="1"/>
  <c r="D39" i="47"/>
  <c r="C40" i="47"/>
  <c r="D40" i="47" s="1"/>
  <c r="C29" i="47"/>
  <c r="F24" i="30"/>
  <c r="F37" i="30"/>
  <c r="K31" i="30" s="1"/>
  <c r="D67" i="47"/>
  <c r="F7" i="39"/>
  <c r="F9" i="39" s="1"/>
  <c r="F14" i="39"/>
  <c r="F16" i="39" s="1"/>
  <c r="G4" i="39"/>
  <c r="E18" i="39"/>
  <c r="D49" i="24"/>
  <c r="G49" i="24" s="1"/>
  <c r="D20" i="24"/>
  <c r="G129" i="27"/>
  <c r="D130" i="27" s="1"/>
  <c r="F129" i="27"/>
  <c r="F199" i="27"/>
  <c r="F110" i="27"/>
  <c r="G110" i="27"/>
  <c r="D111" i="27" s="1"/>
  <c r="W4" i="22" l="1"/>
  <c r="X4" i="22" s="1"/>
  <c r="AM661" i="22"/>
  <c r="AM410" i="22"/>
  <c r="AM544" i="22"/>
  <c r="AM525" i="22"/>
  <c r="AM1045" i="22"/>
  <c r="AM524" i="22"/>
  <c r="AM1200" i="22"/>
  <c r="AM1134" i="22"/>
  <c r="AK364" i="22"/>
  <c r="AK365" i="22" s="1"/>
  <c r="AK366" i="22" s="1"/>
  <c r="AM861" i="22"/>
  <c r="AM1158" i="22"/>
  <c r="AM736" i="22"/>
  <c r="AM750" i="22"/>
  <c r="AM912" i="22"/>
  <c r="AM966" i="22"/>
  <c r="AM556" i="22"/>
  <c r="AJ556" i="22"/>
  <c r="AM978" i="22"/>
  <c r="AM540" i="22"/>
  <c r="AM683" i="22"/>
  <c r="AM738" i="22"/>
  <c r="AM1056" i="22"/>
  <c r="AM958" i="22"/>
  <c r="AM1160" i="22"/>
  <c r="AM668" i="22"/>
  <c r="AM456" i="22"/>
  <c r="AM854" i="22"/>
  <c r="AM1202" i="22"/>
  <c r="AM797" i="22"/>
  <c r="AM979" i="22"/>
  <c r="AM852" i="22"/>
  <c r="AM1090" i="22"/>
  <c r="AM584" i="22"/>
  <c r="AM654" i="22"/>
  <c r="AM1184" i="22"/>
  <c r="AM1102" i="22"/>
  <c r="T6" i="22"/>
  <c r="W5" i="22"/>
  <c r="X5" i="22" s="1"/>
  <c r="AM1114" i="22"/>
  <c r="AM700" i="22"/>
  <c r="AM443" i="22"/>
  <c r="AM1058" i="22"/>
  <c r="AM787" i="22"/>
  <c r="AM498" i="22"/>
  <c r="U128" i="22"/>
  <c r="U129" i="22" s="1"/>
  <c r="U130" i="22" s="1"/>
  <c r="U131" i="22" s="1"/>
  <c r="U132" i="22" s="1"/>
  <c r="U133" i="22" s="1"/>
  <c r="U134" i="22" s="1"/>
  <c r="U135" i="22" s="1"/>
  <c r="U136" i="22" s="1"/>
  <c r="U137" i="22" s="1"/>
  <c r="U138" i="22" s="1"/>
  <c r="U139" i="22" s="1"/>
  <c r="U140" i="22" s="1"/>
  <c r="U141" i="22" s="1"/>
  <c r="U142" i="22" s="1"/>
  <c r="U143" i="22" s="1"/>
  <c r="U144" i="22" s="1"/>
  <c r="U145" i="22" s="1"/>
  <c r="U146" i="22" s="1"/>
  <c r="U147" i="22" s="1"/>
  <c r="U148" i="22" s="1"/>
  <c r="U149" i="22" s="1"/>
  <c r="U150" i="22" s="1"/>
  <c r="U151" i="22" s="1"/>
  <c r="U152" i="22" s="1"/>
  <c r="U153" i="22" s="1"/>
  <c r="U154" i="22" s="1"/>
  <c r="U155" i="22" s="1"/>
  <c r="U156" i="22" s="1"/>
  <c r="U157" i="22" s="1"/>
  <c r="U158" i="22" s="1"/>
  <c r="U159" i="22" s="1"/>
  <c r="U160" i="22" s="1"/>
  <c r="U161" i="22" s="1"/>
  <c r="U162" i="22" s="1"/>
  <c r="U163" i="22" s="1"/>
  <c r="U164" i="22" s="1"/>
  <c r="U165" i="22" s="1"/>
  <c r="U166" i="22" s="1"/>
  <c r="U167" i="22" s="1"/>
  <c r="U168" i="22" s="1"/>
  <c r="U169" i="22" s="1"/>
  <c r="U170" i="22" s="1"/>
  <c r="U171" i="22" s="1"/>
  <c r="U172" i="22" s="1"/>
  <c r="U173" i="22" s="1"/>
  <c r="U174" i="22" s="1"/>
  <c r="U175" i="22" s="1"/>
  <c r="U176" i="22" s="1"/>
  <c r="U177" i="22" s="1"/>
  <c r="U178" i="22" s="1"/>
  <c r="U179" i="22" s="1"/>
  <c r="U180" i="22" s="1"/>
  <c r="U181" i="22" s="1"/>
  <c r="U182" i="22" s="1"/>
  <c r="U183" i="22" s="1"/>
  <c r="U184" i="22" s="1"/>
  <c r="U185" i="22" s="1"/>
  <c r="U186" i="22" s="1"/>
  <c r="U187" i="22" s="1"/>
  <c r="U188" i="22" s="1"/>
  <c r="U189" i="22" s="1"/>
  <c r="U190" i="22" s="1"/>
  <c r="U191" i="22" s="1"/>
  <c r="AM733" i="22"/>
  <c r="AM554" i="22"/>
  <c r="AM487" i="22"/>
  <c r="AM374" i="22"/>
  <c r="AM1099" i="22"/>
  <c r="AM837" i="22"/>
  <c r="AM1050" i="22"/>
  <c r="AM1000" i="22"/>
  <c r="AM557" i="22"/>
  <c r="AM938" i="22"/>
  <c r="AM465" i="22"/>
  <c r="AM941" i="22"/>
  <c r="AM1221" i="22"/>
  <c r="AM621" i="22"/>
  <c r="AM796" i="22"/>
  <c r="AM618" i="22"/>
  <c r="AM592" i="22"/>
  <c r="AM1077" i="22"/>
  <c r="AM448" i="22"/>
  <c r="AM1048" i="22"/>
  <c r="AM506" i="22"/>
  <c r="AM512" i="22"/>
  <c r="AM922" i="22"/>
  <c r="AM870" i="22"/>
  <c r="AM602" i="22"/>
  <c r="AM370" i="22"/>
  <c r="AM1218" i="22"/>
  <c r="AM612" i="22"/>
  <c r="AM840" i="22"/>
  <c r="AM947" i="22"/>
  <c r="AM1100" i="22"/>
  <c r="AM431" i="22"/>
  <c r="AM504" i="22"/>
  <c r="AM1052" i="22"/>
  <c r="AM396" i="22"/>
  <c r="AM674" i="22"/>
  <c r="AM1168" i="22"/>
  <c r="AM421" i="22"/>
  <c r="AM848" i="22"/>
  <c r="AM376" i="22"/>
  <c r="AM646" i="22"/>
  <c r="AM688" i="22"/>
  <c r="AM1120" i="22"/>
  <c r="AM446" i="22"/>
  <c r="W67" i="22"/>
  <c r="T68" i="22"/>
  <c r="U67" i="22"/>
  <c r="U68" i="22" s="1"/>
  <c r="U69" i="22" s="1"/>
  <c r="U70" i="22" s="1"/>
  <c r="U71" i="22" s="1"/>
  <c r="U72" i="22" s="1"/>
  <c r="U73" i="22" s="1"/>
  <c r="U74" i="22" s="1"/>
  <c r="U75" i="22" s="1"/>
  <c r="U76" i="22" s="1"/>
  <c r="U77" i="22" s="1"/>
  <c r="U78" i="22" s="1"/>
  <c r="U79" i="22" s="1"/>
  <c r="U80" i="22" s="1"/>
  <c r="U81" i="22" s="1"/>
  <c r="U82" i="22" s="1"/>
  <c r="U83" i="22" s="1"/>
  <c r="U84" i="22" s="1"/>
  <c r="U85" i="22" s="1"/>
  <c r="U86" i="22" s="1"/>
  <c r="U87" i="22" s="1"/>
  <c r="U88" i="22" s="1"/>
  <c r="U89" i="22" s="1"/>
  <c r="U90" i="22" s="1"/>
  <c r="U91" i="22" s="1"/>
  <c r="U92" i="22" s="1"/>
  <c r="U93" i="22" s="1"/>
  <c r="U94" i="22" s="1"/>
  <c r="U95" i="22" s="1"/>
  <c r="U96" i="22" s="1"/>
  <c r="U97" i="22" s="1"/>
  <c r="U98" i="22" s="1"/>
  <c r="U99" i="22" s="1"/>
  <c r="U100" i="22" s="1"/>
  <c r="U101" i="22" s="1"/>
  <c r="U102" i="22" s="1"/>
  <c r="U103" i="22" s="1"/>
  <c r="U104" i="22" s="1"/>
  <c r="U105" i="22" s="1"/>
  <c r="U106" i="22" s="1"/>
  <c r="U107" i="22" s="1"/>
  <c r="U108" i="22" s="1"/>
  <c r="U109" i="22" s="1"/>
  <c r="U110" i="22" s="1"/>
  <c r="U111" i="22" s="1"/>
  <c r="U112" i="22" s="1"/>
  <c r="U113" i="22" s="1"/>
  <c r="U114" i="22" s="1"/>
  <c r="U115" i="22" s="1"/>
  <c r="U116" i="22" s="1"/>
  <c r="U117" i="22" s="1"/>
  <c r="U118" i="22" s="1"/>
  <c r="U119" i="22" s="1"/>
  <c r="U120" i="22" s="1"/>
  <c r="U121" i="22" s="1"/>
  <c r="U122" i="22" s="1"/>
  <c r="U123" i="22" s="1"/>
  <c r="U124" i="22" s="1"/>
  <c r="U125" i="22" s="1"/>
  <c r="U126" i="22" s="1"/>
  <c r="U127" i="22" s="1"/>
  <c r="AM399" i="22"/>
  <c r="AM859" i="22"/>
  <c r="AB366" i="22"/>
  <c r="AE365" i="22"/>
  <c r="AM1155" i="22"/>
  <c r="AM930" i="22"/>
  <c r="AM896" i="22"/>
  <c r="AM963" i="22"/>
  <c r="AM493" i="22"/>
  <c r="AM659" i="22"/>
  <c r="AM808" i="22"/>
  <c r="AM675" i="22"/>
  <c r="AM1069" i="22"/>
  <c r="AM770" i="22"/>
  <c r="AM939" i="22"/>
  <c r="AM610" i="22"/>
  <c r="AM1164" i="22"/>
  <c r="AM566" i="22"/>
  <c r="AM381" i="22"/>
  <c r="AM982" i="22"/>
  <c r="AM644" i="22"/>
  <c r="AM874" i="22"/>
  <c r="AM819" i="22"/>
  <c r="AM954" i="22"/>
  <c r="AM496" i="22"/>
  <c r="AM1072" i="22"/>
  <c r="AM1205" i="22"/>
  <c r="AM804" i="22"/>
  <c r="AM635" i="22"/>
  <c r="AM960" i="22"/>
  <c r="AM878" i="22"/>
  <c r="AC368" i="22"/>
  <c r="AC369" i="22" s="1"/>
  <c r="AG367" i="22"/>
  <c r="AM514" i="22"/>
  <c r="AM1088" i="22"/>
  <c r="AM409" i="22"/>
  <c r="AM562" i="22"/>
  <c r="AM491" i="22"/>
  <c r="AM1236" i="22"/>
  <c r="AM974" i="22"/>
  <c r="AM949" i="22"/>
  <c r="AM637" i="22"/>
  <c r="AM454" i="22"/>
  <c r="AM651" i="22"/>
  <c r="AM1210" i="22"/>
  <c r="AM891" i="22"/>
  <c r="AM1156" i="22"/>
  <c r="AM383" i="22"/>
  <c r="AM368" i="22"/>
  <c r="AG368" i="22"/>
  <c r="AM550" i="22"/>
  <c r="AM842" i="22"/>
  <c r="AM1104" i="22"/>
  <c r="AM457" i="22"/>
  <c r="AM587" i="22"/>
  <c r="AM1030" i="22"/>
  <c r="AM1171" i="22"/>
  <c r="AM384" i="22"/>
  <c r="T192" i="22"/>
  <c r="T129" i="22"/>
  <c r="AM702" i="22"/>
  <c r="AM1092" i="22"/>
  <c r="AM965" i="22"/>
  <c r="AM365" i="22"/>
  <c r="AG365" i="22"/>
  <c r="AF365" i="22"/>
  <c r="AM794" i="22"/>
  <c r="AM411" i="22"/>
  <c r="AM652" i="22"/>
  <c r="AM851" i="22"/>
  <c r="AM920" i="22"/>
  <c r="AM1075" i="22"/>
  <c r="AM904" i="22"/>
  <c r="AM764" i="22"/>
  <c r="AM1037" i="22"/>
  <c r="AM382" i="22"/>
  <c r="AM414" i="22"/>
  <c r="AM478" i="22"/>
  <c r="AM452" i="22"/>
  <c r="AM995" i="22"/>
  <c r="AM678" i="22"/>
  <c r="AM1149" i="22"/>
  <c r="AM1032" i="22"/>
  <c r="AM722" i="22"/>
  <c r="AM560" i="22"/>
  <c r="AM1014" i="22"/>
  <c r="AM433" i="22"/>
  <c r="X3" i="22"/>
  <c r="AM666" i="22"/>
  <c r="AM780" i="22"/>
  <c r="AM962" i="22"/>
  <c r="AM542" i="22"/>
  <c r="AM616" i="22"/>
  <c r="AM894" i="22"/>
  <c r="AM570" i="22"/>
  <c r="AM923" i="22"/>
  <c r="AM474" i="22"/>
  <c r="AM1147" i="22"/>
  <c r="AM520" i="22"/>
  <c r="AM1112" i="22"/>
  <c r="H52" i="38"/>
  <c r="G53" i="38" s="1"/>
  <c r="D44" i="38" s="1"/>
  <c r="P60" i="38"/>
  <c r="F55" i="55"/>
  <c r="F166" i="81"/>
  <c r="D7" i="85"/>
  <c r="F46" i="32"/>
  <c r="F47" i="32" s="1"/>
  <c r="C46" i="32"/>
  <c r="C47" i="32" s="1"/>
  <c r="E18" i="47"/>
  <c r="G18" i="47" s="1"/>
  <c r="E149" i="81"/>
  <c r="C7" i="86" s="1"/>
  <c r="E25" i="16"/>
  <c r="G25" i="16" s="1"/>
  <c r="I25" i="16" s="1"/>
  <c r="C26" i="16" s="1"/>
  <c r="N24" i="16"/>
  <c r="D47" i="16"/>
  <c r="O23" i="16"/>
  <c r="G46" i="16"/>
  <c r="I46" i="16" s="1"/>
  <c r="C47" i="16" s="1"/>
  <c r="F168" i="33"/>
  <c r="F151" i="33" s="1"/>
  <c r="F152" i="33" s="1"/>
  <c r="F320" i="33" s="1"/>
  <c r="F321" i="33" s="1"/>
  <c r="L137" i="33"/>
  <c r="L233" i="33"/>
  <c r="L235" i="33" s="1"/>
  <c r="E67" i="39"/>
  <c r="E68" i="39" s="1"/>
  <c r="E65" i="39"/>
  <c r="K14" i="69"/>
  <c r="J14" i="69"/>
  <c r="D16" i="69"/>
  <c r="H15" i="69"/>
  <c r="I15" i="69" s="1"/>
  <c r="E15" i="69"/>
  <c r="J26" i="16"/>
  <c r="I38" i="2"/>
  <c r="I35" i="2"/>
  <c r="I40" i="2" s="1"/>
  <c r="I39" i="2"/>
  <c r="I37" i="2"/>
  <c r="I36" i="2"/>
  <c r="F20" i="39"/>
  <c r="E21" i="39"/>
  <c r="E22" i="39" s="1"/>
  <c r="F42" i="38"/>
  <c r="F71" i="38"/>
  <c r="E74" i="38"/>
  <c r="E24" i="38"/>
  <c r="F21" i="38"/>
  <c r="C57" i="55"/>
  <c r="C67" i="55"/>
  <c r="L66" i="70"/>
  <c r="L70" i="70"/>
  <c r="K71" i="70"/>
  <c r="K68" i="70"/>
  <c r="L26" i="70"/>
  <c r="L29" i="70"/>
  <c r="M28" i="70"/>
  <c r="M24" i="70"/>
  <c r="L41" i="70"/>
  <c r="L44" i="70"/>
  <c r="N43" i="70"/>
  <c r="M43" i="70"/>
  <c r="M4" i="70"/>
  <c r="L13" i="70"/>
  <c r="N9" i="70"/>
  <c r="L11" i="70"/>
  <c r="L14" i="70"/>
  <c r="J30" i="69"/>
  <c r="H30" i="69"/>
  <c r="D31" i="69"/>
  <c r="E31" i="69" s="1"/>
  <c r="K168" i="33"/>
  <c r="C214" i="33" s="1"/>
  <c r="C73" i="47"/>
  <c r="C76" i="47" s="1"/>
  <c r="H168" i="33"/>
  <c r="H151" i="33" s="1"/>
  <c r="H152" i="33" s="1"/>
  <c r="H320" i="33" s="1"/>
  <c r="H321" i="33" s="1"/>
  <c r="D168" i="33"/>
  <c r="D151" i="33" s="1"/>
  <c r="D152" i="33" s="1"/>
  <c r="D320" i="33" s="1"/>
  <c r="D321" i="33" s="1"/>
  <c r="I168" i="33"/>
  <c r="I140" i="33" s="1"/>
  <c r="L168" i="33"/>
  <c r="L151" i="33" s="1"/>
  <c r="L152" i="33" s="1"/>
  <c r="L320" i="33" s="1"/>
  <c r="L321" i="33" s="1"/>
  <c r="L24" i="47"/>
  <c r="M24" i="47" s="1"/>
  <c r="G168" i="33"/>
  <c r="G151" i="33" s="1"/>
  <c r="G152" i="33" s="1"/>
  <c r="G320" i="33" s="1"/>
  <c r="G321" i="33" s="1"/>
  <c r="H140" i="33"/>
  <c r="I24" i="47"/>
  <c r="J24" i="47" s="1"/>
  <c r="C90" i="47"/>
  <c r="H27" i="47"/>
  <c r="I27" i="47" s="1"/>
  <c r="J27" i="47" s="1"/>
  <c r="E168" i="33"/>
  <c r="C19" i="47"/>
  <c r="E84" i="47"/>
  <c r="E85" i="47" s="1"/>
  <c r="E87" i="47" s="1"/>
  <c r="I15" i="33"/>
  <c r="I264" i="33"/>
  <c r="J168" i="33"/>
  <c r="H264" i="33"/>
  <c r="H15" i="33"/>
  <c r="H17" i="33"/>
  <c r="I26" i="47"/>
  <c r="J26" i="47" s="1"/>
  <c r="N26" i="47"/>
  <c r="O26" i="47" s="1"/>
  <c r="O29" i="47" s="1"/>
  <c r="L26" i="47"/>
  <c r="M26" i="47" s="1"/>
  <c r="D90" i="47"/>
  <c r="I263" i="33"/>
  <c r="I137" i="33"/>
  <c r="I233" i="33"/>
  <c r="I235" i="33" s="1"/>
  <c r="E137" i="33"/>
  <c r="E263" i="33"/>
  <c r="E233" i="33"/>
  <c r="E235" i="33" s="1"/>
  <c r="C263" i="33"/>
  <c r="C233" i="33"/>
  <c r="C235" i="33" s="1"/>
  <c r="F263" i="33"/>
  <c r="F233" i="33"/>
  <c r="F235" i="33" s="1"/>
  <c r="F137" i="33"/>
  <c r="D19" i="47"/>
  <c r="J233" i="33"/>
  <c r="J235" i="33" s="1"/>
  <c r="J137" i="33"/>
  <c r="J263" i="33"/>
  <c r="K137" i="33"/>
  <c r="K233" i="33"/>
  <c r="K235" i="33" s="1"/>
  <c r="C244" i="33"/>
  <c r="C246" i="33" s="1"/>
  <c r="C259" i="33" s="1"/>
  <c r="C182" i="33"/>
  <c r="K263" i="33"/>
  <c r="G263" i="33"/>
  <c r="G137" i="33"/>
  <c r="G233" i="33"/>
  <c r="G235" i="33" s="1"/>
  <c r="C46" i="47"/>
  <c r="D68" i="47"/>
  <c r="D69" i="47" s="1"/>
  <c r="D78" i="47"/>
  <c r="D79" i="47" s="1"/>
  <c r="D9" i="39"/>
  <c r="F18" i="39"/>
  <c r="G7" i="39"/>
  <c r="G9" i="39" s="1"/>
  <c r="G14" i="39"/>
  <c r="G16" i="39" s="1"/>
  <c r="H4" i="39"/>
  <c r="G111" i="27"/>
  <c r="D112" i="27" s="1"/>
  <c r="F111" i="27"/>
  <c r="G130" i="27"/>
  <c r="D131" i="27" s="1"/>
  <c r="F130" i="27"/>
  <c r="X67" i="22" l="1"/>
  <c r="AE366" i="22"/>
  <c r="AB367" i="22"/>
  <c r="AF366" i="22"/>
  <c r="T7" i="22"/>
  <c r="W6" i="22"/>
  <c r="X6" i="22" s="1"/>
  <c r="T69" i="22"/>
  <c r="W68" i="22"/>
  <c r="X68" i="22" s="1"/>
  <c r="AC370" i="22"/>
  <c r="AG369" i="22"/>
  <c r="AK367" i="22"/>
  <c r="AN366" i="22"/>
  <c r="AO366" i="22" s="1"/>
  <c r="T130" i="22"/>
  <c r="W129" i="22"/>
  <c r="X129" i="22" s="1"/>
  <c r="W192" i="22"/>
  <c r="T193" i="22"/>
  <c r="U192" i="22"/>
  <c r="U193" i="22" s="1"/>
  <c r="U194" i="22" s="1"/>
  <c r="U195" i="22" s="1"/>
  <c r="U196" i="22" s="1"/>
  <c r="U197" i="22" s="1"/>
  <c r="U198" i="22" s="1"/>
  <c r="U199" i="22" s="1"/>
  <c r="U200" i="22" s="1"/>
  <c r="U201" i="22" s="1"/>
  <c r="U202" i="22" s="1"/>
  <c r="U203" i="22" s="1"/>
  <c r="U204" i="22" s="1"/>
  <c r="U205" i="22" s="1"/>
  <c r="U206" i="22" s="1"/>
  <c r="U207" i="22" s="1"/>
  <c r="U208" i="22" s="1"/>
  <c r="U209" i="22" s="1"/>
  <c r="U210" i="22" s="1"/>
  <c r="U211" i="22" s="1"/>
  <c r="U212" i="22" s="1"/>
  <c r="U213" i="22" s="1"/>
  <c r="U214" i="22" s="1"/>
  <c r="U215" i="22" s="1"/>
  <c r="U216" i="22" s="1"/>
  <c r="U217" i="22" s="1"/>
  <c r="U218" i="22" s="1"/>
  <c r="U219" i="22" s="1"/>
  <c r="U220" i="22" s="1"/>
  <c r="U221" i="22" s="1"/>
  <c r="U222" i="22" s="1"/>
  <c r="U223" i="22" s="1"/>
  <c r="U224" i="22" s="1"/>
  <c r="U225" i="22" s="1"/>
  <c r="U226" i="22" s="1"/>
  <c r="U227" i="22" s="1"/>
  <c r="U228" i="22" s="1"/>
  <c r="U229" i="22" s="1"/>
  <c r="U230" i="22" s="1"/>
  <c r="U231" i="22" s="1"/>
  <c r="U232" i="22" s="1"/>
  <c r="U233" i="22" s="1"/>
  <c r="U234" i="22" s="1"/>
  <c r="U235" i="22" s="1"/>
  <c r="U236" i="22" s="1"/>
  <c r="U237" i="22" s="1"/>
  <c r="U238" i="22" s="1"/>
  <c r="U239" i="22" s="1"/>
  <c r="U240" i="22" s="1"/>
  <c r="U241" i="22" s="1"/>
  <c r="U242" i="22" s="1"/>
  <c r="U243" i="22" s="1"/>
  <c r="U244" i="22" s="1"/>
  <c r="U245" i="22" s="1"/>
  <c r="U246" i="22" s="1"/>
  <c r="U247" i="22" s="1"/>
  <c r="U248" i="22" s="1"/>
  <c r="U249" i="22" s="1"/>
  <c r="U250" i="22" s="1"/>
  <c r="U251" i="22" s="1"/>
  <c r="U252" i="22" s="1"/>
  <c r="U253" i="22" s="1"/>
  <c r="U254" i="22" s="1"/>
  <c r="U255" i="22" s="1"/>
  <c r="U256" i="22" s="1"/>
  <c r="U257" i="22" s="1"/>
  <c r="U258" i="22" s="1"/>
  <c r="U259" i="22" s="1"/>
  <c r="U260" i="22" s="1"/>
  <c r="U261" i="22" s="1"/>
  <c r="U262" i="22" s="1"/>
  <c r="U263" i="22" s="1"/>
  <c r="U264" i="22" s="1"/>
  <c r="U265" i="22" s="1"/>
  <c r="U266" i="22" s="1"/>
  <c r="U267" i="22" s="1"/>
  <c r="U268" i="22" s="1"/>
  <c r="U269" i="22" s="1"/>
  <c r="U270" i="22" s="1"/>
  <c r="U271" i="22" s="1"/>
  <c r="U272" i="22" s="1"/>
  <c r="U273" i="22" s="1"/>
  <c r="U274" i="22" s="1"/>
  <c r="U275" i="22" s="1"/>
  <c r="U276" i="22" s="1"/>
  <c r="U277" i="22" s="1"/>
  <c r="U278" i="22" s="1"/>
  <c r="U279" i="22" s="1"/>
  <c r="U280" i="22" s="1"/>
  <c r="U281" i="22" s="1"/>
  <c r="U282" i="22" s="1"/>
  <c r="U283" i="22" s="1"/>
  <c r="U284" i="22" s="1"/>
  <c r="U285" i="22" s="1"/>
  <c r="U286" i="22" s="1"/>
  <c r="U287" i="22" s="1"/>
  <c r="U288" i="22" s="1"/>
  <c r="U289" i="22" s="1"/>
  <c r="U290" i="22" s="1"/>
  <c r="U291" i="22" s="1"/>
  <c r="U292" i="22" s="1"/>
  <c r="U293" i="22" s="1"/>
  <c r="U294" i="22" s="1"/>
  <c r="U295" i="22" s="1"/>
  <c r="U296" i="22" s="1"/>
  <c r="U297" i="22" s="1"/>
  <c r="U298" i="22" s="1"/>
  <c r="U299" i="22" s="1"/>
  <c r="U300" i="22" s="1"/>
  <c r="U301" i="22" s="1"/>
  <c r="U302" i="22" s="1"/>
  <c r="U303" i="22" s="1"/>
  <c r="U304" i="22" s="1"/>
  <c r="U305" i="22" s="1"/>
  <c r="U306" i="22" s="1"/>
  <c r="U307" i="22" s="1"/>
  <c r="U308" i="22" s="1"/>
  <c r="U309" i="22" s="1"/>
  <c r="U310" i="22" s="1"/>
  <c r="U311" i="22" s="1"/>
  <c r="U312" i="22" s="1"/>
  <c r="U313" i="22" s="1"/>
  <c r="U314" i="22" s="1"/>
  <c r="U315" i="22" s="1"/>
  <c r="U316" i="22" s="1"/>
  <c r="U317" i="22" s="1"/>
  <c r="U318" i="22" s="1"/>
  <c r="U319" i="22" s="1"/>
  <c r="U320" i="22" s="1"/>
  <c r="U321" i="22" s="1"/>
  <c r="U322" i="22" s="1"/>
  <c r="U323" i="22" s="1"/>
  <c r="U324" i="22" s="1"/>
  <c r="U325" i="22" s="1"/>
  <c r="U326" i="22" s="1"/>
  <c r="U327" i="22" s="1"/>
  <c r="U328" i="22" s="1"/>
  <c r="U329" i="22" s="1"/>
  <c r="U330" i="22" s="1"/>
  <c r="U331" i="22" s="1"/>
  <c r="U332" i="22" s="1"/>
  <c r="U333" i="22" s="1"/>
  <c r="U334" i="22" s="1"/>
  <c r="U335" i="22" s="1"/>
  <c r="U336" i="22" s="1"/>
  <c r="U337" i="22" s="1"/>
  <c r="U338" i="22" s="1"/>
  <c r="U339" i="22" s="1"/>
  <c r="U340" i="22" s="1"/>
  <c r="U341" i="22" s="1"/>
  <c r="U342" i="22" s="1"/>
  <c r="U343" i="22" s="1"/>
  <c r="U344" i="22" s="1"/>
  <c r="U345" i="22" s="1"/>
  <c r="U346" i="22" s="1"/>
  <c r="U347" i="22" s="1"/>
  <c r="U348" i="22" s="1"/>
  <c r="U349" i="22" s="1"/>
  <c r="U350" i="22" s="1"/>
  <c r="U351" i="22" s="1"/>
  <c r="U352" i="22" s="1"/>
  <c r="U353" i="22" s="1"/>
  <c r="U354" i="22" s="1"/>
  <c r="U355" i="22" s="1"/>
  <c r="U356" i="22" s="1"/>
  <c r="U357" i="22" s="1"/>
  <c r="U358" i="22" s="1"/>
  <c r="U359" i="22" s="1"/>
  <c r="U360" i="22" s="1"/>
  <c r="U361" i="22" s="1"/>
  <c r="U362" i="22" s="1"/>
  <c r="U363" i="22" s="1"/>
  <c r="U364" i="22" s="1"/>
  <c r="U365" i="22" s="1"/>
  <c r="U366" i="22" s="1"/>
  <c r="U367" i="22" s="1"/>
  <c r="U368" i="22" s="1"/>
  <c r="U369" i="22" s="1"/>
  <c r="U370" i="22" s="1"/>
  <c r="U371" i="22" s="1"/>
  <c r="U372" i="22" s="1"/>
  <c r="U373" i="22" s="1"/>
  <c r="U374" i="22" s="1"/>
  <c r="U375" i="22" s="1"/>
  <c r="U376" i="22" s="1"/>
  <c r="U377" i="22" s="1"/>
  <c r="U378" i="22" s="1"/>
  <c r="U379" i="22" s="1"/>
  <c r="U380" i="22" s="1"/>
  <c r="U381" i="22" s="1"/>
  <c r="U382" i="22" s="1"/>
  <c r="U383" i="22" s="1"/>
  <c r="U384" i="22" s="1"/>
  <c r="U385" i="22" s="1"/>
  <c r="U386" i="22" s="1"/>
  <c r="U387" i="22" s="1"/>
  <c r="U388" i="22" s="1"/>
  <c r="U389" i="22" s="1"/>
  <c r="U390" i="22" s="1"/>
  <c r="U391" i="22" s="1"/>
  <c r="U392" i="22" s="1"/>
  <c r="U393" i="22" s="1"/>
  <c r="U394" i="22" s="1"/>
  <c r="U395" i="22" s="1"/>
  <c r="U396" i="22" s="1"/>
  <c r="U397" i="22" s="1"/>
  <c r="U398" i="22" s="1"/>
  <c r="U399" i="22" s="1"/>
  <c r="U400" i="22" s="1"/>
  <c r="U401" i="22" s="1"/>
  <c r="U402" i="22" s="1"/>
  <c r="U403" i="22" s="1"/>
  <c r="U404" i="22" s="1"/>
  <c r="U405" i="22" s="1"/>
  <c r="U406" i="22" s="1"/>
  <c r="U407" i="22" s="1"/>
  <c r="U408" i="22" s="1"/>
  <c r="U409" i="22" s="1"/>
  <c r="U410" i="22" s="1"/>
  <c r="U411" i="22" s="1"/>
  <c r="U412" i="22" s="1"/>
  <c r="U413" i="22" s="1"/>
  <c r="U414" i="22" s="1"/>
  <c r="U415" i="22" s="1"/>
  <c r="U416" i="22" s="1"/>
  <c r="U417" i="22" s="1"/>
  <c r="U418" i="22" s="1"/>
  <c r="U419" i="22" s="1"/>
  <c r="U420" i="22" s="1"/>
  <c r="U421" i="22" s="1"/>
  <c r="U422" i="22" s="1"/>
  <c r="U423" i="22" s="1"/>
  <c r="U424" i="22" s="1"/>
  <c r="U425" i="22" s="1"/>
  <c r="U426" i="22" s="1"/>
  <c r="U427" i="22" s="1"/>
  <c r="U428" i="22" s="1"/>
  <c r="U429" i="22" s="1"/>
  <c r="U430" i="22" s="1"/>
  <c r="U431" i="22" s="1"/>
  <c r="U432" i="22" s="1"/>
  <c r="U433" i="22" s="1"/>
  <c r="U434" i="22" s="1"/>
  <c r="U435" i="22" s="1"/>
  <c r="U436" i="22" s="1"/>
  <c r="U437" i="22" s="1"/>
  <c r="U438" i="22" s="1"/>
  <c r="U439" i="22" s="1"/>
  <c r="U440" i="22" s="1"/>
  <c r="U441" i="22" s="1"/>
  <c r="U442" i="22" s="1"/>
  <c r="U443" i="22" s="1"/>
  <c r="U444" i="22" s="1"/>
  <c r="U445" i="22" s="1"/>
  <c r="U446" i="22" s="1"/>
  <c r="U447" i="22" s="1"/>
  <c r="U448" i="22" s="1"/>
  <c r="U449" i="22" s="1"/>
  <c r="U450" i="22" s="1"/>
  <c r="U451" i="22" s="1"/>
  <c r="U452" i="22" s="1"/>
  <c r="U453" i="22" s="1"/>
  <c r="U454" i="22" s="1"/>
  <c r="U455" i="22" s="1"/>
  <c r="U456" i="22" s="1"/>
  <c r="U457" i="22" s="1"/>
  <c r="U458" i="22" s="1"/>
  <c r="U459" i="22" s="1"/>
  <c r="U460" i="22" s="1"/>
  <c r="U461" i="22" s="1"/>
  <c r="U462" i="22" s="1"/>
  <c r="U463" i="22" s="1"/>
  <c r="U464" i="22" s="1"/>
  <c r="U465" i="22" s="1"/>
  <c r="U466" i="22" s="1"/>
  <c r="U467" i="22" s="1"/>
  <c r="U468" i="22" s="1"/>
  <c r="U469" i="22" s="1"/>
  <c r="U470" i="22" s="1"/>
  <c r="U471" i="22" s="1"/>
  <c r="U472" i="22" s="1"/>
  <c r="U473" i="22" s="1"/>
  <c r="U474" i="22" s="1"/>
  <c r="U475" i="22" s="1"/>
  <c r="U476" i="22" s="1"/>
  <c r="U477" i="22" s="1"/>
  <c r="U478" i="22" s="1"/>
  <c r="U479" i="22" s="1"/>
  <c r="U480" i="22" s="1"/>
  <c r="U481" i="22" s="1"/>
  <c r="U482" i="22" s="1"/>
  <c r="U483" i="22" s="1"/>
  <c r="U484" i="22" s="1"/>
  <c r="U485" i="22" s="1"/>
  <c r="U486" i="22" s="1"/>
  <c r="U487" i="22" s="1"/>
  <c r="U488" i="22" s="1"/>
  <c r="U489" i="22" s="1"/>
  <c r="U490" i="22" s="1"/>
  <c r="U491" i="22" s="1"/>
  <c r="U492" i="22" s="1"/>
  <c r="U493" i="22" s="1"/>
  <c r="U494" i="22" s="1"/>
  <c r="U495" i="22" s="1"/>
  <c r="U496" i="22" s="1"/>
  <c r="U497" i="22" s="1"/>
  <c r="U498" i="22" s="1"/>
  <c r="U499" i="22" s="1"/>
  <c r="U500" i="22" s="1"/>
  <c r="U501" i="22" s="1"/>
  <c r="U502" i="22" s="1"/>
  <c r="U503" i="22" s="1"/>
  <c r="U504" i="22" s="1"/>
  <c r="U505" i="22" s="1"/>
  <c r="U506" i="22" s="1"/>
  <c r="U507" i="22" s="1"/>
  <c r="U508" i="22" s="1"/>
  <c r="U509" i="22" s="1"/>
  <c r="U510" i="22" s="1"/>
  <c r="U511" i="22" s="1"/>
  <c r="U512" i="22" s="1"/>
  <c r="U513" i="22" s="1"/>
  <c r="U514" i="22" s="1"/>
  <c r="U515" i="22" s="1"/>
  <c r="U516" i="22" s="1"/>
  <c r="U517" i="22" s="1"/>
  <c r="U518" i="22" s="1"/>
  <c r="U519" i="22" s="1"/>
  <c r="U520" i="22" s="1"/>
  <c r="U521" i="22" s="1"/>
  <c r="U522" i="22" s="1"/>
  <c r="U523" i="22" s="1"/>
  <c r="U524" i="22" s="1"/>
  <c r="U525" i="22" s="1"/>
  <c r="U526" i="22" s="1"/>
  <c r="U527" i="22" s="1"/>
  <c r="U528" i="22" s="1"/>
  <c r="U529" i="22" s="1"/>
  <c r="U530" i="22" s="1"/>
  <c r="U531" i="22" s="1"/>
  <c r="U532" i="22" s="1"/>
  <c r="U533" i="22" s="1"/>
  <c r="U534" i="22" s="1"/>
  <c r="U535" i="22" s="1"/>
  <c r="U536" i="22" s="1"/>
  <c r="U537" i="22" s="1"/>
  <c r="U538" i="22" s="1"/>
  <c r="U539" i="22" s="1"/>
  <c r="U540" i="22" s="1"/>
  <c r="U541" i="22" s="1"/>
  <c r="U542" i="22" s="1"/>
  <c r="U543" i="22" s="1"/>
  <c r="U544" i="22" s="1"/>
  <c r="U545" i="22" s="1"/>
  <c r="U546" i="22" s="1"/>
  <c r="U547" i="22" s="1"/>
  <c r="U548" i="22" s="1"/>
  <c r="U549" i="22" s="1"/>
  <c r="U550" i="22" s="1"/>
  <c r="U551" i="22" s="1"/>
  <c r="U552" i="22" s="1"/>
  <c r="U553" i="22" s="1"/>
  <c r="U554" i="22" s="1"/>
  <c r="U555" i="22" s="1"/>
  <c r="U556" i="22" s="1"/>
  <c r="U557" i="22" s="1"/>
  <c r="U558" i="22" s="1"/>
  <c r="U559" i="22" s="1"/>
  <c r="U560" i="22" s="1"/>
  <c r="U561" i="22" s="1"/>
  <c r="U562" i="22" s="1"/>
  <c r="U563" i="22" s="1"/>
  <c r="U564" i="22" s="1"/>
  <c r="U565" i="22" s="1"/>
  <c r="U566" i="22" s="1"/>
  <c r="U567" i="22" s="1"/>
  <c r="U568" i="22" s="1"/>
  <c r="U569" i="22" s="1"/>
  <c r="U570" i="22" s="1"/>
  <c r="U571" i="22" s="1"/>
  <c r="U572" i="22" s="1"/>
  <c r="U573" i="22" s="1"/>
  <c r="U574" i="22" s="1"/>
  <c r="U575" i="22" s="1"/>
  <c r="U576" i="22" s="1"/>
  <c r="U577" i="22" s="1"/>
  <c r="U578" i="22" s="1"/>
  <c r="U579" i="22" s="1"/>
  <c r="U580" i="22" s="1"/>
  <c r="U581" i="22" s="1"/>
  <c r="U582" i="22" s="1"/>
  <c r="U583" i="22" s="1"/>
  <c r="U584" i="22" s="1"/>
  <c r="U585" i="22" s="1"/>
  <c r="U586" i="22" s="1"/>
  <c r="U587" i="22" s="1"/>
  <c r="U588" i="22" s="1"/>
  <c r="U589" i="22" s="1"/>
  <c r="U590" i="22" s="1"/>
  <c r="U591" i="22" s="1"/>
  <c r="U592" i="22" s="1"/>
  <c r="U593" i="22" s="1"/>
  <c r="U594" i="22" s="1"/>
  <c r="U595" i="22" s="1"/>
  <c r="U596" i="22" s="1"/>
  <c r="U597" i="22" s="1"/>
  <c r="U598" i="22" s="1"/>
  <c r="U599" i="22" s="1"/>
  <c r="U600" i="22" s="1"/>
  <c r="U601" i="22" s="1"/>
  <c r="U602" i="22" s="1"/>
  <c r="U603" i="22" s="1"/>
  <c r="U604" i="22" s="1"/>
  <c r="U605" i="22" s="1"/>
  <c r="U606" i="22" s="1"/>
  <c r="U607" i="22" s="1"/>
  <c r="U608" i="22" s="1"/>
  <c r="U609" i="22" s="1"/>
  <c r="U610" i="22" s="1"/>
  <c r="U611" i="22" s="1"/>
  <c r="U612" i="22" s="1"/>
  <c r="U613" i="22" s="1"/>
  <c r="U614" i="22" s="1"/>
  <c r="U615" i="22" s="1"/>
  <c r="U616" i="22" s="1"/>
  <c r="U617" i="22" s="1"/>
  <c r="U618" i="22" s="1"/>
  <c r="U619" i="22" s="1"/>
  <c r="U620" i="22" s="1"/>
  <c r="U621" i="22" s="1"/>
  <c r="U622" i="22" s="1"/>
  <c r="U623" i="22" s="1"/>
  <c r="U624" i="22" s="1"/>
  <c r="U625" i="22" s="1"/>
  <c r="U626" i="22" s="1"/>
  <c r="U627" i="22" s="1"/>
  <c r="U628" i="22" s="1"/>
  <c r="U629" i="22" s="1"/>
  <c r="U630" i="22" s="1"/>
  <c r="U631" i="22" s="1"/>
  <c r="U632" i="22" s="1"/>
  <c r="U633" i="22" s="1"/>
  <c r="U634" i="22" s="1"/>
  <c r="U635" i="22" s="1"/>
  <c r="U636" i="22" s="1"/>
  <c r="U637" i="22" s="1"/>
  <c r="U638" i="22" s="1"/>
  <c r="U639" i="22" s="1"/>
  <c r="U640" i="22" s="1"/>
  <c r="U641" i="22" s="1"/>
  <c r="U642" i="22" s="1"/>
  <c r="U643" i="22" s="1"/>
  <c r="U644" i="22" s="1"/>
  <c r="U645" i="22" s="1"/>
  <c r="U646" i="22" s="1"/>
  <c r="U647" i="22" s="1"/>
  <c r="U648" i="22" s="1"/>
  <c r="U649" i="22" s="1"/>
  <c r="U650" i="22" s="1"/>
  <c r="U651" i="22" s="1"/>
  <c r="U652" i="22" s="1"/>
  <c r="U653" i="22" s="1"/>
  <c r="U654" i="22" s="1"/>
  <c r="U655" i="22" s="1"/>
  <c r="U656" i="22" s="1"/>
  <c r="U657" i="22" s="1"/>
  <c r="U658" i="22" s="1"/>
  <c r="U659" i="22" s="1"/>
  <c r="U660" i="22" s="1"/>
  <c r="U661" i="22" s="1"/>
  <c r="U662" i="22" s="1"/>
  <c r="U663" i="22" s="1"/>
  <c r="U664" i="22" s="1"/>
  <c r="U665" i="22" s="1"/>
  <c r="U666" i="22" s="1"/>
  <c r="U667" i="22" s="1"/>
  <c r="U668" i="22" s="1"/>
  <c r="U669" i="22" s="1"/>
  <c r="U670" i="22" s="1"/>
  <c r="U671" i="22" s="1"/>
  <c r="U672" i="22" s="1"/>
  <c r="U673" i="22" s="1"/>
  <c r="U674" i="22" s="1"/>
  <c r="U675" i="22" s="1"/>
  <c r="U676" i="22" s="1"/>
  <c r="U677" i="22" s="1"/>
  <c r="U678" i="22" s="1"/>
  <c r="U679" i="22" s="1"/>
  <c r="U680" i="22" s="1"/>
  <c r="U681" i="22" s="1"/>
  <c r="U682" i="22" s="1"/>
  <c r="U683" i="22" s="1"/>
  <c r="U684" i="22" s="1"/>
  <c r="U685" i="22" s="1"/>
  <c r="U686" i="22" s="1"/>
  <c r="U687" i="22" s="1"/>
  <c r="U688" i="22" s="1"/>
  <c r="U689" i="22" s="1"/>
  <c r="U690" i="22" s="1"/>
  <c r="U691" i="22" s="1"/>
  <c r="U692" i="22" s="1"/>
  <c r="U693" i="22" s="1"/>
  <c r="U694" i="22" s="1"/>
  <c r="U695" i="22" s="1"/>
  <c r="U696" i="22" s="1"/>
  <c r="U697" i="22" s="1"/>
  <c r="U698" i="22" s="1"/>
  <c r="U699" i="22" s="1"/>
  <c r="U700" i="22" s="1"/>
  <c r="U701" i="22" s="1"/>
  <c r="U702" i="22" s="1"/>
  <c r="U703" i="22" s="1"/>
  <c r="U704" i="22" s="1"/>
  <c r="U705" i="22" s="1"/>
  <c r="U706" i="22" s="1"/>
  <c r="U707" i="22" s="1"/>
  <c r="U708" i="22" s="1"/>
  <c r="U709" i="22" s="1"/>
  <c r="U710" i="22" s="1"/>
  <c r="U711" i="22" s="1"/>
  <c r="U712" i="22" s="1"/>
  <c r="U713" i="22" s="1"/>
  <c r="U714" i="22" s="1"/>
  <c r="U715" i="22" s="1"/>
  <c r="U716" i="22" s="1"/>
  <c r="U717" i="22" s="1"/>
  <c r="U718" i="22" s="1"/>
  <c r="U719" i="22" s="1"/>
  <c r="U720" i="22" s="1"/>
  <c r="U721" i="22" s="1"/>
  <c r="U722" i="22" s="1"/>
  <c r="U723" i="22" s="1"/>
  <c r="U724" i="22" s="1"/>
  <c r="U725" i="22" s="1"/>
  <c r="U726" i="22" s="1"/>
  <c r="U727" i="22" s="1"/>
  <c r="U728" i="22" s="1"/>
  <c r="U729" i="22" s="1"/>
  <c r="U730" i="22" s="1"/>
  <c r="U731" i="22" s="1"/>
  <c r="U732" i="22" s="1"/>
  <c r="U733" i="22" s="1"/>
  <c r="U734" i="22" s="1"/>
  <c r="U735" i="22" s="1"/>
  <c r="U736" i="22" s="1"/>
  <c r="U737" i="22" s="1"/>
  <c r="U738" i="22" s="1"/>
  <c r="U739" i="22" s="1"/>
  <c r="U740" i="22" s="1"/>
  <c r="U741" i="22" s="1"/>
  <c r="U742" i="22" s="1"/>
  <c r="U743" i="22" s="1"/>
  <c r="U744" i="22" s="1"/>
  <c r="U745" i="22" s="1"/>
  <c r="U746" i="22" s="1"/>
  <c r="U747" i="22" s="1"/>
  <c r="U748" i="22" s="1"/>
  <c r="U749" i="22" s="1"/>
  <c r="U750" i="22" s="1"/>
  <c r="U751" i="22" s="1"/>
  <c r="U752" i="22" s="1"/>
  <c r="U753" i="22" s="1"/>
  <c r="U754" i="22" s="1"/>
  <c r="U755" i="22" s="1"/>
  <c r="U756" i="22" s="1"/>
  <c r="U757" i="22" s="1"/>
  <c r="U758" i="22" s="1"/>
  <c r="U759" i="22" s="1"/>
  <c r="U760" i="22" s="1"/>
  <c r="U761" i="22" s="1"/>
  <c r="U762" i="22" s="1"/>
  <c r="U763" i="22" s="1"/>
  <c r="U764" i="22" s="1"/>
  <c r="U765" i="22" s="1"/>
  <c r="U766" i="22" s="1"/>
  <c r="U767" i="22" s="1"/>
  <c r="U768" i="22" s="1"/>
  <c r="U769" i="22" s="1"/>
  <c r="U770" i="22" s="1"/>
  <c r="U771" i="22" s="1"/>
  <c r="U772" i="22" s="1"/>
  <c r="U773" i="22" s="1"/>
  <c r="U774" i="22" s="1"/>
  <c r="U775" i="22" s="1"/>
  <c r="U776" i="22" s="1"/>
  <c r="U777" i="22" s="1"/>
  <c r="U778" i="22" s="1"/>
  <c r="U779" i="22" s="1"/>
  <c r="U780" i="22" s="1"/>
  <c r="U781" i="22" s="1"/>
  <c r="U782" i="22" s="1"/>
  <c r="U783" i="22" s="1"/>
  <c r="U784" i="22" s="1"/>
  <c r="U785" i="22" s="1"/>
  <c r="U786" i="22" s="1"/>
  <c r="U787" i="22" s="1"/>
  <c r="U788" i="22" s="1"/>
  <c r="U789" i="22" s="1"/>
  <c r="U790" i="22" s="1"/>
  <c r="U791" i="22" s="1"/>
  <c r="U792" i="22" s="1"/>
  <c r="U793" i="22" s="1"/>
  <c r="U794" i="22" s="1"/>
  <c r="U795" i="22" s="1"/>
  <c r="U796" i="22" s="1"/>
  <c r="U797" i="22" s="1"/>
  <c r="U798" i="22" s="1"/>
  <c r="U799" i="22" s="1"/>
  <c r="U800" i="22" s="1"/>
  <c r="U801" i="22" s="1"/>
  <c r="U802" i="22" s="1"/>
  <c r="U803" i="22" s="1"/>
  <c r="U804" i="22" s="1"/>
  <c r="U805" i="22" s="1"/>
  <c r="U806" i="22" s="1"/>
  <c r="U807" i="22" s="1"/>
  <c r="U808" i="22" s="1"/>
  <c r="U809" i="22" s="1"/>
  <c r="U810" i="22" s="1"/>
  <c r="U811" i="22" s="1"/>
  <c r="U812" i="22" s="1"/>
  <c r="U813" i="22" s="1"/>
  <c r="U814" i="22" s="1"/>
  <c r="U815" i="22" s="1"/>
  <c r="U816" i="22" s="1"/>
  <c r="U817" i="22" s="1"/>
  <c r="U818" i="22" s="1"/>
  <c r="U819" i="22" s="1"/>
  <c r="U820" i="22" s="1"/>
  <c r="U821" i="22" s="1"/>
  <c r="U822" i="22" s="1"/>
  <c r="U823" i="22" s="1"/>
  <c r="U824" i="22" s="1"/>
  <c r="U825" i="22" s="1"/>
  <c r="U826" i="22" s="1"/>
  <c r="U827" i="22" s="1"/>
  <c r="U828" i="22" s="1"/>
  <c r="U829" i="22" s="1"/>
  <c r="U830" i="22" s="1"/>
  <c r="U831" i="22" s="1"/>
  <c r="U832" i="22" s="1"/>
  <c r="U833" i="22" s="1"/>
  <c r="U834" i="22" s="1"/>
  <c r="U835" i="22" s="1"/>
  <c r="U836" i="22" s="1"/>
  <c r="U837" i="22" s="1"/>
  <c r="U838" i="22" s="1"/>
  <c r="U839" i="22" s="1"/>
  <c r="U840" i="22" s="1"/>
  <c r="U841" i="22" s="1"/>
  <c r="U842" i="22" s="1"/>
  <c r="U843" i="22" s="1"/>
  <c r="U844" i="22" s="1"/>
  <c r="U845" i="22" s="1"/>
  <c r="U846" i="22" s="1"/>
  <c r="U847" i="22" s="1"/>
  <c r="U848" i="22" s="1"/>
  <c r="U849" i="22" s="1"/>
  <c r="U850" i="22" s="1"/>
  <c r="U851" i="22" s="1"/>
  <c r="U852" i="22" s="1"/>
  <c r="U853" i="22" s="1"/>
  <c r="U854" i="22" s="1"/>
  <c r="U855" i="22" s="1"/>
  <c r="U856" i="22" s="1"/>
  <c r="U857" i="22" s="1"/>
  <c r="U858" i="22" s="1"/>
  <c r="U859" i="22" s="1"/>
  <c r="U860" i="22" s="1"/>
  <c r="U861" i="22" s="1"/>
  <c r="U862" i="22" s="1"/>
  <c r="U863" i="22" s="1"/>
  <c r="U864" i="22" s="1"/>
  <c r="U865" i="22" s="1"/>
  <c r="U866" i="22" s="1"/>
  <c r="U867" i="22" s="1"/>
  <c r="U868" i="22" s="1"/>
  <c r="U869" i="22" s="1"/>
  <c r="U870" i="22" s="1"/>
  <c r="U871" i="22" s="1"/>
  <c r="U872" i="22" s="1"/>
  <c r="U873" i="22" s="1"/>
  <c r="U874" i="22" s="1"/>
  <c r="U875" i="22" s="1"/>
  <c r="U876" i="22" s="1"/>
  <c r="U877" i="22" s="1"/>
  <c r="U878" i="22" s="1"/>
  <c r="U879" i="22" s="1"/>
  <c r="U880" i="22" s="1"/>
  <c r="U881" i="22" s="1"/>
  <c r="U882" i="22" s="1"/>
  <c r="U883" i="22" s="1"/>
  <c r="U884" i="22" s="1"/>
  <c r="U885" i="22" s="1"/>
  <c r="U886" i="22" s="1"/>
  <c r="U887" i="22" s="1"/>
  <c r="U888" i="22" s="1"/>
  <c r="U889" i="22" s="1"/>
  <c r="U890" i="22" s="1"/>
  <c r="U891" i="22" s="1"/>
  <c r="U892" i="22" s="1"/>
  <c r="U893" i="22" s="1"/>
  <c r="U894" i="22" s="1"/>
  <c r="U895" i="22" s="1"/>
  <c r="U896" i="22" s="1"/>
  <c r="U897" i="22" s="1"/>
  <c r="U898" i="22" s="1"/>
  <c r="U899" i="22" s="1"/>
  <c r="U900" i="22" s="1"/>
  <c r="U901" i="22" s="1"/>
  <c r="U902" i="22" s="1"/>
  <c r="U903" i="22" s="1"/>
  <c r="U904" i="22" s="1"/>
  <c r="U905" i="22" s="1"/>
  <c r="U906" i="22" s="1"/>
  <c r="U907" i="22" s="1"/>
  <c r="U908" i="22" s="1"/>
  <c r="U909" i="22" s="1"/>
  <c r="U910" i="22" s="1"/>
  <c r="U911" i="22" s="1"/>
  <c r="U912" i="22" s="1"/>
  <c r="U913" i="22" s="1"/>
  <c r="U914" i="22" s="1"/>
  <c r="U915" i="22" s="1"/>
  <c r="U916" i="22" s="1"/>
  <c r="U917" i="22" s="1"/>
  <c r="U918" i="22" s="1"/>
  <c r="U919" i="22" s="1"/>
  <c r="U920" i="22" s="1"/>
  <c r="U921" i="22" s="1"/>
  <c r="U922" i="22" s="1"/>
  <c r="U923" i="22" s="1"/>
  <c r="U924" i="22" s="1"/>
  <c r="U925" i="22" s="1"/>
  <c r="U926" i="22" s="1"/>
  <c r="U927" i="22" s="1"/>
  <c r="U928" i="22" s="1"/>
  <c r="U929" i="22" s="1"/>
  <c r="U930" i="22" s="1"/>
  <c r="U931" i="22" s="1"/>
  <c r="U932" i="22" s="1"/>
  <c r="U933" i="22" s="1"/>
  <c r="U934" i="22" s="1"/>
  <c r="U935" i="22" s="1"/>
  <c r="U936" i="22" s="1"/>
  <c r="U937" i="22" s="1"/>
  <c r="U938" i="22" s="1"/>
  <c r="U939" i="22" s="1"/>
  <c r="U940" i="22" s="1"/>
  <c r="U941" i="22" s="1"/>
  <c r="U942" i="22" s="1"/>
  <c r="U943" i="22" s="1"/>
  <c r="U944" i="22" s="1"/>
  <c r="U945" i="22" s="1"/>
  <c r="U946" i="22" s="1"/>
  <c r="U947" i="22" s="1"/>
  <c r="U948" i="22" s="1"/>
  <c r="U949" i="22" s="1"/>
  <c r="U950" i="22" s="1"/>
  <c r="U951" i="22" s="1"/>
  <c r="U952" i="22" s="1"/>
  <c r="U953" i="22" s="1"/>
  <c r="U954" i="22" s="1"/>
  <c r="U955" i="22" s="1"/>
  <c r="U956" i="22" s="1"/>
  <c r="U957" i="22" s="1"/>
  <c r="U958" i="22" s="1"/>
  <c r="U959" i="22" s="1"/>
  <c r="U960" i="22" s="1"/>
  <c r="U961" i="22" s="1"/>
  <c r="U962" i="22" s="1"/>
  <c r="U963" i="22" s="1"/>
  <c r="U964" i="22" s="1"/>
  <c r="U965" i="22" s="1"/>
  <c r="U966" i="22" s="1"/>
  <c r="U967" i="22" s="1"/>
  <c r="U968" i="22" s="1"/>
  <c r="U969" i="22" s="1"/>
  <c r="U970" i="22" s="1"/>
  <c r="U971" i="22" s="1"/>
  <c r="U972" i="22" s="1"/>
  <c r="U973" i="22" s="1"/>
  <c r="U974" i="22" s="1"/>
  <c r="U975" i="22" s="1"/>
  <c r="U976" i="22" s="1"/>
  <c r="U977" i="22" s="1"/>
  <c r="U978" i="22" s="1"/>
  <c r="U979" i="22" s="1"/>
  <c r="U980" i="22" s="1"/>
  <c r="U981" i="22" s="1"/>
  <c r="U982" i="22" s="1"/>
  <c r="U983" i="22" s="1"/>
  <c r="U984" i="22" s="1"/>
  <c r="U985" i="22" s="1"/>
  <c r="U986" i="22" s="1"/>
  <c r="U987" i="22" s="1"/>
  <c r="U988" i="22" s="1"/>
  <c r="U989" i="22" s="1"/>
  <c r="U990" i="22" s="1"/>
  <c r="U991" i="22" s="1"/>
  <c r="U992" i="22" s="1"/>
  <c r="U993" i="22" s="1"/>
  <c r="U994" i="22" s="1"/>
  <c r="U995" i="22" s="1"/>
  <c r="U996" i="22" s="1"/>
  <c r="U997" i="22" s="1"/>
  <c r="U998" i="22" s="1"/>
  <c r="U999" i="22" s="1"/>
  <c r="U1000" i="22" s="1"/>
  <c r="U1001" i="22" s="1"/>
  <c r="U1002" i="22" s="1"/>
  <c r="U1003" i="22" s="1"/>
  <c r="U1004" i="22" s="1"/>
  <c r="U1005" i="22" s="1"/>
  <c r="U1006" i="22" s="1"/>
  <c r="U1007" i="22" s="1"/>
  <c r="U1008" i="22" s="1"/>
  <c r="U1009" i="22" s="1"/>
  <c r="U1010" i="22" s="1"/>
  <c r="U1011" i="22" s="1"/>
  <c r="U1012" i="22" s="1"/>
  <c r="U1013" i="22" s="1"/>
  <c r="U1014" i="22" s="1"/>
  <c r="U1015" i="22" s="1"/>
  <c r="U1016" i="22" s="1"/>
  <c r="U1017" i="22" s="1"/>
  <c r="U1018" i="22" s="1"/>
  <c r="U1019" i="22" s="1"/>
  <c r="U1020" i="22" s="1"/>
  <c r="U1021" i="22" s="1"/>
  <c r="U1022" i="22" s="1"/>
  <c r="U1023" i="22" s="1"/>
  <c r="U1024" i="22" s="1"/>
  <c r="U1025" i="22" s="1"/>
  <c r="U1026" i="22" s="1"/>
  <c r="U1027" i="22" s="1"/>
  <c r="U1028" i="22" s="1"/>
  <c r="U1029" i="22" s="1"/>
  <c r="U1030" i="22" s="1"/>
  <c r="U1031" i="22" s="1"/>
  <c r="U1032" i="22" s="1"/>
  <c r="U1033" i="22" s="1"/>
  <c r="U1034" i="22" s="1"/>
  <c r="U1035" i="22" s="1"/>
  <c r="U1036" i="22" s="1"/>
  <c r="U1037" i="22" s="1"/>
  <c r="U1038" i="22" s="1"/>
  <c r="U1039" i="22" s="1"/>
  <c r="U1040" i="22" s="1"/>
  <c r="U1041" i="22" s="1"/>
  <c r="U1042" i="22" s="1"/>
  <c r="U1043" i="22" s="1"/>
  <c r="U1044" i="22" s="1"/>
  <c r="U1045" i="22" s="1"/>
  <c r="U1046" i="22" s="1"/>
  <c r="U1047" i="22" s="1"/>
  <c r="U1048" i="22" s="1"/>
  <c r="U1049" i="22" s="1"/>
  <c r="U1050" i="22" s="1"/>
  <c r="U1051" i="22" s="1"/>
  <c r="U1052" i="22" s="1"/>
  <c r="U1053" i="22" s="1"/>
  <c r="U1054" i="22" s="1"/>
  <c r="U1055" i="22" s="1"/>
  <c r="U1056" i="22" s="1"/>
  <c r="U1057" i="22" s="1"/>
  <c r="U1058" i="22" s="1"/>
  <c r="U1059" i="22" s="1"/>
  <c r="U1060" i="22" s="1"/>
  <c r="U1061" i="22" s="1"/>
  <c r="U1062" i="22" s="1"/>
  <c r="U1063" i="22" s="1"/>
  <c r="U1064" i="22" s="1"/>
  <c r="U1065" i="22" s="1"/>
  <c r="U1066" i="22" s="1"/>
  <c r="U1067" i="22" s="1"/>
  <c r="U1068" i="22" s="1"/>
  <c r="U1069" i="22" s="1"/>
  <c r="U1070" i="22" s="1"/>
  <c r="U1071" i="22" s="1"/>
  <c r="U1072" i="22" s="1"/>
  <c r="U1073" i="22" s="1"/>
  <c r="U1074" i="22" s="1"/>
  <c r="U1075" i="22" s="1"/>
  <c r="U1076" i="22" s="1"/>
  <c r="U1077" i="22" s="1"/>
  <c r="U1078" i="22" s="1"/>
  <c r="U1079" i="22" s="1"/>
  <c r="U1080" i="22" s="1"/>
  <c r="U1081" i="22" s="1"/>
  <c r="U1082" i="22" s="1"/>
  <c r="U1083" i="22" s="1"/>
  <c r="U1084" i="22" s="1"/>
  <c r="U1085" i="22" s="1"/>
  <c r="U1086" i="22" s="1"/>
  <c r="U1087" i="22" s="1"/>
  <c r="U1088" i="22" s="1"/>
  <c r="U1089" i="22" s="1"/>
  <c r="U1090" i="22" s="1"/>
  <c r="U1091" i="22" s="1"/>
  <c r="U1092" i="22" s="1"/>
  <c r="U1093" i="22" s="1"/>
  <c r="U1094" i="22" s="1"/>
  <c r="U1095" i="22" s="1"/>
  <c r="U1096" i="22" s="1"/>
  <c r="U1097" i="22" s="1"/>
  <c r="U1098" i="22" s="1"/>
  <c r="U1099" i="22" s="1"/>
  <c r="U1100" i="22" s="1"/>
  <c r="U1101" i="22" s="1"/>
  <c r="U1102" i="22" s="1"/>
  <c r="U1103" i="22" s="1"/>
  <c r="U1104" i="22" s="1"/>
  <c r="U1105" i="22" s="1"/>
  <c r="U1106" i="22" s="1"/>
  <c r="U1107" i="22" s="1"/>
  <c r="U1108" i="22" s="1"/>
  <c r="U1109" i="22" s="1"/>
  <c r="U1110" i="22" s="1"/>
  <c r="U1111" i="22" s="1"/>
  <c r="U1112" i="22" s="1"/>
  <c r="U1113" i="22" s="1"/>
  <c r="U1114" i="22" s="1"/>
  <c r="U1115" i="22" s="1"/>
  <c r="U1116" i="22" s="1"/>
  <c r="U1117" i="22" s="1"/>
  <c r="U1118" i="22" s="1"/>
  <c r="U1119" i="22" s="1"/>
  <c r="U1120" i="22" s="1"/>
  <c r="U1121" i="22" s="1"/>
  <c r="U1122" i="22" s="1"/>
  <c r="U1123" i="22" s="1"/>
  <c r="U1124" i="22" s="1"/>
  <c r="U1125" i="22" s="1"/>
  <c r="U1126" i="22" s="1"/>
  <c r="U1127" i="22" s="1"/>
  <c r="U1128" i="22" s="1"/>
  <c r="U1129" i="22" s="1"/>
  <c r="U1130" i="22" s="1"/>
  <c r="U1131" i="22" s="1"/>
  <c r="U1132" i="22" s="1"/>
  <c r="U1133" i="22" s="1"/>
  <c r="U1134" i="22" s="1"/>
  <c r="U1135" i="22" s="1"/>
  <c r="U1136" i="22" s="1"/>
  <c r="U1137" i="22" s="1"/>
  <c r="U1138" i="22" s="1"/>
  <c r="U1139" i="22" s="1"/>
  <c r="U1140" i="22" s="1"/>
  <c r="U1141" i="22" s="1"/>
  <c r="U1142" i="22" s="1"/>
  <c r="U1143" i="22" s="1"/>
  <c r="U1144" i="22" s="1"/>
  <c r="U1145" i="22" s="1"/>
  <c r="U1146" i="22" s="1"/>
  <c r="U1147" i="22" s="1"/>
  <c r="U1148" i="22" s="1"/>
  <c r="U1149" i="22" s="1"/>
  <c r="U1150" i="22" s="1"/>
  <c r="U1151" i="22" s="1"/>
  <c r="U1152" i="22" s="1"/>
  <c r="U1153" i="22" s="1"/>
  <c r="U1154" i="22" s="1"/>
  <c r="U1155" i="22" s="1"/>
  <c r="U1156" i="22" s="1"/>
  <c r="U1157" i="22" s="1"/>
  <c r="U1158" i="22" s="1"/>
  <c r="U1159" i="22" s="1"/>
  <c r="U1160" i="22" s="1"/>
  <c r="U1161" i="22" s="1"/>
  <c r="U1162" i="22" s="1"/>
  <c r="U1163" i="22" s="1"/>
  <c r="U1164" i="22" s="1"/>
  <c r="U1165" i="22" s="1"/>
  <c r="U1166" i="22" s="1"/>
  <c r="U1167" i="22" s="1"/>
  <c r="U1168" i="22" s="1"/>
  <c r="U1169" i="22" s="1"/>
  <c r="U1170" i="22" s="1"/>
  <c r="U1171" i="22" s="1"/>
  <c r="U1172" i="22" s="1"/>
  <c r="U1173" i="22" s="1"/>
  <c r="U1174" i="22" s="1"/>
  <c r="U1175" i="22" s="1"/>
  <c r="U1176" i="22" s="1"/>
  <c r="U1177" i="22" s="1"/>
  <c r="U1178" i="22" s="1"/>
  <c r="U1179" i="22" s="1"/>
  <c r="U1180" i="22" s="1"/>
  <c r="U1181" i="22" s="1"/>
  <c r="U1182" i="22" s="1"/>
  <c r="U1183" i="22" s="1"/>
  <c r="U1184" i="22" s="1"/>
  <c r="U1185" i="22" s="1"/>
  <c r="U1186" i="22" s="1"/>
  <c r="U1187" i="22" s="1"/>
  <c r="U1188" i="22" s="1"/>
  <c r="U1189" i="22" s="1"/>
  <c r="U1190" i="22" s="1"/>
  <c r="U1191" i="22" s="1"/>
  <c r="U1192" i="22" s="1"/>
  <c r="U1193" i="22" s="1"/>
  <c r="U1194" i="22" s="1"/>
  <c r="U1195" i="22" s="1"/>
  <c r="U1196" i="22" s="1"/>
  <c r="U1197" i="22" s="1"/>
  <c r="U1198" i="22" s="1"/>
  <c r="U1199" i="22" s="1"/>
  <c r="U1200" i="22" s="1"/>
  <c r="U1201" i="22" s="1"/>
  <c r="U1202" i="22" s="1"/>
  <c r="U1203" i="22" s="1"/>
  <c r="U1204" i="22" s="1"/>
  <c r="U1205" i="22" s="1"/>
  <c r="U1206" i="22" s="1"/>
  <c r="U1207" i="22" s="1"/>
  <c r="U1208" i="22" s="1"/>
  <c r="U1209" i="22" s="1"/>
  <c r="U1210" i="22" s="1"/>
  <c r="U1211" i="22" s="1"/>
  <c r="U1212" i="22" s="1"/>
  <c r="U1213" i="22" s="1"/>
  <c r="U1214" i="22" s="1"/>
  <c r="U1215" i="22" s="1"/>
  <c r="U1216" i="22" s="1"/>
  <c r="U1217" i="22" s="1"/>
  <c r="U1218" i="22" s="1"/>
  <c r="U1219" i="22" s="1"/>
  <c r="U1220" i="22" s="1"/>
  <c r="U1221" i="22" s="1"/>
  <c r="U1222" i="22" s="1"/>
  <c r="U1223" i="22" s="1"/>
  <c r="U1224" i="22" s="1"/>
  <c r="U1225" i="22" s="1"/>
  <c r="U1226" i="22" s="1"/>
  <c r="U1227" i="22" s="1"/>
  <c r="U1228" i="22" s="1"/>
  <c r="U1229" i="22" s="1"/>
  <c r="U1230" i="22" s="1"/>
  <c r="U1231" i="22" s="1"/>
  <c r="U1232" i="22" s="1"/>
  <c r="U1233" i="22" s="1"/>
  <c r="U1234" i="22" s="1"/>
  <c r="U1235" i="22" s="1"/>
  <c r="U1236" i="22" s="1"/>
  <c r="U1237" i="22" s="1"/>
  <c r="U1238" i="22" s="1"/>
  <c r="U1239" i="22" s="1"/>
  <c r="U1240" i="22" s="1"/>
  <c r="U1241" i="22" s="1"/>
  <c r="U1242" i="22" s="1"/>
  <c r="U1243" i="22" s="1"/>
  <c r="U1244" i="22" s="1"/>
  <c r="AN364" i="22"/>
  <c r="AO364" i="22" s="1"/>
  <c r="AN365" i="22"/>
  <c r="AO365" i="22" s="1"/>
  <c r="X128" i="22"/>
  <c r="G44" i="38"/>
  <c r="E44" i="38"/>
  <c r="E45" i="38" s="1"/>
  <c r="M44" i="38"/>
  <c r="H44" i="38"/>
  <c r="I44" i="38"/>
  <c r="L44" i="38"/>
  <c r="D45" i="38"/>
  <c r="K44" i="38"/>
  <c r="G48" i="38"/>
  <c r="J44" i="38"/>
  <c r="F44" i="38"/>
  <c r="F218" i="81"/>
  <c r="I6" i="86"/>
  <c r="E166" i="81"/>
  <c r="C7" i="85"/>
  <c r="E19" i="47"/>
  <c r="E147" i="81"/>
  <c r="E132" i="81"/>
  <c r="F136" i="81"/>
  <c r="F147" i="81"/>
  <c r="F132" i="81"/>
  <c r="G149" i="81"/>
  <c r="E7" i="86" s="1"/>
  <c r="D97" i="55"/>
  <c r="D48" i="16"/>
  <c r="O24" i="16"/>
  <c r="E26" i="16"/>
  <c r="G26" i="16" s="1"/>
  <c r="I26" i="16" s="1"/>
  <c r="C27" i="16" s="1"/>
  <c r="N25" i="16"/>
  <c r="G47" i="16"/>
  <c r="I47" i="16" s="1"/>
  <c r="C48" i="16" s="1"/>
  <c r="F140" i="33"/>
  <c r="D140" i="33"/>
  <c r="D141" i="33" s="1"/>
  <c r="D17" i="69"/>
  <c r="H16" i="69"/>
  <c r="I16" i="69" s="1"/>
  <c r="E16" i="69"/>
  <c r="K15" i="69"/>
  <c r="J15" i="69"/>
  <c r="J27" i="16"/>
  <c r="G20" i="39"/>
  <c r="F21" i="39"/>
  <c r="F22" i="39" s="1"/>
  <c r="F45" i="38"/>
  <c r="G42" i="38"/>
  <c r="G71" i="38"/>
  <c r="F74" i="38"/>
  <c r="F24" i="38"/>
  <c r="G21" i="38"/>
  <c r="L71" i="70"/>
  <c r="L68" i="70"/>
  <c r="M66" i="70"/>
  <c r="M70" i="70"/>
  <c r="N28" i="70"/>
  <c r="N24" i="70"/>
  <c r="M29" i="70"/>
  <c r="M26" i="70"/>
  <c r="M44" i="70"/>
  <c r="M41" i="70"/>
  <c r="N4" i="70"/>
  <c r="N13" i="70" s="1"/>
  <c r="M13" i="70"/>
  <c r="N11" i="70"/>
  <c r="N14" i="70"/>
  <c r="M14" i="70"/>
  <c r="M11" i="70"/>
  <c r="J31" i="69"/>
  <c r="H31" i="69"/>
  <c r="D32" i="69"/>
  <c r="C75" i="47"/>
  <c r="K151" i="33"/>
  <c r="K152" i="33" s="1"/>
  <c r="K320" i="33" s="1"/>
  <c r="K321" i="33" s="1"/>
  <c r="K140" i="33"/>
  <c r="C186" i="33" s="1"/>
  <c r="C187" i="33" s="1"/>
  <c r="C189" i="33" s="1"/>
  <c r="C195" i="33" s="1"/>
  <c r="C196" i="33" s="1"/>
  <c r="D214" i="33"/>
  <c r="I141" i="33"/>
  <c r="I143" i="33" s="1"/>
  <c r="I151" i="33"/>
  <c r="I152" i="33" s="1"/>
  <c r="I320" i="33" s="1"/>
  <c r="I321" i="33" s="1"/>
  <c r="L140" i="33"/>
  <c r="D186" i="33" s="1"/>
  <c r="D187" i="33" s="1"/>
  <c r="D189" i="33" s="1"/>
  <c r="D195" i="33" s="1"/>
  <c r="D196" i="33" s="1"/>
  <c r="G140" i="33"/>
  <c r="G141" i="33" s="1"/>
  <c r="G143" i="33" s="1"/>
  <c r="M29" i="47"/>
  <c r="J29" i="47"/>
  <c r="E90" i="47"/>
  <c r="F141" i="33"/>
  <c r="F143" i="33" s="1"/>
  <c r="E140" i="33"/>
  <c r="E141" i="33" s="1"/>
  <c r="E143" i="33" s="1"/>
  <c r="E151" i="33"/>
  <c r="E152" i="33" s="1"/>
  <c r="E320" i="33" s="1"/>
  <c r="E321" i="33" s="1"/>
  <c r="J151" i="33"/>
  <c r="J152" i="33" s="1"/>
  <c r="J320" i="33" s="1"/>
  <c r="J321" i="33" s="1"/>
  <c r="J140" i="33"/>
  <c r="J141" i="33" s="1"/>
  <c r="J143" i="33" s="1"/>
  <c r="I29" i="47"/>
  <c r="C30" i="47"/>
  <c r="C31" i="47" s="1"/>
  <c r="D43" i="47" s="1"/>
  <c r="D45" i="47" s="1"/>
  <c r="D46" i="47" s="1"/>
  <c r="H137" i="33"/>
  <c r="H141" i="33" s="1"/>
  <c r="H143" i="33" s="1"/>
  <c r="H233" i="33"/>
  <c r="H235" i="33" s="1"/>
  <c r="H263" i="33"/>
  <c r="D74" i="47"/>
  <c r="D73" i="47"/>
  <c r="E77" i="39"/>
  <c r="E79" i="39" s="1"/>
  <c r="F65" i="39"/>
  <c r="F67" i="39" s="1"/>
  <c r="H7" i="39"/>
  <c r="H9" i="39" s="1"/>
  <c r="I4" i="39"/>
  <c r="H14" i="39"/>
  <c r="H16" i="39" s="1"/>
  <c r="G18" i="39"/>
  <c r="G131" i="27"/>
  <c r="D132" i="27" s="1"/>
  <c r="F131" i="27"/>
  <c r="F112" i="27"/>
  <c r="G112" i="27"/>
  <c r="D113" i="27" s="1"/>
  <c r="T131" i="22" l="1"/>
  <c r="W130" i="22"/>
  <c r="X130" i="22" s="1"/>
  <c r="T70" i="22"/>
  <c r="W69" i="22"/>
  <c r="X69" i="22" s="1"/>
  <c r="T194" i="22"/>
  <c r="W193" i="22"/>
  <c r="X193" i="22" s="1"/>
  <c r="W7" i="22"/>
  <c r="X7" i="22" s="1"/>
  <c r="T8" i="22"/>
  <c r="X192" i="22"/>
  <c r="AK368" i="22"/>
  <c r="AN367" i="22"/>
  <c r="AO367" i="22" s="1"/>
  <c r="AB368" i="22"/>
  <c r="AE367" i="22"/>
  <c r="AF367" i="22"/>
  <c r="AC371" i="22"/>
  <c r="AG370" i="22"/>
  <c r="G90" i="55"/>
  <c r="G92" i="55" s="1"/>
  <c r="G95" i="55" s="1"/>
  <c r="F242" i="81"/>
  <c r="F44" i="89" s="1"/>
  <c r="F21" i="89"/>
  <c r="C5" i="85"/>
  <c r="C8" i="85" s="1"/>
  <c r="C5" i="86"/>
  <c r="C8" i="86" s="1"/>
  <c r="E218" i="81"/>
  <c r="H6" i="86"/>
  <c r="D5" i="85"/>
  <c r="D8" i="85" s="1"/>
  <c r="D5" i="86"/>
  <c r="D8" i="86" s="1"/>
  <c r="G166" i="81"/>
  <c r="E7" i="85"/>
  <c r="G132" i="81"/>
  <c r="G147" i="81"/>
  <c r="F154" i="81"/>
  <c r="F138" i="81"/>
  <c r="F141" i="81" s="1"/>
  <c r="F143" i="81" s="1"/>
  <c r="E136" i="81"/>
  <c r="E165" i="81"/>
  <c r="E150" i="81"/>
  <c r="G136" i="81"/>
  <c r="F165" i="81"/>
  <c r="I5" i="86" s="1"/>
  <c r="I7" i="86" s="1"/>
  <c r="F150" i="81"/>
  <c r="E27" i="16"/>
  <c r="N26" i="16"/>
  <c r="D49" i="16"/>
  <c r="O25" i="16"/>
  <c r="G48" i="16"/>
  <c r="I48" i="16" s="1"/>
  <c r="C49" i="16" s="1"/>
  <c r="K141" i="33"/>
  <c r="K143" i="33" s="1"/>
  <c r="H17" i="69"/>
  <c r="I17" i="69" s="1"/>
  <c r="E17" i="69"/>
  <c r="K16" i="69"/>
  <c r="J16" i="69"/>
  <c r="J28" i="16"/>
  <c r="H20" i="39"/>
  <c r="G21" i="39"/>
  <c r="G22" i="39" s="1"/>
  <c r="G45" i="38"/>
  <c r="H42" i="38"/>
  <c r="H71" i="38"/>
  <c r="G74" i="38"/>
  <c r="G24" i="38"/>
  <c r="H21" i="38"/>
  <c r="C25" i="55"/>
  <c r="C6" i="55"/>
  <c r="C208" i="33"/>
  <c r="C210" i="33" s="1"/>
  <c r="C215" i="33" s="1"/>
  <c r="C222" i="33" s="1"/>
  <c r="N66" i="70"/>
  <c r="N70" i="70"/>
  <c r="M71" i="70"/>
  <c r="M68" i="70"/>
  <c r="N29" i="70"/>
  <c r="E54" i="70" s="1"/>
  <c r="N26" i="70"/>
  <c r="D30" i="70" s="1"/>
  <c r="E55" i="70" s="1"/>
  <c r="N41" i="70"/>
  <c r="D45" i="70" s="1"/>
  <c r="F55" i="70" s="1"/>
  <c r="N44" i="70"/>
  <c r="F54" i="70" s="1"/>
  <c r="D15" i="70"/>
  <c r="E32" i="69"/>
  <c r="D197" i="33"/>
  <c r="N321" i="33"/>
  <c r="L141" i="33"/>
  <c r="L143" i="33" s="1"/>
  <c r="C197" i="33"/>
  <c r="D52" i="47"/>
  <c r="D54" i="47" s="1"/>
  <c r="D55" i="47" s="1"/>
  <c r="D57" i="47" s="1"/>
  <c r="D208" i="33"/>
  <c r="D76" i="47"/>
  <c r="D209" i="33"/>
  <c r="D75" i="47"/>
  <c r="F68" i="39"/>
  <c r="F77" i="39"/>
  <c r="F79" i="39" s="1"/>
  <c r="H18" i="39"/>
  <c r="G65" i="39"/>
  <c r="G67" i="39" s="1"/>
  <c r="I7" i="39"/>
  <c r="I9" i="39" s="1"/>
  <c r="J4" i="39"/>
  <c r="I14" i="39"/>
  <c r="I16" i="39" s="1"/>
  <c r="G132" i="27"/>
  <c r="D133" i="27" s="1"/>
  <c r="F132" i="27"/>
  <c r="G113" i="27"/>
  <c r="D114" i="27" s="1"/>
  <c r="F113" i="27"/>
  <c r="AC372" i="22" l="1"/>
  <c r="AG371" i="22"/>
  <c r="AK369" i="22"/>
  <c r="AN368" i="22"/>
  <c r="AO368" i="22" s="1"/>
  <c r="T9" i="22"/>
  <c r="W8" i="22"/>
  <c r="X8" i="22" s="1"/>
  <c r="T195" i="22"/>
  <c r="W194" i="22"/>
  <c r="X194" i="22" s="1"/>
  <c r="AB369" i="22"/>
  <c r="AE368" i="22"/>
  <c r="AF368" i="22"/>
  <c r="T71" i="22"/>
  <c r="W70" i="22"/>
  <c r="X70" i="22" s="1"/>
  <c r="T132" i="22"/>
  <c r="W131" i="22"/>
  <c r="X131" i="22" s="1"/>
  <c r="G97" i="55"/>
  <c r="G98" i="55"/>
  <c r="E242" i="81"/>
  <c r="E44" i="89" s="1"/>
  <c r="E21" i="89"/>
  <c r="H5" i="86"/>
  <c r="H7" i="86" s="1"/>
  <c r="E217" i="81"/>
  <c r="E20" i="89" s="1"/>
  <c r="D12" i="85"/>
  <c r="D14" i="85" s="1"/>
  <c r="D17" i="85" s="1"/>
  <c r="D19" i="85" s="1"/>
  <c r="D12" i="86"/>
  <c r="D14" i="86" s="1"/>
  <c r="D17" i="86" s="1"/>
  <c r="E5" i="85"/>
  <c r="E8" i="85" s="1"/>
  <c r="E5" i="86"/>
  <c r="E8" i="86" s="1"/>
  <c r="G218" i="81"/>
  <c r="J6" i="86"/>
  <c r="D19" i="86"/>
  <c r="G165" i="81"/>
  <c r="G150" i="81"/>
  <c r="G154" i="81"/>
  <c r="G138" i="81"/>
  <c r="G141" i="81" s="1"/>
  <c r="G143" i="81" s="1"/>
  <c r="E167" i="81"/>
  <c r="F167" i="81"/>
  <c r="F217" i="81"/>
  <c r="F20" i="89" s="1"/>
  <c r="F22" i="89" s="1"/>
  <c r="F27" i="89" s="1"/>
  <c r="E154" i="81"/>
  <c r="E138" i="81"/>
  <c r="E141" i="81" s="1"/>
  <c r="E143" i="81" s="1"/>
  <c r="F175" i="81"/>
  <c r="I15" i="86" s="1"/>
  <c r="I17" i="86" s="1"/>
  <c r="I19" i="86" s="1"/>
  <c r="F156" i="81"/>
  <c r="F159" i="81" s="1"/>
  <c r="F230" i="81" s="1"/>
  <c r="F32" i="89" s="1"/>
  <c r="F33" i="89" s="1"/>
  <c r="E28" i="16"/>
  <c r="N27" i="16"/>
  <c r="G27" i="16"/>
  <c r="I27" i="16" s="1"/>
  <c r="C28" i="16" s="1"/>
  <c r="G28" i="16" s="1"/>
  <c r="I28" i="16" s="1"/>
  <c r="C29" i="16" s="1"/>
  <c r="D50" i="16"/>
  <c r="O26" i="16"/>
  <c r="G49" i="16"/>
  <c r="I49" i="16" s="1"/>
  <c r="C50" i="16" s="1"/>
  <c r="J17" i="69"/>
  <c r="J29" i="16"/>
  <c r="H21" i="39"/>
  <c r="H22" i="39" s="1"/>
  <c r="I20" i="39"/>
  <c r="H45" i="38"/>
  <c r="I42" i="38"/>
  <c r="I71" i="38"/>
  <c r="H74" i="38"/>
  <c r="H24" i="38"/>
  <c r="I21" i="38"/>
  <c r="C218" i="33"/>
  <c r="C219" i="33" s="1"/>
  <c r="N68" i="70"/>
  <c r="D72" i="70" s="1"/>
  <c r="N71" i="70"/>
  <c r="J32" i="69"/>
  <c r="H32" i="69"/>
  <c r="C223" i="33"/>
  <c r="C224" i="33" s="1"/>
  <c r="D210" i="33"/>
  <c r="D215" i="33" s="1"/>
  <c r="D218" i="33" s="1"/>
  <c r="D219" i="33" s="1"/>
  <c r="G68" i="39"/>
  <c r="G77" i="39"/>
  <c r="G79" i="39" s="1"/>
  <c r="H65" i="39"/>
  <c r="H67" i="39" s="1"/>
  <c r="J7" i="39"/>
  <c r="J9" i="39" s="1"/>
  <c r="J14" i="39"/>
  <c r="J16" i="39" s="1"/>
  <c r="K4" i="39"/>
  <c r="I18" i="39"/>
  <c r="F114" i="27"/>
  <c r="G114" i="27"/>
  <c r="D115" i="27" s="1"/>
  <c r="G133" i="27"/>
  <c r="D134" i="27" s="1"/>
  <c r="F133" i="27"/>
  <c r="T133" i="22" l="1"/>
  <c r="W132" i="22"/>
  <c r="X132" i="22" s="1"/>
  <c r="T72" i="22"/>
  <c r="W71" i="22"/>
  <c r="X71" i="22" s="1"/>
  <c r="AB370" i="22"/>
  <c r="AE369" i="22"/>
  <c r="AF369" i="22"/>
  <c r="T196" i="22"/>
  <c r="W195" i="22"/>
  <c r="X195" i="22" s="1"/>
  <c r="T10" i="22"/>
  <c r="W9" i="22"/>
  <c r="X9" i="22" s="1"/>
  <c r="AK370" i="22"/>
  <c r="AN369" i="22"/>
  <c r="AO369" i="22" s="1"/>
  <c r="AC373" i="22"/>
  <c r="AG372" i="22"/>
  <c r="E22" i="89"/>
  <c r="E27" i="89" s="1"/>
  <c r="G242" i="81"/>
  <c r="G44" i="89" s="1"/>
  <c r="G21" i="89"/>
  <c r="E12" i="85"/>
  <c r="E14" i="85" s="1"/>
  <c r="E17" i="85" s="1"/>
  <c r="E19" i="85" s="1"/>
  <c r="E12" i="86"/>
  <c r="E14" i="86" s="1"/>
  <c r="E17" i="86" s="1"/>
  <c r="E19" i="86" s="1"/>
  <c r="G217" i="81"/>
  <c r="G20" i="89" s="1"/>
  <c r="J5" i="86"/>
  <c r="J7" i="86" s="1"/>
  <c r="C12" i="85"/>
  <c r="C14" i="85" s="1"/>
  <c r="C17" i="85" s="1"/>
  <c r="C19" i="85" s="1"/>
  <c r="C12" i="86"/>
  <c r="C14" i="86" s="1"/>
  <c r="C17" i="86" s="1"/>
  <c r="C19" i="86" s="1"/>
  <c r="G167" i="81"/>
  <c r="E175" i="81"/>
  <c r="H15" i="86" s="1"/>
  <c r="H17" i="86" s="1"/>
  <c r="H19" i="86" s="1"/>
  <c r="E156" i="81"/>
  <c r="E159" i="81" s="1"/>
  <c r="F235" i="81"/>
  <c r="F231" i="81"/>
  <c r="F354" i="81"/>
  <c r="F177" i="81"/>
  <c r="F179" i="81" s="1"/>
  <c r="F219" i="81"/>
  <c r="F224" i="81" s="1"/>
  <c r="F234" i="81" s="1"/>
  <c r="F36" i="89" s="1"/>
  <c r="F241" i="81"/>
  <c r="E241" i="81"/>
  <c r="E219" i="81"/>
  <c r="E224" i="81" s="1"/>
  <c r="E234" i="81" s="1"/>
  <c r="E36" i="89" s="1"/>
  <c r="G156" i="81"/>
  <c r="G159" i="81" s="1"/>
  <c r="G175" i="81"/>
  <c r="F161" i="81"/>
  <c r="D223" i="33"/>
  <c r="D51" i="16"/>
  <c r="O27" i="16"/>
  <c r="E29" i="16"/>
  <c r="N28" i="16"/>
  <c r="G50" i="16"/>
  <c r="I50" i="16" s="1"/>
  <c r="C51" i="16" s="1"/>
  <c r="J30" i="16"/>
  <c r="I21" i="39"/>
  <c r="I22" i="39" s="1"/>
  <c r="J20" i="39"/>
  <c r="I45" i="38"/>
  <c r="J42" i="38"/>
  <c r="J71" i="38"/>
  <c r="I74" i="38"/>
  <c r="I24" i="38"/>
  <c r="J21" i="38"/>
  <c r="D222" i="33"/>
  <c r="I65" i="39"/>
  <c r="I67" i="39" s="1"/>
  <c r="L4" i="39"/>
  <c r="K7" i="39"/>
  <c r="K9" i="39" s="1"/>
  <c r="K14" i="39"/>
  <c r="K16" i="39" s="1"/>
  <c r="J18" i="39"/>
  <c r="H68" i="39"/>
  <c r="H77" i="39"/>
  <c r="H79" i="39" s="1"/>
  <c r="F134" i="27"/>
  <c r="G134" i="27"/>
  <c r="D135" i="27" s="1"/>
  <c r="F115" i="27"/>
  <c r="G115" i="27"/>
  <c r="D116" i="27" s="1"/>
  <c r="G241" i="81" l="1"/>
  <c r="G243" i="81" s="1"/>
  <c r="G248" i="81" s="1"/>
  <c r="G251" i="81" s="1"/>
  <c r="G53" i="89" s="1"/>
  <c r="F355" i="81"/>
  <c r="X10" i="39"/>
  <c r="G219" i="81"/>
  <c r="G224" i="81" s="1"/>
  <c r="G234" i="81" s="1"/>
  <c r="G36" i="89" s="1"/>
  <c r="T197" i="22"/>
  <c r="W196" i="22"/>
  <c r="X196" i="22" s="1"/>
  <c r="AE370" i="22"/>
  <c r="AB371" i="22"/>
  <c r="AF370" i="22"/>
  <c r="AC374" i="22"/>
  <c r="AG373" i="22"/>
  <c r="AK371" i="22"/>
  <c r="AN370" i="22"/>
  <c r="AO370" i="22" s="1"/>
  <c r="T11" i="22"/>
  <c r="W10" i="22"/>
  <c r="X10" i="22" s="1"/>
  <c r="T73" i="22"/>
  <c r="W72" i="22"/>
  <c r="X72" i="22" s="1"/>
  <c r="T134" i="22"/>
  <c r="W133" i="22"/>
  <c r="X133" i="22" s="1"/>
  <c r="J15" i="86"/>
  <c r="J17" i="86" s="1"/>
  <c r="J19" i="86" s="1"/>
  <c r="G354" i="81"/>
  <c r="Y10" i="39" s="1"/>
  <c r="G22" i="89"/>
  <c r="G27" i="89" s="1"/>
  <c r="E243" i="81"/>
  <c r="E248" i="81" s="1"/>
  <c r="E251" i="81" s="1"/>
  <c r="E53" i="89" s="1"/>
  <c r="E43" i="89"/>
  <c r="E45" i="89" s="1"/>
  <c r="E50" i="89" s="1"/>
  <c r="F243" i="81"/>
  <c r="F248" i="81" s="1"/>
  <c r="F251" i="81" s="1"/>
  <c r="F53" i="89" s="1"/>
  <c r="F43" i="89"/>
  <c r="F45" i="89" s="1"/>
  <c r="F50" i="89" s="1"/>
  <c r="F252" i="81"/>
  <c r="F54" i="89" s="1"/>
  <c r="F37" i="89"/>
  <c r="F38" i="89" s="1"/>
  <c r="F236" i="81"/>
  <c r="G230" i="81"/>
  <c r="G32" i="89" s="1"/>
  <c r="G33" i="89" s="1"/>
  <c r="G161" i="81"/>
  <c r="E230" i="81"/>
  <c r="E32" i="89" s="1"/>
  <c r="E33" i="89" s="1"/>
  <c r="E161" i="81"/>
  <c r="G177" i="81"/>
  <c r="G179" i="81" s="1"/>
  <c r="E354" i="81"/>
  <c r="E177" i="81"/>
  <c r="E179" i="81" s="1"/>
  <c r="D224" i="33"/>
  <c r="E30" i="16"/>
  <c r="N29" i="16"/>
  <c r="G29" i="16"/>
  <c r="I29" i="16" s="1"/>
  <c r="C30" i="16" s="1"/>
  <c r="G30" i="16" s="1"/>
  <c r="I30" i="16" s="1"/>
  <c r="C31" i="16" s="1"/>
  <c r="D52" i="16"/>
  <c r="O28" i="16"/>
  <c r="G51" i="16"/>
  <c r="I51" i="16" s="1"/>
  <c r="C52" i="16" s="1"/>
  <c r="E11" i="39"/>
  <c r="D12" i="39"/>
  <c r="J31" i="16"/>
  <c r="J32" i="16" s="1"/>
  <c r="J33" i="16" s="1"/>
  <c r="J34" i="16" s="1"/>
  <c r="J35" i="16" s="1"/>
  <c r="J36" i="16" s="1"/>
  <c r="J37" i="16" s="1"/>
  <c r="J21" i="39"/>
  <c r="J22" i="39" s="1"/>
  <c r="K20" i="39"/>
  <c r="J45" i="38"/>
  <c r="K42" i="38"/>
  <c r="K71" i="38"/>
  <c r="J74" i="38"/>
  <c r="J24" i="38"/>
  <c r="K21" i="38"/>
  <c r="J65" i="39"/>
  <c r="J67" i="39" s="1"/>
  <c r="K18" i="39"/>
  <c r="L14" i="39"/>
  <c r="L16" i="39" s="1"/>
  <c r="M4" i="39"/>
  <c r="L7" i="39"/>
  <c r="L9" i="39" s="1"/>
  <c r="I68" i="39"/>
  <c r="I77" i="39"/>
  <c r="I79" i="39" s="1"/>
  <c r="G116" i="27"/>
  <c r="D117" i="27" s="1"/>
  <c r="F116" i="27"/>
  <c r="F135" i="27"/>
  <c r="G135" i="27"/>
  <c r="D136" i="27" s="1"/>
  <c r="G355" i="81" l="1"/>
  <c r="G357" i="81" s="1"/>
  <c r="G43" i="89"/>
  <c r="G45" i="89" s="1"/>
  <c r="G50" i="89" s="1"/>
  <c r="E355" i="81"/>
  <c r="E357" i="81" s="1"/>
  <c r="W10" i="39"/>
  <c r="F357" i="81"/>
  <c r="X11" i="39"/>
  <c r="X13" i="39" s="1"/>
  <c r="W134" i="22"/>
  <c r="X134" i="22" s="1"/>
  <c r="T135" i="22"/>
  <c r="T74" i="22"/>
  <c r="W73" i="22"/>
  <c r="X73" i="22" s="1"/>
  <c r="T12" i="22"/>
  <c r="W11" i="22"/>
  <c r="X11" i="22" s="1"/>
  <c r="AK372" i="22"/>
  <c r="AN371" i="22"/>
  <c r="AO371" i="22" s="1"/>
  <c r="AC375" i="22"/>
  <c r="AG374" i="22"/>
  <c r="AB372" i="22"/>
  <c r="AE371" i="22"/>
  <c r="AF371" i="22"/>
  <c r="W197" i="22"/>
  <c r="X197" i="22" s="1"/>
  <c r="T198" i="22"/>
  <c r="F55" i="89"/>
  <c r="F253" i="81"/>
  <c r="G235" i="81"/>
  <c r="G37" i="89" s="1"/>
  <c r="G38" i="89" s="1"/>
  <c r="G231" i="81"/>
  <c r="E231" i="81"/>
  <c r="E235" i="81"/>
  <c r="E37" i="89" s="1"/>
  <c r="E38" i="89" s="1"/>
  <c r="D53" i="16"/>
  <c r="O29" i="16"/>
  <c r="E31" i="16"/>
  <c r="N30" i="16"/>
  <c r="G52" i="16"/>
  <c r="I52" i="16" s="1"/>
  <c r="C53" i="16" s="1"/>
  <c r="F11" i="39"/>
  <c r="E12" i="39"/>
  <c r="J38" i="16"/>
  <c r="J39" i="16" s="1"/>
  <c r="J40" i="16" s="1"/>
  <c r="N42" i="16" s="1"/>
  <c r="L20" i="39"/>
  <c r="K21" i="39"/>
  <c r="K22" i="39" s="1"/>
  <c r="K45" i="38"/>
  <c r="L42" i="38"/>
  <c r="L71" i="38"/>
  <c r="K74" i="38"/>
  <c r="K24" i="38"/>
  <c r="L21" i="38"/>
  <c r="L18" i="39"/>
  <c r="N4" i="39"/>
  <c r="M14" i="39"/>
  <c r="M16" i="39" s="1"/>
  <c r="M7" i="39"/>
  <c r="M9" i="39" s="1"/>
  <c r="K65" i="39"/>
  <c r="K67" i="39" s="1"/>
  <c r="J77" i="39"/>
  <c r="J79" i="39" s="1"/>
  <c r="J68" i="39"/>
  <c r="F136" i="27"/>
  <c r="G136" i="27"/>
  <c r="D137" i="27" s="1"/>
  <c r="F117" i="27"/>
  <c r="G117" i="27"/>
  <c r="Y11" i="39" l="1"/>
  <c r="Y13" i="39" s="1"/>
  <c r="W11" i="39"/>
  <c r="W13" i="39" s="1"/>
  <c r="T199" i="22"/>
  <c r="W198" i="22"/>
  <c r="X198" i="22" s="1"/>
  <c r="AB373" i="22"/>
  <c r="AE372" i="22"/>
  <c r="AF372" i="22"/>
  <c r="AC376" i="22"/>
  <c r="AG375" i="22"/>
  <c r="AK373" i="22"/>
  <c r="AN372" i="22"/>
  <c r="AO372" i="22" s="1"/>
  <c r="T13" i="22"/>
  <c r="W12" i="22"/>
  <c r="X12" i="22" s="1"/>
  <c r="T75" i="22"/>
  <c r="W74" i="22"/>
  <c r="X74" i="22" s="1"/>
  <c r="T136" i="22"/>
  <c r="W135" i="22"/>
  <c r="X135" i="22" s="1"/>
  <c r="G252" i="81"/>
  <c r="G236" i="81"/>
  <c r="E252" i="81"/>
  <c r="E236" i="81"/>
  <c r="E32" i="16"/>
  <c r="N31" i="16"/>
  <c r="G31" i="16"/>
  <c r="I31" i="16" s="1"/>
  <c r="C32" i="16" s="1"/>
  <c r="G32" i="16" s="1"/>
  <c r="I32" i="16" s="1"/>
  <c r="C33" i="16" s="1"/>
  <c r="D54" i="16"/>
  <c r="O30" i="16"/>
  <c r="G53" i="16"/>
  <c r="I53" i="16" s="1"/>
  <c r="C54" i="16" s="1"/>
  <c r="G11" i="39"/>
  <c r="F12" i="39"/>
  <c r="M20" i="39"/>
  <c r="L21" i="39"/>
  <c r="L22" i="39" s="1"/>
  <c r="L45" i="38"/>
  <c r="M42" i="38"/>
  <c r="M71" i="38"/>
  <c r="M74" i="38" s="1"/>
  <c r="L74" i="38"/>
  <c r="L24" i="38"/>
  <c r="M21" i="38"/>
  <c r="K77" i="39"/>
  <c r="K79" i="39" s="1"/>
  <c r="K68" i="39"/>
  <c r="M18" i="39"/>
  <c r="N14" i="39"/>
  <c r="N16" i="39" s="1"/>
  <c r="P4" i="39"/>
  <c r="P7" i="39" s="1"/>
  <c r="P9" i="39" s="1"/>
  <c r="P16" i="39" s="1"/>
  <c r="N7" i="39"/>
  <c r="N9" i="39" s="1"/>
  <c r="L65" i="39"/>
  <c r="L67" i="39" s="1"/>
  <c r="F137" i="27"/>
  <c r="G137" i="27"/>
  <c r="C118" i="27"/>
  <c r="G122" i="27"/>
  <c r="J121" i="27" s="1"/>
  <c r="K121" i="27" s="1"/>
  <c r="G119" i="27"/>
  <c r="W136" i="22" l="1"/>
  <c r="X136" i="22" s="1"/>
  <c r="T137" i="22"/>
  <c r="AC377" i="22"/>
  <c r="AG376" i="22"/>
  <c r="T76" i="22"/>
  <c r="W75" i="22"/>
  <c r="X75" i="22" s="1"/>
  <c r="T14" i="22"/>
  <c r="W13" i="22"/>
  <c r="X13" i="22" s="1"/>
  <c r="AK374" i="22"/>
  <c r="AN373" i="22"/>
  <c r="AO373" i="22" s="1"/>
  <c r="AE373" i="22"/>
  <c r="AB374" i="22"/>
  <c r="AF373" i="22"/>
  <c r="T200" i="22"/>
  <c r="W199" i="22"/>
  <c r="X199" i="22" s="1"/>
  <c r="E253" i="81"/>
  <c r="E54" i="89"/>
  <c r="E55" i="89" s="1"/>
  <c r="G253" i="81"/>
  <c r="G54" i="89"/>
  <c r="G55" i="89" s="1"/>
  <c r="D55" i="16"/>
  <c r="O31" i="16"/>
  <c r="E33" i="16"/>
  <c r="N32" i="16"/>
  <c r="G54" i="16"/>
  <c r="I54" i="16" s="1"/>
  <c r="C55" i="16" s="1"/>
  <c r="H11" i="39"/>
  <c r="G12" i="39"/>
  <c r="N20" i="39"/>
  <c r="N21" i="39" s="1"/>
  <c r="M21" i="39"/>
  <c r="M22" i="39" s="1"/>
  <c r="M45" i="38"/>
  <c r="D47" i="38" s="1"/>
  <c r="N42" i="38"/>
  <c r="M24" i="38"/>
  <c r="D29" i="38" s="1"/>
  <c r="N21" i="38"/>
  <c r="D31" i="38" s="1"/>
  <c r="D76" i="38"/>
  <c r="D81" i="38" s="1"/>
  <c r="D83" i="38" s="1"/>
  <c r="L77" i="39"/>
  <c r="L79" i="39" s="1"/>
  <c r="L68" i="39"/>
  <c r="N18" i="39"/>
  <c r="P18" i="39"/>
  <c r="E25" i="39" s="1"/>
  <c r="M65" i="39"/>
  <c r="M67" i="39" s="1"/>
  <c r="C138" i="27"/>
  <c r="C176" i="27"/>
  <c r="C177" i="27" s="1"/>
  <c r="G120" i="27"/>
  <c r="J119" i="27" s="1"/>
  <c r="AB375" i="22" l="1"/>
  <c r="AE374" i="22"/>
  <c r="AF374" i="22"/>
  <c r="AK375" i="22"/>
  <c r="AN374" i="22"/>
  <c r="AO374" i="22" s="1"/>
  <c r="T201" i="22"/>
  <c r="W200" i="22"/>
  <c r="X200" i="22" s="1"/>
  <c r="W14" i="22"/>
  <c r="X14" i="22" s="1"/>
  <c r="T15" i="22"/>
  <c r="T77" i="22"/>
  <c r="W76" i="22"/>
  <c r="X76" i="22" s="1"/>
  <c r="AC378" i="22"/>
  <c r="AG377" i="22"/>
  <c r="T138" i="22"/>
  <c r="W137" i="22"/>
  <c r="X137" i="22" s="1"/>
  <c r="D69" i="39"/>
  <c r="D70" i="39" s="1"/>
  <c r="N78" i="39" s="1"/>
  <c r="E28" i="39"/>
  <c r="E29" i="39" s="1"/>
  <c r="E34" i="16"/>
  <c r="N33" i="16"/>
  <c r="G33" i="16"/>
  <c r="I33" i="16" s="1"/>
  <c r="C34" i="16" s="1"/>
  <c r="G34" i="16" s="1"/>
  <c r="I34" i="16" s="1"/>
  <c r="C35" i="16" s="1"/>
  <c r="D56" i="16"/>
  <c r="O32" i="16"/>
  <c r="G55" i="16"/>
  <c r="I55" i="16" s="1"/>
  <c r="C56" i="16" s="1"/>
  <c r="I11" i="39"/>
  <c r="H12" i="39"/>
  <c r="D87" i="38"/>
  <c r="D88" i="38"/>
  <c r="D50" i="38"/>
  <c r="D52" i="38" s="1"/>
  <c r="D32" i="38"/>
  <c r="D34" i="38" s="1"/>
  <c r="M68" i="39"/>
  <c r="M77" i="39"/>
  <c r="M79" i="39" s="1"/>
  <c r="D98" i="39"/>
  <c r="D100" i="39" s="1"/>
  <c r="D101" i="39" s="1"/>
  <c r="N22" i="39"/>
  <c r="E24" i="39" s="1"/>
  <c r="N65" i="39"/>
  <c r="N67" i="39" s="1"/>
  <c r="D176" i="27"/>
  <c r="K119" i="27"/>
  <c r="AC379" i="22" l="1"/>
  <c r="AG378" i="22"/>
  <c r="AB376" i="22"/>
  <c r="AE375" i="22"/>
  <c r="AF375" i="22"/>
  <c r="T139" i="22"/>
  <c r="W138" i="22"/>
  <c r="X138" i="22" s="1"/>
  <c r="T78" i="22"/>
  <c r="W77" i="22"/>
  <c r="X77" i="22" s="1"/>
  <c r="T16" i="22"/>
  <c r="W15" i="22"/>
  <c r="X15" i="22" s="1"/>
  <c r="T202" i="22"/>
  <c r="W201" i="22"/>
  <c r="X201" i="22" s="1"/>
  <c r="AK376" i="22"/>
  <c r="AN375" i="22"/>
  <c r="AO375" i="22" s="1"/>
  <c r="D57" i="16"/>
  <c r="O33" i="16"/>
  <c r="E35" i="16"/>
  <c r="N34" i="16"/>
  <c r="G56" i="16"/>
  <c r="I56" i="16" s="1"/>
  <c r="C57" i="16" s="1"/>
  <c r="E30" i="39"/>
  <c r="E34" i="39" s="1"/>
  <c r="I36" i="39" s="1"/>
  <c r="I12" i="39"/>
  <c r="J11" i="39"/>
  <c r="D55" i="38"/>
  <c r="D54" i="38"/>
  <c r="D37" i="38"/>
  <c r="D36" i="38"/>
  <c r="D103" i="39"/>
  <c r="D104" i="39" s="1"/>
  <c r="D108" i="39" s="1"/>
  <c r="N68" i="39"/>
  <c r="N77" i="39"/>
  <c r="N79" i="39" s="1"/>
  <c r="E81" i="39" s="1"/>
  <c r="AC380" i="22" l="1"/>
  <c r="AG379" i="22"/>
  <c r="AK377" i="22"/>
  <c r="AN376" i="22"/>
  <c r="AO376" i="22" s="1"/>
  <c r="T203" i="22"/>
  <c r="W202" i="22"/>
  <c r="X202" i="22" s="1"/>
  <c r="T17" i="22"/>
  <c r="W16" i="22"/>
  <c r="X16" i="22" s="1"/>
  <c r="T79" i="22"/>
  <c r="W78" i="22"/>
  <c r="X78" i="22" s="1"/>
  <c r="T140" i="22"/>
  <c r="W139" i="22"/>
  <c r="X139" i="22" s="1"/>
  <c r="AB377" i="22"/>
  <c r="AE376" i="22"/>
  <c r="AF376" i="22"/>
  <c r="E36" i="16"/>
  <c r="N35" i="16"/>
  <c r="G35" i="16"/>
  <c r="I35" i="16" s="1"/>
  <c r="C36" i="16" s="1"/>
  <c r="G36" i="16" s="1"/>
  <c r="I36" i="16" s="1"/>
  <c r="C37" i="16" s="1"/>
  <c r="D58" i="16"/>
  <c r="O34" i="16"/>
  <c r="G57" i="16"/>
  <c r="I57" i="16" s="1"/>
  <c r="C58" i="16" s="1"/>
  <c r="J12" i="39"/>
  <c r="K11" i="39"/>
  <c r="D113" i="39"/>
  <c r="D112" i="39"/>
  <c r="AB378" i="22" l="1"/>
  <c r="AE377" i="22"/>
  <c r="AF377" i="22"/>
  <c r="T141" i="22"/>
  <c r="W140" i="22"/>
  <c r="X140" i="22" s="1"/>
  <c r="AK378" i="22"/>
  <c r="AN377" i="22"/>
  <c r="AO377" i="22" s="1"/>
  <c r="T80" i="22"/>
  <c r="W79" i="22"/>
  <c r="X79" i="22" s="1"/>
  <c r="T18" i="22"/>
  <c r="W17" i="22"/>
  <c r="X17" i="22" s="1"/>
  <c r="T204" i="22"/>
  <c r="W203" i="22"/>
  <c r="X203" i="22" s="1"/>
  <c r="AC381" i="22"/>
  <c r="AG380" i="22"/>
  <c r="D59" i="16"/>
  <c r="O35" i="16"/>
  <c r="E37" i="16"/>
  <c r="N36" i="16"/>
  <c r="G58" i="16"/>
  <c r="I58" i="16" s="1"/>
  <c r="C59" i="16" s="1"/>
  <c r="L11" i="39"/>
  <c r="K12" i="39"/>
  <c r="T19" i="22" l="1"/>
  <c r="W18" i="22"/>
  <c r="X18" i="22" s="1"/>
  <c r="T81" i="22"/>
  <c r="W80" i="22"/>
  <c r="X80" i="22" s="1"/>
  <c r="AC382" i="22"/>
  <c r="AG381" i="22"/>
  <c r="T205" i="22"/>
  <c r="W204" i="22"/>
  <c r="X204" i="22" s="1"/>
  <c r="AK379" i="22"/>
  <c r="AN378" i="22"/>
  <c r="AO378" i="22" s="1"/>
  <c r="T142" i="22"/>
  <c r="W141" i="22"/>
  <c r="X141" i="22" s="1"/>
  <c r="AB379" i="22"/>
  <c r="AE378" i="22"/>
  <c r="AF378" i="22"/>
  <c r="D60" i="16"/>
  <c r="O36" i="16"/>
  <c r="E38" i="16"/>
  <c r="N37" i="16"/>
  <c r="G37" i="16"/>
  <c r="I37" i="16" s="1"/>
  <c r="C38" i="16" s="1"/>
  <c r="G59" i="16"/>
  <c r="I59" i="16" s="1"/>
  <c r="C60" i="16" s="1"/>
  <c r="M11" i="39"/>
  <c r="L12" i="39"/>
  <c r="AE379" i="22" l="1"/>
  <c r="AB380" i="22"/>
  <c r="AF379" i="22"/>
  <c r="T143" i="22"/>
  <c r="W142" i="22"/>
  <c r="X142" i="22" s="1"/>
  <c r="AK380" i="22"/>
  <c r="AN379" i="22"/>
  <c r="AO379" i="22" s="1"/>
  <c r="T206" i="22"/>
  <c r="W205" i="22"/>
  <c r="X205" i="22" s="1"/>
  <c r="AC383" i="22"/>
  <c r="AG382" i="22"/>
  <c r="T82" i="22"/>
  <c r="W81" i="22"/>
  <c r="X81" i="22" s="1"/>
  <c r="T20" i="22"/>
  <c r="W19" i="22"/>
  <c r="X19" i="22" s="1"/>
  <c r="G38" i="16"/>
  <c r="I38" i="16" s="1"/>
  <c r="C39" i="16" s="1"/>
  <c r="E39" i="16"/>
  <c r="N38" i="16"/>
  <c r="D61" i="16"/>
  <c r="O37" i="16"/>
  <c r="G60" i="16"/>
  <c r="I60" i="16" s="1"/>
  <c r="C61" i="16" s="1"/>
  <c r="N11" i="39"/>
  <c r="M12" i="39"/>
  <c r="T21" i="22" l="1"/>
  <c r="W20" i="22"/>
  <c r="X20" i="22" s="1"/>
  <c r="T83" i="22"/>
  <c r="W82" i="22"/>
  <c r="X82" i="22" s="1"/>
  <c r="AC384" i="22"/>
  <c r="AG383" i="22"/>
  <c r="T207" i="22"/>
  <c r="W206" i="22"/>
  <c r="X206" i="22" s="1"/>
  <c r="AK381" i="22"/>
  <c r="AN380" i="22"/>
  <c r="AO380" i="22" s="1"/>
  <c r="T144" i="22"/>
  <c r="W143" i="22"/>
  <c r="X143" i="22" s="1"/>
  <c r="AB381" i="22"/>
  <c r="AE380" i="22"/>
  <c r="AF380" i="22"/>
  <c r="D62" i="16"/>
  <c r="O38" i="16"/>
  <c r="G39" i="16"/>
  <c r="I39" i="16" s="1"/>
  <c r="N39" i="16" s="1"/>
  <c r="G61" i="16"/>
  <c r="I61" i="16" s="1"/>
  <c r="C62" i="16" s="1"/>
  <c r="P11" i="39"/>
  <c r="N12" i="39"/>
  <c r="AB382" i="22" l="1"/>
  <c r="AE381" i="22"/>
  <c r="AF381" i="22"/>
  <c r="W21" i="22"/>
  <c r="X21" i="22" s="1"/>
  <c r="T22" i="22"/>
  <c r="T145" i="22"/>
  <c r="W144" i="22"/>
  <c r="X144" i="22" s="1"/>
  <c r="AK382" i="22"/>
  <c r="AN381" i="22"/>
  <c r="AO381" i="22" s="1"/>
  <c r="T208" i="22"/>
  <c r="W207" i="22"/>
  <c r="X207" i="22" s="1"/>
  <c r="AC385" i="22"/>
  <c r="AG384" i="22"/>
  <c r="T84" i="22"/>
  <c r="W83" i="22"/>
  <c r="X83" i="22" s="1"/>
  <c r="N43" i="16"/>
  <c r="N44" i="16" s="1"/>
  <c r="N40" i="16"/>
  <c r="D15" i="16"/>
  <c r="G62" i="16"/>
  <c r="I62" i="16" s="1"/>
  <c r="W84" i="22" l="1"/>
  <c r="X84" i="22" s="1"/>
  <c r="T85" i="22"/>
  <c r="AC386" i="22"/>
  <c r="AG385" i="22"/>
  <c r="T209" i="22"/>
  <c r="W208" i="22"/>
  <c r="X208" i="22" s="1"/>
  <c r="AK383" i="22"/>
  <c r="AN382" i="22"/>
  <c r="AO382" i="22" s="1"/>
  <c r="T146" i="22"/>
  <c r="W145" i="22"/>
  <c r="X145" i="22" s="1"/>
  <c r="T23" i="22"/>
  <c r="W22" i="22"/>
  <c r="X22" i="22" s="1"/>
  <c r="AE382" i="22"/>
  <c r="AB383" i="22"/>
  <c r="AF382" i="22"/>
  <c r="D16" i="16"/>
  <c r="O39" i="16"/>
  <c r="C74" i="16"/>
  <c r="AE383" i="22" l="1"/>
  <c r="AB384" i="22"/>
  <c r="AF383" i="22"/>
  <c r="T24" i="22"/>
  <c r="W23" i="22"/>
  <c r="X23" i="22" s="1"/>
  <c r="T147" i="22"/>
  <c r="W146" i="22"/>
  <c r="X146" i="22" s="1"/>
  <c r="AK384" i="22"/>
  <c r="AN383" i="22"/>
  <c r="AO383" i="22" s="1"/>
  <c r="W209" i="22"/>
  <c r="X209" i="22" s="1"/>
  <c r="T210" i="22"/>
  <c r="AC387" i="22"/>
  <c r="AG386" i="22"/>
  <c r="T86" i="22"/>
  <c r="W85" i="22"/>
  <c r="X85" i="22" s="1"/>
  <c r="O40" i="16"/>
  <c r="O43" i="16"/>
  <c r="T87" i="22" l="1"/>
  <c r="W86" i="22"/>
  <c r="X86" i="22" s="1"/>
  <c r="AC388" i="22"/>
  <c r="AG387" i="22"/>
  <c r="AK385" i="22"/>
  <c r="AN384" i="22"/>
  <c r="AO384" i="22" s="1"/>
  <c r="T25" i="22"/>
  <c r="W24" i="22"/>
  <c r="X24" i="22" s="1"/>
  <c r="AB385" i="22"/>
  <c r="AE384" i="22"/>
  <c r="AF384" i="22"/>
  <c r="T211" i="22"/>
  <c r="W210" i="22"/>
  <c r="X210" i="22" s="1"/>
  <c r="T148" i="22"/>
  <c r="W147" i="22"/>
  <c r="X147" i="22" s="1"/>
  <c r="O44" i="16"/>
  <c r="T26" i="22" l="1"/>
  <c r="W25" i="22"/>
  <c r="X25" i="22" s="1"/>
  <c r="T149" i="22"/>
  <c r="W148" i="22"/>
  <c r="X148" i="22" s="1"/>
  <c r="T212" i="22"/>
  <c r="W211" i="22"/>
  <c r="X211" i="22" s="1"/>
  <c r="AE385" i="22"/>
  <c r="AB386" i="22"/>
  <c r="AF385" i="22"/>
  <c r="AK386" i="22"/>
  <c r="AN385" i="22"/>
  <c r="AO385" i="22" s="1"/>
  <c r="AC389" i="22"/>
  <c r="AG388" i="22"/>
  <c r="T88" i="22"/>
  <c r="W87" i="22"/>
  <c r="X87" i="22" s="1"/>
  <c r="T27" i="22" l="1"/>
  <c r="W26" i="22"/>
  <c r="X26" i="22" s="1"/>
  <c r="T89" i="22"/>
  <c r="W88" i="22"/>
  <c r="X88" i="22" s="1"/>
  <c r="AC390" i="22"/>
  <c r="AG389" i="22"/>
  <c r="AK387" i="22"/>
  <c r="AN386" i="22"/>
  <c r="AO386" i="22" s="1"/>
  <c r="AB387" i="22"/>
  <c r="AE386" i="22"/>
  <c r="AF386" i="22"/>
  <c r="T213" i="22"/>
  <c r="W212" i="22"/>
  <c r="X212" i="22" s="1"/>
  <c r="T150" i="22"/>
  <c r="W149" i="22"/>
  <c r="X149" i="22" s="1"/>
  <c r="T151" i="22" l="1"/>
  <c r="W150" i="22"/>
  <c r="X150" i="22" s="1"/>
  <c r="T214" i="22"/>
  <c r="W213" i="22"/>
  <c r="X213" i="22" s="1"/>
  <c r="AB388" i="22"/>
  <c r="AE387" i="22"/>
  <c r="AF387" i="22"/>
  <c r="AK388" i="22"/>
  <c r="AN387" i="22"/>
  <c r="AO387" i="22" s="1"/>
  <c r="AC391" i="22"/>
  <c r="AG390" i="22"/>
  <c r="T90" i="22"/>
  <c r="W89" i="22"/>
  <c r="X89" i="22" s="1"/>
  <c r="T28" i="22"/>
  <c r="W27" i="22"/>
  <c r="X27" i="22" s="1"/>
  <c r="T29" i="22" l="1"/>
  <c r="W28" i="22"/>
  <c r="X28" i="22" s="1"/>
  <c r="AK389" i="22"/>
  <c r="AN388" i="22"/>
  <c r="AO388" i="22" s="1"/>
  <c r="AB389" i="22"/>
  <c r="AE388" i="22"/>
  <c r="AF388" i="22"/>
  <c r="T91" i="22"/>
  <c r="W90" i="22"/>
  <c r="X90" i="22" s="1"/>
  <c r="AC392" i="22"/>
  <c r="AG391" i="22"/>
  <c r="T215" i="22"/>
  <c r="W214" i="22"/>
  <c r="X214" i="22" s="1"/>
  <c r="T152" i="22"/>
  <c r="W151" i="22"/>
  <c r="X151" i="22" s="1"/>
  <c r="T92" i="22" l="1"/>
  <c r="W91" i="22"/>
  <c r="X91" i="22" s="1"/>
  <c r="AK390" i="22"/>
  <c r="AN389" i="22"/>
  <c r="AO389" i="22" s="1"/>
  <c r="T153" i="22"/>
  <c r="W152" i="22"/>
  <c r="X152" i="22" s="1"/>
  <c r="T216" i="22"/>
  <c r="W215" i="22"/>
  <c r="X215" i="22" s="1"/>
  <c r="AC393" i="22"/>
  <c r="AG392" i="22"/>
  <c r="AB390" i="22"/>
  <c r="AE389" i="22"/>
  <c r="AF389" i="22"/>
  <c r="T30" i="22"/>
  <c r="W29" i="22"/>
  <c r="X29" i="22" s="1"/>
  <c r="AC394" i="22" l="1"/>
  <c r="AG393" i="22"/>
  <c r="T217" i="22"/>
  <c r="W216" i="22"/>
  <c r="X216" i="22" s="1"/>
  <c r="T154" i="22"/>
  <c r="W153" i="22"/>
  <c r="X153" i="22" s="1"/>
  <c r="W30" i="22"/>
  <c r="X30" i="22" s="1"/>
  <c r="T31" i="22"/>
  <c r="AE390" i="22"/>
  <c r="AB391" i="22"/>
  <c r="AF390" i="22"/>
  <c r="AK391" i="22"/>
  <c r="AN390" i="22"/>
  <c r="AO390" i="22" s="1"/>
  <c r="T93" i="22"/>
  <c r="W92" i="22"/>
  <c r="X92" i="22" s="1"/>
  <c r="AK392" i="22" l="1"/>
  <c r="AN391" i="22"/>
  <c r="AO391" i="22" s="1"/>
  <c r="T32" i="22"/>
  <c r="W31" i="22"/>
  <c r="X31" i="22" s="1"/>
  <c r="T94" i="22"/>
  <c r="W93" i="22"/>
  <c r="X93" i="22" s="1"/>
  <c r="AB392" i="22"/>
  <c r="AE391" i="22"/>
  <c r="AF391" i="22"/>
  <c r="T155" i="22"/>
  <c r="W154" i="22"/>
  <c r="X154" i="22" s="1"/>
  <c r="T218" i="22"/>
  <c r="W217" i="22"/>
  <c r="X217" i="22" s="1"/>
  <c r="AC395" i="22"/>
  <c r="AG394" i="22"/>
  <c r="T156" i="22" l="1"/>
  <c r="W155" i="22"/>
  <c r="X155" i="22" s="1"/>
  <c r="AK393" i="22"/>
  <c r="AN392" i="22"/>
  <c r="AO392" i="22" s="1"/>
  <c r="AC396" i="22"/>
  <c r="AG395" i="22"/>
  <c r="T219" i="22"/>
  <c r="W218" i="22"/>
  <c r="X218" i="22" s="1"/>
  <c r="AE392" i="22"/>
  <c r="AB393" i="22"/>
  <c r="AF392" i="22"/>
  <c r="T95" i="22"/>
  <c r="W94" i="22"/>
  <c r="X94" i="22" s="1"/>
  <c r="T33" i="22"/>
  <c r="W32" i="22"/>
  <c r="X32" i="22" s="1"/>
  <c r="T157" i="22" l="1"/>
  <c r="W156" i="22"/>
  <c r="X156" i="22" s="1"/>
  <c r="T34" i="22"/>
  <c r="W33" i="22"/>
  <c r="X33" i="22" s="1"/>
  <c r="T96" i="22"/>
  <c r="W95" i="22"/>
  <c r="X95" i="22" s="1"/>
  <c r="AB394" i="22"/>
  <c r="AE393" i="22"/>
  <c r="AF393" i="22"/>
  <c r="T220" i="22"/>
  <c r="W219" i="22"/>
  <c r="X219" i="22" s="1"/>
  <c r="AC397" i="22"/>
  <c r="AG396" i="22"/>
  <c r="AK394" i="22"/>
  <c r="AN393" i="22"/>
  <c r="AO393" i="22" s="1"/>
  <c r="AK395" i="22" l="1"/>
  <c r="AN394" i="22"/>
  <c r="AO394" i="22" s="1"/>
  <c r="AC398" i="22"/>
  <c r="AG397" i="22"/>
  <c r="T221" i="22"/>
  <c r="W220" i="22"/>
  <c r="X220" i="22" s="1"/>
  <c r="AB395" i="22"/>
  <c r="AE394" i="22"/>
  <c r="AF394" i="22"/>
  <c r="T97" i="22"/>
  <c r="W96" i="22"/>
  <c r="X96" i="22" s="1"/>
  <c r="T35" i="22"/>
  <c r="W34" i="22"/>
  <c r="X34" i="22" s="1"/>
  <c r="T158" i="22"/>
  <c r="W157" i="22"/>
  <c r="X157" i="22" s="1"/>
  <c r="AK396" i="22" l="1"/>
  <c r="AN395" i="22"/>
  <c r="AO395" i="22" s="1"/>
  <c r="T36" i="22"/>
  <c r="W35" i="22"/>
  <c r="X35" i="22" s="1"/>
  <c r="T159" i="22"/>
  <c r="W158" i="22"/>
  <c r="X158" i="22" s="1"/>
  <c r="T98" i="22"/>
  <c r="W97" i="22"/>
  <c r="X97" i="22" s="1"/>
  <c r="AE395" i="22"/>
  <c r="AB396" i="22"/>
  <c r="AF395" i="22"/>
  <c r="T222" i="22"/>
  <c r="W221" i="22"/>
  <c r="X221" i="22" s="1"/>
  <c r="AC399" i="22"/>
  <c r="AG398" i="22"/>
  <c r="AC400" i="22" l="1"/>
  <c r="AG399" i="22"/>
  <c r="T223" i="22"/>
  <c r="W222" i="22"/>
  <c r="X222" i="22" s="1"/>
  <c r="AB397" i="22"/>
  <c r="AE396" i="22"/>
  <c r="AF396" i="22"/>
  <c r="T99" i="22"/>
  <c r="W98" i="22"/>
  <c r="X98" i="22" s="1"/>
  <c r="T160" i="22"/>
  <c r="W159" i="22"/>
  <c r="X159" i="22" s="1"/>
  <c r="T37" i="22"/>
  <c r="W36" i="22"/>
  <c r="X36" i="22" s="1"/>
  <c r="AK397" i="22"/>
  <c r="AN396" i="22"/>
  <c r="AO396" i="22" s="1"/>
  <c r="AK398" i="22" l="1"/>
  <c r="AN397" i="22"/>
  <c r="AO397" i="22" s="1"/>
  <c r="T38" i="22"/>
  <c r="W37" i="22"/>
  <c r="X37" i="22" s="1"/>
  <c r="T161" i="22"/>
  <c r="W160" i="22"/>
  <c r="X160" i="22" s="1"/>
  <c r="T100" i="22"/>
  <c r="W99" i="22"/>
  <c r="X99" i="22" s="1"/>
  <c r="AB398" i="22"/>
  <c r="AE397" i="22"/>
  <c r="AF397" i="22"/>
  <c r="T224" i="22"/>
  <c r="W223" i="22"/>
  <c r="X223" i="22" s="1"/>
  <c r="AC401" i="22"/>
  <c r="AG400" i="22"/>
  <c r="AC402" i="22" l="1"/>
  <c r="AG401" i="22"/>
  <c r="T225" i="22"/>
  <c r="W224" i="22"/>
  <c r="X224" i="22" s="1"/>
  <c r="AE398" i="22"/>
  <c r="AB399" i="22"/>
  <c r="AF398" i="22"/>
  <c r="T101" i="22"/>
  <c r="W100" i="22"/>
  <c r="X100" i="22" s="1"/>
  <c r="T162" i="22"/>
  <c r="W161" i="22"/>
  <c r="X161" i="22" s="1"/>
  <c r="T39" i="22"/>
  <c r="W38" i="22"/>
  <c r="X38" i="22" s="1"/>
  <c r="AK399" i="22"/>
  <c r="AN398" i="22"/>
  <c r="AO398" i="22" s="1"/>
  <c r="AK400" i="22" l="1"/>
  <c r="AN399" i="22"/>
  <c r="AO399" i="22" s="1"/>
  <c r="T40" i="22"/>
  <c r="W39" i="22"/>
  <c r="X39" i="22" s="1"/>
  <c r="T163" i="22"/>
  <c r="W162" i="22"/>
  <c r="X162" i="22" s="1"/>
  <c r="T102" i="22"/>
  <c r="W101" i="22"/>
  <c r="X101" i="22" s="1"/>
  <c r="AE399" i="22"/>
  <c r="AB400" i="22"/>
  <c r="AF399" i="22"/>
  <c r="T226" i="22"/>
  <c r="W225" i="22"/>
  <c r="X225" i="22" s="1"/>
  <c r="AC403" i="22"/>
  <c r="AG402" i="22"/>
  <c r="AK401" i="22" l="1"/>
  <c r="AN400" i="22"/>
  <c r="AO400" i="22" s="1"/>
  <c r="AC404" i="22"/>
  <c r="AG403" i="22"/>
  <c r="T227" i="22"/>
  <c r="W226" i="22"/>
  <c r="X226" i="22" s="1"/>
  <c r="AB401" i="22"/>
  <c r="AE400" i="22"/>
  <c r="AF400" i="22"/>
  <c r="T103" i="22"/>
  <c r="W102" i="22"/>
  <c r="X102" i="22" s="1"/>
  <c r="T164" i="22"/>
  <c r="W163" i="22"/>
  <c r="X163" i="22" s="1"/>
  <c r="T41" i="22"/>
  <c r="W40" i="22"/>
  <c r="X40" i="22" s="1"/>
  <c r="T42" i="22" l="1"/>
  <c r="W41" i="22"/>
  <c r="X41" i="22" s="1"/>
  <c r="T165" i="22"/>
  <c r="W164" i="22"/>
  <c r="X164" i="22" s="1"/>
  <c r="T104" i="22"/>
  <c r="W103" i="22"/>
  <c r="X103" i="22" s="1"/>
  <c r="AE401" i="22"/>
  <c r="AB402" i="22"/>
  <c r="AF401" i="22"/>
  <c r="T228" i="22"/>
  <c r="W227" i="22"/>
  <c r="X227" i="22" s="1"/>
  <c r="AC405" i="22"/>
  <c r="AG404" i="22"/>
  <c r="AK402" i="22"/>
  <c r="AN401" i="22"/>
  <c r="AO401" i="22" s="1"/>
  <c r="AK403" i="22" l="1"/>
  <c r="AN402" i="22"/>
  <c r="AO402" i="22" s="1"/>
  <c r="AC406" i="22"/>
  <c r="AG405" i="22"/>
  <c r="T229" i="22"/>
  <c r="W228" i="22"/>
  <c r="X228" i="22" s="1"/>
  <c r="AE402" i="22"/>
  <c r="AB403" i="22"/>
  <c r="AF402" i="22"/>
  <c r="T105" i="22"/>
  <c r="W104" i="22"/>
  <c r="X104" i="22" s="1"/>
  <c r="T166" i="22"/>
  <c r="W165" i="22"/>
  <c r="X165" i="22" s="1"/>
  <c r="T43" i="22"/>
  <c r="W42" i="22"/>
  <c r="X42" i="22" s="1"/>
  <c r="W166" i="22" l="1"/>
  <c r="X166" i="22" s="1"/>
  <c r="T167" i="22"/>
  <c r="W43" i="22"/>
  <c r="X43" i="22" s="1"/>
  <c r="T44" i="22"/>
  <c r="W105" i="22"/>
  <c r="X105" i="22" s="1"/>
  <c r="T106" i="22"/>
  <c r="AB404" i="22"/>
  <c r="AE403" i="22"/>
  <c r="AF403" i="22"/>
  <c r="T230" i="22"/>
  <c r="W229" i="22"/>
  <c r="X229" i="22" s="1"/>
  <c r="AC407" i="22"/>
  <c r="AG406" i="22"/>
  <c r="AK404" i="22"/>
  <c r="AN403" i="22"/>
  <c r="AO403" i="22" s="1"/>
  <c r="AK405" i="22" l="1"/>
  <c r="AN404" i="22"/>
  <c r="AO404" i="22" s="1"/>
  <c r="AC408" i="22"/>
  <c r="AG407" i="22"/>
  <c r="T231" i="22"/>
  <c r="W230" i="22"/>
  <c r="X230" i="22" s="1"/>
  <c r="AB405" i="22"/>
  <c r="AE404" i="22"/>
  <c r="AF404" i="22"/>
  <c r="T107" i="22"/>
  <c r="W106" i="22"/>
  <c r="X106" i="22" s="1"/>
  <c r="T45" i="22"/>
  <c r="W44" i="22"/>
  <c r="X44" i="22" s="1"/>
  <c r="T168" i="22"/>
  <c r="W167" i="22"/>
  <c r="X167" i="22" s="1"/>
  <c r="T169" i="22" l="1"/>
  <c r="W168" i="22"/>
  <c r="X168" i="22" s="1"/>
  <c r="AK406" i="22"/>
  <c r="AN405" i="22"/>
  <c r="AO405" i="22" s="1"/>
  <c r="T46" i="22"/>
  <c r="W45" i="22"/>
  <c r="X45" i="22" s="1"/>
  <c r="T108" i="22"/>
  <c r="W107" i="22"/>
  <c r="X107" i="22" s="1"/>
  <c r="AE405" i="22"/>
  <c r="AB406" i="22"/>
  <c r="AF405" i="22"/>
  <c r="T232" i="22"/>
  <c r="W231" i="22"/>
  <c r="X231" i="22" s="1"/>
  <c r="AC409" i="22"/>
  <c r="AG408" i="22"/>
  <c r="W169" i="22" l="1"/>
  <c r="X169" i="22" s="1"/>
  <c r="T170" i="22"/>
  <c r="AC410" i="22"/>
  <c r="AG409" i="22"/>
  <c r="T233" i="22"/>
  <c r="W232" i="22"/>
  <c r="X232" i="22" s="1"/>
  <c r="AB407" i="22"/>
  <c r="AE406" i="22"/>
  <c r="AF406" i="22"/>
  <c r="T109" i="22"/>
  <c r="W108" i="22"/>
  <c r="X108" i="22" s="1"/>
  <c r="T47" i="22"/>
  <c r="W46" i="22"/>
  <c r="X46" i="22" s="1"/>
  <c r="AK407" i="22"/>
  <c r="AN406" i="22"/>
  <c r="AO406" i="22" s="1"/>
  <c r="AK408" i="22" l="1"/>
  <c r="AN407" i="22"/>
  <c r="AO407" i="22" s="1"/>
  <c r="W47" i="22"/>
  <c r="X47" i="22" s="1"/>
  <c r="T48" i="22"/>
  <c r="T110" i="22"/>
  <c r="W109" i="22"/>
  <c r="X109" i="22" s="1"/>
  <c r="AE407" i="22"/>
  <c r="AB408" i="22"/>
  <c r="AF407" i="22"/>
  <c r="T234" i="22"/>
  <c r="W233" i="22"/>
  <c r="X233" i="22" s="1"/>
  <c r="AC411" i="22"/>
  <c r="AG410" i="22"/>
  <c r="T171" i="22"/>
  <c r="W170" i="22"/>
  <c r="X170" i="22" s="1"/>
  <c r="AC412" i="22" l="1"/>
  <c r="AG411" i="22"/>
  <c r="AK409" i="22"/>
  <c r="AN408" i="22"/>
  <c r="AO408" i="22" s="1"/>
  <c r="T172" i="22"/>
  <c r="W171" i="22"/>
  <c r="X171" i="22" s="1"/>
  <c r="W234" i="22"/>
  <c r="X234" i="22" s="1"/>
  <c r="T235" i="22"/>
  <c r="AB409" i="22"/>
  <c r="AE408" i="22"/>
  <c r="AF408" i="22"/>
  <c r="T111" i="22"/>
  <c r="W110" i="22"/>
  <c r="X110" i="22" s="1"/>
  <c r="W48" i="22"/>
  <c r="X48" i="22" s="1"/>
  <c r="T49" i="22"/>
  <c r="AC413" i="22" l="1"/>
  <c r="AG412" i="22"/>
  <c r="T50" i="22"/>
  <c r="W49" i="22"/>
  <c r="X49" i="22" s="1"/>
  <c r="T112" i="22"/>
  <c r="W111" i="22"/>
  <c r="X111" i="22" s="1"/>
  <c r="AB410" i="22"/>
  <c r="AE409" i="22"/>
  <c r="AF409" i="22"/>
  <c r="T236" i="22"/>
  <c r="W235" i="22"/>
  <c r="X235" i="22" s="1"/>
  <c r="T173" i="22"/>
  <c r="W172" i="22"/>
  <c r="X172" i="22" s="1"/>
  <c r="AK410" i="22"/>
  <c r="AN409" i="22"/>
  <c r="AO409" i="22" s="1"/>
  <c r="AC414" i="22" l="1"/>
  <c r="AG413" i="22"/>
  <c r="AK411" i="22"/>
  <c r="AN410" i="22"/>
  <c r="AO410" i="22" s="1"/>
  <c r="T174" i="22"/>
  <c r="W173" i="22"/>
  <c r="X173" i="22" s="1"/>
  <c r="T237" i="22"/>
  <c r="W236" i="22"/>
  <c r="X236" i="22" s="1"/>
  <c r="AB411" i="22"/>
  <c r="AE410" i="22"/>
  <c r="AF410" i="22"/>
  <c r="T113" i="22"/>
  <c r="W112" i="22"/>
  <c r="X112" i="22" s="1"/>
  <c r="T51" i="22"/>
  <c r="W50" i="22"/>
  <c r="X50" i="22" s="1"/>
  <c r="T52" i="22" l="1"/>
  <c r="W51" i="22"/>
  <c r="X51" i="22" s="1"/>
  <c r="T114" i="22"/>
  <c r="W113" i="22"/>
  <c r="X113" i="22" s="1"/>
  <c r="AB412" i="22"/>
  <c r="AE411" i="22"/>
  <c r="AF411" i="22"/>
  <c r="T238" i="22"/>
  <c r="W237" i="22"/>
  <c r="X237" i="22" s="1"/>
  <c r="T175" i="22"/>
  <c r="W174" i="22"/>
  <c r="X174" i="22" s="1"/>
  <c r="AK412" i="22"/>
  <c r="AN411" i="22"/>
  <c r="AO411" i="22" s="1"/>
  <c r="AC415" i="22"/>
  <c r="AG414" i="22"/>
  <c r="AC416" i="22" l="1"/>
  <c r="AG415" i="22"/>
  <c r="AK413" i="22"/>
  <c r="AN412" i="22"/>
  <c r="AO412" i="22" s="1"/>
  <c r="T176" i="22"/>
  <c r="W175" i="22"/>
  <c r="X175" i="22" s="1"/>
  <c r="T239" i="22"/>
  <c r="W238" i="22"/>
  <c r="X238" i="22" s="1"/>
  <c r="AB413" i="22"/>
  <c r="AE412" i="22"/>
  <c r="AF412" i="22"/>
  <c r="T115" i="22"/>
  <c r="W114" i="22"/>
  <c r="X114" i="22" s="1"/>
  <c r="T53" i="22"/>
  <c r="W52" i="22"/>
  <c r="X52" i="22" s="1"/>
  <c r="AC417" i="22" l="1"/>
  <c r="AG416" i="22"/>
  <c r="T54" i="22"/>
  <c r="W53" i="22"/>
  <c r="X53" i="22" s="1"/>
  <c r="T116" i="22"/>
  <c r="W115" i="22"/>
  <c r="X115" i="22" s="1"/>
  <c r="AB414" i="22"/>
  <c r="AE413" i="22"/>
  <c r="AF413" i="22"/>
  <c r="T240" i="22"/>
  <c r="W239" i="22"/>
  <c r="X239" i="22" s="1"/>
  <c r="T177" i="22"/>
  <c r="W176" i="22"/>
  <c r="X176" i="22" s="1"/>
  <c r="AK414" i="22"/>
  <c r="AN413" i="22"/>
  <c r="AO413" i="22" s="1"/>
  <c r="T178" i="22" l="1"/>
  <c r="W177" i="22"/>
  <c r="X177" i="22" s="1"/>
  <c r="W240" i="22"/>
  <c r="X240" i="22" s="1"/>
  <c r="T241" i="22"/>
  <c r="AE414" i="22"/>
  <c r="AB415" i="22"/>
  <c r="AF414" i="22"/>
  <c r="T117" i="22"/>
  <c r="W116" i="22"/>
  <c r="X116" i="22" s="1"/>
  <c r="T55" i="22"/>
  <c r="W54" i="22"/>
  <c r="X54" i="22" s="1"/>
  <c r="AK415" i="22"/>
  <c r="AN414" i="22"/>
  <c r="AO414" i="22" s="1"/>
  <c r="AC418" i="22"/>
  <c r="AG417" i="22"/>
  <c r="AC419" i="22" l="1"/>
  <c r="AG418" i="22"/>
  <c r="AK416" i="22"/>
  <c r="AN415" i="22"/>
  <c r="AO415" i="22" s="1"/>
  <c r="T56" i="22"/>
  <c r="W55" i="22"/>
  <c r="X55" i="22" s="1"/>
  <c r="T118" i="22"/>
  <c r="W117" i="22"/>
  <c r="X117" i="22" s="1"/>
  <c r="AE415" i="22"/>
  <c r="AB416" i="22"/>
  <c r="AF415" i="22"/>
  <c r="T242" i="22"/>
  <c r="W241" i="22"/>
  <c r="X241" i="22" s="1"/>
  <c r="T179" i="22"/>
  <c r="W178" i="22"/>
  <c r="X178" i="22" s="1"/>
  <c r="T180" i="22" l="1"/>
  <c r="W179" i="22"/>
  <c r="X179" i="22" s="1"/>
  <c r="T243" i="22"/>
  <c r="W242" i="22"/>
  <c r="X242" i="22" s="1"/>
  <c r="AE416" i="22"/>
  <c r="AB417" i="22"/>
  <c r="AF416" i="22"/>
  <c r="T119" i="22"/>
  <c r="W118" i="22"/>
  <c r="X118" i="22" s="1"/>
  <c r="T57" i="22"/>
  <c r="W56" i="22"/>
  <c r="X56" i="22" s="1"/>
  <c r="AK417" i="22"/>
  <c r="AN416" i="22"/>
  <c r="AO416" i="22" s="1"/>
  <c r="AC420" i="22"/>
  <c r="AG419" i="22"/>
  <c r="AC421" i="22" l="1"/>
  <c r="AG420" i="22"/>
  <c r="AK418" i="22"/>
  <c r="AN417" i="22"/>
  <c r="AO417" i="22" s="1"/>
  <c r="T58" i="22"/>
  <c r="W57" i="22"/>
  <c r="X57" i="22" s="1"/>
  <c r="T120" i="22"/>
  <c r="W119" i="22"/>
  <c r="X119" i="22" s="1"/>
  <c r="AB418" i="22"/>
  <c r="AE417" i="22"/>
  <c r="AF417" i="22"/>
  <c r="T244" i="22"/>
  <c r="W243" i="22"/>
  <c r="X243" i="22" s="1"/>
  <c r="T181" i="22"/>
  <c r="W180" i="22"/>
  <c r="X180" i="22" s="1"/>
  <c r="T245" i="22" l="1"/>
  <c r="W244" i="22"/>
  <c r="X244" i="22" s="1"/>
  <c r="AE418" i="22"/>
  <c r="AB419" i="22"/>
  <c r="AF418" i="22"/>
  <c r="T121" i="22"/>
  <c r="W120" i="22"/>
  <c r="X120" i="22" s="1"/>
  <c r="T59" i="22"/>
  <c r="W58" i="22"/>
  <c r="X58" i="22" s="1"/>
  <c r="AK419" i="22"/>
  <c r="AN418" i="22"/>
  <c r="AO418" i="22" s="1"/>
  <c r="T182" i="22"/>
  <c r="W181" i="22"/>
  <c r="X181" i="22" s="1"/>
  <c r="AC422" i="22"/>
  <c r="AG421" i="22"/>
  <c r="AC423" i="22" l="1"/>
  <c r="AG422" i="22"/>
  <c r="T183" i="22"/>
  <c r="W182" i="22"/>
  <c r="X182" i="22" s="1"/>
  <c r="AK420" i="22"/>
  <c r="AN419" i="22"/>
  <c r="AO419" i="22" s="1"/>
  <c r="T60" i="22"/>
  <c r="W59" i="22"/>
  <c r="X59" i="22" s="1"/>
  <c r="T122" i="22"/>
  <c r="W121" i="22"/>
  <c r="X121" i="22" s="1"/>
  <c r="AB420" i="22"/>
  <c r="AE419" i="22"/>
  <c r="AF419" i="22"/>
  <c r="T246" i="22"/>
  <c r="W245" i="22"/>
  <c r="X245" i="22" s="1"/>
  <c r="AC424" i="22" l="1"/>
  <c r="AG423" i="22"/>
  <c r="T247" i="22"/>
  <c r="W246" i="22"/>
  <c r="X246" i="22" s="1"/>
  <c r="AB421" i="22"/>
  <c r="AE420" i="22"/>
  <c r="AF420" i="22"/>
  <c r="T123" i="22"/>
  <c r="W122" i="22"/>
  <c r="X122" i="22" s="1"/>
  <c r="T61" i="22"/>
  <c r="W60" i="22"/>
  <c r="X60" i="22" s="1"/>
  <c r="AK421" i="22"/>
  <c r="AN420" i="22"/>
  <c r="AO420" i="22" s="1"/>
  <c r="W183" i="22"/>
  <c r="X183" i="22" s="1"/>
  <c r="T184" i="22"/>
  <c r="T185" i="22" l="1"/>
  <c r="W184" i="22"/>
  <c r="X184" i="22" s="1"/>
  <c r="AK422" i="22"/>
  <c r="AN421" i="22"/>
  <c r="AO421" i="22" s="1"/>
  <c r="T62" i="22"/>
  <c r="W61" i="22"/>
  <c r="X61" i="22" s="1"/>
  <c r="T124" i="22"/>
  <c r="W123" i="22"/>
  <c r="X123" i="22" s="1"/>
  <c r="AB422" i="22"/>
  <c r="AE421" i="22"/>
  <c r="AF421" i="22"/>
  <c r="T248" i="22"/>
  <c r="W247" i="22"/>
  <c r="X247" i="22" s="1"/>
  <c r="AC425" i="22"/>
  <c r="AG424" i="22"/>
  <c r="AG425" i="22" l="1"/>
  <c r="AC426" i="22"/>
  <c r="T249" i="22"/>
  <c r="W248" i="22"/>
  <c r="X248" i="22" s="1"/>
  <c r="AE422" i="22"/>
  <c r="AB423" i="22"/>
  <c r="AF422" i="22"/>
  <c r="W124" i="22"/>
  <c r="X124" i="22" s="1"/>
  <c r="T125" i="22"/>
  <c r="T63" i="22"/>
  <c r="W62" i="22"/>
  <c r="X62" i="22" s="1"/>
  <c r="AK423" i="22"/>
  <c r="AN422" i="22"/>
  <c r="AO422" i="22" s="1"/>
  <c r="W185" i="22"/>
  <c r="X185" i="22" s="1"/>
  <c r="T186" i="22"/>
  <c r="T187" i="22" l="1"/>
  <c r="W186" i="22"/>
  <c r="X186" i="22" s="1"/>
  <c r="AK424" i="22"/>
  <c r="AN423" i="22"/>
  <c r="AO423" i="22" s="1"/>
  <c r="T64" i="22"/>
  <c r="W63" i="22"/>
  <c r="X63" i="22" s="1"/>
  <c r="T126" i="22"/>
  <c r="W125" i="22"/>
  <c r="X125" i="22" s="1"/>
  <c r="AE423" i="22"/>
  <c r="AB424" i="22"/>
  <c r="AF423" i="22"/>
  <c r="T250" i="22"/>
  <c r="W249" i="22"/>
  <c r="X249" i="22" s="1"/>
  <c r="AC427" i="22"/>
  <c r="AG426" i="22"/>
  <c r="T188" i="22" l="1"/>
  <c r="W187" i="22"/>
  <c r="X187" i="22" s="1"/>
  <c r="AC428" i="22"/>
  <c r="AG427" i="22"/>
  <c r="T251" i="22"/>
  <c r="W250" i="22"/>
  <c r="X250" i="22" s="1"/>
  <c r="AE424" i="22"/>
  <c r="AB425" i="22"/>
  <c r="AF424" i="22"/>
  <c r="T127" i="22"/>
  <c r="W127" i="22" s="1"/>
  <c r="X127" i="22" s="1"/>
  <c r="W126" i="22"/>
  <c r="X126" i="22" s="1"/>
  <c r="T65" i="22"/>
  <c r="W64" i="22"/>
  <c r="X64" i="22" s="1"/>
  <c r="AK425" i="22"/>
  <c r="AN424" i="22"/>
  <c r="AO424" i="22" s="1"/>
  <c r="T189" i="22" l="1"/>
  <c r="W188" i="22"/>
  <c r="X188" i="22" s="1"/>
  <c r="AK426" i="22"/>
  <c r="AN425" i="22"/>
  <c r="AO425" i="22" s="1"/>
  <c r="W65" i="22"/>
  <c r="X65" i="22" s="1"/>
  <c r="T66" i="22"/>
  <c r="W66" i="22" s="1"/>
  <c r="X66" i="22" s="1"/>
  <c r="AB426" i="22"/>
  <c r="AE425" i="22"/>
  <c r="AF425" i="22"/>
  <c r="T252" i="22"/>
  <c r="W251" i="22"/>
  <c r="X251" i="22" s="1"/>
  <c r="AC429" i="22"/>
  <c r="AG428" i="22"/>
  <c r="AC430" i="22" l="1"/>
  <c r="AG429" i="22"/>
  <c r="T253" i="22"/>
  <c r="W252" i="22"/>
  <c r="X252" i="22" s="1"/>
  <c r="AB427" i="22"/>
  <c r="AE426" i="22"/>
  <c r="AF426" i="22"/>
  <c r="AK427" i="22"/>
  <c r="AN426" i="22"/>
  <c r="AO426" i="22" s="1"/>
  <c r="T190" i="22"/>
  <c r="W189" i="22"/>
  <c r="X189" i="22" s="1"/>
  <c r="T191" i="22" l="1"/>
  <c r="W191" i="22" s="1"/>
  <c r="X191" i="22" s="1"/>
  <c r="W190" i="22"/>
  <c r="X190" i="22" s="1"/>
  <c r="AC431" i="22"/>
  <c r="AG430" i="22"/>
  <c r="AK428" i="22"/>
  <c r="AN427" i="22"/>
  <c r="AO427" i="22" s="1"/>
  <c r="AB428" i="22"/>
  <c r="AE427" i="22"/>
  <c r="AF427" i="22"/>
  <c r="T254" i="22"/>
  <c r="W253" i="22"/>
  <c r="X253" i="22" s="1"/>
  <c r="T255" i="22" l="1"/>
  <c r="W254" i="22"/>
  <c r="X254" i="22" s="1"/>
  <c r="AB429" i="22"/>
  <c r="AE428" i="22"/>
  <c r="AF428" i="22"/>
  <c r="AK429" i="22"/>
  <c r="AN428" i="22"/>
  <c r="AL428" i="22"/>
  <c r="AL429" i="22" s="1"/>
  <c r="AL430" i="22" s="1"/>
  <c r="AL431" i="22" s="1"/>
  <c r="AL432" i="22" s="1"/>
  <c r="AL433" i="22" s="1"/>
  <c r="AL434" i="22" s="1"/>
  <c r="AL435" i="22" s="1"/>
  <c r="AL436" i="22" s="1"/>
  <c r="AL437" i="22" s="1"/>
  <c r="AL438" i="22" s="1"/>
  <c r="AL439" i="22" s="1"/>
  <c r="AL440" i="22" s="1"/>
  <c r="AL441" i="22" s="1"/>
  <c r="AL442" i="22" s="1"/>
  <c r="AL443" i="22" s="1"/>
  <c r="AL444" i="22" s="1"/>
  <c r="AL445" i="22" s="1"/>
  <c r="AL446" i="22" s="1"/>
  <c r="AL447" i="22" s="1"/>
  <c r="AL448" i="22" s="1"/>
  <c r="AL449" i="22" s="1"/>
  <c r="AL450" i="22" s="1"/>
  <c r="AL451" i="22" s="1"/>
  <c r="AL452" i="22" s="1"/>
  <c r="AL453" i="22" s="1"/>
  <c r="AL454" i="22" s="1"/>
  <c r="AL455" i="22" s="1"/>
  <c r="AL456" i="22" s="1"/>
  <c r="AL457" i="22" s="1"/>
  <c r="AL458" i="22" s="1"/>
  <c r="AL459" i="22" s="1"/>
  <c r="AL460" i="22" s="1"/>
  <c r="AL461" i="22" s="1"/>
  <c r="AL462" i="22" s="1"/>
  <c r="AL463" i="22" s="1"/>
  <c r="AL464" i="22" s="1"/>
  <c r="AL465" i="22" s="1"/>
  <c r="AL466" i="22" s="1"/>
  <c r="AL467" i="22" s="1"/>
  <c r="AL468" i="22" s="1"/>
  <c r="AL469" i="22" s="1"/>
  <c r="AL470" i="22" s="1"/>
  <c r="AL471" i="22" s="1"/>
  <c r="AL472" i="22" s="1"/>
  <c r="AL473" i="22" s="1"/>
  <c r="AL474" i="22" s="1"/>
  <c r="AL475" i="22" s="1"/>
  <c r="AL476" i="22" s="1"/>
  <c r="AL477" i="22" s="1"/>
  <c r="AL478" i="22" s="1"/>
  <c r="AL479" i="22" s="1"/>
  <c r="AL480" i="22" s="1"/>
  <c r="AL481" i="22" s="1"/>
  <c r="AL482" i="22" s="1"/>
  <c r="AL483" i="22" s="1"/>
  <c r="AL484" i="22" s="1"/>
  <c r="AL485" i="22" s="1"/>
  <c r="AL486" i="22" s="1"/>
  <c r="AL487" i="22" s="1"/>
  <c r="AL488" i="22" s="1"/>
  <c r="AL489" i="22" s="1"/>
  <c r="AL490" i="22" s="1"/>
  <c r="AL491" i="22" s="1"/>
  <c r="AC432" i="22"/>
  <c r="AG431" i="22"/>
  <c r="T256" i="22" l="1"/>
  <c r="W255" i="22"/>
  <c r="X255" i="22" s="1"/>
  <c r="AC433" i="22"/>
  <c r="AG432" i="22"/>
  <c r="AO428" i="22"/>
  <c r="AK430" i="22"/>
  <c r="AN429" i="22"/>
  <c r="AO429" i="22" s="1"/>
  <c r="AE429" i="22"/>
  <c r="AB430" i="22"/>
  <c r="AF429" i="22"/>
  <c r="T257" i="22" l="1"/>
  <c r="W256" i="22"/>
  <c r="X256" i="22" s="1"/>
  <c r="AE430" i="22"/>
  <c r="AB431" i="22"/>
  <c r="AF430" i="22"/>
  <c r="AK431" i="22"/>
  <c r="AN430" i="22"/>
  <c r="AO430" i="22" s="1"/>
  <c r="AC434" i="22"/>
  <c r="AG433" i="22"/>
  <c r="T258" i="22" l="1"/>
  <c r="W257" i="22"/>
  <c r="X257" i="22" s="1"/>
  <c r="AC435" i="22"/>
  <c r="AG434" i="22"/>
  <c r="AK432" i="22"/>
  <c r="AN431" i="22"/>
  <c r="AO431" i="22" s="1"/>
  <c r="AE431" i="22"/>
  <c r="AB432" i="22"/>
  <c r="AF431" i="22"/>
  <c r="AE432" i="22" l="1"/>
  <c r="AB433" i="22"/>
  <c r="AF432" i="22"/>
  <c r="AK433" i="22"/>
  <c r="AN432" i="22"/>
  <c r="AO432" i="22" s="1"/>
  <c r="AC436" i="22"/>
  <c r="AG435" i="22"/>
  <c r="T259" i="22"/>
  <c r="W258" i="22"/>
  <c r="X258" i="22" s="1"/>
  <c r="T260" i="22" l="1"/>
  <c r="W259" i="22"/>
  <c r="X259" i="22" s="1"/>
  <c r="AC437" i="22"/>
  <c r="AG436" i="22"/>
  <c r="AK434" i="22"/>
  <c r="AN433" i="22"/>
  <c r="AO433" i="22" s="1"/>
  <c r="AB434" i="22"/>
  <c r="AE433" i="22"/>
  <c r="AF433" i="22"/>
  <c r="T261" i="22" l="1"/>
  <c r="W260" i="22"/>
  <c r="X260" i="22" s="1"/>
  <c r="AB435" i="22"/>
  <c r="AE434" i="22"/>
  <c r="AF434" i="22"/>
  <c r="AK435" i="22"/>
  <c r="AN434" i="22"/>
  <c r="AO434" i="22" s="1"/>
  <c r="AC438" i="22"/>
  <c r="AG437" i="22"/>
  <c r="AC439" i="22" l="1"/>
  <c r="AG438" i="22"/>
  <c r="AK436" i="22"/>
  <c r="AN435" i="22"/>
  <c r="AO435" i="22" s="1"/>
  <c r="AB436" i="22"/>
  <c r="AE435" i="22"/>
  <c r="AF435" i="22"/>
  <c r="T262" i="22"/>
  <c r="W261" i="22"/>
  <c r="X261" i="22" s="1"/>
  <c r="AC440" i="22" l="1"/>
  <c r="AG439" i="22"/>
  <c r="T263" i="22"/>
  <c r="W262" i="22"/>
  <c r="X262" i="22" s="1"/>
  <c r="AB437" i="22"/>
  <c r="AE436" i="22"/>
  <c r="AF436" i="22"/>
  <c r="AK437" i="22"/>
  <c r="AN436" i="22"/>
  <c r="AO436" i="22" s="1"/>
  <c r="AC441" i="22" l="1"/>
  <c r="AG440" i="22"/>
  <c r="AK438" i="22"/>
  <c r="AN437" i="22"/>
  <c r="AO437" i="22" s="1"/>
  <c r="AE437" i="22"/>
  <c r="AB438" i="22"/>
  <c r="AF437" i="22"/>
  <c r="T264" i="22"/>
  <c r="W263" i="22"/>
  <c r="X263" i="22" s="1"/>
  <c r="AC442" i="22" l="1"/>
  <c r="AG441" i="22"/>
  <c r="T265" i="22"/>
  <c r="W264" i="22"/>
  <c r="X264" i="22" s="1"/>
  <c r="AB439" i="22"/>
  <c r="AE438" i="22"/>
  <c r="AF438" i="22"/>
  <c r="AK439" i="22"/>
  <c r="AN438" i="22"/>
  <c r="AO438" i="22" s="1"/>
  <c r="AK440" i="22" l="1"/>
  <c r="AN439" i="22"/>
  <c r="AO439" i="22" s="1"/>
  <c r="AE439" i="22"/>
  <c r="AB440" i="22"/>
  <c r="AF439" i="22"/>
  <c r="T266" i="22"/>
  <c r="W265" i="22"/>
  <c r="X265" i="22" s="1"/>
  <c r="AC443" i="22"/>
  <c r="AG442" i="22"/>
  <c r="AC444" i="22" l="1"/>
  <c r="AG443" i="22"/>
  <c r="W266" i="22"/>
  <c r="X266" i="22" s="1"/>
  <c r="T267" i="22"/>
  <c r="AE440" i="22"/>
  <c r="AB441" i="22"/>
  <c r="AF440" i="22"/>
  <c r="AK441" i="22"/>
  <c r="AN440" i="22"/>
  <c r="AO440" i="22" s="1"/>
  <c r="AC445" i="22" l="1"/>
  <c r="AG444" i="22"/>
  <c r="AK442" i="22"/>
  <c r="AN441" i="22"/>
  <c r="AO441" i="22" s="1"/>
  <c r="T268" i="22"/>
  <c r="W267" i="22"/>
  <c r="X267" i="22" s="1"/>
  <c r="AE441" i="22"/>
  <c r="AB442" i="22"/>
  <c r="AF441" i="22"/>
  <c r="AC446" i="22" l="1"/>
  <c r="AG445" i="22"/>
  <c r="AB443" i="22"/>
  <c r="AE442" i="22"/>
  <c r="AF442" i="22"/>
  <c r="T269" i="22"/>
  <c r="W268" i="22"/>
  <c r="X268" i="22" s="1"/>
  <c r="AK443" i="22"/>
  <c r="AN442" i="22"/>
  <c r="AO442" i="22" s="1"/>
  <c r="AK444" i="22" l="1"/>
  <c r="AN443" i="22"/>
  <c r="AO443" i="22" s="1"/>
  <c r="T270" i="22"/>
  <c r="W269" i="22"/>
  <c r="X269" i="22" s="1"/>
  <c r="AB444" i="22"/>
  <c r="AE443" i="22"/>
  <c r="AF443" i="22"/>
  <c r="AC447" i="22"/>
  <c r="AG446" i="22"/>
  <c r="AC448" i="22" l="1"/>
  <c r="AG447" i="22"/>
  <c r="AE444" i="22"/>
  <c r="AB445" i="22"/>
  <c r="AF444" i="22"/>
  <c r="AK445" i="22"/>
  <c r="AN444" i="22"/>
  <c r="AO444" i="22" s="1"/>
  <c r="T271" i="22"/>
  <c r="W270" i="22"/>
  <c r="X270" i="22" s="1"/>
  <c r="AC449" i="22" l="1"/>
  <c r="AG448" i="22"/>
  <c r="T272" i="22"/>
  <c r="W271" i="22"/>
  <c r="X271" i="22" s="1"/>
  <c r="AK446" i="22"/>
  <c r="AN445" i="22"/>
  <c r="AO445" i="22" s="1"/>
  <c r="AE445" i="22"/>
  <c r="AB446" i="22"/>
  <c r="AF445" i="22"/>
  <c r="AC450" i="22" l="1"/>
  <c r="AG449" i="22"/>
  <c r="AB447" i="22"/>
  <c r="AE446" i="22"/>
  <c r="AF446" i="22"/>
  <c r="AK447" i="22"/>
  <c r="AN446" i="22"/>
  <c r="AO446" i="22" s="1"/>
  <c r="T273" i="22"/>
  <c r="W272" i="22"/>
  <c r="X272" i="22" s="1"/>
  <c r="AC451" i="22" l="1"/>
  <c r="AG450" i="22"/>
  <c r="T274" i="22"/>
  <c r="W273" i="22"/>
  <c r="X273" i="22" s="1"/>
  <c r="AK448" i="22"/>
  <c r="AN447" i="22"/>
  <c r="AO447" i="22" s="1"/>
  <c r="AB448" i="22"/>
  <c r="AE447" i="22"/>
  <c r="AF447" i="22"/>
  <c r="AC452" i="22" l="1"/>
  <c r="AG451" i="22"/>
  <c r="AE448" i="22"/>
  <c r="AB449" i="22"/>
  <c r="AF448" i="22"/>
  <c r="AK449" i="22"/>
  <c r="AN448" i="22"/>
  <c r="AO448" i="22" s="1"/>
  <c r="T275" i="22"/>
  <c r="W274" i="22"/>
  <c r="X274" i="22" s="1"/>
  <c r="AC453" i="22" l="1"/>
  <c r="AG452" i="22"/>
  <c r="T276" i="22"/>
  <c r="W275" i="22"/>
  <c r="X275" i="22" s="1"/>
  <c r="AK450" i="22"/>
  <c r="AN449" i="22"/>
  <c r="AO449" i="22" s="1"/>
  <c r="AB450" i="22"/>
  <c r="AE449" i="22"/>
  <c r="AF449" i="22"/>
  <c r="AB451" i="22" l="1"/>
  <c r="AE450" i="22"/>
  <c r="AF450" i="22"/>
  <c r="AK451" i="22"/>
  <c r="AN450" i="22"/>
  <c r="AO450" i="22" s="1"/>
  <c r="T277" i="22"/>
  <c r="W276" i="22"/>
  <c r="X276" i="22" s="1"/>
  <c r="AC454" i="22"/>
  <c r="AG453" i="22"/>
  <c r="AB452" i="22" l="1"/>
  <c r="AE451" i="22"/>
  <c r="AF451" i="22"/>
  <c r="AC455" i="22"/>
  <c r="AG454" i="22"/>
  <c r="W277" i="22"/>
  <c r="X277" i="22" s="1"/>
  <c r="T278" i="22"/>
  <c r="AK452" i="22"/>
  <c r="AN451" i="22"/>
  <c r="AO451" i="22" s="1"/>
  <c r="AB453" i="22" l="1"/>
  <c r="AE452" i="22"/>
  <c r="AF452" i="22"/>
  <c r="AK453" i="22"/>
  <c r="AN452" i="22"/>
  <c r="AO452" i="22" s="1"/>
  <c r="T279" i="22"/>
  <c r="W278" i="22"/>
  <c r="X278" i="22" s="1"/>
  <c r="AC456" i="22"/>
  <c r="AG455" i="22"/>
  <c r="AE453" i="22" l="1"/>
  <c r="AB454" i="22"/>
  <c r="AF453" i="22"/>
  <c r="AC457" i="22"/>
  <c r="AG456" i="22"/>
  <c r="T280" i="22"/>
  <c r="W279" i="22"/>
  <c r="X279" i="22" s="1"/>
  <c r="AK454" i="22"/>
  <c r="AN453" i="22"/>
  <c r="AO453" i="22" s="1"/>
  <c r="AK455" i="22" l="1"/>
  <c r="AN454" i="22"/>
  <c r="AO454" i="22" s="1"/>
  <c r="T281" i="22"/>
  <c r="W280" i="22"/>
  <c r="X280" i="22" s="1"/>
  <c r="AC458" i="22"/>
  <c r="AG457" i="22"/>
  <c r="AE454" i="22"/>
  <c r="AB455" i="22"/>
  <c r="AF454" i="22"/>
  <c r="AB456" i="22" l="1"/>
  <c r="AE455" i="22"/>
  <c r="AF455" i="22"/>
  <c r="AC459" i="22"/>
  <c r="AG458" i="22"/>
  <c r="W281" i="22"/>
  <c r="X281" i="22" s="1"/>
  <c r="T282" i="22"/>
  <c r="AK456" i="22"/>
  <c r="AN455" i="22"/>
  <c r="AO455" i="22" s="1"/>
  <c r="AK457" i="22" l="1"/>
  <c r="AN456" i="22"/>
  <c r="AO456" i="22" s="1"/>
  <c r="T283" i="22"/>
  <c r="W282" i="22"/>
  <c r="X282" i="22" s="1"/>
  <c r="AC460" i="22"/>
  <c r="AG459" i="22"/>
  <c r="AE456" i="22"/>
  <c r="AB457" i="22"/>
  <c r="AF456" i="22"/>
  <c r="AK458" i="22" l="1"/>
  <c r="AN457" i="22"/>
  <c r="AO457" i="22" s="1"/>
  <c r="AB458" i="22"/>
  <c r="AE457" i="22"/>
  <c r="AF457" i="22"/>
  <c r="AC461" i="22"/>
  <c r="AG460" i="22"/>
  <c r="T284" i="22"/>
  <c r="W283" i="22"/>
  <c r="X283" i="22" s="1"/>
  <c r="AK459" i="22" l="1"/>
  <c r="AN458" i="22"/>
  <c r="AO458" i="22" s="1"/>
  <c r="T285" i="22"/>
  <c r="W284" i="22"/>
  <c r="X284" i="22" s="1"/>
  <c r="AC462" i="22"/>
  <c r="AG461" i="22"/>
  <c r="AB459" i="22"/>
  <c r="AE458" i="22"/>
  <c r="AF458" i="22"/>
  <c r="AK460" i="22" l="1"/>
  <c r="AN459" i="22"/>
  <c r="AO459" i="22" s="1"/>
  <c r="AB460" i="22"/>
  <c r="AE459" i="22"/>
  <c r="AF459" i="22"/>
  <c r="AC463" i="22"/>
  <c r="AG462" i="22"/>
  <c r="T286" i="22"/>
  <c r="W285" i="22"/>
  <c r="X285" i="22" s="1"/>
  <c r="AE460" i="22" l="1"/>
  <c r="AB461" i="22"/>
  <c r="AF460" i="22"/>
  <c r="AK461" i="22"/>
  <c r="AN460" i="22"/>
  <c r="AO460" i="22" s="1"/>
  <c r="T287" i="22"/>
  <c r="W286" i="22"/>
  <c r="X286" i="22" s="1"/>
  <c r="AC464" i="22"/>
  <c r="AG463" i="22"/>
  <c r="T288" i="22" l="1"/>
  <c r="W287" i="22"/>
  <c r="X287" i="22" s="1"/>
  <c r="AC465" i="22"/>
  <c r="AG464" i="22"/>
  <c r="AK462" i="22"/>
  <c r="AN461" i="22"/>
  <c r="AO461" i="22" s="1"/>
  <c r="AB462" i="22"/>
  <c r="AE461" i="22"/>
  <c r="AF461" i="22"/>
  <c r="T289" i="22" l="1"/>
  <c r="W288" i="22"/>
  <c r="X288" i="22" s="1"/>
  <c r="AB463" i="22"/>
  <c r="AE462" i="22"/>
  <c r="AF462" i="22"/>
  <c r="AK463" i="22"/>
  <c r="AN462" i="22"/>
  <c r="AO462" i="22" s="1"/>
  <c r="AC466" i="22"/>
  <c r="AG465" i="22"/>
  <c r="AC467" i="22" l="1"/>
  <c r="AG466" i="22"/>
  <c r="AK464" i="22"/>
  <c r="AN463" i="22"/>
  <c r="AO463" i="22" s="1"/>
  <c r="AE463" i="22"/>
  <c r="AB464" i="22"/>
  <c r="AF463" i="22"/>
  <c r="T290" i="22"/>
  <c r="W289" i="22"/>
  <c r="X289" i="22" s="1"/>
  <c r="T291" i="22" l="1"/>
  <c r="W290" i="22"/>
  <c r="X290" i="22" s="1"/>
  <c r="AE464" i="22"/>
  <c r="AB465" i="22"/>
  <c r="AF464" i="22"/>
  <c r="AK465" i="22"/>
  <c r="AN464" i="22"/>
  <c r="AO464" i="22" s="1"/>
  <c r="AC468" i="22"/>
  <c r="AG467" i="22"/>
  <c r="AK466" i="22" l="1"/>
  <c r="AN465" i="22"/>
  <c r="AO465" i="22" s="1"/>
  <c r="AB466" i="22"/>
  <c r="AE465" i="22"/>
  <c r="AF465" i="22"/>
  <c r="AC469" i="22"/>
  <c r="AG468" i="22"/>
  <c r="T292" i="22"/>
  <c r="W291" i="22"/>
  <c r="X291" i="22" s="1"/>
  <c r="T293" i="22" l="1"/>
  <c r="W292" i="22"/>
  <c r="X292" i="22" s="1"/>
  <c r="AC470" i="22"/>
  <c r="AG469" i="22"/>
  <c r="AE466" i="22"/>
  <c r="AB467" i="22"/>
  <c r="AF466" i="22"/>
  <c r="AK467" i="22"/>
  <c r="AN466" i="22"/>
  <c r="AO466" i="22" s="1"/>
  <c r="AB468" i="22" l="1"/>
  <c r="AE467" i="22"/>
  <c r="AF467" i="22"/>
  <c r="AK468" i="22"/>
  <c r="AN467" i="22"/>
  <c r="AO467" i="22" s="1"/>
  <c r="AC471" i="22"/>
  <c r="AG470" i="22"/>
  <c r="T294" i="22"/>
  <c r="W293" i="22"/>
  <c r="X293" i="22" s="1"/>
  <c r="T295" i="22" l="1"/>
  <c r="W294" i="22"/>
  <c r="X294" i="22" s="1"/>
  <c r="AC472" i="22"/>
  <c r="AG471" i="22"/>
  <c r="AK469" i="22"/>
  <c r="AN468" i="22"/>
  <c r="AO468" i="22" s="1"/>
  <c r="AB469" i="22"/>
  <c r="AE468" i="22"/>
  <c r="AF468" i="22"/>
  <c r="AB470" i="22" l="1"/>
  <c r="AE469" i="22"/>
  <c r="AF469" i="22"/>
  <c r="AK470" i="22"/>
  <c r="AN469" i="22"/>
  <c r="AO469" i="22" s="1"/>
  <c r="AC473" i="22"/>
  <c r="AG472" i="22"/>
  <c r="T296" i="22"/>
  <c r="W295" i="22"/>
  <c r="X295" i="22" s="1"/>
  <c r="T297" i="22" l="1"/>
  <c r="W296" i="22"/>
  <c r="X296" i="22" s="1"/>
  <c r="AC474" i="22"/>
  <c r="AG473" i="22"/>
  <c r="AK471" i="22"/>
  <c r="AN470" i="22"/>
  <c r="AO470" i="22" s="1"/>
  <c r="AE470" i="22"/>
  <c r="AB471" i="22"/>
  <c r="AF470" i="22"/>
  <c r="AB472" i="22" l="1"/>
  <c r="AE471" i="22"/>
  <c r="AF471" i="22"/>
  <c r="AK472" i="22"/>
  <c r="AN471" i="22"/>
  <c r="AO471" i="22" s="1"/>
  <c r="AC475" i="22"/>
  <c r="AG474" i="22"/>
  <c r="T298" i="22"/>
  <c r="W297" i="22"/>
  <c r="X297" i="22" s="1"/>
  <c r="T299" i="22" l="1"/>
  <c r="W298" i="22"/>
  <c r="X298" i="22" s="1"/>
  <c r="AC476" i="22"/>
  <c r="AG475" i="22"/>
  <c r="AK473" i="22"/>
  <c r="AN472" i="22"/>
  <c r="AO472" i="22" s="1"/>
  <c r="AE472" i="22"/>
  <c r="AB473" i="22"/>
  <c r="AF472" i="22"/>
  <c r="AE473" i="22" l="1"/>
  <c r="AB474" i="22"/>
  <c r="AF473" i="22"/>
  <c r="AK474" i="22"/>
  <c r="AN473" i="22"/>
  <c r="AO473" i="22" s="1"/>
  <c r="AC477" i="22"/>
  <c r="AG476" i="22"/>
  <c r="T300" i="22"/>
  <c r="W299" i="22"/>
  <c r="X299" i="22" s="1"/>
  <c r="AK475" i="22" l="1"/>
  <c r="AN474" i="22"/>
  <c r="AO474" i="22" s="1"/>
  <c r="AE474" i="22"/>
  <c r="AB475" i="22"/>
  <c r="AF474" i="22"/>
  <c r="T301" i="22"/>
  <c r="W300" i="22"/>
  <c r="X300" i="22" s="1"/>
  <c r="AC478" i="22"/>
  <c r="AG477" i="22"/>
  <c r="AC479" i="22" l="1"/>
  <c r="AG478" i="22"/>
  <c r="T302" i="22"/>
  <c r="W301" i="22"/>
  <c r="X301" i="22" s="1"/>
  <c r="AB476" i="22"/>
  <c r="AE475" i="22"/>
  <c r="AF475" i="22"/>
  <c r="AK476" i="22"/>
  <c r="AN475" i="22"/>
  <c r="AO475" i="22" s="1"/>
  <c r="AK477" i="22" l="1"/>
  <c r="AN476" i="22"/>
  <c r="AO476" i="22" s="1"/>
  <c r="AE476" i="22"/>
  <c r="AB477" i="22"/>
  <c r="AF476" i="22"/>
  <c r="T303" i="22"/>
  <c r="W302" i="22"/>
  <c r="X302" i="22" s="1"/>
  <c r="AC480" i="22"/>
  <c r="AG479" i="22"/>
  <c r="AB478" i="22" l="1"/>
  <c r="AE477" i="22"/>
  <c r="AF477" i="22"/>
  <c r="AC481" i="22"/>
  <c r="AG480" i="22"/>
  <c r="W303" i="22"/>
  <c r="X303" i="22" s="1"/>
  <c r="T304" i="22"/>
  <c r="AK478" i="22"/>
  <c r="AN477" i="22"/>
  <c r="AO477" i="22" s="1"/>
  <c r="AC482" i="22" l="1"/>
  <c r="AG481" i="22"/>
  <c r="AK479" i="22"/>
  <c r="AN478" i="22"/>
  <c r="AO478" i="22" s="1"/>
  <c r="T305" i="22"/>
  <c r="W304" i="22"/>
  <c r="X304" i="22" s="1"/>
  <c r="AB479" i="22"/>
  <c r="AE478" i="22"/>
  <c r="AF478" i="22"/>
  <c r="AE479" i="22" l="1"/>
  <c r="AB480" i="22"/>
  <c r="AF479" i="22"/>
  <c r="T306" i="22"/>
  <c r="W305" i="22"/>
  <c r="X305" i="22" s="1"/>
  <c r="AK480" i="22"/>
  <c r="AN479" i="22"/>
  <c r="AO479" i="22" s="1"/>
  <c r="AC483" i="22"/>
  <c r="AG482" i="22"/>
  <c r="AC484" i="22" l="1"/>
  <c r="AG483" i="22"/>
  <c r="AE480" i="22"/>
  <c r="AB481" i="22"/>
  <c r="AF480" i="22"/>
  <c r="AK481" i="22"/>
  <c r="AN480" i="22"/>
  <c r="AO480" i="22" s="1"/>
  <c r="T307" i="22"/>
  <c r="W306" i="22"/>
  <c r="X306" i="22" s="1"/>
  <c r="T308" i="22" l="1"/>
  <c r="W307" i="22"/>
  <c r="X307" i="22" s="1"/>
  <c r="AK482" i="22"/>
  <c r="AN481" i="22"/>
  <c r="AO481" i="22" s="1"/>
  <c r="AE481" i="22"/>
  <c r="AB482" i="22"/>
  <c r="AF481" i="22"/>
  <c r="AC485" i="22"/>
  <c r="AG484" i="22"/>
  <c r="AG485" i="22" l="1"/>
  <c r="AC486" i="22"/>
  <c r="AE482" i="22"/>
  <c r="AB483" i="22"/>
  <c r="AF482" i="22"/>
  <c r="AK483" i="22"/>
  <c r="AN482" i="22"/>
  <c r="AO482" i="22" s="1"/>
  <c r="T309" i="22"/>
  <c r="W308" i="22"/>
  <c r="X308" i="22" s="1"/>
  <c r="T310" i="22" l="1"/>
  <c r="W309" i="22"/>
  <c r="X309" i="22" s="1"/>
  <c r="AK484" i="22"/>
  <c r="AN483" i="22"/>
  <c r="AO483" i="22" s="1"/>
  <c r="AB484" i="22"/>
  <c r="AE483" i="22"/>
  <c r="AF483" i="22"/>
  <c r="AC487" i="22"/>
  <c r="AG486" i="22"/>
  <c r="AB485" i="22" l="1"/>
  <c r="AE484" i="22"/>
  <c r="AF484" i="22"/>
  <c r="AC488" i="22"/>
  <c r="AG487" i="22"/>
  <c r="AK485" i="22"/>
  <c r="AN484" i="22"/>
  <c r="AO484" i="22" s="1"/>
  <c r="T311" i="22"/>
  <c r="W310" i="22"/>
  <c r="X310" i="22" s="1"/>
  <c r="T312" i="22" l="1"/>
  <c r="W311" i="22"/>
  <c r="X311" i="22" s="1"/>
  <c r="AK486" i="22"/>
  <c r="AN485" i="22"/>
  <c r="AO485" i="22" s="1"/>
  <c r="AG488" i="22"/>
  <c r="AC489" i="22"/>
  <c r="AE485" i="22"/>
  <c r="AB486" i="22"/>
  <c r="AF485" i="22"/>
  <c r="AB487" i="22" l="1"/>
  <c r="AE486" i="22"/>
  <c r="AF486" i="22"/>
  <c r="AC490" i="22"/>
  <c r="AG489" i="22"/>
  <c r="AK487" i="22"/>
  <c r="AN486" i="22"/>
  <c r="AO486" i="22" s="1"/>
  <c r="W312" i="22"/>
  <c r="X312" i="22" s="1"/>
  <c r="T313" i="22"/>
  <c r="AB488" i="22" l="1"/>
  <c r="AE487" i="22"/>
  <c r="AF487" i="22"/>
  <c r="T314" i="22"/>
  <c r="W313" i="22"/>
  <c r="X313" i="22" s="1"/>
  <c r="AK488" i="22"/>
  <c r="AN487" i="22"/>
  <c r="AO487" i="22" s="1"/>
  <c r="AC491" i="22"/>
  <c r="AG490" i="22"/>
  <c r="AC492" i="22" l="1"/>
  <c r="AG491" i="22"/>
  <c r="AK489" i="22"/>
  <c r="AN488" i="22"/>
  <c r="AO488" i="22" s="1"/>
  <c r="T315" i="22"/>
  <c r="W314" i="22"/>
  <c r="X314" i="22" s="1"/>
  <c r="AE488" i="22"/>
  <c r="AB489" i="22"/>
  <c r="AF488" i="22"/>
  <c r="AE489" i="22" l="1"/>
  <c r="AB490" i="22"/>
  <c r="AF489" i="22"/>
  <c r="T316" i="22"/>
  <c r="W315" i="22"/>
  <c r="X315" i="22" s="1"/>
  <c r="AK490" i="22"/>
  <c r="AN489" i="22"/>
  <c r="AO489" i="22" s="1"/>
  <c r="AC493" i="22"/>
  <c r="AG492" i="22"/>
  <c r="AK491" i="22" l="1"/>
  <c r="AN490" i="22"/>
  <c r="AO490" i="22" s="1"/>
  <c r="AC494" i="22"/>
  <c r="AG493" i="22"/>
  <c r="T317" i="22"/>
  <c r="W316" i="22"/>
  <c r="X316" i="22" s="1"/>
  <c r="AB491" i="22"/>
  <c r="AE490" i="22"/>
  <c r="AF490" i="22"/>
  <c r="AB492" i="22" l="1"/>
  <c r="AE491" i="22"/>
  <c r="AF491" i="22"/>
  <c r="W317" i="22"/>
  <c r="X317" i="22" s="1"/>
  <c r="T318" i="22"/>
  <c r="AC495" i="22"/>
  <c r="AG494" i="22"/>
  <c r="AK492" i="22"/>
  <c r="AN491" i="22"/>
  <c r="AO491" i="22" s="1"/>
  <c r="AK493" i="22" l="1"/>
  <c r="AN492" i="22"/>
  <c r="AL492" i="22"/>
  <c r="AL493" i="22" s="1"/>
  <c r="AL494" i="22" s="1"/>
  <c r="AL495" i="22" s="1"/>
  <c r="AL496" i="22" s="1"/>
  <c r="AL497" i="22" s="1"/>
  <c r="AL498" i="22" s="1"/>
  <c r="AL499" i="22" s="1"/>
  <c r="AL500" i="22" s="1"/>
  <c r="AL501" i="22" s="1"/>
  <c r="AL502" i="22" s="1"/>
  <c r="AL503" i="22" s="1"/>
  <c r="AL504" i="22" s="1"/>
  <c r="AL505" i="22" s="1"/>
  <c r="AL506" i="22" s="1"/>
  <c r="AL507" i="22" s="1"/>
  <c r="AL508" i="22" s="1"/>
  <c r="AL509" i="22" s="1"/>
  <c r="AL510" i="22" s="1"/>
  <c r="AL511" i="22" s="1"/>
  <c r="AL512" i="22" s="1"/>
  <c r="AL513" i="22" s="1"/>
  <c r="AL514" i="22" s="1"/>
  <c r="AL515" i="22" s="1"/>
  <c r="AL516" i="22" s="1"/>
  <c r="AL517" i="22" s="1"/>
  <c r="AL518" i="22" s="1"/>
  <c r="AL519" i="22" s="1"/>
  <c r="AL520" i="22" s="1"/>
  <c r="AL521" i="22" s="1"/>
  <c r="AL522" i="22" s="1"/>
  <c r="AL523" i="22" s="1"/>
  <c r="AL524" i="22" s="1"/>
  <c r="AL525" i="22" s="1"/>
  <c r="AL526" i="22" s="1"/>
  <c r="AL527" i="22" s="1"/>
  <c r="AL528" i="22" s="1"/>
  <c r="AL529" i="22" s="1"/>
  <c r="AL530" i="22" s="1"/>
  <c r="AL531" i="22" s="1"/>
  <c r="AL532" i="22" s="1"/>
  <c r="AL533" i="22" s="1"/>
  <c r="AL534" i="22" s="1"/>
  <c r="AL535" i="22" s="1"/>
  <c r="AL536" i="22" s="1"/>
  <c r="AL537" i="22" s="1"/>
  <c r="AL538" i="22" s="1"/>
  <c r="AL539" i="22" s="1"/>
  <c r="AL540" i="22" s="1"/>
  <c r="AL541" i="22" s="1"/>
  <c r="AL542" i="22" s="1"/>
  <c r="AL543" i="22" s="1"/>
  <c r="AL544" i="22" s="1"/>
  <c r="AL545" i="22" s="1"/>
  <c r="AL546" i="22" s="1"/>
  <c r="AL547" i="22" s="1"/>
  <c r="AL548" i="22" s="1"/>
  <c r="AL549" i="22" s="1"/>
  <c r="AL550" i="22" s="1"/>
  <c r="AL551" i="22" s="1"/>
  <c r="AL552" i="22" s="1"/>
  <c r="AL553" i="22" s="1"/>
  <c r="AL554" i="22" s="1"/>
  <c r="AL555" i="22" s="1"/>
  <c r="AC496" i="22"/>
  <c r="AG495" i="22"/>
  <c r="T319" i="22"/>
  <c r="W318" i="22"/>
  <c r="X318" i="22" s="1"/>
  <c r="AB493" i="22"/>
  <c r="AE492" i="22"/>
  <c r="AF492" i="22"/>
  <c r="AB494" i="22" l="1"/>
  <c r="AE493" i="22"/>
  <c r="AF493" i="22"/>
  <c r="T320" i="22"/>
  <c r="W319" i="22"/>
  <c r="X319" i="22" s="1"/>
  <c r="AC497" i="22"/>
  <c r="AG496" i="22"/>
  <c r="AO492" i="22"/>
  <c r="AK494" i="22"/>
  <c r="AN493" i="22"/>
  <c r="AO493" i="22" s="1"/>
  <c r="AK495" i="22" l="1"/>
  <c r="AN494" i="22"/>
  <c r="AO494" i="22" s="1"/>
  <c r="AC498" i="22"/>
  <c r="AG497" i="22"/>
  <c r="T321" i="22"/>
  <c r="W320" i="22"/>
  <c r="X320" i="22" s="1"/>
  <c r="AB495" i="22"/>
  <c r="AE494" i="22"/>
  <c r="AF494" i="22"/>
  <c r="AK496" i="22" l="1"/>
  <c r="AN495" i="22"/>
  <c r="AO495" i="22" s="1"/>
  <c r="AE495" i="22"/>
  <c r="AB496" i="22"/>
  <c r="AF495" i="22"/>
  <c r="T322" i="22"/>
  <c r="W321" i="22"/>
  <c r="X321" i="22" s="1"/>
  <c r="AC499" i="22"/>
  <c r="AG498" i="22"/>
  <c r="AC500" i="22" l="1"/>
  <c r="AG499" i="22"/>
  <c r="T323" i="22"/>
  <c r="W322" i="22"/>
  <c r="X322" i="22" s="1"/>
  <c r="AE496" i="22"/>
  <c r="AB497" i="22"/>
  <c r="AF496" i="22"/>
  <c r="AK497" i="22"/>
  <c r="AN496" i="22"/>
  <c r="AO496" i="22" s="1"/>
  <c r="T324" i="22" l="1"/>
  <c r="W323" i="22"/>
  <c r="X323" i="22" s="1"/>
  <c r="AK498" i="22"/>
  <c r="AN497" i="22"/>
  <c r="AO497" i="22" s="1"/>
  <c r="AB498" i="22"/>
  <c r="AE497" i="22"/>
  <c r="AF497" i="22"/>
  <c r="AC501" i="22"/>
  <c r="AG500" i="22"/>
  <c r="AC502" i="22" l="1"/>
  <c r="AG501" i="22"/>
  <c r="AE498" i="22"/>
  <c r="AB499" i="22"/>
  <c r="AF498" i="22"/>
  <c r="AK499" i="22"/>
  <c r="AN498" i="22"/>
  <c r="AO498" i="22" s="1"/>
  <c r="T325" i="22"/>
  <c r="W324" i="22"/>
  <c r="X324" i="22" s="1"/>
  <c r="T326" i="22" l="1"/>
  <c r="W325" i="22"/>
  <c r="X325" i="22" s="1"/>
  <c r="AK500" i="22"/>
  <c r="AN499" i="22"/>
  <c r="AO499" i="22" s="1"/>
  <c r="AB500" i="22"/>
  <c r="AE499" i="22"/>
  <c r="AF499" i="22"/>
  <c r="AC503" i="22"/>
  <c r="AG502" i="22"/>
  <c r="AB501" i="22" l="1"/>
  <c r="AE500" i="22"/>
  <c r="AF500" i="22"/>
  <c r="AC504" i="22"/>
  <c r="AG503" i="22"/>
  <c r="AK501" i="22"/>
  <c r="AN500" i="22"/>
  <c r="AO500" i="22" s="1"/>
  <c r="T327" i="22"/>
  <c r="W326" i="22"/>
  <c r="X326" i="22" s="1"/>
  <c r="T328" i="22" l="1"/>
  <c r="W327" i="22"/>
  <c r="X327" i="22" s="1"/>
  <c r="AK502" i="22"/>
  <c r="AN501" i="22"/>
  <c r="AO501" i="22" s="1"/>
  <c r="AC505" i="22"/>
  <c r="AG504" i="22"/>
  <c r="AE501" i="22"/>
  <c r="AB502" i="22"/>
  <c r="AF501" i="22"/>
  <c r="AE502" i="22" l="1"/>
  <c r="AB503" i="22"/>
  <c r="AF502" i="22"/>
  <c r="AC506" i="22"/>
  <c r="AG505" i="22"/>
  <c r="AK503" i="22"/>
  <c r="AN502" i="22"/>
  <c r="AO502" i="22" s="1"/>
  <c r="T329" i="22"/>
  <c r="W328" i="22"/>
  <c r="X328" i="22" s="1"/>
  <c r="T330" i="22" l="1"/>
  <c r="W329" i="22"/>
  <c r="X329" i="22" s="1"/>
  <c r="AK504" i="22"/>
  <c r="AN503" i="22"/>
  <c r="AO503" i="22" s="1"/>
  <c r="AC507" i="22"/>
  <c r="AG506" i="22"/>
  <c r="AB504" i="22"/>
  <c r="AE503" i="22"/>
  <c r="AF503" i="22"/>
  <c r="AE504" i="22" l="1"/>
  <c r="AB505" i="22"/>
  <c r="AF504" i="22"/>
  <c r="AC508" i="22"/>
  <c r="AG507" i="22"/>
  <c r="AK505" i="22"/>
  <c r="AN504" i="22"/>
  <c r="AO504" i="22" s="1"/>
  <c r="T331" i="22"/>
  <c r="W330" i="22"/>
  <c r="X330" i="22" s="1"/>
  <c r="AK506" i="22" l="1"/>
  <c r="AN505" i="22"/>
  <c r="AO505" i="22" s="1"/>
  <c r="AC509" i="22"/>
  <c r="AG508" i="22"/>
  <c r="AB506" i="22"/>
  <c r="AE505" i="22"/>
  <c r="AF505" i="22"/>
  <c r="T332" i="22"/>
  <c r="W331" i="22"/>
  <c r="X331" i="22" s="1"/>
  <c r="AE506" i="22" l="1"/>
  <c r="AB507" i="22"/>
  <c r="AF506" i="22"/>
  <c r="T333" i="22"/>
  <c r="W332" i="22"/>
  <c r="X332" i="22" s="1"/>
  <c r="AG509" i="22"/>
  <c r="AC510" i="22"/>
  <c r="AK507" i="22"/>
  <c r="AN506" i="22"/>
  <c r="AO506" i="22" s="1"/>
  <c r="AB508" i="22" l="1"/>
  <c r="AE507" i="22"/>
  <c r="AF507" i="22"/>
  <c r="AK508" i="22"/>
  <c r="AN507" i="22"/>
  <c r="AO507" i="22" s="1"/>
  <c r="AC511" i="22"/>
  <c r="AG510" i="22"/>
  <c r="T334" i="22"/>
  <c r="W333" i="22"/>
  <c r="X333" i="22" s="1"/>
  <c r="T335" i="22" l="1"/>
  <c r="W334" i="22"/>
  <c r="X334" i="22" s="1"/>
  <c r="AC512" i="22"/>
  <c r="AG511" i="22"/>
  <c r="AK509" i="22"/>
  <c r="AN508" i="22"/>
  <c r="AO508" i="22" s="1"/>
  <c r="AB509" i="22"/>
  <c r="AE508" i="22"/>
  <c r="AF508" i="22"/>
  <c r="AB510" i="22" l="1"/>
  <c r="AE509" i="22"/>
  <c r="AF509" i="22"/>
  <c r="AK510" i="22"/>
  <c r="AN509" i="22"/>
  <c r="AO509" i="22" s="1"/>
  <c r="AC513" i="22"/>
  <c r="AG512" i="22"/>
  <c r="T336" i="22"/>
  <c r="W335" i="22"/>
  <c r="X335" i="22" s="1"/>
  <c r="W336" i="22" l="1"/>
  <c r="X336" i="22" s="1"/>
  <c r="T337" i="22"/>
  <c r="AC514" i="22"/>
  <c r="AG513" i="22"/>
  <c r="AK511" i="22"/>
  <c r="AN510" i="22"/>
  <c r="AO510" i="22" s="1"/>
  <c r="AB511" i="22"/>
  <c r="AE510" i="22"/>
  <c r="AF510" i="22"/>
  <c r="AB512" i="22" l="1"/>
  <c r="AE511" i="22"/>
  <c r="AF511" i="22"/>
  <c r="AK512" i="22"/>
  <c r="AN511" i="22"/>
  <c r="AO511" i="22" s="1"/>
  <c r="AC515" i="22"/>
  <c r="AG514" i="22"/>
  <c r="W337" i="22"/>
  <c r="X337" i="22" s="1"/>
  <c r="T338" i="22"/>
  <c r="W338" i="22" l="1"/>
  <c r="X338" i="22" s="1"/>
  <c r="T339" i="22"/>
  <c r="AC516" i="22"/>
  <c r="AG515" i="22"/>
  <c r="AK513" i="22"/>
  <c r="AN512" i="22"/>
  <c r="AO512" i="22" s="1"/>
  <c r="AE512" i="22"/>
  <c r="AB513" i="22"/>
  <c r="AF512" i="22"/>
  <c r="AB514" i="22" l="1"/>
  <c r="AE513" i="22"/>
  <c r="AF513" i="22"/>
  <c r="AK514" i="22"/>
  <c r="AN513" i="22"/>
  <c r="AO513" i="22" s="1"/>
  <c r="AC517" i="22"/>
  <c r="AG516" i="22"/>
  <c r="T340" i="22"/>
  <c r="W339" i="22"/>
  <c r="X339" i="22" s="1"/>
  <c r="T341" i="22" l="1"/>
  <c r="W340" i="22"/>
  <c r="X340" i="22" s="1"/>
  <c r="AC518" i="22"/>
  <c r="AG517" i="22"/>
  <c r="AK515" i="22"/>
  <c r="AN514" i="22"/>
  <c r="AO514" i="22" s="1"/>
  <c r="AE514" i="22"/>
  <c r="AB515" i="22"/>
  <c r="AF514" i="22"/>
  <c r="AB516" i="22" l="1"/>
  <c r="AE515" i="22"/>
  <c r="AF515" i="22"/>
  <c r="AK516" i="22"/>
  <c r="AN515" i="22"/>
  <c r="AO515" i="22" s="1"/>
  <c r="AC519" i="22"/>
  <c r="AG518" i="22"/>
  <c r="T342" i="22"/>
  <c r="W341" i="22"/>
  <c r="X341" i="22" s="1"/>
  <c r="T343" i="22" l="1"/>
  <c r="W342" i="22"/>
  <c r="X342" i="22" s="1"/>
  <c r="AC520" i="22"/>
  <c r="AG519" i="22"/>
  <c r="AK517" i="22"/>
  <c r="AN516" i="22"/>
  <c r="AO516" i="22" s="1"/>
  <c r="AB517" i="22"/>
  <c r="AE516" i="22"/>
  <c r="AF516" i="22"/>
  <c r="AK518" i="22" l="1"/>
  <c r="AN517" i="22"/>
  <c r="AO517" i="22" s="1"/>
  <c r="AC521" i="22"/>
  <c r="AG520" i="22"/>
  <c r="AB518" i="22"/>
  <c r="AE517" i="22"/>
  <c r="AF517" i="22"/>
  <c r="T344" i="22"/>
  <c r="W343" i="22"/>
  <c r="X343" i="22" s="1"/>
  <c r="T345" i="22" l="1"/>
  <c r="W344" i="22"/>
  <c r="X344" i="22" s="1"/>
  <c r="AE518" i="22"/>
  <c r="AB519" i="22"/>
  <c r="AF518" i="22"/>
  <c r="AC522" i="22"/>
  <c r="AG521" i="22"/>
  <c r="AK519" i="22"/>
  <c r="AN518" i="22"/>
  <c r="AO518" i="22" s="1"/>
  <c r="AK520" i="22" l="1"/>
  <c r="AN519" i="22"/>
  <c r="AO519" i="22" s="1"/>
  <c r="AC523" i="22"/>
  <c r="AG522" i="22"/>
  <c r="AB520" i="22"/>
  <c r="AE519" i="22"/>
  <c r="AF519" i="22"/>
  <c r="T346" i="22"/>
  <c r="W345" i="22"/>
  <c r="X345" i="22" s="1"/>
  <c r="W346" i="22" l="1"/>
  <c r="X346" i="22" s="1"/>
  <c r="T347" i="22"/>
  <c r="AE520" i="22"/>
  <c r="AB521" i="22"/>
  <c r="AF520" i="22"/>
  <c r="AC524" i="22"/>
  <c r="AG523" i="22"/>
  <c r="AK521" i="22"/>
  <c r="AN520" i="22"/>
  <c r="AO520" i="22" s="1"/>
  <c r="AC525" i="22" l="1"/>
  <c r="AG524" i="22"/>
  <c r="AK522" i="22"/>
  <c r="AN521" i="22"/>
  <c r="AO521" i="22" s="1"/>
  <c r="AB522" i="22"/>
  <c r="AE521" i="22"/>
  <c r="AF521" i="22"/>
  <c r="T348" i="22"/>
  <c r="W347" i="22"/>
  <c r="X347" i="22" s="1"/>
  <c r="AC526" i="22" l="1"/>
  <c r="AG525" i="22"/>
  <c r="T349" i="22"/>
  <c r="W348" i="22"/>
  <c r="X348" i="22" s="1"/>
  <c r="AB523" i="22"/>
  <c r="AE522" i="22"/>
  <c r="AF522" i="22"/>
  <c r="AK523" i="22"/>
  <c r="AN522" i="22"/>
  <c r="AO522" i="22" s="1"/>
  <c r="AK524" i="22" l="1"/>
  <c r="AN523" i="22"/>
  <c r="AO523" i="22" s="1"/>
  <c r="AB524" i="22"/>
  <c r="AE523" i="22"/>
  <c r="AF523" i="22"/>
  <c r="W349" i="22"/>
  <c r="X349" i="22" s="1"/>
  <c r="T350" i="22"/>
  <c r="AC527" i="22"/>
  <c r="AG526" i="22"/>
  <c r="AC528" i="22" l="1"/>
  <c r="AG527" i="22"/>
  <c r="T351" i="22"/>
  <c r="W350" i="22"/>
  <c r="X350" i="22" s="1"/>
  <c r="AE524" i="22"/>
  <c r="AB525" i="22"/>
  <c r="AF524" i="22"/>
  <c r="AK525" i="22"/>
  <c r="AN524" i="22"/>
  <c r="AO524" i="22" s="1"/>
  <c r="AK526" i="22" l="1"/>
  <c r="AN525" i="22"/>
  <c r="AO525" i="22" s="1"/>
  <c r="AB526" i="22"/>
  <c r="AE525" i="22"/>
  <c r="AF525" i="22"/>
  <c r="T352" i="22"/>
  <c r="W351" i="22"/>
  <c r="X351" i="22" s="1"/>
  <c r="AC529" i="22"/>
  <c r="AG528" i="22"/>
  <c r="AC530" i="22" l="1"/>
  <c r="AG529" i="22"/>
  <c r="T353" i="22"/>
  <c r="W352" i="22"/>
  <c r="X352" i="22" s="1"/>
  <c r="AE526" i="22"/>
  <c r="AB527" i="22"/>
  <c r="AF526" i="22"/>
  <c r="AK527" i="22"/>
  <c r="AN526" i="22"/>
  <c r="AO526" i="22" s="1"/>
  <c r="AK528" i="22" l="1"/>
  <c r="AN527" i="22"/>
  <c r="AO527" i="22" s="1"/>
  <c r="AE527" i="22"/>
  <c r="AB528" i="22"/>
  <c r="AF527" i="22"/>
  <c r="T354" i="22"/>
  <c r="W353" i="22"/>
  <c r="X353" i="22" s="1"/>
  <c r="AC531" i="22"/>
  <c r="AG530" i="22"/>
  <c r="AC532" i="22" l="1"/>
  <c r="AG531" i="22"/>
  <c r="W354" i="22"/>
  <c r="X354" i="22" s="1"/>
  <c r="T355" i="22"/>
  <c r="AE528" i="22"/>
  <c r="AB529" i="22"/>
  <c r="AF528" i="22"/>
  <c r="AK529" i="22"/>
  <c r="AN528" i="22"/>
  <c r="AO528" i="22" s="1"/>
  <c r="AK530" i="22" l="1"/>
  <c r="AN529" i="22"/>
  <c r="AO529" i="22" s="1"/>
  <c r="AB530" i="22"/>
  <c r="AE529" i="22"/>
  <c r="AF529" i="22"/>
  <c r="T356" i="22"/>
  <c r="W355" i="22"/>
  <c r="X355" i="22" s="1"/>
  <c r="AC533" i="22"/>
  <c r="AG532" i="22"/>
  <c r="AC534" i="22" l="1"/>
  <c r="AG533" i="22"/>
  <c r="T357" i="22"/>
  <c r="W356" i="22"/>
  <c r="X356" i="22" s="1"/>
  <c r="AB531" i="22"/>
  <c r="AE530" i="22"/>
  <c r="AF530" i="22"/>
  <c r="AK531" i="22"/>
  <c r="AN530" i="22"/>
  <c r="AO530" i="22" s="1"/>
  <c r="AK532" i="22" l="1"/>
  <c r="AN531" i="22"/>
  <c r="AO531" i="22" s="1"/>
  <c r="AB532" i="22"/>
  <c r="AE531" i="22"/>
  <c r="AF531" i="22"/>
  <c r="T358" i="22"/>
  <c r="W357" i="22"/>
  <c r="X357" i="22" s="1"/>
  <c r="AC535" i="22"/>
  <c r="AG534" i="22"/>
  <c r="AC536" i="22" l="1"/>
  <c r="AG535" i="22"/>
  <c r="T359" i="22"/>
  <c r="W358" i="22"/>
  <c r="X358" i="22" s="1"/>
  <c r="AB533" i="22"/>
  <c r="AE532" i="22"/>
  <c r="AF532" i="22"/>
  <c r="AK533" i="22"/>
  <c r="AN532" i="22"/>
  <c r="AO532" i="22" s="1"/>
  <c r="T360" i="22" l="1"/>
  <c r="W359" i="22"/>
  <c r="X359" i="22" s="1"/>
  <c r="AC537" i="22"/>
  <c r="AG536" i="22"/>
  <c r="AK534" i="22"/>
  <c r="AN533" i="22"/>
  <c r="AO533" i="22" s="1"/>
  <c r="AE533" i="22"/>
  <c r="AB534" i="22"/>
  <c r="AF533" i="22"/>
  <c r="AE534" i="22" l="1"/>
  <c r="AB535" i="22"/>
  <c r="AF534" i="22"/>
  <c r="AK535" i="22"/>
  <c r="AN534" i="22"/>
  <c r="AO534" i="22" s="1"/>
  <c r="AC538" i="22"/>
  <c r="AG537" i="22"/>
  <c r="T361" i="22"/>
  <c r="W360" i="22"/>
  <c r="X360" i="22" s="1"/>
  <c r="T362" i="22" l="1"/>
  <c r="W361" i="22"/>
  <c r="X361" i="22" s="1"/>
  <c r="AC539" i="22"/>
  <c r="AG538" i="22"/>
  <c r="AE535" i="22"/>
  <c r="AB536" i="22"/>
  <c r="AF535" i="22"/>
  <c r="AK536" i="22"/>
  <c r="AN535" i="22"/>
  <c r="AO535" i="22" s="1"/>
  <c r="AK537" i="22" l="1"/>
  <c r="AN536" i="22"/>
  <c r="AO536" i="22" s="1"/>
  <c r="AE536" i="22"/>
  <c r="AB537" i="22"/>
  <c r="AF536" i="22"/>
  <c r="AC540" i="22"/>
  <c r="AG539" i="22"/>
  <c r="T363" i="22"/>
  <c r="W362" i="22"/>
  <c r="X362" i="22" s="1"/>
  <c r="AK538" i="22" l="1"/>
  <c r="AN537" i="22"/>
  <c r="AO537" i="22" s="1"/>
  <c r="T364" i="22"/>
  <c r="W363" i="22"/>
  <c r="X363" i="22" s="1"/>
  <c r="AC541" i="22"/>
  <c r="AG540" i="22"/>
  <c r="AE537" i="22"/>
  <c r="AB538" i="22"/>
  <c r="AF537" i="22"/>
  <c r="AB539" i="22" l="1"/>
  <c r="AE538" i="22"/>
  <c r="AF538" i="22"/>
  <c r="AG541" i="22"/>
  <c r="AC542" i="22"/>
  <c r="T365" i="22"/>
  <c r="W364" i="22"/>
  <c r="X364" i="22" s="1"/>
  <c r="AK539" i="22"/>
  <c r="AN538" i="22"/>
  <c r="AO538" i="22" s="1"/>
  <c r="AC543" i="22" l="1"/>
  <c r="AG542" i="22"/>
  <c r="AK540" i="22"/>
  <c r="AN539" i="22"/>
  <c r="AO539" i="22" s="1"/>
  <c r="T366" i="22"/>
  <c r="W365" i="22"/>
  <c r="X365" i="22" s="1"/>
  <c r="AB540" i="22"/>
  <c r="AE539" i="22"/>
  <c r="AF539" i="22"/>
  <c r="AC544" i="22" l="1"/>
  <c r="AG543" i="22"/>
  <c r="AE540" i="22"/>
  <c r="AB541" i="22"/>
  <c r="AF540" i="22"/>
  <c r="T367" i="22"/>
  <c r="W366" i="22"/>
  <c r="X366" i="22" s="1"/>
  <c r="AK541" i="22"/>
  <c r="AN540" i="22"/>
  <c r="AO540" i="22" s="1"/>
  <c r="AK542" i="22" l="1"/>
  <c r="AN541" i="22"/>
  <c r="AO541" i="22" s="1"/>
  <c r="T368" i="22"/>
  <c r="W367" i="22"/>
  <c r="X367" i="22" s="1"/>
  <c r="AE541" i="22"/>
  <c r="AB542" i="22"/>
  <c r="AF541" i="22"/>
  <c r="AC545" i="22"/>
  <c r="AG544" i="22"/>
  <c r="AC546" i="22" l="1"/>
  <c r="AG545" i="22"/>
  <c r="AB543" i="22"/>
  <c r="AE542" i="22"/>
  <c r="AF542" i="22"/>
  <c r="T369" i="22"/>
  <c r="W368" i="22"/>
  <c r="X368" i="22" s="1"/>
  <c r="AK543" i="22"/>
  <c r="AN542" i="22"/>
  <c r="AO542" i="22" s="1"/>
  <c r="AK544" i="22" l="1"/>
  <c r="AN543" i="22"/>
  <c r="AO543" i="22" s="1"/>
  <c r="T370" i="22"/>
  <c r="W369" i="22"/>
  <c r="X369" i="22" s="1"/>
  <c r="AE543" i="22"/>
  <c r="AB544" i="22"/>
  <c r="AF543" i="22"/>
  <c r="AC547" i="22"/>
  <c r="AG546" i="22"/>
  <c r="AC548" i="22" l="1"/>
  <c r="AG547" i="22"/>
  <c r="AE544" i="22"/>
  <c r="AB545" i="22"/>
  <c r="AF544" i="22"/>
  <c r="T371" i="22"/>
  <c r="W370" i="22"/>
  <c r="X370" i="22" s="1"/>
  <c r="AK545" i="22"/>
  <c r="AN544" i="22"/>
  <c r="AO544" i="22" s="1"/>
  <c r="AK546" i="22" l="1"/>
  <c r="AN545" i="22"/>
  <c r="AO545" i="22" s="1"/>
  <c r="T372" i="22"/>
  <c r="W371" i="22"/>
  <c r="X371" i="22" s="1"/>
  <c r="AB546" i="22"/>
  <c r="AE545" i="22"/>
  <c r="AF545" i="22"/>
  <c r="AC549" i="22"/>
  <c r="AG548" i="22"/>
  <c r="AE546" i="22" l="1"/>
  <c r="AB547" i="22"/>
  <c r="AF546" i="22"/>
  <c r="W372" i="22"/>
  <c r="X372" i="22" s="1"/>
  <c r="T373" i="22"/>
  <c r="AC550" i="22"/>
  <c r="AG549" i="22"/>
  <c r="AK547" i="22"/>
  <c r="AN546" i="22"/>
  <c r="AO546" i="22" s="1"/>
  <c r="AK548" i="22" l="1"/>
  <c r="AN547" i="22"/>
  <c r="AO547" i="22" s="1"/>
  <c r="T374" i="22"/>
  <c r="W373" i="22"/>
  <c r="X373" i="22" s="1"/>
  <c r="AC551" i="22"/>
  <c r="AG550" i="22"/>
  <c r="AB548" i="22"/>
  <c r="AE547" i="22"/>
  <c r="AF547" i="22"/>
  <c r="AB549" i="22" l="1"/>
  <c r="AE548" i="22"/>
  <c r="AF548" i="22"/>
  <c r="AC552" i="22"/>
  <c r="AG551" i="22"/>
  <c r="T375" i="22"/>
  <c r="W374" i="22"/>
  <c r="X374" i="22" s="1"/>
  <c r="AK549" i="22"/>
  <c r="AN548" i="22"/>
  <c r="AO548" i="22" s="1"/>
  <c r="T376" i="22" l="1"/>
  <c r="W375" i="22"/>
  <c r="X375" i="22" s="1"/>
  <c r="AK550" i="22"/>
  <c r="AN549" i="22"/>
  <c r="AO549" i="22" s="1"/>
  <c r="AC553" i="22"/>
  <c r="AG552" i="22"/>
  <c r="AE549" i="22"/>
  <c r="AB550" i="22"/>
  <c r="AF549" i="22"/>
  <c r="AB551" i="22" l="1"/>
  <c r="AE550" i="22"/>
  <c r="AF550" i="22"/>
  <c r="AC554" i="22"/>
  <c r="AG553" i="22"/>
  <c r="AK551" i="22"/>
  <c r="AN550" i="22"/>
  <c r="AO550" i="22" s="1"/>
  <c r="T377" i="22"/>
  <c r="W376" i="22"/>
  <c r="X376" i="22" s="1"/>
  <c r="T378" i="22" l="1"/>
  <c r="W377" i="22"/>
  <c r="X377" i="22" s="1"/>
  <c r="AK552" i="22"/>
  <c r="AN551" i="22"/>
  <c r="AO551" i="22" s="1"/>
  <c r="AC555" i="22"/>
  <c r="AG554" i="22"/>
  <c r="AB552" i="22"/>
  <c r="AE551" i="22"/>
  <c r="AF551" i="22"/>
  <c r="AE552" i="22" l="1"/>
  <c r="AB553" i="22"/>
  <c r="AF552" i="22"/>
  <c r="AC556" i="22"/>
  <c r="AG555" i="22"/>
  <c r="AK553" i="22"/>
  <c r="AN552" i="22"/>
  <c r="AO552" i="22" s="1"/>
  <c r="T379" i="22"/>
  <c r="W378" i="22"/>
  <c r="X378" i="22" s="1"/>
  <c r="AK554" i="22" l="1"/>
  <c r="AN553" i="22"/>
  <c r="AO553" i="22" s="1"/>
  <c r="W379" i="22"/>
  <c r="X379" i="22" s="1"/>
  <c r="T380" i="22"/>
  <c r="AC557" i="22"/>
  <c r="AG556" i="22"/>
  <c r="AB554" i="22"/>
  <c r="AE553" i="22"/>
  <c r="AF553" i="22"/>
  <c r="AE554" i="22" l="1"/>
  <c r="AB555" i="22"/>
  <c r="AF554" i="22"/>
  <c r="T381" i="22"/>
  <c r="W380" i="22"/>
  <c r="X380" i="22" s="1"/>
  <c r="AC558" i="22"/>
  <c r="AG557" i="22"/>
  <c r="AK555" i="22"/>
  <c r="AN554" i="22"/>
  <c r="AO554" i="22" s="1"/>
  <c r="AN555" i="22" l="1"/>
  <c r="AO555" i="22" s="1"/>
  <c r="AK556" i="22"/>
  <c r="AC559" i="22"/>
  <c r="AG558" i="22"/>
  <c r="T382" i="22"/>
  <c r="W381" i="22"/>
  <c r="X381" i="22" s="1"/>
  <c r="AB556" i="22"/>
  <c r="AE555" i="22"/>
  <c r="AF555" i="22"/>
  <c r="AC560" i="22" l="1"/>
  <c r="AG559" i="22"/>
  <c r="AB557" i="22"/>
  <c r="AE556" i="22"/>
  <c r="AF556" i="22"/>
  <c r="AK557" i="22"/>
  <c r="AL556" i="22"/>
  <c r="AL557" i="22" s="1"/>
  <c r="AL558" i="22" s="1"/>
  <c r="AL559" i="22" s="1"/>
  <c r="AL560" i="22" s="1"/>
  <c r="AL561" i="22" s="1"/>
  <c r="AL562" i="22" s="1"/>
  <c r="AL563" i="22" s="1"/>
  <c r="AL564" i="22" s="1"/>
  <c r="AL565" i="22" s="1"/>
  <c r="AL566" i="22" s="1"/>
  <c r="AL567" i="22" s="1"/>
  <c r="AL568" i="22" s="1"/>
  <c r="AL569" i="22" s="1"/>
  <c r="AL570" i="22" s="1"/>
  <c r="AL571" i="22" s="1"/>
  <c r="AL572" i="22" s="1"/>
  <c r="AL573" i="22" s="1"/>
  <c r="AL574" i="22" s="1"/>
  <c r="AL575" i="22" s="1"/>
  <c r="AL576" i="22" s="1"/>
  <c r="AL577" i="22" s="1"/>
  <c r="AL578" i="22" s="1"/>
  <c r="AL579" i="22" s="1"/>
  <c r="AL580" i="22" s="1"/>
  <c r="AL581" i="22" s="1"/>
  <c r="AL582" i="22" s="1"/>
  <c r="AL583" i="22" s="1"/>
  <c r="AL584" i="22" s="1"/>
  <c r="AL585" i="22" s="1"/>
  <c r="AL586" i="22" s="1"/>
  <c r="AL587" i="22" s="1"/>
  <c r="AL588" i="22" s="1"/>
  <c r="AL589" i="22" s="1"/>
  <c r="AL590" i="22" s="1"/>
  <c r="AL591" i="22" s="1"/>
  <c r="AL592" i="22" s="1"/>
  <c r="AL593" i="22" s="1"/>
  <c r="AL594" i="22" s="1"/>
  <c r="AL595" i="22" s="1"/>
  <c r="AL596" i="22" s="1"/>
  <c r="AL597" i="22" s="1"/>
  <c r="AL598" i="22" s="1"/>
  <c r="AL599" i="22" s="1"/>
  <c r="AL600" i="22" s="1"/>
  <c r="AL601" i="22" s="1"/>
  <c r="AL602" i="22" s="1"/>
  <c r="AL603" i="22" s="1"/>
  <c r="AL604" i="22" s="1"/>
  <c r="AL605" i="22" s="1"/>
  <c r="AL606" i="22" s="1"/>
  <c r="AL607" i="22" s="1"/>
  <c r="AL608" i="22" s="1"/>
  <c r="AL609" i="22" s="1"/>
  <c r="AL610" i="22" s="1"/>
  <c r="AL611" i="22" s="1"/>
  <c r="AL612" i="22" s="1"/>
  <c r="AL613" i="22" s="1"/>
  <c r="AL614" i="22" s="1"/>
  <c r="AL615" i="22" s="1"/>
  <c r="AL616" i="22" s="1"/>
  <c r="AL617" i="22" s="1"/>
  <c r="AL618" i="22" s="1"/>
  <c r="AL619" i="22" s="1"/>
  <c r="AL620" i="22" s="1"/>
  <c r="AL621" i="22" s="1"/>
  <c r="AL622" i="22" s="1"/>
  <c r="AL623" i="22" s="1"/>
  <c r="AL624" i="22" s="1"/>
  <c r="AL625" i="22" s="1"/>
  <c r="AL626" i="22" s="1"/>
  <c r="AL627" i="22" s="1"/>
  <c r="AL628" i="22" s="1"/>
  <c r="AL629" i="22" s="1"/>
  <c r="AL630" i="22" s="1"/>
  <c r="AL631" i="22" s="1"/>
  <c r="AL632" i="22" s="1"/>
  <c r="AL633" i="22" s="1"/>
  <c r="AL634" i="22" s="1"/>
  <c r="AL635" i="22" s="1"/>
  <c r="AL636" i="22" s="1"/>
  <c r="AL637" i="22" s="1"/>
  <c r="AL638" i="22" s="1"/>
  <c r="AL639" i="22" s="1"/>
  <c r="AL640" i="22" s="1"/>
  <c r="AL641" i="22" s="1"/>
  <c r="AL642" i="22" s="1"/>
  <c r="AL643" i="22" s="1"/>
  <c r="AL644" i="22" s="1"/>
  <c r="AL645" i="22" s="1"/>
  <c r="AL646" i="22" s="1"/>
  <c r="AL647" i="22" s="1"/>
  <c r="AL648" i="22" s="1"/>
  <c r="AL649" i="22" s="1"/>
  <c r="AL650" i="22" s="1"/>
  <c r="AL651" i="22" s="1"/>
  <c r="AL652" i="22" s="1"/>
  <c r="AL653" i="22" s="1"/>
  <c r="AL654" i="22" s="1"/>
  <c r="AL655" i="22" s="1"/>
  <c r="AL656" i="22" s="1"/>
  <c r="AL657" i="22" s="1"/>
  <c r="AL658" i="22" s="1"/>
  <c r="AL659" i="22" s="1"/>
  <c r="AL660" i="22" s="1"/>
  <c r="AL661" i="22" s="1"/>
  <c r="AL662" i="22" s="1"/>
  <c r="AL663" i="22" s="1"/>
  <c r="AL664" i="22" s="1"/>
  <c r="AL665" i="22" s="1"/>
  <c r="AL666" i="22" s="1"/>
  <c r="AL667" i="22" s="1"/>
  <c r="AL668" i="22" s="1"/>
  <c r="AL669" i="22" s="1"/>
  <c r="AL670" i="22" s="1"/>
  <c r="AL671" i="22" s="1"/>
  <c r="AL672" i="22" s="1"/>
  <c r="AL673" i="22" s="1"/>
  <c r="AL674" i="22" s="1"/>
  <c r="AL675" i="22" s="1"/>
  <c r="AL676" i="22" s="1"/>
  <c r="AL677" i="22" s="1"/>
  <c r="AL678" i="22" s="1"/>
  <c r="AL679" i="22" s="1"/>
  <c r="AL680" i="22" s="1"/>
  <c r="AL681" i="22" s="1"/>
  <c r="AL682" i="22" s="1"/>
  <c r="AL683" i="22" s="1"/>
  <c r="AL684" i="22" s="1"/>
  <c r="AL685" i="22" s="1"/>
  <c r="AL686" i="22" s="1"/>
  <c r="AL687" i="22" s="1"/>
  <c r="AL688" i="22" s="1"/>
  <c r="AL689" i="22" s="1"/>
  <c r="AL690" i="22" s="1"/>
  <c r="AL691" i="22" s="1"/>
  <c r="AL692" i="22" s="1"/>
  <c r="AL693" i="22" s="1"/>
  <c r="AL694" i="22" s="1"/>
  <c r="AL695" i="22" s="1"/>
  <c r="AL696" i="22" s="1"/>
  <c r="AL697" i="22" s="1"/>
  <c r="AL698" i="22" s="1"/>
  <c r="AL699" i="22" s="1"/>
  <c r="AL700" i="22" s="1"/>
  <c r="AL701" i="22" s="1"/>
  <c r="AL702" i="22" s="1"/>
  <c r="AL703" i="22" s="1"/>
  <c r="AL704" i="22" s="1"/>
  <c r="AL705" i="22" s="1"/>
  <c r="AL706" i="22" s="1"/>
  <c r="AL707" i="22" s="1"/>
  <c r="AL708" i="22" s="1"/>
  <c r="AL709" i="22" s="1"/>
  <c r="AL710" i="22" s="1"/>
  <c r="AL711" i="22" s="1"/>
  <c r="AL712" i="22" s="1"/>
  <c r="AL713" i="22" s="1"/>
  <c r="AL714" i="22" s="1"/>
  <c r="AL715" i="22" s="1"/>
  <c r="AL716" i="22" s="1"/>
  <c r="AL717" i="22" s="1"/>
  <c r="AL718" i="22" s="1"/>
  <c r="AL719" i="22" s="1"/>
  <c r="AL720" i="22" s="1"/>
  <c r="AL721" i="22" s="1"/>
  <c r="AL722" i="22" s="1"/>
  <c r="AL723" i="22" s="1"/>
  <c r="AL724" i="22" s="1"/>
  <c r="AL725" i="22" s="1"/>
  <c r="AL726" i="22" s="1"/>
  <c r="AL727" i="22" s="1"/>
  <c r="AL728" i="22" s="1"/>
  <c r="AL729" i="22" s="1"/>
  <c r="AL730" i="22" s="1"/>
  <c r="AL731" i="22" s="1"/>
  <c r="AL732" i="22" s="1"/>
  <c r="AL733" i="22" s="1"/>
  <c r="AL734" i="22" s="1"/>
  <c r="AL735" i="22" s="1"/>
  <c r="AL736" i="22" s="1"/>
  <c r="AL737" i="22" s="1"/>
  <c r="AL738" i="22" s="1"/>
  <c r="AL739" i="22" s="1"/>
  <c r="AL740" i="22" s="1"/>
  <c r="AL741" i="22" s="1"/>
  <c r="AL742" i="22" s="1"/>
  <c r="AL743" i="22" s="1"/>
  <c r="AL744" i="22" s="1"/>
  <c r="AL745" i="22" s="1"/>
  <c r="AL746" i="22" s="1"/>
  <c r="AL747" i="22" s="1"/>
  <c r="AL748" i="22" s="1"/>
  <c r="AL749" i="22" s="1"/>
  <c r="AL750" i="22" s="1"/>
  <c r="AL751" i="22" s="1"/>
  <c r="AL752" i="22" s="1"/>
  <c r="AL753" i="22" s="1"/>
  <c r="AL754" i="22" s="1"/>
  <c r="AL755" i="22" s="1"/>
  <c r="AL756" i="22" s="1"/>
  <c r="AL757" i="22" s="1"/>
  <c r="AL758" i="22" s="1"/>
  <c r="AL759" i="22" s="1"/>
  <c r="AL760" i="22" s="1"/>
  <c r="AL761" i="22" s="1"/>
  <c r="AL762" i="22" s="1"/>
  <c r="AL763" i="22" s="1"/>
  <c r="AL764" i="22" s="1"/>
  <c r="AL765" i="22" s="1"/>
  <c r="AL766" i="22" s="1"/>
  <c r="AL767" i="22" s="1"/>
  <c r="AL768" i="22" s="1"/>
  <c r="AL769" i="22" s="1"/>
  <c r="AL770" i="22" s="1"/>
  <c r="AL771" i="22" s="1"/>
  <c r="AL772" i="22" s="1"/>
  <c r="AL773" i="22" s="1"/>
  <c r="AL774" i="22" s="1"/>
  <c r="AL775" i="22" s="1"/>
  <c r="AL776" i="22" s="1"/>
  <c r="AL777" i="22" s="1"/>
  <c r="AL778" i="22" s="1"/>
  <c r="AL779" i="22" s="1"/>
  <c r="AL780" i="22" s="1"/>
  <c r="AL781" i="22" s="1"/>
  <c r="AL782" i="22" s="1"/>
  <c r="AL783" i="22" s="1"/>
  <c r="AL784" i="22" s="1"/>
  <c r="AL785" i="22" s="1"/>
  <c r="AL786" i="22" s="1"/>
  <c r="AL787" i="22" s="1"/>
  <c r="AL788" i="22" s="1"/>
  <c r="AL789" i="22" s="1"/>
  <c r="AL790" i="22" s="1"/>
  <c r="AL791" i="22" s="1"/>
  <c r="AL792" i="22" s="1"/>
  <c r="AL793" i="22" s="1"/>
  <c r="AL794" i="22" s="1"/>
  <c r="AL795" i="22" s="1"/>
  <c r="AL796" i="22" s="1"/>
  <c r="AL797" i="22" s="1"/>
  <c r="AL798" i="22" s="1"/>
  <c r="AL799" i="22" s="1"/>
  <c r="AL800" i="22" s="1"/>
  <c r="AL801" i="22" s="1"/>
  <c r="AL802" i="22" s="1"/>
  <c r="AL803" i="22" s="1"/>
  <c r="AL804" i="22" s="1"/>
  <c r="AL805" i="22" s="1"/>
  <c r="AL806" i="22" s="1"/>
  <c r="AL807" i="22" s="1"/>
  <c r="AL808" i="22" s="1"/>
  <c r="AL809" i="22" s="1"/>
  <c r="AL810" i="22" s="1"/>
  <c r="AL811" i="22" s="1"/>
  <c r="AL812" i="22" s="1"/>
  <c r="AL813" i="22" s="1"/>
  <c r="AL814" i="22" s="1"/>
  <c r="AL815" i="22" s="1"/>
  <c r="AL816" i="22" s="1"/>
  <c r="AL817" i="22" s="1"/>
  <c r="AL818" i="22" s="1"/>
  <c r="AL819" i="22" s="1"/>
  <c r="AL820" i="22" s="1"/>
  <c r="AL821" i="22" s="1"/>
  <c r="AL822" i="22" s="1"/>
  <c r="AL823" i="22" s="1"/>
  <c r="AL824" i="22" s="1"/>
  <c r="AL825" i="22" s="1"/>
  <c r="AL826" i="22" s="1"/>
  <c r="AL827" i="22" s="1"/>
  <c r="AL828" i="22" s="1"/>
  <c r="AL829" i="22" s="1"/>
  <c r="AL830" i="22" s="1"/>
  <c r="AL831" i="22" s="1"/>
  <c r="AL832" i="22" s="1"/>
  <c r="AL833" i="22" s="1"/>
  <c r="AL834" i="22" s="1"/>
  <c r="AL835" i="22" s="1"/>
  <c r="AL836" i="22" s="1"/>
  <c r="AL837" i="22" s="1"/>
  <c r="AL838" i="22" s="1"/>
  <c r="AL839" i="22" s="1"/>
  <c r="AL840" i="22" s="1"/>
  <c r="AL841" i="22" s="1"/>
  <c r="AL842" i="22" s="1"/>
  <c r="AL843" i="22" s="1"/>
  <c r="AL844" i="22" s="1"/>
  <c r="AL845" i="22" s="1"/>
  <c r="AL846" i="22" s="1"/>
  <c r="AL847" i="22" s="1"/>
  <c r="AL848" i="22" s="1"/>
  <c r="AL849" i="22" s="1"/>
  <c r="AL850" i="22" s="1"/>
  <c r="AL851" i="22" s="1"/>
  <c r="AL852" i="22" s="1"/>
  <c r="AL853" i="22" s="1"/>
  <c r="AL854" i="22" s="1"/>
  <c r="AL855" i="22" s="1"/>
  <c r="AL856" i="22" s="1"/>
  <c r="AL857" i="22" s="1"/>
  <c r="AL858" i="22" s="1"/>
  <c r="AL859" i="22" s="1"/>
  <c r="AL860" i="22" s="1"/>
  <c r="AL861" i="22" s="1"/>
  <c r="AL862" i="22" s="1"/>
  <c r="AL863" i="22" s="1"/>
  <c r="AL864" i="22" s="1"/>
  <c r="AL865" i="22" s="1"/>
  <c r="AL866" i="22" s="1"/>
  <c r="AL867" i="22" s="1"/>
  <c r="AL868" i="22" s="1"/>
  <c r="AL869" i="22" s="1"/>
  <c r="AL870" i="22" s="1"/>
  <c r="AL871" i="22" s="1"/>
  <c r="AL872" i="22" s="1"/>
  <c r="AL873" i="22" s="1"/>
  <c r="AL874" i="22" s="1"/>
  <c r="AL875" i="22" s="1"/>
  <c r="AL876" i="22" s="1"/>
  <c r="AL877" i="22" s="1"/>
  <c r="AL878" i="22" s="1"/>
  <c r="AL879" i="22" s="1"/>
  <c r="AL880" i="22" s="1"/>
  <c r="AL881" i="22" s="1"/>
  <c r="AL882" i="22" s="1"/>
  <c r="AL883" i="22" s="1"/>
  <c r="AL884" i="22" s="1"/>
  <c r="AL885" i="22" s="1"/>
  <c r="AL886" i="22" s="1"/>
  <c r="AL887" i="22" s="1"/>
  <c r="AL888" i="22" s="1"/>
  <c r="AL889" i="22" s="1"/>
  <c r="AL890" i="22" s="1"/>
  <c r="AL891" i="22" s="1"/>
  <c r="AL892" i="22" s="1"/>
  <c r="AL893" i="22" s="1"/>
  <c r="AL894" i="22" s="1"/>
  <c r="AL895" i="22" s="1"/>
  <c r="AL896" i="22" s="1"/>
  <c r="AL897" i="22" s="1"/>
  <c r="AL898" i="22" s="1"/>
  <c r="AL899" i="22" s="1"/>
  <c r="AL900" i="22" s="1"/>
  <c r="AL901" i="22" s="1"/>
  <c r="AL902" i="22" s="1"/>
  <c r="AL903" i="22" s="1"/>
  <c r="AL904" i="22" s="1"/>
  <c r="AL905" i="22" s="1"/>
  <c r="AL906" i="22" s="1"/>
  <c r="AL907" i="22" s="1"/>
  <c r="AL908" i="22" s="1"/>
  <c r="AL909" i="22" s="1"/>
  <c r="AL910" i="22" s="1"/>
  <c r="AL911" i="22" s="1"/>
  <c r="AL912" i="22" s="1"/>
  <c r="AL913" i="22" s="1"/>
  <c r="AL914" i="22" s="1"/>
  <c r="AL915" i="22" s="1"/>
  <c r="AL916" i="22" s="1"/>
  <c r="AL917" i="22" s="1"/>
  <c r="AL918" i="22" s="1"/>
  <c r="AL919" i="22" s="1"/>
  <c r="AL920" i="22" s="1"/>
  <c r="AL921" i="22" s="1"/>
  <c r="AL922" i="22" s="1"/>
  <c r="AL923" i="22" s="1"/>
  <c r="AL924" i="22" s="1"/>
  <c r="AL925" i="22" s="1"/>
  <c r="AL926" i="22" s="1"/>
  <c r="AL927" i="22" s="1"/>
  <c r="AL928" i="22" s="1"/>
  <c r="AL929" i="22" s="1"/>
  <c r="AL930" i="22" s="1"/>
  <c r="AL931" i="22" s="1"/>
  <c r="AL932" i="22" s="1"/>
  <c r="AL933" i="22" s="1"/>
  <c r="AL934" i="22" s="1"/>
  <c r="AL935" i="22" s="1"/>
  <c r="AL936" i="22" s="1"/>
  <c r="AL937" i="22" s="1"/>
  <c r="AL938" i="22" s="1"/>
  <c r="AL939" i="22" s="1"/>
  <c r="AL940" i="22" s="1"/>
  <c r="AL941" i="22" s="1"/>
  <c r="AL942" i="22" s="1"/>
  <c r="AL943" i="22" s="1"/>
  <c r="AL944" i="22" s="1"/>
  <c r="AL945" i="22" s="1"/>
  <c r="AL946" i="22" s="1"/>
  <c r="AL947" i="22" s="1"/>
  <c r="AL948" i="22" s="1"/>
  <c r="AL949" i="22" s="1"/>
  <c r="AL950" i="22" s="1"/>
  <c r="AL951" i="22" s="1"/>
  <c r="AL952" i="22" s="1"/>
  <c r="AL953" i="22" s="1"/>
  <c r="AL954" i="22" s="1"/>
  <c r="AL955" i="22" s="1"/>
  <c r="AL956" i="22" s="1"/>
  <c r="AL957" i="22" s="1"/>
  <c r="AL958" i="22" s="1"/>
  <c r="AL959" i="22" s="1"/>
  <c r="AL960" i="22" s="1"/>
  <c r="AL961" i="22" s="1"/>
  <c r="AL962" i="22" s="1"/>
  <c r="AL963" i="22" s="1"/>
  <c r="AL964" i="22" s="1"/>
  <c r="AL965" i="22" s="1"/>
  <c r="AL966" i="22" s="1"/>
  <c r="AL967" i="22" s="1"/>
  <c r="AL968" i="22" s="1"/>
  <c r="AL969" i="22" s="1"/>
  <c r="AL970" i="22" s="1"/>
  <c r="AL971" i="22" s="1"/>
  <c r="AL972" i="22" s="1"/>
  <c r="AL973" i="22" s="1"/>
  <c r="AL974" i="22" s="1"/>
  <c r="AL975" i="22" s="1"/>
  <c r="AL976" i="22" s="1"/>
  <c r="AL977" i="22" s="1"/>
  <c r="AL978" i="22" s="1"/>
  <c r="AL979" i="22" s="1"/>
  <c r="AL980" i="22" s="1"/>
  <c r="AL981" i="22" s="1"/>
  <c r="AL982" i="22" s="1"/>
  <c r="AL983" i="22" s="1"/>
  <c r="AL984" i="22" s="1"/>
  <c r="AL985" i="22" s="1"/>
  <c r="AL986" i="22" s="1"/>
  <c r="AL987" i="22" s="1"/>
  <c r="AL988" i="22" s="1"/>
  <c r="AL989" i="22" s="1"/>
  <c r="AL990" i="22" s="1"/>
  <c r="AL991" i="22" s="1"/>
  <c r="AL992" i="22" s="1"/>
  <c r="AL993" i="22" s="1"/>
  <c r="AL994" i="22" s="1"/>
  <c r="AL995" i="22" s="1"/>
  <c r="AL996" i="22" s="1"/>
  <c r="AL997" i="22" s="1"/>
  <c r="AL998" i="22" s="1"/>
  <c r="AL999" i="22" s="1"/>
  <c r="AL1000" i="22" s="1"/>
  <c r="AL1001" i="22" s="1"/>
  <c r="AL1002" i="22" s="1"/>
  <c r="AL1003" i="22" s="1"/>
  <c r="AL1004" i="22" s="1"/>
  <c r="AL1005" i="22" s="1"/>
  <c r="AL1006" i="22" s="1"/>
  <c r="AL1007" i="22" s="1"/>
  <c r="AL1008" i="22" s="1"/>
  <c r="AL1009" i="22" s="1"/>
  <c r="AL1010" i="22" s="1"/>
  <c r="AL1011" i="22" s="1"/>
  <c r="AL1012" i="22" s="1"/>
  <c r="AL1013" i="22" s="1"/>
  <c r="AL1014" i="22" s="1"/>
  <c r="AL1015" i="22" s="1"/>
  <c r="AL1016" i="22" s="1"/>
  <c r="AL1017" i="22" s="1"/>
  <c r="AL1018" i="22" s="1"/>
  <c r="AL1019" i="22" s="1"/>
  <c r="AL1020" i="22" s="1"/>
  <c r="AL1021" i="22" s="1"/>
  <c r="AL1022" i="22" s="1"/>
  <c r="AL1023" i="22" s="1"/>
  <c r="AL1024" i="22" s="1"/>
  <c r="AL1025" i="22" s="1"/>
  <c r="AL1026" i="22" s="1"/>
  <c r="AL1027" i="22" s="1"/>
  <c r="AL1028" i="22" s="1"/>
  <c r="AL1029" i="22" s="1"/>
  <c r="AL1030" i="22" s="1"/>
  <c r="AL1031" i="22" s="1"/>
  <c r="AL1032" i="22" s="1"/>
  <c r="AL1033" i="22" s="1"/>
  <c r="AL1034" i="22" s="1"/>
  <c r="AL1035" i="22" s="1"/>
  <c r="AL1036" i="22" s="1"/>
  <c r="AL1037" i="22" s="1"/>
  <c r="AL1038" i="22" s="1"/>
  <c r="AL1039" i="22" s="1"/>
  <c r="AL1040" i="22" s="1"/>
  <c r="AL1041" i="22" s="1"/>
  <c r="AL1042" i="22" s="1"/>
  <c r="AL1043" i="22" s="1"/>
  <c r="AL1044" i="22" s="1"/>
  <c r="AL1045" i="22" s="1"/>
  <c r="AL1046" i="22" s="1"/>
  <c r="AL1047" i="22" s="1"/>
  <c r="AL1048" i="22" s="1"/>
  <c r="AL1049" i="22" s="1"/>
  <c r="AL1050" i="22" s="1"/>
  <c r="AL1051" i="22" s="1"/>
  <c r="AL1052" i="22" s="1"/>
  <c r="AL1053" i="22" s="1"/>
  <c r="AL1054" i="22" s="1"/>
  <c r="AL1055" i="22" s="1"/>
  <c r="AL1056" i="22" s="1"/>
  <c r="AL1057" i="22" s="1"/>
  <c r="AL1058" i="22" s="1"/>
  <c r="AL1059" i="22" s="1"/>
  <c r="AL1060" i="22" s="1"/>
  <c r="AL1061" i="22" s="1"/>
  <c r="AL1062" i="22" s="1"/>
  <c r="AL1063" i="22" s="1"/>
  <c r="AL1064" i="22" s="1"/>
  <c r="AL1065" i="22" s="1"/>
  <c r="AL1066" i="22" s="1"/>
  <c r="AL1067" i="22" s="1"/>
  <c r="AL1068" i="22" s="1"/>
  <c r="AL1069" i="22" s="1"/>
  <c r="AL1070" i="22" s="1"/>
  <c r="AL1071" i="22" s="1"/>
  <c r="AL1072" i="22" s="1"/>
  <c r="AL1073" i="22" s="1"/>
  <c r="AL1074" i="22" s="1"/>
  <c r="AL1075" i="22" s="1"/>
  <c r="AL1076" i="22" s="1"/>
  <c r="AL1077" i="22" s="1"/>
  <c r="AL1078" i="22" s="1"/>
  <c r="AL1079" i="22" s="1"/>
  <c r="AL1080" i="22" s="1"/>
  <c r="AL1081" i="22" s="1"/>
  <c r="AL1082" i="22" s="1"/>
  <c r="AL1083" i="22" s="1"/>
  <c r="AL1084" i="22" s="1"/>
  <c r="AL1085" i="22" s="1"/>
  <c r="AL1086" i="22" s="1"/>
  <c r="AL1087" i="22" s="1"/>
  <c r="AL1088" i="22" s="1"/>
  <c r="AL1089" i="22" s="1"/>
  <c r="AL1090" i="22" s="1"/>
  <c r="AL1091" i="22" s="1"/>
  <c r="AL1092" i="22" s="1"/>
  <c r="AL1093" i="22" s="1"/>
  <c r="AL1094" i="22" s="1"/>
  <c r="AL1095" i="22" s="1"/>
  <c r="AL1096" i="22" s="1"/>
  <c r="AL1097" i="22" s="1"/>
  <c r="AL1098" i="22" s="1"/>
  <c r="AL1099" i="22" s="1"/>
  <c r="AL1100" i="22" s="1"/>
  <c r="AL1101" i="22" s="1"/>
  <c r="AL1102" i="22" s="1"/>
  <c r="AL1103" i="22" s="1"/>
  <c r="AL1104" i="22" s="1"/>
  <c r="AL1105" i="22" s="1"/>
  <c r="AL1106" i="22" s="1"/>
  <c r="AL1107" i="22" s="1"/>
  <c r="AL1108" i="22" s="1"/>
  <c r="AL1109" i="22" s="1"/>
  <c r="AL1110" i="22" s="1"/>
  <c r="AL1111" i="22" s="1"/>
  <c r="AL1112" i="22" s="1"/>
  <c r="AL1113" i="22" s="1"/>
  <c r="AL1114" i="22" s="1"/>
  <c r="AL1115" i="22" s="1"/>
  <c r="AL1116" i="22" s="1"/>
  <c r="AL1117" i="22" s="1"/>
  <c r="AL1118" i="22" s="1"/>
  <c r="AL1119" i="22" s="1"/>
  <c r="AL1120" i="22" s="1"/>
  <c r="AL1121" i="22" s="1"/>
  <c r="AL1122" i="22" s="1"/>
  <c r="AL1123" i="22" s="1"/>
  <c r="AL1124" i="22" s="1"/>
  <c r="AL1125" i="22" s="1"/>
  <c r="AL1126" i="22" s="1"/>
  <c r="AL1127" i="22" s="1"/>
  <c r="AL1128" i="22" s="1"/>
  <c r="AL1129" i="22" s="1"/>
  <c r="AL1130" i="22" s="1"/>
  <c r="AL1131" i="22" s="1"/>
  <c r="AL1132" i="22" s="1"/>
  <c r="AL1133" i="22" s="1"/>
  <c r="AL1134" i="22" s="1"/>
  <c r="AL1135" i="22" s="1"/>
  <c r="AL1136" i="22" s="1"/>
  <c r="AL1137" i="22" s="1"/>
  <c r="AL1138" i="22" s="1"/>
  <c r="AL1139" i="22" s="1"/>
  <c r="AL1140" i="22" s="1"/>
  <c r="AL1141" i="22" s="1"/>
  <c r="AL1142" i="22" s="1"/>
  <c r="AL1143" i="22" s="1"/>
  <c r="AL1144" i="22" s="1"/>
  <c r="AL1145" i="22" s="1"/>
  <c r="AL1146" i="22" s="1"/>
  <c r="AL1147" i="22" s="1"/>
  <c r="AL1148" i="22" s="1"/>
  <c r="AL1149" i="22" s="1"/>
  <c r="AL1150" i="22" s="1"/>
  <c r="AL1151" i="22" s="1"/>
  <c r="AL1152" i="22" s="1"/>
  <c r="AL1153" i="22" s="1"/>
  <c r="AL1154" i="22" s="1"/>
  <c r="AL1155" i="22" s="1"/>
  <c r="AL1156" i="22" s="1"/>
  <c r="AL1157" i="22" s="1"/>
  <c r="AL1158" i="22" s="1"/>
  <c r="AL1159" i="22" s="1"/>
  <c r="AL1160" i="22" s="1"/>
  <c r="AL1161" i="22" s="1"/>
  <c r="AL1162" i="22" s="1"/>
  <c r="AL1163" i="22" s="1"/>
  <c r="AL1164" i="22" s="1"/>
  <c r="AL1165" i="22" s="1"/>
  <c r="AL1166" i="22" s="1"/>
  <c r="AL1167" i="22" s="1"/>
  <c r="AL1168" i="22" s="1"/>
  <c r="AL1169" i="22" s="1"/>
  <c r="AL1170" i="22" s="1"/>
  <c r="AL1171" i="22" s="1"/>
  <c r="AL1172" i="22" s="1"/>
  <c r="AL1173" i="22" s="1"/>
  <c r="AL1174" i="22" s="1"/>
  <c r="AL1175" i="22" s="1"/>
  <c r="AL1176" i="22" s="1"/>
  <c r="AL1177" i="22" s="1"/>
  <c r="AL1178" i="22" s="1"/>
  <c r="AL1179" i="22" s="1"/>
  <c r="AL1180" i="22" s="1"/>
  <c r="AL1181" i="22" s="1"/>
  <c r="AL1182" i="22" s="1"/>
  <c r="AL1183" i="22" s="1"/>
  <c r="AL1184" i="22" s="1"/>
  <c r="AL1185" i="22" s="1"/>
  <c r="AL1186" i="22" s="1"/>
  <c r="AL1187" i="22" s="1"/>
  <c r="AL1188" i="22" s="1"/>
  <c r="AL1189" i="22" s="1"/>
  <c r="AL1190" i="22" s="1"/>
  <c r="AL1191" i="22" s="1"/>
  <c r="AL1192" i="22" s="1"/>
  <c r="AL1193" i="22" s="1"/>
  <c r="AL1194" i="22" s="1"/>
  <c r="AL1195" i="22" s="1"/>
  <c r="AL1196" i="22" s="1"/>
  <c r="AL1197" i="22" s="1"/>
  <c r="AL1198" i="22" s="1"/>
  <c r="AL1199" i="22" s="1"/>
  <c r="AL1200" i="22" s="1"/>
  <c r="AL1201" i="22" s="1"/>
  <c r="AL1202" i="22" s="1"/>
  <c r="AL1203" i="22" s="1"/>
  <c r="AL1204" i="22" s="1"/>
  <c r="AL1205" i="22" s="1"/>
  <c r="AL1206" i="22" s="1"/>
  <c r="AL1207" i="22" s="1"/>
  <c r="AL1208" i="22" s="1"/>
  <c r="AL1209" i="22" s="1"/>
  <c r="AL1210" i="22" s="1"/>
  <c r="AL1211" i="22" s="1"/>
  <c r="AL1212" i="22" s="1"/>
  <c r="AL1213" i="22" s="1"/>
  <c r="AL1214" i="22" s="1"/>
  <c r="AL1215" i="22" s="1"/>
  <c r="AL1216" i="22" s="1"/>
  <c r="AL1217" i="22" s="1"/>
  <c r="AL1218" i="22" s="1"/>
  <c r="AL1219" i="22" s="1"/>
  <c r="AL1220" i="22" s="1"/>
  <c r="AL1221" i="22" s="1"/>
  <c r="AL1222" i="22" s="1"/>
  <c r="AL1223" i="22" s="1"/>
  <c r="AL1224" i="22" s="1"/>
  <c r="AL1225" i="22" s="1"/>
  <c r="AL1226" i="22" s="1"/>
  <c r="AL1227" i="22" s="1"/>
  <c r="AL1228" i="22" s="1"/>
  <c r="AL1229" i="22" s="1"/>
  <c r="AL1230" i="22" s="1"/>
  <c r="AL1231" i="22" s="1"/>
  <c r="AL1232" i="22" s="1"/>
  <c r="AL1233" i="22" s="1"/>
  <c r="AL1234" i="22" s="1"/>
  <c r="AL1235" i="22" s="1"/>
  <c r="AL1236" i="22" s="1"/>
  <c r="AL1237" i="22" s="1"/>
  <c r="AL1238" i="22" s="1"/>
  <c r="AL1239" i="22" s="1"/>
  <c r="AL1240" i="22" s="1"/>
  <c r="AL1241" i="22" s="1"/>
  <c r="AL1242" i="22" s="1"/>
  <c r="AL1243" i="22" s="1"/>
  <c r="AL1244" i="22" s="1"/>
  <c r="AN556" i="22"/>
  <c r="T383" i="22"/>
  <c r="W382" i="22"/>
  <c r="X382" i="22" s="1"/>
  <c r="AB558" i="22" l="1"/>
  <c r="AE557" i="22"/>
  <c r="AF557" i="22"/>
  <c r="T384" i="22"/>
  <c r="W383" i="22"/>
  <c r="X383" i="22" s="1"/>
  <c r="AO556" i="22"/>
  <c r="AK558" i="22"/>
  <c r="AN557" i="22"/>
  <c r="AO557" i="22" s="1"/>
  <c r="AC561" i="22"/>
  <c r="AG560" i="22"/>
  <c r="AC562" i="22" l="1"/>
  <c r="AG561" i="22"/>
  <c r="AK559" i="22"/>
  <c r="AN558" i="22"/>
  <c r="AO558" i="22" s="1"/>
  <c r="T385" i="22"/>
  <c r="W384" i="22"/>
  <c r="X384" i="22" s="1"/>
  <c r="AB559" i="22"/>
  <c r="AE558" i="22"/>
  <c r="AF558" i="22"/>
  <c r="T386" i="22" l="1"/>
  <c r="W385" i="22"/>
  <c r="X385" i="22" s="1"/>
  <c r="AB560" i="22"/>
  <c r="AE559" i="22"/>
  <c r="AF559" i="22"/>
  <c r="AK560" i="22"/>
  <c r="AN559" i="22"/>
  <c r="AO559" i="22" s="1"/>
  <c r="AC563" i="22"/>
  <c r="AG562" i="22"/>
  <c r="AK561" i="22" l="1"/>
  <c r="AN560" i="22"/>
  <c r="AO560" i="22" s="1"/>
  <c r="AC564" i="22"/>
  <c r="AG563" i="22"/>
  <c r="AE560" i="22"/>
  <c r="AB561" i="22"/>
  <c r="AF560" i="22"/>
  <c r="T387" i="22"/>
  <c r="W386" i="22"/>
  <c r="X386" i="22" s="1"/>
  <c r="T388" i="22" l="1"/>
  <c r="W387" i="22"/>
  <c r="X387" i="22" s="1"/>
  <c r="AE561" i="22"/>
  <c r="AB562" i="22"/>
  <c r="AF561" i="22"/>
  <c r="AC565" i="22"/>
  <c r="AG564" i="22"/>
  <c r="AK562" i="22"/>
  <c r="AN561" i="22"/>
  <c r="AO561" i="22" s="1"/>
  <c r="AK563" i="22" l="1"/>
  <c r="AN562" i="22"/>
  <c r="AO562" i="22" s="1"/>
  <c r="AC566" i="22"/>
  <c r="AG565" i="22"/>
  <c r="AE562" i="22"/>
  <c r="AB563" i="22"/>
  <c r="AF562" i="22"/>
  <c r="T389" i="22"/>
  <c r="W388" i="22"/>
  <c r="X388" i="22" s="1"/>
  <c r="T390" i="22" l="1"/>
  <c r="W389" i="22"/>
  <c r="X389" i="22" s="1"/>
  <c r="AB564" i="22"/>
  <c r="AE563" i="22"/>
  <c r="AF563" i="22"/>
  <c r="AC567" i="22"/>
  <c r="AG566" i="22"/>
  <c r="AK564" i="22"/>
  <c r="AN563" i="22"/>
  <c r="AO563" i="22" s="1"/>
  <c r="AK565" i="22" l="1"/>
  <c r="AN564" i="22"/>
  <c r="AO564" i="22" s="1"/>
  <c r="AC568" i="22"/>
  <c r="AG567" i="22"/>
  <c r="AB565" i="22"/>
  <c r="AE564" i="22"/>
  <c r="AF564" i="22"/>
  <c r="T391" i="22"/>
  <c r="W390" i="22"/>
  <c r="X390" i="22" s="1"/>
  <c r="T392" i="22" l="1"/>
  <c r="W391" i="22"/>
  <c r="X391" i="22" s="1"/>
  <c r="AB566" i="22"/>
  <c r="AE565" i="22"/>
  <c r="AF565" i="22"/>
  <c r="AC569" i="22"/>
  <c r="AG568" i="22"/>
  <c r="AK566" i="22"/>
  <c r="AN565" i="22"/>
  <c r="AO565" i="22" s="1"/>
  <c r="AK567" i="22" l="1"/>
  <c r="AN566" i="22"/>
  <c r="AO566" i="22" s="1"/>
  <c r="AC570" i="22"/>
  <c r="AG569" i="22"/>
  <c r="AB567" i="22"/>
  <c r="AE566" i="22"/>
  <c r="AF566" i="22"/>
  <c r="T393" i="22"/>
  <c r="W392" i="22"/>
  <c r="X392" i="22" s="1"/>
  <c r="T394" i="22" l="1"/>
  <c r="W393" i="22"/>
  <c r="X393" i="22" s="1"/>
  <c r="AE567" i="22"/>
  <c r="AB568" i="22"/>
  <c r="AF567" i="22"/>
  <c r="AC571" i="22"/>
  <c r="AG570" i="22"/>
  <c r="AK568" i="22"/>
  <c r="AN567" i="22"/>
  <c r="AO567" i="22" s="1"/>
  <c r="AK569" i="22" l="1"/>
  <c r="AN568" i="22"/>
  <c r="AO568" i="22" s="1"/>
  <c r="AC572" i="22"/>
  <c r="AG571" i="22"/>
  <c r="AE568" i="22"/>
  <c r="AB569" i="22"/>
  <c r="AF568" i="22"/>
  <c r="T395" i="22"/>
  <c r="W394" i="22"/>
  <c r="X394" i="22" s="1"/>
  <c r="T396" i="22" l="1"/>
  <c r="W395" i="22"/>
  <c r="X395" i="22" s="1"/>
  <c r="AE569" i="22"/>
  <c r="AB570" i="22"/>
  <c r="AF569" i="22"/>
  <c r="AC573" i="22"/>
  <c r="AG572" i="22"/>
  <c r="AK570" i="22"/>
  <c r="AN569" i="22"/>
  <c r="AO569" i="22" s="1"/>
  <c r="AK571" i="22" l="1"/>
  <c r="AN570" i="22"/>
  <c r="AO570" i="22" s="1"/>
  <c r="AC574" i="22"/>
  <c r="AG573" i="22"/>
  <c r="AB571" i="22"/>
  <c r="AE570" i="22"/>
  <c r="AF570" i="22"/>
  <c r="T397" i="22"/>
  <c r="W396" i="22"/>
  <c r="X396" i="22" s="1"/>
  <c r="T398" i="22" l="1"/>
  <c r="W397" i="22"/>
  <c r="X397" i="22" s="1"/>
  <c r="AB572" i="22"/>
  <c r="AE571" i="22"/>
  <c r="AF571" i="22"/>
  <c r="AC575" i="22"/>
  <c r="AG574" i="22"/>
  <c r="AK572" i="22"/>
  <c r="AN571" i="22"/>
  <c r="AO571" i="22" s="1"/>
  <c r="T399" i="22" l="1"/>
  <c r="W398" i="22"/>
  <c r="X398" i="22" s="1"/>
  <c r="AK573" i="22"/>
  <c r="AN572" i="22"/>
  <c r="AO572" i="22" s="1"/>
  <c r="AC576" i="22"/>
  <c r="AG575" i="22"/>
  <c r="AB573" i="22"/>
  <c r="AE572" i="22"/>
  <c r="AF572" i="22"/>
  <c r="AE573" i="22" l="1"/>
  <c r="AB574" i="22"/>
  <c r="AF573" i="22"/>
  <c r="AC577" i="22"/>
  <c r="AG576" i="22"/>
  <c r="AK574" i="22"/>
  <c r="AN573" i="22"/>
  <c r="AO573" i="22" s="1"/>
  <c r="T400" i="22"/>
  <c r="W399" i="22"/>
  <c r="X399" i="22" s="1"/>
  <c r="T401" i="22" l="1"/>
  <c r="W400" i="22"/>
  <c r="X400" i="22" s="1"/>
  <c r="AK575" i="22"/>
  <c r="AN574" i="22"/>
  <c r="AO574" i="22" s="1"/>
  <c r="AC578" i="22"/>
  <c r="AG577" i="22"/>
  <c r="AB575" i="22"/>
  <c r="AE574" i="22"/>
  <c r="AF574" i="22"/>
  <c r="T402" i="22" l="1"/>
  <c r="W401" i="22"/>
  <c r="X401" i="22" s="1"/>
  <c r="AE575" i="22"/>
  <c r="AB576" i="22"/>
  <c r="AF575" i="22"/>
  <c r="AC579" i="22"/>
  <c r="AG578" i="22"/>
  <c r="AK576" i="22"/>
  <c r="AN575" i="22"/>
  <c r="AO575" i="22" s="1"/>
  <c r="T403" i="22" l="1"/>
  <c r="W402" i="22"/>
  <c r="X402" i="22" s="1"/>
  <c r="AK577" i="22"/>
  <c r="AN576" i="22"/>
  <c r="AO576" i="22" s="1"/>
  <c r="AC580" i="22"/>
  <c r="AG579" i="22"/>
  <c r="AE576" i="22"/>
  <c r="AB577" i="22"/>
  <c r="AF576" i="22"/>
  <c r="T404" i="22" l="1"/>
  <c r="W403" i="22"/>
  <c r="X403" i="22" s="1"/>
  <c r="AB578" i="22"/>
  <c r="AE577" i="22"/>
  <c r="AF577" i="22"/>
  <c r="AC581" i="22"/>
  <c r="AG580" i="22"/>
  <c r="AK578" i="22"/>
  <c r="AN577" i="22"/>
  <c r="AO577" i="22" s="1"/>
  <c r="W404" i="22" l="1"/>
  <c r="X404" i="22" s="1"/>
  <c r="T405" i="22"/>
  <c r="AK579" i="22"/>
  <c r="AN578" i="22"/>
  <c r="AO578" i="22" s="1"/>
  <c r="AC582" i="22"/>
  <c r="AG581" i="22"/>
  <c r="AE578" i="22"/>
  <c r="AB579" i="22"/>
  <c r="AF578" i="22"/>
  <c r="AB580" i="22" l="1"/>
  <c r="AE579" i="22"/>
  <c r="AF579" i="22"/>
  <c r="AC583" i="22"/>
  <c r="AG582" i="22"/>
  <c r="AK580" i="22"/>
  <c r="AN579" i="22"/>
  <c r="AO579" i="22" s="1"/>
  <c r="T406" i="22"/>
  <c r="W405" i="22"/>
  <c r="X405" i="22" s="1"/>
  <c r="T407" i="22" l="1"/>
  <c r="W406" i="22"/>
  <c r="X406" i="22" s="1"/>
  <c r="AK581" i="22"/>
  <c r="AN580" i="22"/>
  <c r="AO580" i="22" s="1"/>
  <c r="AC584" i="22"/>
  <c r="AG583" i="22"/>
  <c r="AB581" i="22"/>
  <c r="AE580" i="22"/>
  <c r="AF580" i="22"/>
  <c r="T408" i="22" l="1"/>
  <c r="W407" i="22"/>
  <c r="X407" i="22" s="1"/>
  <c r="AE581" i="22"/>
  <c r="AB582" i="22"/>
  <c r="AF581" i="22"/>
  <c r="AC585" i="22"/>
  <c r="AG584" i="22"/>
  <c r="AK582" i="22"/>
  <c r="AN581" i="22"/>
  <c r="AO581" i="22" s="1"/>
  <c r="AK583" i="22" l="1"/>
  <c r="AN582" i="22"/>
  <c r="AO582" i="22" s="1"/>
  <c r="AC586" i="22"/>
  <c r="AG585" i="22"/>
  <c r="AE582" i="22"/>
  <c r="AB583" i="22"/>
  <c r="AF582" i="22"/>
  <c r="T409" i="22"/>
  <c r="W408" i="22"/>
  <c r="X408" i="22" s="1"/>
  <c r="AK584" i="22" l="1"/>
  <c r="AN583" i="22"/>
  <c r="AO583" i="22" s="1"/>
  <c r="T410" i="22"/>
  <c r="W409" i="22"/>
  <c r="X409" i="22" s="1"/>
  <c r="AB584" i="22"/>
  <c r="AE583" i="22"/>
  <c r="AF583" i="22"/>
  <c r="AC587" i="22"/>
  <c r="AG586" i="22"/>
  <c r="AK585" i="22" l="1"/>
  <c r="AN584" i="22"/>
  <c r="AO584" i="22" s="1"/>
  <c r="AC588" i="22"/>
  <c r="AG587" i="22"/>
  <c r="AE584" i="22"/>
  <c r="AB585" i="22"/>
  <c r="AF584" i="22"/>
  <c r="T411" i="22"/>
  <c r="W410" i="22"/>
  <c r="X410" i="22" s="1"/>
  <c r="T412" i="22" l="1"/>
  <c r="W411" i="22"/>
  <c r="X411" i="22" s="1"/>
  <c r="AB586" i="22"/>
  <c r="AE585" i="22"/>
  <c r="AF585" i="22"/>
  <c r="AC589" i="22"/>
  <c r="AG588" i="22"/>
  <c r="AK586" i="22"/>
  <c r="AN585" i="22"/>
  <c r="AO585" i="22" s="1"/>
  <c r="T413" i="22" l="1"/>
  <c r="W412" i="22"/>
  <c r="X412" i="22" s="1"/>
  <c r="AK587" i="22"/>
  <c r="AN586" i="22"/>
  <c r="AO586" i="22" s="1"/>
  <c r="AC590" i="22"/>
  <c r="AG589" i="22"/>
  <c r="AB587" i="22"/>
  <c r="AE586" i="22"/>
  <c r="AF586" i="22"/>
  <c r="W413" i="22" l="1"/>
  <c r="X413" i="22" s="1"/>
  <c r="T414" i="22"/>
  <c r="AB588" i="22"/>
  <c r="AE587" i="22"/>
  <c r="AF587" i="22"/>
  <c r="AC591" i="22"/>
  <c r="AG590" i="22"/>
  <c r="AK588" i="22"/>
  <c r="AN587" i="22"/>
  <c r="AO587" i="22" s="1"/>
  <c r="AK589" i="22" l="1"/>
  <c r="AN588" i="22"/>
  <c r="AO588" i="22" s="1"/>
  <c r="AC592" i="22"/>
  <c r="AG591" i="22"/>
  <c r="AB589" i="22"/>
  <c r="AE588" i="22"/>
  <c r="AF588" i="22"/>
  <c r="T415" i="22"/>
  <c r="W414" i="22"/>
  <c r="X414" i="22" s="1"/>
  <c r="T416" i="22" l="1"/>
  <c r="W415" i="22"/>
  <c r="X415" i="22" s="1"/>
  <c r="AB590" i="22"/>
  <c r="AE589" i="22"/>
  <c r="AF589" i="22"/>
  <c r="AC593" i="22"/>
  <c r="AG592" i="22"/>
  <c r="AK590" i="22"/>
  <c r="AN589" i="22"/>
  <c r="AO589" i="22" s="1"/>
  <c r="AK591" i="22" l="1"/>
  <c r="AN590" i="22"/>
  <c r="AO590" i="22" s="1"/>
  <c r="AC594" i="22"/>
  <c r="AG593" i="22"/>
  <c r="AE590" i="22"/>
  <c r="AB591" i="22"/>
  <c r="AF590" i="22"/>
  <c r="T417" i="22"/>
  <c r="W416" i="22"/>
  <c r="X416" i="22" s="1"/>
  <c r="W417" i="22" l="1"/>
  <c r="X417" i="22" s="1"/>
  <c r="T418" i="22"/>
  <c r="AE591" i="22"/>
  <c r="AB592" i="22"/>
  <c r="AF591" i="22"/>
  <c r="AC595" i="22"/>
  <c r="AG594" i="22"/>
  <c r="AK592" i="22"/>
  <c r="AN591" i="22"/>
  <c r="AO591" i="22" s="1"/>
  <c r="AK593" i="22" l="1"/>
  <c r="AN592" i="22"/>
  <c r="AO592" i="22" s="1"/>
  <c r="AC596" i="22"/>
  <c r="AG595" i="22"/>
  <c r="AE592" i="22"/>
  <c r="AB593" i="22"/>
  <c r="AF592" i="22"/>
  <c r="T419" i="22"/>
  <c r="W418" i="22"/>
  <c r="X418" i="22" s="1"/>
  <c r="AK594" i="22" l="1"/>
  <c r="AN593" i="22"/>
  <c r="AO593" i="22" s="1"/>
  <c r="T420" i="22"/>
  <c r="W419" i="22"/>
  <c r="X419" i="22" s="1"/>
  <c r="AB594" i="22"/>
  <c r="AE593" i="22"/>
  <c r="AF593" i="22"/>
  <c r="AC597" i="22"/>
  <c r="AG596" i="22"/>
  <c r="AC598" i="22" l="1"/>
  <c r="AG597" i="22"/>
  <c r="AB595" i="22"/>
  <c r="AE594" i="22"/>
  <c r="AF594" i="22"/>
  <c r="T421" i="22"/>
  <c r="W420" i="22"/>
  <c r="X420" i="22" s="1"/>
  <c r="AK595" i="22"/>
  <c r="AN594" i="22"/>
  <c r="AO594" i="22" s="1"/>
  <c r="AK596" i="22" l="1"/>
  <c r="AN595" i="22"/>
  <c r="AO595" i="22" s="1"/>
  <c r="T422" i="22"/>
  <c r="W421" i="22"/>
  <c r="X421" i="22" s="1"/>
  <c r="AB596" i="22"/>
  <c r="AE595" i="22"/>
  <c r="AF595" i="22"/>
  <c r="AC599" i="22"/>
  <c r="AG598" i="22"/>
  <c r="AK597" i="22" l="1"/>
  <c r="AN596" i="22"/>
  <c r="AO596" i="22" s="1"/>
  <c r="AC600" i="22"/>
  <c r="AG599" i="22"/>
  <c r="AE596" i="22"/>
  <c r="AB597" i="22"/>
  <c r="AF596" i="22"/>
  <c r="T423" i="22"/>
  <c r="W422" i="22"/>
  <c r="X422" i="22" s="1"/>
  <c r="W423" i="22" l="1"/>
  <c r="X423" i="22" s="1"/>
  <c r="T424" i="22"/>
  <c r="AB598" i="22"/>
  <c r="AE597" i="22"/>
  <c r="AF597" i="22"/>
  <c r="AC601" i="22"/>
  <c r="AG600" i="22"/>
  <c r="AK598" i="22"/>
  <c r="AN597" i="22"/>
  <c r="AO597" i="22" s="1"/>
  <c r="AK599" i="22" l="1"/>
  <c r="AN598" i="22"/>
  <c r="AO598" i="22" s="1"/>
  <c r="AC602" i="22"/>
  <c r="AG601" i="22"/>
  <c r="AE598" i="22"/>
  <c r="AB599" i="22"/>
  <c r="AF598" i="22"/>
  <c r="T425" i="22"/>
  <c r="W424" i="22"/>
  <c r="X424" i="22" s="1"/>
  <c r="AK600" i="22" l="1"/>
  <c r="AN599" i="22"/>
  <c r="AO599" i="22" s="1"/>
  <c r="W425" i="22"/>
  <c r="X425" i="22" s="1"/>
  <c r="T426" i="22"/>
  <c r="AE599" i="22"/>
  <c r="AB600" i="22"/>
  <c r="AF599" i="22"/>
  <c r="AC603" i="22"/>
  <c r="AG602" i="22"/>
  <c r="AC604" i="22" l="1"/>
  <c r="AG603" i="22"/>
  <c r="AE600" i="22"/>
  <c r="AB601" i="22"/>
  <c r="AF600" i="22"/>
  <c r="T427" i="22"/>
  <c r="W426" i="22"/>
  <c r="X426" i="22" s="1"/>
  <c r="AK601" i="22"/>
  <c r="AN600" i="22"/>
  <c r="AO600" i="22" s="1"/>
  <c r="AK602" i="22" l="1"/>
  <c r="AN601" i="22"/>
  <c r="AO601" i="22" s="1"/>
  <c r="T428" i="22"/>
  <c r="W427" i="22"/>
  <c r="X427" i="22" s="1"/>
  <c r="AE601" i="22"/>
  <c r="AB602" i="22"/>
  <c r="AF601" i="22"/>
  <c r="AC605" i="22"/>
  <c r="AG604" i="22"/>
  <c r="AK603" i="22" l="1"/>
  <c r="AN602" i="22"/>
  <c r="AO602" i="22" s="1"/>
  <c r="AC606" i="22"/>
  <c r="AG605" i="22"/>
  <c r="AB603" i="22"/>
  <c r="AE602" i="22"/>
  <c r="AF602" i="22"/>
  <c r="T429" i="22"/>
  <c r="W428" i="22"/>
  <c r="X428" i="22" s="1"/>
  <c r="T430" i="22" l="1"/>
  <c r="W429" i="22"/>
  <c r="X429" i="22" s="1"/>
  <c r="AB604" i="22"/>
  <c r="AE603" i="22"/>
  <c r="AF603" i="22"/>
  <c r="AC607" i="22"/>
  <c r="AG606" i="22"/>
  <c r="AK604" i="22"/>
  <c r="AN603" i="22"/>
  <c r="AO603" i="22" s="1"/>
  <c r="T431" i="22" l="1"/>
  <c r="W430" i="22"/>
  <c r="X430" i="22" s="1"/>
  <c r="AK605" i="22"/>
  <c r="AN604" i="22"/>
  <c r="AO604" i="22" s="1"/>
  <c r="AC608" i="22"/>
  <c r="AG607" i="22"/>
  <c r="AE604" i="22"/>
  <c r="AB605" i="22"/>
  <c r="AF604" i="22"/>
  <c r="T432" i="22" l="1"/>
  <c r="W431" i="22"/>
  <c r="X431" i="22" s="1"/>
  <c r="AB606" i="22"/>
  <c r="AE605" i="22"/>
  <c r="AF605" i="22"/>
  <c r="AC609" i="22"/>
  <c r="AG608" i="22"/>
  <c r="AK606" i="22"/>
  <c r="AN605" i="22"/>
  <c r="AO605" i="22" s="1"/>
  <c r="AK607" i="22" l="1"/>
  <c r="AN606" i="22"/>
  <c r="AO606" i="22" s="1"/>
  <c r="AC610" i="22"/>
  <c r="AG609" i="22"/>
  <c r="AB607" i="22"/>
  <c r="AE606" i="22"/>
  <c r="AF606" i="22"/>
  <c r="W432" i="22"/>
  <c r="X432" i="22" s="1"/>
  <c r="T433" i="22"/>
  <c r="T434" i="22" l="1"/>
  <c r="W433" i="22"/>
  <c r="X433" i="22" s="1"/>
  <c r="AE607" i="22"/>
  <c r="AB608" i="22"/>
  <c r="AF607" i="22"/>
  <c r="AC611" i="22"/>
  <c r="AG610" i="22"/>
  <c r="AK608" i="22"/>
  <c r="AN607" i="22"/>
  <c r="AO607" i="22" s="1"/>
  <c r="AC612" i="22" l="1"/>
  <c r="AG611" i="22"/>
  <c r="AK609" i="22"/>
  <c r="AN608" i="22"/>
  <c r="AO608" i="22" s="1"/>
  <c r="AE608" i="22"/>
  <c r="AB609" i="22"/>
  <c r="AF608" i="22"/>
  <c r="T435" i="22"/>
  <c r="W434" i="22"/>
  <c r="X434" i="22" s="1"/>
  <c r="T436" i="22" l="1"/>
  <c r="W435" i="22"/>
  <c r="X435" i="22" s="1"/>
  <c r="AB610" i="22"/>
  <c r="AE609" i="22"/>
  <c r="AF609" i="22"/>
  <c r="AK610" i="22"/>
  <c r="AN609" i="22"/>
  <c r="AO609" i="22" s="1"/>
  <c r="AC613" i="22"/>
  <c r="AG612" i="22"/>
  <c r="AC614" i="22" l="1"/>
  <c r="AG613" i="22"/>
  <c r="AK611" i="22"/>
  <c r="AN610" i="22"/>
  <c r="AO610" i="22" s="1"/>
  <c r="AE610" i="22"/>
  <c r="AB611" i="22"/>
  <c r="AF610" i="22"/>
  <c r="T437" i="22"/>
  <c r="W436" i="22"/>
  <c r="X436" i="22" s="1"/>
  <c r="T438" i="22" l="1"/>
  <c r="W437" i="22"/>
  <c r="X437" i="22" s="1"/>
  <c r="AB612" i="22"/>
  <c r="AE611" i="22"/>
  <c r="AF611" i="22"/>
  <c r="AK612" i="22"/>
  <c r="AN611" i="22"/>
  <c r="AO611" i="22" s="1"/>
  <c r="AC615" i="22"/>
  <c r="AG614" i="22"/>
  <c r="AC616" i="22" l="1"/>
  <c r="AG615" i="22"/>
  <c r="AK613" i="22"/>
  <c r="AN612" i="22"/>
  <c r="AO612" i="22" s="1"/>
  <c r="AE612" i="22"/>
  <c r="AB613" i="22"/>
  <c r="AF612" i="22"/>
  <c r="T439" i="22"/>
  <c r="W438" i="22"/>
  <c r="X438" i="22" s="1"/>
  <c r="AC617" i="22" l="1"/>
  <c r="AG616" i="22"/>
  <c r="T440" i="22"/>
  <c r="W439" i="22"/>
  <c r="X439" i="22" s="1"/>
  <c r="AE613" i="22"/>
  <c r="AB614" i="22"/>
  <c r="AF613" i="22"/>
  <c r="AK614" i="22"/>
  <c r="AN613" i="22"/>
  <c r="AO613" i="22" s="1"/>
  <c r="AK615" i="22" l="1"/>
  <c r="AN614" i="22"/>
  <c r="AO614" i="22" s="1"/>
  <c r="AB615" i="22"/>
  <c r="AE614" i="22"/>
  <c r="AF614" i="22"/>
  <c r="W440" i="22"/>
  <c r="X440" i="22" s="1"/>
  <c r="T441" i="22"/>
  <c r="AC618" i="22"/>
  <c r="AG617" i="22"/>
  <c r="AC619" i="22" l="1"/>
  <c r="AG618" i="22"/>
  <c r="T442" i="22"/>
  <c r="W441" i="22"/>
  <c r="X441" i="22" s="1"/>
  <c r="AB616" i="22"/>
  <c r="AE615" i="22"/>
  <c r="AF615" i="22"/>
  <c r="AK616" i="22"/>
  <c r="AN615" i="22"/>
  <c r="AO615" i="22" s="1"/>
  <c r="AK617" i="22" l="1"/>
  <c r="AN616" i="22"/>
  <c r="AO616" i="22" s="1"/>
  <c r="AE616" i="22"/>
  <c r="AB617" i="22"/>
  <c r="AF616" i="22"/>
  <c r="T443" i="22"/>
  <c r="W442" i="22"/>
  <c r="X442" i="22" s="1"/>
  <c r="AC620" i="22"/>
  <c r="AG619" i="22"/>
  <c r="T444" i="22" l="1"/>
  <c r="W443" i="22"/>
  <c r="X443" i="22" s="1"/>
  <c r="AC621" i="22"/>
  <c r="AG620" i="22"/>
  <c r="AE617" i="22"/>
  <c r="AB618" i="22"/>
  <c r="AF617" i="22"/>
  <c r="AK618" i="22"/>
  <c r="AN617" i="22"/>
  <c r="AO617" i="22" s="1"/>
  <c r="T445" i="22" l="1"/>
  <c r="W444" i="22"/>
  <c r="X444" i="22" s="1"/>
  <c r="AK619" i="22"/>
  <c r="AN618" i="22"/>
  <c r="AO618" i="22" s="1"/>
  <c r="AB619" i="22"/>
  <c r="AE618" i="22"/>
  <c r="AF618" i="22"/>
  <c r="AC622" i="22"/>
  <c r="AG621" i="22"/>
  <c r="AG622" i="22" l="1"/>
  <c r="AC623" i="22"/>
  <c r="AB620" i="22"/>
  <c r="AE619" i="22"/>
  <c r="AF619" i="22"/>
  <c r="AK620" i="22"/>
  <c r="AN619" i="22"/>
  <c r="AO619" i="22" s="1"/>
  <c r="W445" i="22"/>
  <c r="X445" i="22" s="1"/>
  <c r="T446" i="22"/>
  <c r="T447" i="22" l="1"/>
  <c r="W446" i="22"/>
  <c r="X446" i="22" s="1"/>
  <c r="AK621" i="22"/>
  <c r="AN620" i="22"/>
  <c r="AO620" i="22" s="1"/>
  <c r="AB621" i="22"/>
  <c r="AE620" i="22"/>
  <c r="AF620" i="22"/>
  <c r="AC624" i="22"/>
  <c r="AG623" i="22"/>
  <c r="AK622" i="22" l="1"/>
  <c r="AN621" i="22"/>
  <c r="AO621" i="22" s="1"/>
  <c r="T448" i="22"/>
  <c r="W447" i="22"/>
  <c r="X447" i="22" s="1"/>
  <c r="AC625" i="22"/>
  <c r="AG624" i="22"/>
  <c r="AE621" i="22"/>
  <c r="AB622" i="22"/>
  <c r="AF621" i="22"/>
  <c r="AK623" i="22" l="1"/>
  <c r="AN622" i="22"/>
  <c r="AO622" i="22" s="1"/>
  <c r="AE622" i="22"/>
  <c r="AB623" i="22"/>
  <c r="AF622" i="22"/>
  <c r="AC626" i="22"/>
  <c r="AG625" i="22"/>
  <c r="T449" i="22"/>
  <c r="W448" i="22"/>
  <c r="X448" i="22" s="1"/>
  <c r="AC627" i="22" l="1"/>
  <c r="AG626" i="22"/>
  <c r="T450" i="22"/>
  <c r="W449" i="22"/>
  <c r="X449" i="22" s="1"/>
  <c r="AB624" i="22"/>
  <c r="AE623" i="22"/>
  <c r="AF623" i="22"/>
  <c r="AK624" i="22"/>
  <c r="AN623" i="22"/>
  <c r="AO623" i="22" s="1"/>
  <c r="AK625" i="22" l="1"/>
  <c r="AN624" i="22"/>
  <c r="AO624" i="22" s="1"/>
  <c r="AE624" i="22"/>
  <c r="AB625" i="22"/>
  <c r="AF624" i="22"/>
  <c r="T451" i="22"/>
  <c r="W450" i="22"/>
  <c r="X450" i="22" s="1"/>
  <c r="AC628" i="22"/>
  <c r="AG627" i="22"/>
  <c r="AC629" i="22" l="1"/>
  <c r="AG628" i="22"/>
  <c r="T452" i="22"/>
  <c r="W451" i="22"/>
  <c r="X451" i="22" s="1"/>
  <c r="AB626" i="22"/>
  <c r="AE625" i="22"/>
  <c r="AF625" i="22"/>
  <c r="AK626" i="22"/>
  <c r="AN625" i="22"/>
  <c r="AO625" i="22" s="1"/>
  <c r="AK627" i="22" l="1"/>
  <c r="AN626" i="22"/>
  <c r="AO626" i="22" s="1"/>
  <c r="AB627" i="22"/>
  <c r="AE626" i="22"/>
  <c r="AF626" i="22"/>
  <c r="T453" i="22"/>
  <c r="W452" i="22"/>
  <c r="X452" i="22" s="1"/>
  <c r="AC630" i="22"/>
  <c r="AG629" i="22"/>
  <c r="AC631" i="22" l="1"/>
  <c r="AG630" i="22"/>
  <c r="T454" i="22"/>
  <c r="W453" i="22"/>
  <c r="X453" i="22" s="1"/>
  <c r="AB628" i="22"/>
  <c r="AE627" i="22"/>
  <c r="AF627" i="22"/>
  <c r="AK628" i="22"/>
  <c r="AN627" i="22"/>
  <c r="AO627" i="22" s="1"/>
  <c r="AC632" i="22" l="1"/>
  <c r="AG631" i="22"/>
  <c r="AK629" i="22"/>
  <c r="AN628" i="22"/>
  <c r="AO628" i="22" s="1"/>
  <c r="AB629" i="22"/>
  <c r="AE628" i="22"/>
  <c r="AF628" i="22"/>
  <c r="T455" i="22"/>
  <c r="W454" i="22"/>
  <c r="X454" i="22" s="1"/>
  <c r="T456" i="22" l="1"/>
  <c r="W455" i="22"/>
  <c r="X455" i="22" s="1"/>
  <c r="AB630" i="22"/>
  <c r="AE629" i="22"/>
  <c r="AF629" i="22"/>
  <c r="AK630" i="22"/>
  <c r="AN629" i="22"/>
  <c r="AO629" i="22" s="1"/>
  <c r="AC633" i="22"/>
  <c r="AG632" i="22"/>
  <c r="AC634" i="22" l="1"/>
  <c r="AG633" i="22"/>
  <c r="AK631" i="22"/>
  <c r="AN630" i="22"/>
  <c r="AO630" i="22" s="1"/>
  <c r="AB631" i="22"/>
  <c r="AE630" i="22"/>
  <c r="AF630" i="22"/>
  <c r="T457" i="22"/>
  <c r="W456" i="22"/>
  <c r="X456" i="22" s="1"/>
  <c r="T458" i="22" l="1"/>
  <c r="W457" i="22"/>
  <c r="X457" i="22" s="1"/>
  <c r="AB632" i="22"/>
  <c r="AE631" i="22"/>
  <c r="AF631" i="22"/>
  <c r="AK632" i="22"/>
  <c r="AN631" i="22"/>
  <c r="AO631" i="22" s="1"/>
  <c r="AC635" i="22"/>
  <c r="AG634" i="22"/>
  <c r="AC636" i="22" l="1"/>
  <c r="AG635" i="22"/>
  <c r="AK633" i="22"/>
  <c r="AN632" i="22"/>
  <c r="AO632" i="22" s="1"/>
  <c r="AE632" i="22"/>
  <c r="AB633" i="22"/>
  <c r="AF632" i="22"/>
  <c r="T459" i="22"/>
  <c r="W458" i="22"/>
  <c r="X458" i="22" s="1"/>
  <c r="W459" i="22" l="1"/>
  <c r="X459" i="22" s="1"/>
  <c r="T460" i="22"/>
  <c r="AE633" i="22"/>
  <c r="AB634" i="22"/>
  <c r="AF633" i="22"/>
  <c r="AK634" i="22"/>
  <c r="AN633" i="22"/>
  <c r="AO633" i="22" s="1"/>
  <c r="AC637" i="22"/>
  <c r="AG636" i="22"/>
  <c r="AE634" i="22" l="1"/>
  <c r="AB635" i="22"/>
  <c r="AF634" i="22"/>
  <c r="AC638" i="22"/>
  <c r="AG637" i="22"/>
  <c r="AK635" i="22"/>
  <c r="AN634" i="22"/>
  <c r="AO634" i="22" s="1"/>
  <c r="W460" i="22"/>
  <c r="X460" i="22" s="1"/>
  <c r="T461" i="22"/>
  <c r="AC639" i="22" l="1"/>
  <c r="AG638" i="22"/>
  <c r="AB636" i="22"/>
  <c r="AE635" i="22"/>
  <c r="AF635" i="22"/>
  <c r="W461" i="22"/>
  <c r="X461" i="22" s="1"/>
  <c r="T462" i="22"/>
  <c r="AK636" i="22"/>
  <c r="AN635" i="22"/>
  <c r="AO635" i="22" s="1"/>
  <c r="AK637" i="22" l="1"/>
  <c r="AN636" i="22"/>
  <c r="AO636" i="22" s="1"/>
  <c r="T463" i="22"/>
  <c r="W462" i="22"/>
  <c r="X462" i="22" s="1"/>
  <c r="AE636" i="22"/>
  <c r="AB637" i="22"/>
  <c r="AF636" i="22"/>
  <c r="AC640" i="22"/>
  <c r="AG639" i="22"/>
  <c r="AK638" i="22" l="1"/>
  <c r="AN637" i="22"/>
  <c r="AO637" i="22" s="1"/>
  <c r="AC641" i="22"/>
  <c r="AG640" i="22"/>
  <c r="AB638" i="22"/>
  <c r="AE637" i="22"/>
  <c r="AF637" i="22"/>
  <c r="T464" i="22"/>
  <c r="W463" i="22"/>
  <c r="X463" i="22" s="1"/>
  <c r="W464" i="22" l="1"/>
  <c r="X464" i="22" s="1"/>
  <c r="T465" i="22"/>
  <c r="AB639" i="22"/>
  <c r="AE638" i="22"/>
  <c r="AF638" i="22"/>
  <c r="AC642" i="22"/>
  <c r="AG641" i="22"/>
  <c r="AK639" i="22"/>
  <c r="AN638" i="22"/>
  <c r="AO638" i="22" s="1"/>
  <c r="AK640" i="22" l="1"/>
  <c r="AN639" i="22"/>
  <c r="AO639" i="22" s="1"/>
  <c r="AC643" i="22"/>
  <c r="AG642" i="22"/>
  <c r="AB640" i="22"/>
  <c r="AE639" i="22"/>
  <c r="AF639" i="22"/>
  <c r="T466" i="22"/>
  <c r="W465" i="22"/>
  <c r="X465" i="22" s="1"/>
  <c r="AK641" i="22" l="1"/>
  <c r="AN640" i="22"/>
  <c r="AO640" i="22" s="1"/>
  <c r="W466" i="22"/>
  <c r="X466" i="22" s="1"/>
  <c r="T467" i="22"/>
  <c r="AE640" i="22"/>
  <c r="AB641" i="22"/>
  <c r="AF640" i="22"/>
  <c r="AC644" i="22"/>
  <c r="AG643" i="22"/>
  <c r="AC645" i="22" l="1"/>
  <c r="AG644" i="22"/>
  <c r="AB642" i="22"/>
  <c r="AE641" i="22"/>
  <c r="AF641" i="22"/>
  <c r="T468" i="22"/>
  <c r="W467" i="22"/>
  <c r="X467" i="22" s="1"/>
  <c r="AK642" i="22"/>
  <c r="AN641" i="22"/>
  <c r="AO641" i="22" s="1"/>
  <c r="AE642" i="22" l="1"/>
  <c r="AB643" i="22"/>
  <c r="AF642" i="22"/>
  <c r="AK643" i="22"/>
  <c r="AN642" i="22"/>
  <c r="AO642" i="22" s="1"/>
  <c r="T469" i="22"/>
  <c r="W468" i="22"/>
  <c r="X468" i="22" s="1"/>
  <c r="AC646" i="22"/>
  <c r="AG645" i="22"/>
  <c r="AC647" i="22" l="1"/>
  <c r="AG646" i="22"/>
  <c r="T470" i="22"/>
  <c r="W469" i="22"/>
  <c r="X469" i="22" s="1"/>
  <c r="AK644" i="22"/>
  <c r="AN643" i="22"/>
  <c r="AO643" i="22" s="1"/>
  <c r="AB644" i="22"/>
  <c r="AE643" i="22"/>
  <c r="AF643" i="22"/>
  <c r="AB645" i="22" l="1"/>
  <c r="AE644" i="22"/>
  <c r="AF644" i="22"/>
  <c r="AK645" i="22"/>
  <c r="AN644" i="22"/>
  <c r="AO644" i="22" s="1"/>
  <c r="T471" i="22"/>
  <c r="W470" i="22"/>
  <c r="X470" i="22" s="1"/>
  <c r="AC648" i="22"/>
  <c r="AG647" i="22"/>
  <c r="AC649" i="22" l="1"/>
  <c r="AG648" i="22"/>
  <c r="W471" i="22"/>
  <c r="X471" i="22" s="1"/>
  <c r="T472" i="22"/>
  <c r="AK646" i="22"/>
  <c r="AN645" i="22"/>
  <c r="AO645" i="22" s="1"/>
  <c r="AB646" i="22"/>
  <c r="AE645" i="22"/>
  <c r="AF645" i="22"/>
  <c r="W472" i="22" l="1"/>
  <c r="X472" i="22" s="1"/>
  <c r="T473" i="22"/>
  <c r="AB647" i="22"/>
  <c r="AE646" i="22"/>
  <c r="AF646" i="22"/>
  <c r="AK647" i="22"/>
  <c r="AN646" i="22"/>
  <c r="AO646" i="22" s="1"/>
  <c r="AC650" i="22"/>
  <c r="AG649" i="22"/>
  <c r="AC651" i="22" l="1"/>
  <c r="AG650" i="22"/>
  <c r="AK648" i="22"/>
  <c r="AN647" i="22"/>
  <c r="AO647" i="22" s="1"/>
  <c r="AB648" i="22"/>
  <c r="AE647" i="22"/>
  <c r="AF647" i="22"/>
  <c r="T474" i="22"/>
  <c r="W473" i="22"/>
  <c r="X473" i="22" s="1"/>
  <c r="T475" i="22" l="1"/>
  <c r="W474" i="22"/>
  <c r="X474" i="22" s="1"/>
  <c r="AE648" i="22"/>
  <c r="AB649" i="22"/>
  <c r="AF648" i="22"/>
  <c r="AK649" i="22"/>
  <c r="AN648" i="22"/>
  <c r="AO648" i="22" s="1"/>
  <c r="AC652" i="22"/>
  <c r="AG651" i="22"/>
  <c r="AC653" i="22" l="1"/>
  <c r="AG652" i="22"/>
  <c r="AK650" i="22"/>
  <c r="AN649" i="22"/>
  <c r="AO649" i="22" s="1"/>
  <c r="AE649" i="22"/>
  <c r="AB650" i="22"/>
  <c r="AF649" i="22"/>
  <c r="T476" i="22"/>
  <c r="W475" i="22"/>
  <c r="X475" i="22" s="1"/>
  <c r="T477" i="22" l="1"/>
  <c r="W476" i="22"/>
  <c r="X476" i="22" s="1"/>
  <c r="AB651" i="22"/>
  <c r="AE650" i="22"/>
  <c r="AF650" i="22"/>
  <c r="AK651" i="22"/>
  <c r="AN650" i="22"/>
  <c r="AO650" i="22" s="1"/>
  <c r="AC654" i="22"/>
  <c r="AG653" i="22"/>
  <c r="AC655" i="22" l="1"/>
  <c r="AG654" i="22"/>
  <c r="AK652" i="22"/>
  <c r="AN651" i="22"/>
  <c r="AO651" i="22" s="1"/>
  <c r="AB652" i="22"/>
  <c r="AE651" i="22"/>
  <c r="AF651" i="22"/>
  <c r="T478" i="22"/>
  <c r="W477" i="22"/>
  <c r="X477" i="22" s="1"/>
  <c r="T479" i="22" l="1"/>
  <c r="W478" i="22"/>
  <c r="X478" i="22" s="1"/>
  <c r="AB653" i="22"/>
  <c r="AE652" i="22"/>
  <c r="AF652" i="22"/>
  <c r="AK653" i="22"/>
  <c r="AN652" i="22"/>
  <c r="AO652" i="22" s="1"/>
  <c r="AC656" i="22"/>
  <c r="AG655" i="22"/>
  <c r="AG656" i="22" l="1"/>
  <c r="AC657" i="22"/>
  <c r="AK654" i="22"/>
  <c r="AN653" i="22"/>
  <c r="AO653" i="22" s="1"/>
  <c r="AB654" i="22"/>
  <c r="AE653" i="22"/>
  <c r="AF653" i="22"/>
  <c r="T480" i="22"/>
  <c r="W479" i="22"/>
  <c r="X479" i="22" s="1"/>
  <c r="T481" i="22" l="1"/>
  <c r="W480" i="22"/>
  <c r="X480" i="22" s="1"/>
  <c r="AB655" i="22"/>
  <c r="AE654" i="22"/>
  <c r="AF654" i="22"/>
  <c r="AK655" i="22"/>
  <c r="AN654" i="22"/>
  <c r="AO654" i="22" s="1"/>
  <c r="AC658" i="22"/>
  <c r="AG657" i="22"/>
  <c r="AC659" i="22" l="1"/>
  <c r="AG658" i="22"/>
  <c r="AK656" i="22"/>
  <c r="AN655" i="22"/>
  <c r="AO655" i="22" s="1"/>
  <c r="AE655" i="22"/>
  <c r="AB656" i="22"/>
  <c r="AF655" i="22"/>
  <c r="T482" i="22"/>
  <c r="W481" i="22"/>
  <c r="X481" i="22" s="1"/>
  <c r="AK657" i="22" l="1"/>
  <c r="AN656" i="22"/>
  <c r="AO656" i="22" s="1"/>
  <c r="AC660" i="22"/>
  <c r="AG659" i="22"/>
  <c r="T483" i="22"/>
  <c r="W482" i="22"/>
  <c r="X482" i="22" s="1"/>
  <c r="AE656" i="22"/>
  <c r="AB657" i="22"/>
  <c r="AF656" i="22"/>
  <c r="AB658" i="22" l="1"/>
  <c r="AE657" i="22"/>
  <c r="AF657" i="22"/>
  <c r="W483" i="22"/>
  <c r="X483" i="22" s="1"/>
  <c r="T484" i="22"/>
  <c r="AC661" i="22"/>
  <c r="AG660" i="22"/>
  <c r="AK658" i="22"/>
  <c r="AN657" i="22"/>
  <c r="AO657" i="22" s="1"/>
  <c r="AE658" i="22" l="1"/>
  <c r="AB659" i="22"/>
  <c r="AF658" i="22"/>
  <c r="AK659" i="22"/>
  <c r="AN658" i="22"/>
  <c r="AO658" i="22" s="1"/>
  <c r="AC662" i="22"/>
  <c r="AG661" i="22"/>
  <c r="T485" i="22"/>
  <c r="W484" i="22"/>
  <c r="X484" i="22" s="1"/>
  <c r="AK660" i="22" l="1"/>
  <c r="AN659" i="22"/>
  <c r="AO659" i="22" s="1"/>
  <c r="AB660" i="22"/>
  <c r="AE659" i="22"/>
  <c r="AF659" i="22"/>
  <c r="T486" i="22"/>
  <c r="W485" i="22"/>
  <c r="X485" i="22" s="1"/>
  <c r="AC663" i="22"/>
  <c r="AG662" i="22"/>
  <c r="AC664" i="22" l="1"/>
  <c r="AG663" i="22"/>
  <c r="T487" i="22"/>
  <c r="W486" i="22"/>
  <c r="X486" i="22" s="1"/>
  <c r="AE660" i="22"/>
  <c r="AB661" i="22"/>
  <c r="AF660" i="22"/>
  <c r="AK661" i="22"/>
  <c r="AN660" i="22"/>
  <c r="AO660" i="22" s="1"/>
  <c r="AK662" i="22" l="1"/>
  <c r="AN661" i="22"/>
  <c r="AO661" i="22" s="1"/>
  <c r="AE661" i="22"/>
  <c r="AB662" i="22"/>
  <c r="AF661" i="22"/>
  <c r="T488" i="22"/>
  <c r="W487" i="22"/>
  <c r="X487" i="22" s="1"/>
  <c r="AC665" i="22"/>
  <c r="AG664" i="22"/>
  <c r="AK663" i="22" l="1"/>
  <c r="AN662" i="22"/>
  <c r="AO662" i="22" s="1"/>
  <c r="AC666" i="22"/>
  <c r="AG665" i="22"/>
  <c r="T489" i="22"/>
  <c r="W488" i="22"/>
  <c r="X488" i="22" s="1"/>
  <c r="AE662" i="22"/>
  <c r="AB663" i="22"/>
  <c r="AF662" i="22"/>
  <c r="AE663" i="22" l="1"/>
  <c r="AB664" i="22"/>
  <c r="AF663" i="22"/>
  <c r="W489" i="22"/>
  <c r="X489" i="22" s="1"/>
  <c r="T490" i="22"/>
  <c r="AC667" i="22"/>
  <c r="AG666" i="22"/>
  <c r="AK664" i="22"/>
  <c r="AN663" i="22"/>
  <c r="AO663" i="22" s="1"/>
  <c r="AK665" i="22" l="1"/>
  <c r="AN664" i="22"/>
  <c r="AO664" i="22" s="1"/>
  <c r="AC668" i="22"/>
  <c r="AG667" i="22"/>
  <c r="T491" i="22"/>
  <c r="W490" i="22"/>
  <c r="X490" i="22" s="1"/>
  <c r="AE664" i="22"/>
  <c r="AB665" i="22"/>
  <c r="AF664" i="22"/>
  <c r="AE665" i="22" l="1"/>
  <c r="AB666" i="22"/>
  <c r="AF665" i="22"/>
  <c r="T492" i="22"/>
  <c r="W491" i="22"/>
  <c r="X491" i="22" s="1"/>
  <c r="AC669" i="22"/>
  <c r="AG668" i="22"/>
  <c r="AK666" i="22"/>
  <c r="AN665" i="22"/>
  <c r="AO665" i="22" s="1"/>
  <c r="AK667" i="22" l="1"/>
  <c r="AN666" i="22"/>
  <c r="AO666" i="22" s="1"/>
  <c r="AC670" i="22"/>
  <c r="AG669" i="22"/>
  <c r="T493" i="22"/>
  <c r="W492" i="22"/>
  <c r="X492" i="22" s="1"/>
  <c r="AB667" i="22"/>
  <c r="AE666" i="22"/>
  <c r="AF666" i="22"/>
  <c r="T494" i="22" l="1"/>
  <c r="W493" i="22"/>
  <c r="X493" i="22" s="1"/>
  <c r="AC671" i="22"/>
  <c r="AG670" i="22"/>
  <c r="AB668" i="22"/>
  <c r="AE667" i="22"/>
  <c r="AF667" i="22"/>
  <c r="AK668" i="22"/>
  <c r="AN667" i="22"/>
  <c r="AO667" i="22" s="1"/>
  <c r="AK669" i="22" l="1"/>
  <c r="AN668" i="22"/>
  <c r="AO668" i="22" s="1"/>
  <c r="AB669" i="22"/>
  <c r="AE668" i="22"/>
  <c r="AF668" i="22"/>
  <c r="AC672" i="22"/>
  <c r="AG671" i="22"/>
  <c r="T495" i="22"/>
  <c r="W494" i="22"/>
  <c r="X494" i="22" s="1"/>
  <c r="AK670" i="22" l="1"/>
  <c r="AN669" i="22"/>
  <c r="AO669" i="22" s="1"/>
  <c r="T496" i="22"/>
  <c r="W495" i="22"/>
  <c r="X495" i="22" s="1"/>
  <c r="AC673" i="22"/>
  <c r="AG672" i="22"/>
  <c r="AE669" i="22"/>
  <c r="AB670" i="22"/>
  <c r="AF669" i="22"/>
  <c r="AC674" i="22" l="1"/>
  <c r="AG673" i="22"/>
  <c r="AE670" i="22"/>
  <c r="AB671" i="22"/>
  <c r="AF670" i="22"/>
  <c r="T497" i="22"/>
  <c r="W496" i="22"/>
  <c r="X496" i="22" s="1"/>
  <c r="AK671" i="22"/>
  <c r="AN670" i="22"/>
  <c r="AO670" i="22" s="1"/>
  <c r="AK672" i="22" l="1"/>
  <c r="AN671" i="22"/>
  <c r="AO671" i="22" s="1"/>
  <c r="T498" i="22"/>
  <c r="W497" i="22"/>
  <c r="X497" i="22" s="1"/>
  <c r="AE671" i="22"/>
  <c r="AB672" i="22"/>
  <c r="AF671" i="22"/>
  <c r="AC675" i="22"/>
  <c r="AG674" i="22"/>
  <c r="AK673" i="22" l="1"/>
  <c r="AN672" i="22"/>
  <c r="AO672" i="22" s="1"/>
  <c r="AC676" i="22"/>
  <c r="AG675" i="22"/>
  <c r="AB673" i="22"/>
  <c r="AE672" i="22"/>
  <c r="AF672" i="22"/>
  <c r="T499" i="22"/>
  <c r="W498" i="22"/>
  <c r="X498" i="22" s="1"/>
  <c r="AC677" i="22" l="1"/>
  <c r="AG676" i="22"/>
  <c r="W499" i="22"/>
  <c r="X499" i="22" s="1"/>
  <c r="T500" i="22"/>
  <c r="AB674" i="22"/>
  <c r="AE673" i="22"/>
  <c r="AF673" i="22"/>
  <c r="AK674" i="22"/>
  <c r="AN673" i="22"/>
  <c r="AO673" i="22" s="1"/>
  <c r="W500" i="22" l="1"/>
  <c r="X500" i="22" s="1"/>
  <c r="T501" i="22"/>
  <c r="AK675" i="22"/>
  <c r="AN674" i="22"/>
  <c r="AO674" i="22" s="1"/>
  <c r="AE674" i="22"/>
  <c r="AB675" i="22"/>
  <c r="AF674" i="22"/>
  <c r="AC678" i="22"/>
  <c r="AG677" i="22"/>
  <c r="AC679" i="22" l="1"/>
  <c r="AG678" i="22"/>
  <c r="AB676" i="22"/>
  <c r="AE675" i="22"/>
  <c r="AF675" i="22"/>
  <c r="AK676" i="22"/>
  <c r="AN675" i="22"/>
  <c r="AO675" i="22" s="1"/>
  <c r="T502" i="22"/>
  <c r="W501" i="22"/>
  <c r="X501" i="22" s="1"/>
  <c r="T503" i="22" l="1"/>
  <c r="W502" i="22"/>
  <c r="X502" i="22" s="1"/>
  <c r="AK677" i="22"/>
  <c r="AN676" i="22"/>
  <c r="AO676" i="22" s="1"/>
  <c r="AE676" i="22"/>
  <c r="AB677" i="22"/>
  <c r="AF676" i="22"/>
  <c r="AC680" i="22"/>
  <c r="AG679" i="22"/>
  <c r="AC681" i="22" l="1"/>
  <c r="AG680" i="22"/>
  <c r="AE677" i="22"/>
  <c r="AB678" i="22"/>
  <c r="AF677" i="22"/>
  <c r="AK678" i="22"/>
  <c r="AN677" i="22"/>
  <c r="AO677" i="22" s="1"/>
  <c r="T504" i="22"/>
  <c r="W503" i="22"/>
  <c r="X503" i="22" s="1"/>
  <c r="T505" i="22" l="1"/>
  <c r="W504" i="22"/>
  <c r="X504" i="22" s="1"/>
  <c r="AK679" i="22"/>
  <c r="AN678" i="22"/>
  <c r="AO678" i="22" s="1"/>
  <c r="AE678" i="22"/>
  <c r="AB679" i="22"/>
  <c r="AF678" i="22"/>
  <c r="AC682" i="22"/>
  <c r="AG681" i="22"/>
  <c r="AC683" i="22" l="1"/>
  <c r="AG682" i="22"/>
  <c r="AE679" i="22"/>
  <c r="AB680" i="22"/>
  <c r="AF679" i="22"/>
  <c r="AK680" i="22"/>
  <c r="AN679" i="22"/>
  <c r="AO679" i="22" s="1"/>
  <c r="T506" i="22"/>
  <c r="W505" i="22"/>
  <c r="X505" i="22" s="1"/>
  <c r="AE680" i="22" l="1"/>
  <c r="AB681" i="22"/>
  <c r="AF680" i="22"/>
  <c r="T507" i="22"/>
  <c r="W506" i="22"/>
  <c r="X506" i="22" s="1"/>
  <c r="AK681" i="22"/>
  <c r="AN680" i="22"/>
  <c r="AO680" i="22" s="1"/>
  <c r="AC684" i="22"/>
  <c r="AG683" i="22"/>
  <c r="AC685" i="22" l="1"/>
  <c r="AG684" i="22"/>
  <c r="AB682" i="22"/>
  <c r="AE681" i="22"/>
  <c r="AF681" i="22"/>
  <c r="AK682" i="22"/>
  <c r="AN681" i="22"/>
  <c r="AO681" i="22" s="1"/>
  <c r="T508" i="22"/>
  <c r="W507" i="22"/>
  <c r="X507" i="22" s="1"/>
  <c r="AB683" i="22" l="1"/>
  <c r="AE682" i="22"/>
  <c r="AF682" i="22"/>
  <c r="T509" i="22"/>
  <c r="W508" i="22"/>
  <c r="X508" i="22" s="1"/>
  <c r="AK683" i="22"/>
  <c r="AN682" i="22"/>
  <c r="AO682" i="22" s="1"/>
  <c r="AC686" i="22"/>
  <c r="AG685" i="22"/>
  <c r="AC687" i="22" l="1"/>
  <c r="AG686" i="22"/>
  <c r="AK684" i="22"/>
  <c r="AN683" i="22"/>
  <c r="AO683" i="22" s="1"/>
  <c r="T510" i="22"/>
  <c r="W509" i="22"/>
  <c r="X509" i="22" s="1"/>
  <c r="AB684" i="22"/>
  <c r="AE683" i="22"/>
  <c r="AF683" i="22"/>
  <c r="AE684" i="22" l="1"/>
  <c r="AB685" i="22"/>
  <c r="AF684" i="22"/>
  <c r="T511" i="22"/>
  <c r="W510" i="22"/>
  <c r="X510" i="22" s="1"/>
  <c r="AK685" i="22"/>
  <c r="AN684" i="22"/>
  <c r="AO684" i="22" s="1"/>
  <c r="AC688" i="22"/>
  <c r="AG687" i="22"/>
  <c r="AC689" i="22" l="1"/>
  <c r="AG688" i="22"/>
  <c r="AK686" i="22"/>
  <c r="AN685" i="22"/>
  <c r="AO685" i="22" s="1"/>
  <c r="T512" i="22"/>
  <c r="W511" i="22"/>
  <c r="X511" i="22" s="1"/>
  <c r="AB686" i="22"/>
  <c r="AE685" i="22"/>
  <c r="AF685" i="22"/>
  <c r="AE686" i="22" l="1"/>
  <c r="AB687" i="22"/>
  <c r="AF686" i="22"/>
  <c r="AK687" i="22"/>
  <c r="AN686" i="22"/>
  <c r="AO686" i="22" s="1"/>
  <c r="T513" i="22"/>
  <c r="W512" i="22"/>
  <c r="X512" i="22" s="1"/>
  <c r="AC690" i="22"/>
  <c r="AG689" i="22"/>
  <c r="AC691" i="22" l="1"/>
  <c r="AG690" i="22"/>
  <c r="T514" i="22"/>
  <c r="W513" i="22"/>
  <c r="X513" i="22" s="1"/>
  <c r="AK688" i="22"/>
  <c r="AN687" i="22"/>
  <c r="AO687" i="22" s="1"/>
  <c r="AB688" i="22"/>
  <c r="AE687" i="22"/>
  <c r="AF687" i="22"/>
  <c r="AK689" i="22" l="1"/>
  <c r="AN688" i="22"/>
  <c r="AO688" i="22" s="1"/>
  <c r="T515" i="22"/>
  <c r="W514" i="22"/>
  <c r="X514" i="22" s="1"/>
  <c r="AB689" i="22"/>
  <c r="AE688" i="22"/>
  <c r="AF688" i="22"/>
  <c r="AC692" i="22"/>
  <c r="AG691" i="22"/>
  <c r="AC693" i="22" l="1"/>
  <c r="AG692" i="22"/>
  <c r="AE689" i="22"/>
  <c r="AB690" i="22"/>
  <c r="AF689" i="22"/>
  <c r="T516" i="22"/>
  <c r="W515" i="22"/>
  <c r="X515" i="22" s="1"/>
  <c r="AK690" i="22"/>
  <c r="AN689" i="22"/>
  <c r="AO689" i="22" s="1"/>
  <c r="AK691" i="22" l="1"/>
  <c r="AN690" i="22"/>
  <c r="AO690" i="22" s="1"/>
  <c r="T517" i="22"/>
  <c r="W516" i="22"/>
  <c r="X516" i="22" s="1"/>
  <c r="AE690" i="22"/>
  <c r="AB691" i="22"/>
  <c r="AF690" i="22"/>
  <c r="AC694" i="22"/>
  <c r="AG693" i="22"/>
  <c r="AC695" i="22" l="1"/>
  <c r="AG694" i="22"/>
  <c r="AB692" i="22"/>
  <c r="AE691" i="22"/>
  <c r="AF691" i="22"/>
  <c r="T518" i="22"/>
  <c r="W517" i="22"/>
  <c r="X517" i="22" s="1"/>
  <c r="AK692" i="22"/>
  <c r="AN691" i="22"/>
  <c r="AO691" i="22" s="1"/>
  <c r="AK693" i="22" l="1"/>
  <c r="AN692" i="22"/>
  <c r="AO692" i="22" s="1"/>
  <c r="T519" i="22"/>
  <c r="W518" i="22"/>
  <c r="X518" i="22" s="1"/>
  <c r="AB693" i="22"/>
  <c r="AE692" i="22"/>
  <c r="AF692" i="22"/>
  <c r="AC696" i="22"/>
  <c r="AG695" i="22"/>
  <c r="AC697" i="22" l="1"/>
  <c r="AG696" i="22"/>
  <c r="AB694" i="22"/>
  <c r="AE693" i="22"/>
  <c r="AF693" i="22"/>
  <c r="T520" i="22"/>
  <c r="W519" i="22"/>
  <c r="X519" i="22" s="1"/>
  <c r="AK694" i="22"/>
  <c r="AN693" i="22"/>
  <c r="AO693" i="22" s="1"/>
  <c r="AK695" i="22" l="1"/>
  <c r="AN694" i="22"/>
  <c r="AO694" i="22" s="1"/>
  <c r="T521" i="22"/>
  <c r="W520" i="22"/>
  <c r="X520" i="22" s="1"/>
  <c r="AB695" i="22"/>
  <c r="AE694" i="22"/>
  <c r="AF694" i="22"/>
  <c r="AC698" i="22"/>
  <c r="AG697" i="22"/>
  <c r="AC699" i="22" l="1"/>
  <c r="AG698" i="22"/>
  <c r="AB696" i="22"/>
  <c r="AE695" i="22"/>
  <c r="AF695" i="22"/>
  <c r="T522" i="22"/>
  <c r="W521" i="22"/>
  <c r="X521" i="22" s="1"/>
  <c r="AK696" i="22"/>
  <c r="AN695" i="22"/>
  <c r="AO695" i="22" s="1"/>
  <c r="AK697" i="22" l="1"/>
  <c r="AN696" i="22"/>
  <c r="AO696" i="22" s="1"/>
  <c r="T523" i="22"/>
  <c r="W522" i="22"/>
  <c r="X522" i="22" s="1"/>
  <c r="AE696" i="22"/>
  <c r="AB697" i="22"/>
  <c r="AF696" i="22"/>
  <c r="AC700" i="22"/>
  <c r="AG699" i="22"/>
  <c r="AC701" i="22" l="1"/>
  <c r="AG700" i="22"/>
  <c r="AE697" i="22"/>
  <c r="AB698" i="22"/>
  <c r="AF697" i="22"/>
  <c r="T524" i="22"/>
  <c r="W523" i="22"/>
  <c r="X523" i="22" s="1"/>
  <c r="AK698" i="22"/>
  <c r="AN697" i="22"/>
  <c r="AO697" i="22" s="1"/>
  <c r="AK699" i="22" l="1"/>
  <c r="AN698" i="22"/>
  <c r="AO698" i="22" s="1"/>
  <c r="T525" i="22"/>
  <c r="W524" i="22"/>
  <c r="X524" i="22" s="1"/>
  <c r="AE698" i="22"/>
  <c r="AB699" i="22"/>
  <c r="AF698" i="22"/>
  <c r="AC702" i="22"/>
  <c r="AG701" i="22"/>
  <c r="AC703" i="22" l="1"/>
  <c r="AG702" i="22"/>
  <c r="T526" i="22"/>
  <c r="W525" i="22"/>
  <c r="X525" i="22" s="1"/>
  <c r="AB700" i="22"/>
  <c r="AE699" i="22"/>
  <c r="AF699" i="22"/>
  <c r="AK700" i="22"/>
  <c r="AN699" i="22"/>
  <c r="AO699" i="22" s="1"/>
  <c r="AK701" i="22" l="1"/>
  <c r="AN700" i="22"/>
  <c r="AO700" i="22" s="1"/>
  <c r="AB701" i="22"/>
  <c r="AE700" i="22"/>
  <c r="AF700" i="22"/>
  <c r="T527" i="22"/>
  <c r="W526" i="22"/>
  <c r="X526" i="22" s="1"/>
  <c r="AC704" i="22"/>
  <c r="AG703" i="22"/>
  <c r="AC705" i="22" l="1"/>
  <c r="AG704" i="22"/>
  <c r="T528" i="22"/>
  <c r="W527" i="22"/>
  <c r="X527" i="22" s="1"/>
  <c r="AE701" i="22"/>
  <c r="AB702" i="22"/>
  <c r="AF701" i="22"/>
  <c r="AK702" i="22"/>
  <c r="AN701" i="22"/>
  <c r="AO701" i="22" s="1"/>
  <c r="AK703" i="22" l="1"/>
  <c r="AN702" i="22"/>
  <c r="AO702" i="22" s="1"/>
  <c r="AB703" i="22"/>
  <c r="AE702" i="22"/>
  <c r="AF702" i="22"/>
  <c r="W528" i="22"/>
  <c r="X528" i="22" s="1"/>
  <c r="T529" i="22"/>
  <c r="AC706" i="22"/>
  <c r="AG705" i="22"/>
  <c r="AC707" i="22" l="1"/>
  <c r="AG706" i="22"/>
  <c r="T530" i="22"/>
  <c r="W529" i="22"/>
  <c r="X529" i="22" s="1"/>
  <c r="AB704" i="22"/>
  <c r="AE703" i="22"/>
  <c r="AF703" i="22"/>
  <c r="AK704" i="22"/>
  <c r="AN703" i="22"/>
  <c r="AO703" i="22" s="1"/>
  <c r="AK705" i="22" l="1"/>
  <c r="AN704" i="22"/>
  <c r="AO704" i="22" s="1"/>
  <c r="AC708" i="22"/>
  <c r="AG707" i="22"/>
  <c r="AB705" i="22"/>
  <c r="AE704" i="22"/>
  <c r="AF704" i="22"/>
  <c r="T531" i="22"/>
  <c r="W530" i="22"/>
  <c r="X530" i="22" s="1"/>
  <c r="T532" i="22" l="1"/>
  <c r="W531" i="22"/>
  <c r="X531" i="22" s="1"/>
  <c r="AB706" i="22"/>
  <c r="AE705" i="22"/>
  <c r="AF705" i="22"/>
  <c r="AC709" i="22"/>
  <c r="AG708" i="22"/>
  <c r="AK706" i="22"/>
  <c r="AN705" i="22"/>
  <c r="AO705" i="22" s="1"/>
  <c r="AK707" i="22" l="1"/>
  <c r="AN706" i="22"/>
  <c r="AO706" i="22" s="1"/>
  <c r="AC710" i="22"/>
  <c r="AG709" i="22"/>
  <c r="AB707" i="22"/>
  <c r="AE706" i="22"/>
  <c r="AF706" i="22"/>
  <c r="T533" i="22"/>
  <c r="W532" i="22"/>
  <c r="X532" i="22" s="1"/>
  <c r="T534" i="22" l="1"/>
  <c r="W533" i="22"/>
  <c r="X533" i="22" s="1"/>
  <c r="AB708" i="22"/>
  <c r="AE707" i="22"/>
  <c r="AF707" i="22"/>
  <c r="AC711" i="22"/>
  <c r="AG710" i="22"/>
  <c r="AK708" i="22"/>
  <c r="AN707" i="22"/>
  <c r="AO707" i="22" s="1"/>
  <c r="AC712" i="22" l="1"/>
  <c r="AG711" i="22"/>
  <c r="AK709" i="22"/>
  <c r="AN708" i="22"/>
  <c r="AO708" i="22" s="1"/>
  <c r="AB709" i="22"/>
  <c r="AE708" i="22"/>
  <c r="AF708" i="22"/>
  <c r="T535" i="22"/>
  <c r="W534" i="22"/>
  <c r="X534" i="22" s="1"/>
  <c r="AK710" i="22" l="1"/>
  <c r="AN709" i="22"/>
  <c r="AO709" i="22" s="1"/>
  <c r="T536" i="22"/>
  <c r="W535" i="22"/>
  <c r="X535" i="22" s="1"/>
  <c r="AB710" i="22"/>
  <c r="AE709" i="22"/>
  <c r="AF709" i="22"/>
  <c r="AC713" i="22"/>
  <c r="AG712" i="22"/>
  <c r="AC714" i="22" l="1"/>
  <c r="AG713" i="22"/>
  <c r="AB711" i="22"/>
  <c r="AE710" i="22"/>
  <c r="AF710" i="22"/>
  <c r="T537" i="22"/>
  <c r="W536" i="22"/>
  <c r="X536" i="22" s="1"/>
  <c r="AK711" i="22"/>
  <c r="AN710" i="22"/>
  <c r="AO710" i="22" s="1"/>
  <c r="AB712" i="22" l="1"/>
  <c r="AE711" i="22"/>
  <c r="AF711" i="22"/>
  <c r="T538" i="22"/>
  <c r="W537" i="22"/>
  <c r="X537" i="22" s="1"/>
  <c r="AK712" i="22"/>
  <c r="AN711" i="22"/>
  <c r="AO711" i="22" s="1"/>
  <c r="AC715" i="22"/>
  <c r="AG714" i="22"/>
  <c r="AC716" i="22" l="1"/>
  <c r="AG715" i="22"/>
  <c r="AK713" i="22"/>
  <c r="AN712" i="22"/>
  <c r="AO712" i="22" s="1"/>
  <c r="T539" i="22"/>
  <c r="W538" i="22"/>
  <c r="X538" i="22" s="1"/>
  <c r="AE712" i="22"/>
  <c r="AB713" i="22"/>
  <c r="AF712" i="22"/>
  <c r="AE713" i="22" l="1"/>
  <c r="AB714" i="22"/>
  <c r="AF713" i="22"/>
  <c r="T540" i="22"/>
  <c r="W539" i="22"/>
  <c r="X539" i="22" s="1"/>
  <c r="AK714" i="22"/>
  <c r="AN713" i="22"/>
  <c r="AO713" i="22" s="1"/>
  <c r="AC717" i="22"/>
  <c r="AG716" i="22"/>
  <c r="AC718" i="22" l="1"/>
  <c r="AG717" i="22"/>
  <c r="AK715" i="22"/>
  <c r="AN714" i="22"/>
  <c r="AO714" i="22" s="1"/>
  <c r="T541" i="22"/>
  <c r="W540" i="22"/>
  <c r="X540" i="22" s="1"/>
  <c r="AB715" i="22"/>
  <c r="AE714" i="22"/>
  <c r="AF714" i="22"/>
  <c r="W541" i="22" l="1"/>
  <c r="X541" i="22" s="1"/>
  <c r="T542" i="22"/>
  <c r="AB716" i="22"/>
  <c r="AE715" i="22"/>
  <c r="AF715" i="22"/>
  <c r="AK716" i="22"/>
  <c r="AN715" i="22"/>
  <c r="AO715" i="22" s="1"/>
  <c r="AC719" i="22"/>
  <c r="AG718" i="22"/>
  <c r="AK717" i="22" l="1"/>
  <c r="AN716" i="22"/>
  <c r="AO716" i="22" s="1"/>
  <c r="AB717" i="22"/>
  <c r="AE716" i="22"/>
  <c r="AF716" i="22"/>
  <c r="AC720" i="22"/>
  <c r="AG719" i="22"/>
  <c r="T543" i="22"/>
  <c r="W542" i="22"/>
  <c r="X542" i="22" s="1"/>
  <c r="T544" i="22" l="1"/>
  <c r="W543" i="22"/>
  <c r="X543" i="22" s="1"/>
  <c r="AC721" i="22"/>
  <c r="AG720" i="22"/>
  <c r="AB718" i="22"/>
  <c r="AE717" i="22"/>
  <c r="AF717" i="22"/>
  <c r="AK718" i="22"/>
  <c r="AN717" i="22"/>
  <c r="AO717" i="22" s="1"/>
  <c r="AK719" i="22" l="1"/>
  <c r="AN718" i="22"/>
  <c r="AO718" i="22" s="1"/>
  <c r="AE718" i="22"/>
  <c r="AB719" i="22"/>
  <c r="AF718" i="22"/>
  <c r="AC722" i="22"/>
  <c r="AG721" i="22"/>
  <c r="T545" i="22"/>
  <c r="W544" i="22"/>
  <c r="X544" i="22" s="1"/>
  <c r="T546" i="22" l="1"/>
  <c r="W545" i="22"/>
  <c r="X545" i="22" s="1"/>
  <c r="AC723" i="22"/>
  <c r="AG722" i="22"/>
  <c r="AB720" i="22"/>
  <c r="AE719" i="22"/>
  <c r="AF719" i="22"/>
  <c r="AK720" i="22"/>
  <c r="AN719" i="22"/>
  <c r="AO719" i="22" s="1"/>
  <c r="AK721" i="22" l="1"/>
  <c r="AN720" i="22"/>
  <c r="AO720" i="22" s="1"/>
  <c r="AB721" i="22"/>
  <c r="AE720" i="22"/>
  <c r="AF720" i="22"/>
  <c r="AC724" i="22"/>
  <c r="AG723" i="22"/>
  <c r="T547" i="22"/>
  <c r="W546" i="22"/>
  <c r="X546" i="22" s="1"/>
  <c r="T548" i="22" l="1"/>
  <c r="W547" i="22"/>
  <c r="X547" i="22" s="1"/>
  <c r="AC725" i="22"/>
  <c r="AG724" i="22"/>
  <c r="AB722" i="22"/>
  <c r="AE721" i="22"/>
  <c r="AF721" i="22"/>
  <c r="AK722" i="22"/>
  <c r="AN721" i="22"/>
  <c r="AO721" i="22" s="1"/>
  <c r="AK723" i="22" l="1"/>
  <c r="AN722" i="22"/>
  <c r="AO722" i="22" s="1"/>
  <c r="AE722" i="22"/>
  <c r="AB723" i="22"/>
  <c r="AF722" i="22"/>
  <c r="AC726" i="22"/>
  <c r="AG725" i="22"/>
  <c r="T549" i="22"/>
  <c r="W548" i="22"/>
  <c r="X548" i="22" s="1"/>
  <c r="T550" i="22" l="1"/>
  <c r="W549" i="22"/>
  <c r="X549" i="22" s="1"/>
  <c r="AC727" i="22"/>
  <c r="AG726" i="22"/>
  <c r="AB724" i="22"/>
  <c r="AE723" i="22"/>
  <c r="AF723" i="22"/>
  <c r="AK724" i="22"/>
  <c r="AN723" i="22"/>
  <c r="AO723" i="22" s="1"/>
  <c r="T551" i="22" l="1"/>
  <c r="W550" i="22"/>
  <c r="X550" i="22" s="1"/>
  <c r="AK725" i="22"/>
  <c r="AN724" i="22"/>
  <c r="AO724" i="22" s="1"/>
  <c r="AE724" i="22"/>
  <c r="AB725" i="22"/>
  <c r="AF724" i="22"/>
  <c r="AC728" i="22"/>
  <c r="AG727" i="22"/>
  <c r="AC729" i="22" l="1"/>
  <c r="AG728" i="22"/>
  <c r="AB726" i="22"/>
  <c r="AE725" i="22"/>
  <c r="AF725" i="22"/>
  <c r="AK726" i="22"/>
  <c r="AN725" i="22"/>
  <c r="AO725" i="22" s="1"/>
  <c r="T552" i="22"/>
  <c r="W551" i="22"/>
  <c r="X551" i="22" s="1"/>
  <c r="AC730" i="22" l="1"/>
  <c r="AG729" i="22"/>
  <c r="T553" i="22"/>
  <c r="W552" i="22"/>
  <c r="X552" i="22" s="1"/>
  <c r="AK727" i="22"/>
  <c r="AN726" i="22"/>
  <c r="AO726" i="22" s="1"/>
  <c r="AE726" i="22"/>
  <c r="AB727" i="22"/>
  <c r="AF726" i="22"/>
  <c r="AE727" i="22" l="1"/>
  <c r="AB728" i="22"/>
  <c r="AF727" i="22"/>
  <c r="AK728" i="22"/>
  <c r="AN727" i="22"/>
  <c r="AO727" i="22" s="1"/>
  <c r="T554" i="22"/>
  <c r="W553" i="22"/>
  <c r="X553" i="22" s="1"/>
  <c r="AC731" i="22"/>
  <c r="AG730" i="22"/>
  <c r="AK729" i="22" l="1"/>
  <c r="AN728" i="22"/>
  <c r="AO728" i="22" s="1"/>
  <c r="AE728" i="22"/>
  <c r="AB729" i="22"/>
  <c r="AF728" i="22"/>
  <c r="AC732" i="22"/>
  <c r="AG731" i="22"/>
  <c r="T555" i="22"/>
  <c r="W554" i="22"/>
  <c r="X554" i="22" s="1"/>
  <c r="AC733" i="22" l="1"/>
  <c r="AG732" i="22"/>
  <c r="T556" i="22"/>
  <c r="W555" i="22"/>
  <c r="X555" i="22" s="1"/>
  <c r="AE729" i="22"/>
  <c r="AB730" i="22"/>
  <c r="AF729" i="22"/>
  <c r="AK730" i="22"/>
  <c r="AN729" i="22"/>
  <c r="AO729" i="22" s="1"/>
  <c r="AK731" i="22" l="1"/>
  <c r="AN730" i="22"/>
  <c r="AO730" i="22" s="1"/>
  <c r="AE730" i="22"/>
  <c r="AB731" i="22"/>
  <c r="AF730" i="22"/>
  <c r="T557" i="22"/>
  <c r="W556" i="22"/>
  <c r="X556" i="22" s="1"/>
  <c r="AC734" i="22"/>
  <c r="AG733" i="22"/>
  <c r="AC735" i="22" l="1"/>
  <c r="AG734" i="22"/>
  <c r="T558" i="22"/>
  <c r="W557" i="22"/>
  <c r="X557" i="22" s="1"/>
  <c r="AB732" i="22"/>
  <c r="AE731" i="22"/>
  <c r="AF731" i="22"/>
  <c r="AK732" i="22"/>
  <c r="AN731" i="22"/>
  <c r="AO731" i="22" s="1"/>
  <c r="AK733" i="22" l="1"/>
  <c r="AN732" i="22"/>
  <c r="AO732" i="22" s="1"/>
  <c r="AE732" i="22"/>
  <c r="AB733" i="22"/>
  <c r="AF732" i="22"/>
  <c r="T559" i="22"/>
  <c r="W558" i="22"/>
  <c r="X558" i="22" s="1"/>
  <c r="AC736" i="22"/>
  <c r="AG735" i="22"/>
  <c r="AC737" i="22" l="1"/>
  <c r="AG736" i="22"/>
  <c r="AB734" i="22"/>
  <c r="AE733" i="22"/>
  <c r="AF733" i="22"/>
  <c r="W559" i="22"/>
  <c r="X559" i="22" s="1"/>
  <c r="T560" i="22"/>
  <c r="AK734" i="22"/>
  <c r="AN733" i="22"/>
  <c r="AO733" i="22" s="1"/>
  <c r="AK735" i="22" l="1"/>
  <c r="AN734" i="22"/>
  <c r="AO734" i="22" s="1"/>
  <c r="T561" i="22"/>
  <c r="W560" i="22"/>
  <c r="X560" i="22" s="1"/>
  <c r="AE734" i="22"/>
  <c r="AB735" i="22"/>
  <c r="AF734" i="22"/>
  <c r="AC738" i="22"/>
  <c r="AG737" i="22"/>
  <c r="AC739" i="22" l="1"/>
  <c r="AG738" i="22"/>
  <c r="AE735" i="22"/>
  <c r="AB736" i="22"/>
  <c r="AF735" i="22"/>
  <c r="T562" i="22"/>
  <c r="W561" i="22"/>
  <c r="X561" i="22" s="1"/>
  <c r="AK736" i="22"/>
  <c r="AN735" i="22"/>
  <c r="AO735" i="22" s="1"/>
  <c r="AK737" i="22" l="1"/>
  <c r="AN736" i="22"/>
  <c r="AO736" i="22" s="1"/>
  <c r="T563" i="22"/>
  <c r="W562" i="22"/>
  <c r="X562" i="22" s="1"/>
  <c r="AE736" i="22"/>
  <c r="AB737" i="22"/>
  <c r="AF736" i="22"/>
  <c r="AC740" i="22"/>
  <c r="AG739" i="22"/>
  <c r="AC741" i="22" l="1"/>
  <c r="AG740" i="22"/>
  <c r="AE737" i="22"/>
  <c r="AB738" i="22"/>
  <c r="AF737" i="22"/>
  <c r="T564" i="22"/>
  <c r="W563" i="22"/>
  <c r="X563" i="22" s="1"/>
  <c r="AK738" i="22"/>
  <c r="AN737" i="22"/>
  <c r="AO737" i="22" s="1"/>
  <c r="AK739" i="22" l="1"/>
  <c r="AN738" i="22"/>
  <c r="AO738" i="22" s="1"/>
  <c r="T565" i="22"/>
  <c r="W564" i="22"/>
  <c r="X564" i="22" s="1"/>
  <c r="AE738" i="22"/>
  <c r="AB739" i="22"/>
  <c r="AF738" i="22"/>
  <c r="AG741" i="22"/>
  <c r="AC742" i="22"/>
  <c r="AC743" i="22" l="1"/>
  <c r="AG742" i="22"/>
  <c r="AB740" i="22"/>
  <c r="AE739" i="22"/>
  <c r="AF739" i="22"/>
  <c r="T566" i="22"/>
  <c r="W565" i="22"/>
  <c r="X565" i="22" s="1"/>
  <c r="AK740" i="22"/>
  <c r="AN739" i="22"/>
  <c r="AO739" i="22" s="1"/>
  <c r="AB741" i="22" l="1"/>
  <c r="AE740" i="22"/>
  <c r="AF740" i="22"/>
  <c r="AK741" i="22"/>
  <c r="AN740" i="22"/>
  <c r="AO740" i="22" s="1"/>
  <c r="T567" i="22"/>
  <c r="W566" i="22"/>
  <c r="X566" i="22" s="1"/>
  <c r="AC744" i="22"/>
  <c r="AG743" i="22"/>
  <c r="AC745" i="22" l="1"/>
  <c r="AG744" i="22"/>
  <c r="T568" i="22"/>
  <c r="W567" i="22"/>
  <c r="X567" i="22" s="1"/>
  <c r="AK742" i="22"/>
  <c r="AN741" i="22"/>
  <c r="AO741" i="22" s="1"/>
  <c r="AE741" i="22"/>
  <c r="AB742" i="22"/>
  <c r="AF741" i="22"/>
  <c r="AE742" i="22" l="1"/>
  <c r="AB743" i="22"/>
  <c r="AF742" i="22"/>
  <c r="AK743" i="22"/>
  <c r="AN742" i="22"/>
  <c r="AO742" i="22" s="1"/>
  <c r="T569" i="22"/>
  <c r="W568" i="22"/>
  <c r="X568" i="22" s="1"/>
  <c r="AC746" i="22"/>
  <c r="AG745" i="22"/>
  <c r="AC747" i="22" l="1"/>
  <c r="AG746" i="22"/>
  <c r="T570" i="22"/>
  <c r="W569" i="22"/>
  <c r="X569" i="22" s="1"/>
  <c r="AK744" i="22"/>
  <c r="AN743" i="22"/>
  <c r="AO743" i="22" s="1"/>
  <c r="AE743" i="22"/>
  <c r="AB744" i="22"/>
  <c r="AF743" i="22"/>
  <c r="AE744" i="22" l="1"/>
  <c r="AB745" i="22"/>
  <c r="AF744" i="22"/>
  <c r="AK745" i="22"/>
  <c r="AN744" i="22"/>
  <c r="AO744" i="22" s="1"/>
  <c r="T571" i="22"/>
  <c r="W570" i="22"/>
  <c r="X570" i="22" s="1"/>
  <c r="AC748" i="22"/>
  <c r="AG747" i="22"/>
  <c r="AC749" i="22" l="1"/>
  <c r="AG748" i="22"/>
  <c r="T572" i="22"/>
  <c r="W571" i="22"/>
  <c r="X571" i="22" s="1"/>
  <c r="AK746" i="22"/>
  <c r="AN745" i="22"/>
  <c r="AO745" i="22" s="1"/>
  <c r="AB746" i="22"/>
  <c r="AE745" i="22"/>
  <c r="AF745" i="22"/>
  <c r="AK747" i="22" l="1"/>
  <c r="AN746" i="22"/>
  <c r="AO746" i="22" s="1"/>
  <c r="T573" i="22"/>
  <c r="W572" i="22"/>
  <c r="X572" i="22" s="1"/>
  <c r="AB747" i="22"/>
  <c r="AE746" i="22"/>
  <c r="AF746" i="22"/>
  <c r="AC750" i="22"/>
  <c r="AG749" i="22"/>
  <c r="AB748" i="22" l="1"/>
  <c r="AE747" i="22"/>
  <c r="AF747" i="22"/>
  <c r="AC751" i="22"/>
  <c r="AG750" i="22"/>
  <c r="T574" i="22"/>
  <c r="W573" i="22"/>
  <c r="X573" i="22" s="1"/>
  <c r="AK748" i="22"/>
  <c r="AN747" i="22"/>
  <c r="AO747" i="22" s="1"/>
  <c r="AK749" i="22" l="1"/>
  <c r="AN748" i="22"/>
  <c r="AO748" i="22" s="1"/>
  <c r="T575" i="22"/>
  <c r="W574" i="22"/>
  <c r="X574" i="22" s="1"/>
  <c r="AC752" i="22"/>
  <c r="AG751" i="22"/>
  <c r="AE748" i="22"/>
  <c r="AB749" i="22"/>
  <c r="AF748" i="22"/>
  <c r="AE749" i="22" l="1"/>
  <c r="AB750" i="22"/>
  <c r="AF749" i="22"/>
  <c r="AC753" i="22"/>
  <c r="AG752" i="22"/>
  <c r="T576" i="22"/>
  <c r="W575" i="22"/>
  <c r="X575" i="22" s="1"/>
  <c r="AK750" i="22"/>
  <c r="AN749" i="22"/>
  <c r="AO749" i="22" s="1"/>
  <c r="AK751" i="22" l="1"/>
  <c r="AN750" i="22"/>
  <c r="AO750" i="22" s="1"/>
  <c r="T577" i="22"/>
  <c r="W576" i="22"/>
  <c r="X576" i="22" s="1"/>
  <c r="AB751" i="22"/>
  <c r="AE750" i="22"/>
  <c r="AF750" i="22"/>
  <c r="AC754" i="22"/>
  <c r="AG753" i="22"/>
  <c r="AC755" i="22" l="1"/>
  <c r="AG754" i="22"/>
  <c r="AB752" i="22"/>
  <c r="AE751" i="22"/>
  <c r="AF751" i="22"/>
  <c r="T578" i="22"/>
  <c r="W577" i="22"/>
  <c r="X577" i="22" s="1"/>
  <c r="AK752" i="22"/>
  <c r="AN751" i="22"/>
  <c r="AO751" i="22" s="1"/>
  <c r="AK753" i="22" l="1"/>
  <c r="AN752" i="22"/>
  <c r="AO752" i="22" s="1"/>
  <c r="T579" i="22"/>
  <c r="W578" i="22"/>
  <c r="X578" i="22" s="1"/>
  <c r="AE752" i="22"/>
  <c r="AB753" i="22"/>
  <c r="AF752" i="22"/>
  <c r="AC756" i="22"/>
  <c r="AG755" i="22"/>
  <c r="AC757" i="22" l="1"/>
  <c r="AG756" i="22"/>
  <c r="AB754" i="22"/>
  <c r="AE753" i="22"/>
  <c r="AF753" i="22"/>
  <c r="T580" i="22"/>
  <c r="W579" i="22"/>
  <c r="X579" i="22" s="1"/>
  <c r="AK754" i="22"/>
  <c r="AN753" i="22"/>
  <c r="AO753" i="22" s="1"/>
  <c r="AK755" i="22" l="1"/>
  <c r="AN754" i="22"/>
  <c r="AO754" i="22" s="1"/>
  <c r="T581" i="22"/>
  <c r="W580" i="22"/>
  <c r="X580" i="22" s="1"/>
  <c r="AE754" i="22"/>
  <c r="AB755" i="22"/>
  <c r="AF754" i="22"/>
  <c r="AC758" i="22"/>
  <c r="AG757" i="22"/>
  <c r="AC759" i="22" l="1"/>
  <c r="AG758" i="22"/>
  <c r="AB756" i="22"/>
  <c r="AE755" i="22"/>
  <c r="AF755" i="22"/>
  <c r="T582" i="22"/>
  <c r="W581" i="22"/>
  <c r="X581" i="22" s="1"/>
  <c r="AK756" i="22"/>
  <c r="AN755" i="22"/>
  <c r="AO755" i="22" s="1"/>
  <c r="AK757" i="22" l="1"/>
  <c r="AN756" i="22"/>
  <c r="AO756" i="22" s="1"/>
  <c r="T583" i="22"/>
  <c r="W582" i="22"/>
  <c r="X582" i="22" s="1"/>
  <c r="AE756" i="22"/>
  <c r="AB757" i="22"/>
  <c r="AF756" i="22"/>
  <c r="AC760" i="22"/>
  <c r="AG759" i="22"/>
  <c r="AC761" i="22" l="1"/>
  <c r="AG760" i="22"/>
  <c r="AB758" i="22"/>
  <c r="AE757" i="22"/>
  <c r="AF757" i="22"/>
  <c r="T584" i="22"/>
  <c r="W583" i="22"/>
  <c r="X583" i="22" s="1"/>
  <c r="AK758" i="22"/>
  <c r="AN757" i="22"/>
  <c r="AO757" i="22" s="1"/>
  <c r="AK759" i="22" l="1"/>
  <c r="AN758" i="22"/>
  <c r="AO758" i="22" s="1"/>
  <c r="T585" i="22"/>
  <c r="W584" i="22"/>
  <c r="X584" i="22" s="1"/>
  <c r="AE758" i="22"/>
  <c r="AB759" i="22"/>
  <c r="AF758" i="22"/>
  <c r="AC762" i="22"/>
  <c r="AG761" i="22"/>
  <c r="AC763" i="22" l="1"/>
  <c r="AG762" i="22"/>
  <c r="AB760" i="22"/>
  <c r="AE759" i="22"/>
  <c r="AF759" i="22"/>
  <c r="T586" i="22"/>
  <c r="W585" i="22"/>
  <c r="X585" i="22" s="1"/>
  <c r="AK760" i="22"/>
  <c r="AN759" i="22"/>
  <c r="AO759" i="22" s="1"/>
  <c r="T587" i="22" l="1"/>
  <c r="W586" i="22"/>
  <c r="X586" i="22" s="1"/>
  <c r="AE760" i="22"/>
  <c r="AB761" i="22"/>
  <c r="AF760" i="22"/>
  <c r="AK761" i="22"/>
  <c r="AN760" i="22"/>
  <c r="AO760" i="22" s="1"/>
  <c r="AC764" i="22"/>
  <c r="AG763" i="22"/>
  <c r="AC765" i="22" l="1"/>
  <c r="AG764" i="22"/>
  <c r="AK762" i="22"/>
  <c r="AN761" i="22"/>
  <c r="AO761" i="22" s="1"/>
  <c r="AE761" i="22"/>
  <c r="AB762" i="22"/>
  <c r="AF761" i="22"/>
  <c r="T588" i="22"/>
  <c r="W587" i="22"/>
  <c r="X587" i="22" s="1"/>
  <c r="W588" i="22" l="1"/>
  <c r="X588" i="22" s="1"/>
  <c r="T589" i="22"/>
  <c r="AE762" i="22"/>
  <c r="AB763" i="22"/>
  <c r="AF762" i="22"/>
  <c r="AK763" i="22"/>
  <c r="AN762" i="22"/>
  <c r="AO762" i="22" s="1"/>
  <c r="AC766" i="22"/>
  <c r="AG765" i="22"/>
  <c r="AC767" i="22" l="1"/>
  <c r="AG766" i="22"/>
  <c r="AK764" i="22"/>
  <c r="AN763" i="22"/>
  <c r="AO763" i="22" s="1"/>
  <c r="AB764" i="22"/>
  <c r="AE763" i="22"/>
  <c r="AF763" i="22"/>
  <c r="T590" i="22"/>
  <c r="W589" i="22"/>
  <c r="X589" i="22" s="1"/>
  <c r="AC768" i="22" l="1"/>
  <c r="AG767" i="22"/>
  <c r="T591" i="22"/>
  <c r="W590" i="22"/>
  <c r="X590" i="22" s="1"/>
  <c r="AB765" i="22"/>
  <c r="AE764" i="22"/>
  <c r="AF764" i="22"/>
  <c r="AK765" i="22"/>
  <c r="AN764" i="22"/>
  <c r="AO764" i="22" s="1"/>
  <c r="AC769" i="22" l="1"/>
  <c r="AG768" i="22"/>
  <c r="AK766" i="22"/>
  <c r="AN765" i="22"/>
  <c r="AO765" i="22" s="1"/>
  <c r="AB766" i="22"/>
  <c r="AE765" i="22"/>
  <c r="AF765" i="22"/>
  <c r="T592" i="22"/>
  <c r="W591" i="22"/>
  <c r="X591" i="22" s="1"/>
  <c r="T593" i="22" l="1"/>
  <c r="W592" i="22"/>
  <c r="X592" i="22" s="1"/>
  <c r="AB767" i="22"/>
  <c r="AE766" i="22"/>
  <c r="AF766" i="22"/>
  <c r="AK767" i="22"/>
  <c r="AN766" i="22"/>
  <c r="AO766" i="22" s="1"/>
  <c r="AC770" i="22"/>
  <c r="AG769" i="22"/>
  <c r="T594" i="22" l="1"/>
  <c r="W593" i="22"/>
  <c r="X593" i="22" s="1"/>
  <c r="AC771" i="22"/>
  <c r="AG770" i="22"/>
  <c r="AK768" i="22"/>
  <c r="AN767" i="22"/>
  <c r="AO767" i="22" s="1"/>
  <c r="AB768" i="22"/>
  <c r="AE767" i="22"/>
  <c r="AF767" i="22"/>
  <c r="AE768" i="22" l="1"/>
  <c r="AB769" i="22"/>
  <c r="AF768" i="22"/>
  <c r="AK769" i="22"/>
  <c r="AN768" i="22"/>
  <c r="AO768" i="22" s="1"/>
  <c r="AC772" i="22"/>
  <c r="AG771" i="22"/>
  <c r="W594" i="22"/>
  <c r="X594" i="22" s="1"/>
  <c r="T595" i="22"/>
  <c r="T596" i="22" l="1"/>
  <c r="W595" i="22"/>
  <c r="X595" i="22" s="1"/>
  <c r="AC773" i="22"/>
  <c r="AG772" i="22"/>
  <c r="AK770" i="22"/>
  <c r="AN769" i="22"/>
  <c r="AO769" i="22" s="1"/>
  <c r="AB770" i="22"/>
  <c r="AE769" i="22"/>
  <c r="AF769" i="22"/>
  <c r="AE770" i="22" l="1"/>
  <c r="AB771" i="22"/>
  <c r="AF770" i="22"/>
  <c r="AK771" i="22"/>
  <c r="AN770" i="22"/>
  <c r="AO770" i="22" s="1"/>
  <c r="AC774" i="22"/>
  <c r="AG773" i="22"/>
  <c r="T597" i="22"/>
  <c r="W596" i="22"/>
  <c r="X596" i="22" s="1"/>
  <c r="W597" i="22" l="1"/>
  <c r="X597" i="22" s="1"/>
  <c r="T598" i="22"/>
  <c r="AC775" i="22"/>
  <c r="AG774" i="22"/>
  <c r="AK772" i="22"/>
  <c r="AN771" i="22"/>
  <c r="AO771" i="22" s="1"/>
  <c r="AB772" i="22"/>
  <c r="AE771" i="22"/>
  <c r="AF771" i="22"/>
  <c r="AC776" i="22" l="1"/>
  <c r="AG775" i="22"/>
  <c r="T599" i="22"/>
  <c r="W598" i="22"/>
  <c r="X598" i="22" s="1"/>
  <c r="AB773" i="22"/>
  <c r="AE772" i="22"/>
  <c r="AF772" i="22"/>
  <c r="AK773" i="22"/>
  <c r="AN772" i="22"/>
  <c r="AO772" i="22" s="1"/>
  <c r="AC777" i="22" l="1"/>
  <c r="AG776" i="22"/>
  <c r="AK774" i="22"/>
  <c r="AN773" i="22"/>
  <c r="AO773" i="22" s="1"/>
  <c r="AB774" i="22"/>
  <c r="AE773" i="22"/>
  <c r="AF773" i="22"/>
  <c r="W599" i="22"/>
  <c r="X599" i="22" s="1"/>
  <c r="T600" i="22"/>
  <c r="AC778" i="22" l="1"/>
  <c r="AG777" i="22"/>
  <c r="T601" i="22"/>
  <c r="W600" i="22"/>
  <c r="X600" i="22" s="1"/>
  <c r="AB775" i="22"/>
  <c r="AE774" i="22"/>
  <c r="AF774" i="22"/>
  <c r="AK775" i="22"/>
  <c r="AN774" i="22"/>
  <c r="AO774" i="22" s="1"/>
  <c r="AC779" i="22" l="1"/>
  <c r="AG778" i="22"/>
  <c r="AK776" i="22"/>
  <c r="AN775" i="22"/>
  <c r="AO775" i="22" s="1"/>
  <c r="AB776" i="22"/>
  <c r="AE775" i="22"/>
  <c r="AF775" i="22"/>
  <c r="T602" i="22"/>
  <c r="W601" i="22"/>
  <c r="X601" i="22" s="1"/>
  <c r="AC780" i="22" l="1"/>
  <c r="AG779" i="22"/>
  <c r="T603" i="22"/>
  <c r="W602" i="22"/>
  <c r="X602" i="22" s="1"/>
  <c r="AE776" i="22"/>
  <c r="AB777" i="22"/>
  <c r="AF776" i="22"/>
  <c r="AK777" i="22"/>
  <c r="AN776" i="22"/>
  <c r="AO776" i="22" s="1"/>
  <c r="AC781" i="22" l="1"/>
  <c r="AG780" i="22"/>
  <c r="AK778" i="22"/>
  <c r="AN777" i="22"/>
  <c r="AO777" i="22" s="1"/>
  <c r="AE777" i="22"/>
  <c r="AB778" i="22"/>
  <c r="AF777" i="22"/>
  <c r="T604" i="22"/>
  <c r="W603" i="22"/>
  <c r="X603" i="22" s="1"/>
  <c r="AC782" i="22" l="1"/>
  <c r="AG781" i="22"/>
  <c r="W604" i="22"/>
  <c r="X604" i="22" s="1"/>
  <c r="T605" i="22"/>
  <c r="AB779" i="22"/>
  <c r="AE778" i="22"/>
  <c r="AF778" i="22"/>
  <c r="AK779" i="22"/>
  <c r="AN778" i="22"/>
  <c r="AO778" i="22" s="1"/>
  <c r="AK780" i="22" l="1"/>
  <c r="AN779" i="22"/>
  <c r="AO779" i="22" s="1"/>
  <c r="T606" i="22"/>
  <c r="W605" i="22"/>
  <c r="X605" i="22" s="1"/>
  <c r="AB780" i="22"/>
  <c r="AE779" i="22"/>
  <c r="AF779" i="22"/>
  <c r="AC783" i="22"/>
  <c r="AG782" i="22"/>
  <c r="AK781" i="22" l="1"/>
  <c r="AN780" i="22"/>
  <c r="AO780" i="22" s="1"/>
  <c r="AC784" i="22"/>
  <c r="AG783" i="22"/>
  <c r="AB781" i="22"/>
  <c r="AE780" i="22"/>
  <c r="AF780" i="22"/>
  <c r="T607" i="22"/>
  <c r="W606" i="22"/>
  <c r="X606" i="22" s="1"/>
  <c r="T608" i="22" l="1"/>
  <c r="W607" i="22"/>
  <c r="X607" i="22" s="1"/>
  <c r="AB782" i="22"/>
  <c r="AE781" i="22"/>
  <c r="AF781" i="22"/>
  <c r="AC785" i="22"/>
  <c r="AG784" i="22"/>
  <c r="AK782" i="22"/>
  <c r="AN781" i="22"/>
  <c r="AO781" i="22" s="1"/>
  <c r="AK783" i="22" l="1"/>
  <c r="AN782" i="22"/>
  <c r="AO782" i="22" s="1"/>
  <c r="AC786" i="22"/>
  <c r="AG785" i="22"/>
  <c r="AE782" i="22"/>
  <c r="AB783" i="22"/>
  <c r="AF782" i="22"/>
  <c r="T609" i="22"/>
  <c r="W608" i="22"/>
  <c r="X608" i="22" s="1"/>
  <c r="W609" i="22" l="1"/>
  <c r="X609" i="22" s="1"/>
  <c r="T610" i="22"/>
  <c r="AE783" i="22"/>
  <c r="AB784" i="22"/>
  <c r="AF783" i="22"/>
  <c r="AC787" i="22"/>
  <c r="AG786" i="22"/>
  <c r="AK784" i="22"/>
  <c r="AN783" i="22"/>
  <c r="AO783" i="22" s="1"/>
  <c r="AK785" i="22" l="1"/>
  <c r="AN784" i="22"/>
  <c r="AO784" i="22" s="1"/>
  <c r="AC788" i="22"/>
  <c r="AG787" i="22"/>
  <c r="AE784" i="22"/>
  <c r="AB785" i="22"/>
  <c r="AF784" i="22"/>
  <c r="T611" i="22"/>
  <c r="W610" i="22"/>
  <c r="X610" i="22" s="1"/>
  <c r="AK786" i="22" l="1"/>
  <c r="AN785" i="22"/>
  <c r="AO785" i="22" s="1"/>
  <c r="T612" i="22"/>
  <c r="W611" i="22"/>
  <c r="X611" i="22" s="1"/>
  <c r="AE785" i="22"/>
  <c r="AB786" i="22"/>
  <c r="AF785" i="22"/>
  <c r="AC789" i="22"/>
  <c r="AG788" i="22"/>
  <c r="AK787" i="22" l="1"/>
  <c r="AN786" i="22"/>
  <c r="AO786" i="22" s="1"/>
  <c r="AC790" i="22"/>
  <c r="AG789" i="22"/>
  <c r="AB787" i="22"/>
  <c r="AE786" i="22"/>
  <c r="AF786" i="22"/>
  <c r="T613" i="22"/>
  <c r="W612" i="22"/>
  <c r="X612" i="22" s="1"/>
  <c r="T614" i="22" l="1"/>
  <c r="W613" i="22"/>
  <c r="X613" i="22" s="1"/>
  <c r="AB788" i="22"/>
  <c r="AE787" i="22"/>
  <c r="AF787" i="22"/>
  <c r="AC791" i="22"/>
  <c r="AG790" i="22"/>
  <c r="AK788" i="22"/>
  <c r="AN787" i="22"/>
  <c r="AO787" i="22" s="1"/>
  <c r="T615" i="22" l="1"/>
  <c r="W614" i="22"/>
  <c r="X614" i="22" s="1"/>
  <c r="AK789" i="22"/>
  <c r="AN788" i="22"/>
  <c r="AO788" i="22" s="1"/>
  <c r="AC792" i="22"/>
  <c r="AG791" i="22"/>
  <c r="AB789" i="22"/>
  <c r="AE788" i="22"/>
  <c r="AF788" i="22"/>
  <c r="W615" i="22" l="1"/>
  <c r="X615" i="22" s="1"/>
  <c r="T616" i="22"/>
  <c r="AB790" i="22"/>
  <c r="AE789" i="22"/>
  <c r="AF789" i="22"/>
  <c r="AC793" i="22"/>
  <c r="AG792" i="22"/>
  <c r="AK790" i="22"/>
  <c r="AN789" i="22"/>
  <c r="AO789" i="22" s="1"/>
  <c r="AK791" i="22" l="1"/>
  <c r="AN790" i="22"/>
  <c r="AO790" i="22" s="1"/>
  <c r="AC794" i="22"/>
  <c r="AG793" i="22"/>
  <c r="AE790" i="22"/>
  <c r="AB791" i="22"/>
  <c r="AF790" i="22"/>
  <c r="T617" i="22"/>
  <c r="W616" i="22"/>
  <c r="X616" i="22" s="1"/>
  <c r="AK792" i="22" l="1"/>
  <c r="AN791" i="22"/>
  <c r="AO791" i="22" s="1"/>
  <c r="T618" i="22"/>
  <c r="W617" i="22"/>
  <c r="X617" i="22" s="1"/>
  <c r="AE791" i="22"/>
  <c r="AB792" i="22"/>
  <c r="AF791" i="22"/>
  <c r="AC795" i="22"/>
  <c r="AG794" i="22"/>
  <c r="AC796" i="22" l="1"/>
  <c r="AG795" i="22"/>
  <c r="AE792" i="22"/>
  <c r="AB793" i="22"/>
  <c r="AF792" i="22"/>
  <c r="T619" i="22"/>
  <c r="W618" i="22"/>
  <c r="X618" i="22" s="1"/>
  <c r="AK793" i="22"/>
  <c r="AN792" i="22"/>
  <c r="AO792" i="22" s="1"/>
  <c r="AC797" i="22" l="1"/>
  <c r="AG796" i="22"/>
  <c r="AK794" i="22"/>
  <c r="AN793" i="22"/>
  <c r="AO793" i="22" s="1"/>
  <c r="T620" i="22"/>
  <c r="W619" i="22"/>
  <c r="X619" i="22" s="1"/>
  <c r="AE793" i="22"/>
  <c r="AB794" i="22"/>
  <c r="AF793" i="22"/>
  <c r="AC798" i="22" l="1"/>
  <c r="AG797" i="22"/>
  <c r="AB795" i="22"/>
  <c r="AE794" i="22"/>
  <c r="AF794" i="22"/>
  <c r="W620" i="22"/>
  <c r="X620" i="22" s="1"/>
  <c r="T621" i="22"/>
  <c r="AK795" i="22"/>
  <c r="AN794" i="22"/>
  <c r="AO794" i="22" s="1"/>
  <c r="AC799" i="22" l="1"/>
  <c r="AG798" i="22"/>
  <c r="AK796" i="22"/>
  <c r="AN795" i="22"/>
  <c r="AO795" i="22" s="1"/>
  <c r="T622" i="22"/>
  <c r="W621" i="22"/>
  <c r="X621" i="22" s="1"/>
  <c r="AB796" i="22"/>
  <c r="AE795" i="22"/>
  <c r="AF795" i="22"/>
  <c r="AC800" i="22" l="1"/>
  <c r="AG799" i="22"/>
  <c r="AE796" i="22"/>
  <c r="AB797" i="22"/>
  <c r="AF796" i="22"/>
  <c r="T623" i="22"/>
  <c r="W622" i="22"/>
  <c r="X622" i="22" s="1"/>
  <c r="AK797" i="22"/>
  <c r="AN796" i="22"/>
  <c r="AO796" i="22" s="1"/>
  <c r="AK798" i="22" l="1"/>
  <c r="AN797" i="22"/>
  <c r="AO797" i="22" s="1"/>
  <c r="T624" i="22"/>
  <c r="W623" i="22"/>
  <c r="X623" i="22" s="1"/>
  <c r="AB798" i="22"/>
  <c r="AE797" i="22"/>
  <c r="AF797" i="22"/>
  <c r="AC801" i="22"/>
  <c r="AG800" i="22"/>
  <c r="AE798" i="22" l="1"/>
  <c r="AB799" i="22"/>
  <c r="AF798" i="22"/>
  <c r="AC802" i="22"/>
  <c r="AG801" i="22"/>
  <c r="T625" i="22"/>
  <c r="W624" i="22"/>
  <c r="X624" i="22" s="1"/>
  <c r="AK799" i="22"/>
  <c r="AN798" i="22"/>
  <c r="AO798" i="22" s="1"/>
  <c r="AK800" i="22" l="1"/>
  <c r="AN799" i="22"/>
  <c r="AO799" i="22" s="1"/>
  <c r="T626" i="22"/>
  <c r="W625" i="22"/>
  <c r="X625" i="22" s="1"/>
  <c r="AC803" i="22"/>
  <c r="AG802" i="22"/>
  <c r="AE799" i="22"/>
  <c r="AB800" i="22"/>
  <c r="AF799" i="22"/>
  <c r="AE800" i="22" l="1"/>
  <c r="AB801" i="22"/>
  <c r="AF800" i="22"/>
  <c r="AC804" i="22"/>
  <c r="AG803" i="22"/>
  <c r="T627" i="22"/>
  <c r="W626" i="22"/>
  <c r="X626" i="22" s="1"/>
  <c r="AK801" i="22"/>
  <c r="AN800" i="22"/>
  <c r="AO800" i="22" s="1"/>
  <c r="AC805" i="22" l="1"/>
  <c r="AG804" i="22"/>
  <c r="AK802" i="22"/>
  <c r="AN801" i="22"/>
  <c r="AO801" i="22" s="1"/>
  <c r="T628" i="22"/>
  <c r="W627" i="22"/>
  <c r="X627" i="22" s="1"/>
  <c r="AE801" i="22"/>
  <c r="AB802" i="22"/>
  <c r="AF801" i="22"/>
  <c r="AE802" i="22" l="1"/>
  <c r="AB803" i="22"/>
  <c r="AF802" i="22"/>
  <c r="T629" i="22"/>
  <c r="W628" i="22"/>
  <c r="X628" i="22" s="1"/>
  <c r="AK803" i="22"/>
  <c r="AN802" i="22"/>
  <c r="AO802" i="22" s="1"/>
  <c r="AC806" i="22"/>
  <c r="AG805" i="22"/>
  <c r="AK804" i="22" l="1"/>
  <c r="AN803" i="22"/>
  <c r="AO803" i="22" s="1"/>
  <c r="AC807" i="22"/>
  <c r="AG806" i="22"/>
  <c r="T630" i="22"/>
  <c r="W629" i="22"/>
  <c r="X629" i="22" s="1"/>
  <c r="AB804" i="22"/>
  <c r="AE803" i="22"/>
  <c r="AF803" i="22"/>
  <c r="AE804" i="22" l="1"/>
  <c r="AB805" i="22"/>
  <c r="AF804" i="22"/>
  <c r="T631" i="22"/>
  <c r="W630" i="22"/>
  <c r="X630" i="22" s="1"/>
  <c r="AC808" i="22"/>
  <c r="AG807" i="22"/>
  <c r="AK805" i="22"/>
  <c r="AN804" i="22"/>
  <c r="AO804" i="22" s="1"/>
  <c r="AK806" i="22" l="1"/>
  <c r="AN805" i="22"/>
  <c r="AO805" i="22" s="1"/>
  <c r="AC809" i="22"/>
  <c r="AG808" i="22"/>
  <c r="T632" i="22"/>
  <c r="W631" i="22"/>
  <c r="X631" i="22" s="1"/>
  <c r="AE805" i="22"/>
  <c r="AB806" i="22"/>
  <c r="AF805" i="22"/>
  <c r="AB807" i="22" l="1"/>
  <c r="AE806" i="22"/>
  <c r="AF806" i="22"/>
  <c r="T633" i="22"/>
  <c r="W632" i="22"/>
  <c r="X632" i="22" s="1"/>
  <c r="AC810" i="22"/>
  <c r="AG809" i="22"/>
  <c r="AK807" i="22"/>
  <c r="AN806" i="22"/>
  <c r="AO806" i="22" s="1"/>
  <c r="AK808" i="22" l="1"/>
  <c r="AN807" i="22"/>
  <c r="AO807" i="22" s="1"/>
  <c r="AC811" i="22"/>
  <c r="AG810" i="22"/>
  <c r="T634" i="22"/>
  <c r="W633" i="22"/>
  <c r="X633" i="22" s="1"/>
  <c r="AE807" i="22"/>
  <c r="AB808" i="22"/>
  <c r="AF807" i="22"/>
  <c r="AK809" i="22" l="1"/>
  <c r="AN808" i="22"/>
  <c r="AO808" i="22" s="1"/>
  <c r="AE808" i="22"/>
  <c r="AB809" i="22"/>
  <c r="AF808" i="22"/>
  <c r="T635" i="22"/>
  <c r="W634" i="22"/>
  <c r="X634" i="22" s="1"/>
  <c r="AC812" i="22"/>
  <c r="AG811" i="22"/>
  <c r="T636" i="22" l="1"/>
  <c r="W635" i="22"/>
  <c r="X635" i="22" s="1"/>
  <c r="AB810" i="22"/>
  <c r="AE809" i="22"/>
  <c r="AF809" i="22"/>
  <c r="AC813" i="22"/>
  <c r="AG812" i="22"/>
  <c r="AK810" i="22"/>
  <c r="AN809" i="22"/>
  <c r="AO809" i="22" s="1"/>
  <c r="AK811" i="22" l="1"/>
  <c r="AN810" i="22"/>
  <c r="AO810" i="22" s="1"/>
  <c r="AG813" i="22"/>
  <c r="AC814" i="22"/>
  <c r="AB811" i="22"/>
  <c r="AE810" i="22"/>
  <c r="AF810" i="22"/>
  <c r="T637" i="22"/>
  <c r="W636" i="22"/>
  <c r="X636" i="22" s="1"/>
  <c r="T638" i="22" l="1"/>
  <c r="W637" i="22"/>
  <c r="X637" i="22" s="1"/>
  <c r="AB812" i="22"/>
  <c r="AE811" i="22"/>
  <c r="AF811" i="22"/>
  <c r="AC815" i="22"/>
  <c r="AG814" i="22"/>
  <c r="AK812" i="22"/>
  <c r="AN811" i="22"/>
  <c r="AO811" i="22" s="1"/>
  <c r="AC816" i="22" l="1"/>
  <c r="AG815" i="22"/>
  <c r="AK813" i="22"/>
  <c r="AN812" i="22"/>
  <c r="AO812" i="22" s="1"/>
  <c r="AE812" i="22"/>
  <c r="AB813" i="22"/>
  <c r="AF812" i="22"/>
  <c r="T639" i="22"/>
  <c r="W638" i="22"/>
  <c r="X638" i="22" s="1"/>
  <c r="T640" i="22" l="1"/>
  <c r="W639" i="22"/>
  <c r="X639" i="22" s="1"/>
  <c r="AB814" i="22"/>
  <c r="AE813" i="22"/>
  <c r="AF813" i="22"/>
  <c r="AK814" i="22"/>
  <c r="AN813" i="22"/>
  <c r="AO813" i="22" s="1"/>
  <c r="AC817" i="22"/>
  <c r="AG816" i="22"/>
  <c r="AC818" i="22" l="1"/>
  <c r="AG817" i="22"/>
  <c r="AK815" i="22"/>
  <c r="AN814" i="22"/>
  <c r="AO814" i="22" s="1"/>
  <c r="AE814" i="22"/>
  <c r="AB815" i="22"/>
  <c r="AF814" i="22"/>
  <c r="T641" i="22"/>
  <c r="W640" i="22"/>
  <c r="X640" i="22" s="1"/>
  <c r="T642" i="22" l="1"/>
  <c r="W641" i="22"/>
  <c r="X641" i="22" s="1"/>
  <c r="AB816" i="22"/>
  <c r="AE815" i="22"/>
  <c r="AF815" i="22"/>
  <c r="AK816" i="22"/>
  <c r="AN815" i="22"/>
  <c r="AO815" i="22" s="1"/>
  <c r="AC819" i="22"/>
  <c r="AG818" i="22"/>
  <c r="AC820" i="22" l="1"/>
  <c r="AG819" i="22"/>
  <c r="AK817" i="22"/>
  <c r="AN816" i="22"/>
  <c r="AO816" i="22" s="1"/>
  <c r="AE816" i="22"/>
  <c r="AB817" i="22"/>
  <c r="AF816" i="22"/>
  <c r="T643" i="22"/>
  <c r="W642" i="22"/>
  <c r="X642" i="22" s="1"/>
  <c r="T644" i="22" l="1"/>
  <c r="W643" i="22"/>
  <c r="X643" i="22" s="1"/>
  <c r="AB818" i="22"/>
  <c r="AE817" i="22"/>
  <c r="AF817" i="22"/>
  <c r="AK818" i="22"/>
  <c r="AN817" i="22"/>
  <c r="AO817" i="22" s="1"/>
  <c r="AC821" i="22"/>
  <c r="AG820" i="22"/>
  <c r="AC822" i="22" l="1"/>
  <c r="AG821" i="22"/>
  <c r="AK819" i="22"/>
  <c r="AN818" i="22"/>
  <c r="AO818" i="22" s="1"/>
  <c r="AE818" i="22"/>
  <c r="AB819" i="22"/>
  <c r="AF818" i="22"/>
  <c r="T645" i="22"/>
  <c r="W644" i="22"/>
  <c r="X644" i="22" s="1"/>
  <c r="T646" i="22" l="1"/>
  <c r="W645" i="22"/>
  <c r="X645" i="22" s="1"/>
  <c r="AB820" i="22"/>
  <c r="AE819" i="22"/>
  <c r="AF819" i="22"/>
  <c r="AK820" i="22"/>
  <c r="AN819" i="22"/>
  <c r="AO819" i="22" s="1"/>
  <c r="AC823" i="22"/>
  <c r="AG822" i="22"/>
  <c r="AC824" i="22" l="1"/>
  <c r="AG823" i="22"/>
  <c r="AK821" i="22"/>
  <c r="AN820" i="22"/>
  <c r="AO820" i="22" s="1"/>
  <c r="AB821" i="22"/>
  <c r="AE820" i="22"/>
  <c r="AF820" i="22"/>
  <c r="T647" i="22"/>
  <c r="W646" i="22"/>
  <c r="X646" i="22" s="1"/>
  <c r="T648" i="22" l="1"/>
  <c r="W647" i="22"/>
  <c r="X647" i="22" s="1"/>
  <c r="AE821" i="22"/>
  <c r="AB822" i="22"/>
  <c r="AF821" i="22"/>
  <c r="AK822" i="22"/>
  <c r="AN821" i="22"/>
  <c r="AO821" i="22" s="1"/>
  <c r="AC825" i="22"/>
  <c r="AG824" i="22"/>
  <c r="AK823" i="22" l="1"/>
  <c r="AN822" i="22"/>
  <c r="AO822" i="22" s="1"/>
  <c r="AB823" i="22"/>
  <c r="AE822" i="22"/>
  <c r="AF822" i="22"/>
  <c r="AC826" i="22"/>
  <c r="AG825" i="22"/>
  <c r="T649" i="22"/>
  <c r="W648" i="22"/>
  <c r="X648" i="22" s="1"/>
  <c r="T650" i="22" l="1"/>
  <c r="W649" i="22"/>
  <c r="X649" i="22" s="1"/>
  <c r="AC827" i="22"/>
  <c r="AG826" i="22"/>
  <c r="AB824" i="22"/>
  <c r="AE823" i="22"/>
  <c r="AF823" i="22"/>
  <c r="AK824" i="22"/>
  <c r="AN823" i="22"/>
  <c r="AO823" i="22" s="1"/>
  <c r="AE824" i="22" l="1"/>
  <c r="AB825" i="22"/>
  <c r="AF824" i="22"/>
  <c r="AC828" i="22"/>
  <c r="AG827" i="22"/>
  <c r="AK825" i="22"/>
  <c r="AN824" i="22"/>
  <c r="AO824" i="22" s="1"/>
  <c r="T651" i="22"/>
  <c r="W650" i="22"/>
  <c r="X650" i="22" s="1"/>
  <c r="T652" i="22" l="1"/>
  <c r="W651" i="22"/>
  <c r="X651" i="22" s="1"/>
  <c r="AK826" i="22"/>
  <c r="AN825" i="22"/>
  <c r="AO825" i="22" s="1"/>
  <c r="AC829" i="22"/>
  <c r="AG828" i="22"/>
  <c r="AE825" i="22"/>
  <c r="AB826" i="22"/>
  <c r="AF825" i="22"/>
  <c r="T653" i="22" l="1"/>
  <c r="W652" i="22"/>
  <c r="X652" i="22" s="1"/>
  <c r="AB827" i="22"/>
  <c r="AE826" i="22"/>
  <c r="AF826" i="22"/>
  <c r="AC830" i="22"/>
  <c r="AG829" i="22"/>
  <c r="AK827" i="22"/>
  <c r="AN826" i="22"/>
  <c r="AO826" i="22" s="1"/>
  <c r="AC831" i="22" l="1"/>
  <c r="AG830" i="22"/>
  <c r="AK828" i="22"/>
  <c r="AN827" i="22"/>
  <c r="AO827" i="22" s="1"/>
  <c r="AB828" i="22"/>
  <c r="AE827" i="22"/>
  <c r="AF827" i="22"/>
  <c r="T654" i="22"/>
  <c r="W653" i="22"/>
  <c r="X653" i="22" s="1"/>
  <c r="AB829" i="22" l="1"/>
  <c r="AE828" i="22"/>
  <c r="AF828" i="22"/>
  <c r="AK829" i="22"/>
  <c r="AN828" i="22"/>
  <c r="AO828" i="22" s="1"/>
  <c r="T655" i="22"/>
  <c r="W654" i="22"/>
  <c r="X654" i="22" s="1"/>
  <c r="AC832" i="22"/>
  <c r="AG831" i="22"/>
  <c r="AC833" i="22" l="1"/>
  <c r="AG832" i="22"/>
  <c r="T656" i="22"/>
  <c r="W655" i="22"/>
  <c r="X655" i="22" s="1"/>
  <c r="AK830" i="22"/>
  <c r="AN829" i="22"/>
  <c r="AO829" i="22" s="1"/>
  <c r="AE829" i="22"/>
  <c r="AB830" i="22"/>
  <c r="AF829" i="22"/>
  <c r="AB831" i="22" l="1"/>
  <c r="AE830" i="22"/>
  <c r="AF830" i="22"/>
  <c r="AK831" i="22"/>
  <c r="AN830" i="22"/>
  <c r="AO830" i="22" s="1"/>
  <c r="T657" i="22"/>
  <c r="W656" i="22"/>
  <c r="X656" i="22" s="1"/>
  <c r="AC834" i="22"/>
  <c r="AG833" i="22"/>
  <c r="AE831" i="22" l="1"/>
  <c r="AB832" i="22"/>
  <c r="AF831" i="22"/>
  <c r="AC835" i="22"/>
  <c r="AG834" i="22"/>
  <c r="T658" i="22"/>
  <c r="W657" i="22"/>
  <c r="X657" i="22" s="1"/>
  <c r="AK832" i="22"/>
  <c r="AN831" i="22"/>
  <c r="AO831" i="22" s="1"/>
  <c r="AK833" i="22" l="1"/>
  <c r="AN832" i="22"/>
  <c r="AO832" i="22" s="1"/>
  <c r="T659" i="22"/>
  <c r="W658" i="22"/>
  <c r="X658" i="22" s="1"/>
  <c r="AC836" i="22"/>
  <c r="AG835" i="22"/>
  <c r="AE832" i="22"/>
  <c r="AB833" i="22"/>
  <c r="AF832" i="22"/>
  <c r="T660" i="22" l="1"/>
  <c r="W659" i="22"/>
  <c r="X659" i="22" s="1"/>
  <c r="AK834" i="22"/>
  <c r="AN833" i="22"/>
  <c r="AO833" i="22" s="1"/>
  <c r="AB834" i="22"/>
  <c r="AE833" i="22"/>
  <c r="AF833" i="22"/>
  <c r="AC837" i="22"/>
  <c r="AG836" i="22"/>
  <c r="AC838" i="22" l="1"/>
  <c r="AG837" i="22"/>
  <c r="AB835" i="22"/>
  <c r="AE834" i="22"/>
  <c r="AF834" i="22"/>
  <c r="AK835" i="22"/>
  <c r="AN834" i="22"/>
  <c r="AO834" i="22" s="1"/>
  <c r="W660" i="22"/>
  <c r="X660" i="22" s="1"/>
  <c r="T661" i="22"/>
  <c r="AG838" i="22" l="1"/>
  <c r="AC839" i="22"/>
  <c r="T662" i="22"/>
  <c r="W661" i="22"/>
  <c r="X661" i="22" s="1"/>
  <c r="AK836" i="22"/>
  <c r="AN835" i="22"/>
  <c r="AO835" i="22" s="1"/>
  <c r="AB836" i="22"/>
  <c r="AE835" i="22"/>
  <c r="AF835" i="22"/>
  <c r="AB837" i="22" l="1"/>
  <c r="AE836" i="22"/>
  <c r="AF836" i="22"/>
  <c r="AK837" i="22"/>
  <c r="AN836" i="22"/>
  <c r="AO836" i="22" s="1"/>
  <c r="T663" i="22"/>
  <c r="W662" i="22"/>
  <c r="X662" i="22" s="1"/>
  <c r="AC840" i="22"/>
  <c r="AG839" i="22"/>
  <c r="AC841" i="22" l="1"/>
  <c r="AG840" i="22"/>
  <c r="W663" i="22"/>
  <c r="X663" i="22" s="1"/>
  <c r="T664" i="22"/>
  <c r="AK838" i="22"/>
  <c r="AN837" i="22"/>
  <c r="AO837" i="22" s="1"/>
  <c r="AB838" i="22"/>
  <c r="AE837" i="22"/>
  <c r="AF837" i="22"/>
  <c r="AC842" i="22" l="1"/>
  <c r="AG841" i="22"/>
  <c r="AE838" i="22"/>
  <c r="AB839" i="22"/>
  <c r="AF838" i="22"/>
  <c r="AK839" i="22"/>
  <c r="AN838" i="22"/>
  <c r="AO838" i="22" s="1"/>
  <c r="T665" i="22"/>
  <c r="W664" i="22"/>
  <c r="X664" i="22" s="1"/>
  <c r="T666" i="22" l="1"/>
  <c r="W665" i="22"/>
  <c r="X665" i="22" s="1"/>
  <c r="AK840" i="22"/>
  <c r="AN839" i="22"/>
  <c r="AO839" i="22" s="1"/>
  <c r="AB840" i="22"/>
  <c r="AE839" i="22"/>
  <c r="AF839" i="22"/>
  <c r="AC843" i="22"/>
  <c r="AG842" i="22"/>
  <c r="AC844" i="22" l="1"/>
  <c r="AG843" i="22"/>
  <c r="AE840" i="22"/>
  <c r="AB841" i="22"/>
  <c r="AF840" i="22"/>
  <c r="AK841" i="22"/>
  <c r="AN840" i="22"/>
  <c r="AO840" i="22" s="1"/>
  <c r="T667" i="22"/>
  <c r="W666" i="22"/>
  <c r="X666" i="22" s="1"/>
  <c r="AC845" i="22" l="1"/>
  <c r="AG844" i="22"/>
  <c r="T668" i="22"/>
  <c r="W667" i="22"/>
  <c r="X667" i="22" s="1"/>
  <c r="AK842" i="22"/>
  <c r="AN841" i="22"/>
  <c r="AO841" i="22" s="1"/>
  <c r="AB842" i="22"/>
  <c r="AE841" i="22"/>
  <c r="AF841" i="22"/>
  <c r="T669" i="22" l="1"/>
  <c r="W668" i="22"/>
  <c r="X668" i="22" s="1"/>
  <c r="AB843" i="22"/>
  <c r="AE842" i="22"/>
  <c r="AF842" i="22"/>
  <c r="AK843" i="22"/>
  <c r="AN842" i="22"/>
  <c r="AO842" i="22" s="1"/>
  <c r="AC846" i="22"/>
  <c r="AG845" i="22"/>
  <c r="AC847" i="22" l="1"/>
  <c r="AG846" i="22"/>
  <c r="AK844" i="22"/>
  <c r="AN843" i="22"/>
  <c r="AO843" i="22" s="1"/>
  <c r="AB844" i="22"/>
  <c r="AE843" i="22"/>
  <c r="AF843" i="22"/>
  <c r="T670" i="22"/>
  <c r="W669" i="22"/>
  <c r="X669" i="22" s="1"/>
  <c r="T671" i="22" l="1"/>
  <c r="W670" i="22"/>
  <c r="X670" i="22" s="1"/>
  <c r="AE844" i="22"/>
  <c r="AB845" i="22"/>
  <c r="AF844" i="22"/>
  <c r="AK845" i="22"/>
  <c r="AN844" i="22"/>
  <c r="AO844" i="22" s="1"/>
  <c r="AC848" i="22"/>
  <c r="AG847" i="22"/>
  <c r="AC849" i="22" l="1"/>
  <c r="AG848" i="22"/>
  <c r="AK846" i="22"/>
  <c r="AN845" i="22"/>
  <c r="AO845" i="22" s="1"/>
  <c r="AB846" i="22"/>
  <c r="AE845" i="22"/>
  <c r="AF845" i="22"/>
  <c r="T672" i="22"/>
  <c r="W671" i="22"/>
  <c r="X671" i="22" s="1"/>
  <c r="AC850" i="22" l="1"/>
  <c r="AG849" i="22"/>
  <c r="T673" i="22"/>
  <c r="W672" i="22"/>
  <c r="X672" i="22" s="1"/>
  <c r="AB847" i="22"/>
  <c r="AE846" i="22"/>
  <c r="AF846" i="22"/>
  <c r="AK847" i="22"/>
  <c r="AN846" i="22"/>
  <c r="AO846" i="22" s="1"/>
  <c r="AC851" i="22" l="1"/>
  <c r="AG850" i="22"/>
  <c r="AK848" i="22"/>
  <c r="AN847" i="22"/>
  <c r="AO847" i="22" s="1"/>
  <c r="AB848" i="22"/>
  <c r="AE847" i="22"/>
  <c r="AF847" i="22"/>
  <c r="T674" i="22"/>
  <c r="W673" i="22"/>
  <c r="X673" i="22" s="1"/>
  <c r="AC852" i="22" l="1"/>
  <c r="AG851" i="22"/>
  <c r="T675" i="22"/>
  <c r="W674" i="22"/>
  <c r="X674" i="22" s="1"/>
  <c r="AE848" i="22"/>
  <c r="AB849" i="22"/>
  <c r="AF848" i="22"/>
  <c r="AK849" i="22"/>
  <c r="AN848" i="22"/>
  <c r="AO848" i="22" s="1"/>
  <c r="AK850" i="22" l="1"/>
  <c r="AN849" i="22"/>
  <c r="AO849" i="22" s="1"/>
  <c r="AE849" i="22"/>
  <c r="AB850" i="22"/>
  <c r="AF849" i="22"/>
  <c r="T676" i="22"/>
  <c r="W675" i="22"/>
  <c r="X675" i="22" s="1"/>
  <c r="AC853" i="22"/>
  <c r="AG852" i="22"/>
  <c r="AC854" i="22" l="1"/>
  <c r="AG853" i="22"/>
  <c r="T677" i="22"/>
  <c r="W676" i="22"/>
  <c r="X676" i="22" s="1"/>
  <c r="AE850" i="22"/>
  <c r="AB851" i="22"/>
  <c r="AF850" i="22"/>
  <c r="AK851" i="22"/>
  <c r="AN850" i="22"/>
  <c r="AO850" i="22" s="1"/>
  <c r="AK852" i="22" l="1"/>
  <c r="AN851" i="22"/>
  <c r="AO851" i="22" s="1"/>
  <c r="AB852" i="22"/>
  <c r="AE851" i="22"/>
  <c r="AF851" i="22"/>
  <c r="T678" i="22"/>
  <c r="W677" i="22"/>
  <c r="X677" i="22" s="1"/>
  <c r="AC855" i="22"/>
  <c r="AG854" i="22"/>
  <c r="AK853" i="22" l="1"/>
  <c r="AN852" i="22"/>
  <c r="AO852" i="22" s="1"/>
  <c r="AC856" i="22"/>
  <c r="AG855" i="22"/>
  <c r="T679" i="22"/>
  <c r="W678" i="22"/>
  <c r="X678" i="22" s="1"/>
  <c r="AE852" i="22"/>
  <c r="AB853" i="22"/>
  <c r="AF852" i="22"/>
  <c r="AK854" i="22" l="1"/>
  <c r="AN853" i="22"/>
  <c r="AO853" i="22" s="1"/>
  <c r="AB854" i="22"/>
  <c r="AE853" i="22"/>
  <c r="AF853" i="22"/>
  <c r="T680" i="22"/>
  <c r="W679" i="22"/>
  <c r="X679" i="22" s="1"/>
  <c r="AC857" i="22"/>
  <c r="AG856" i="22"/>
  <c r="AC858" i="22" l="1"/>
  <c r="AG857" i="22"/>
  <c r="T681" i="22"/>
  <c r="W680" i="22"/>
  <c r="X680" i="22" s="1"/>
  <c r="AE854" i="22"/>
  <c r="AB855" i="22"/>
  <c r="AF854" i="22"/>
  <c r="AK855" i="22"/>
  <c r="AN854" i="22"/>
  <c r="AO854" i="22" s="1"/>
  <c r="AK856" i="22" l="1"/>
  <c r="AN855" i="22"/>
  <c r="AO855" i="22" s="1"/>
  <c r="AB856" i="22"/>
  <c r="AE855" i="22"/>
  <c r="AF855" i="22"/>
  <c r="T682" i="22"/>
  <c r="W681" i="22"/>
  <c r="X681" i="22" s="1"/>
  <c r="AC859" i="22"/>
  <c r="AG858" i="22"/>
  <c r="AC860" i="22" l="1"/>
  <c r="AG859" i="22"/>
  <c r="W682" i="22"/>
  <c r="X682" i="22" s="1"/>
  <c r="T683" i="22"/>
  <c r="AE856" i="22"/>
  <c r="AB857" i="22"/>
  <c r="AF856" i="22"/>
  <c r="AK857" i="22"/>
  <c r="AN856" i="22"/>
  <c r="AO856" i="22" s="1"/>
  <c r="AK858" i="22" l="1"/>
  <c r="AN857" i="22"/>
  <c r="AO857" i="22" s="1"/>
  <c r="AE857" i="22"/>
  <c r="AB858" i="22"/>
  <c r="AF857" i="22"/>
  <c r="T684" i="22"/>
  <c r="W683" i="22"/>
  <c r="X683" i="22" s="1"/>
  <c r="AC861" i="22"/>
  <c r="AG860" i="22"/>
  <c r="AC862" i="22" l="1"/>
  <c r="AG861" i="22"/>
  <c r="T685" i="22"/>
  <c r="W684" i="22"/>
  <c r="X684" i="22" s="1"/>
  <c r="AB859" i="22"/>
  <c r="AE858" i="22"/>
  <c r="AF858" i="22"/>
  <c r="AK859" i="22"/>
  <c r="AN858" i="22"/>
  <c r="AO858" i="22" s="1"/>
  <c r="AC863" i="22" l="1"/>
  <c r="AG862" i="22"/>
  <c r="AK860" i="22"/>
  <c r="AN859" i="22"/>
  <c r="AO859" i="22" s="1"/>
  <c r="AB860" i="22"/>
  <c r="AE859" i="22"/>
  <c r="AF859" i="22"/>
  <c r="W685" i="22"/>
  <c r="X685" i="22" s="1"/>
  <c r="T686" i="22"/>
  <c r="AK861" i="22" l="1"/>
  <c r="AN860" i="22"/>
  <c r="AO860" i="22" s="1"/>
  <c r="T687" i="22"/>
  <c r="W686" i="22"/>
  <c r="X686" i="22" s="1"/>
  <c r="AE860" i="22"/>
  <c r="AB861" i="22"/>
  <c r="AF860" i="22"/>
  <c r="AC864" i="22"/>
  <c r="AG863" i="22"/>
  <c r="AC865" i="22" l="1"/>
  <c r="AG864" i="22"/>
  <c r="AB862" i="22"/>
  <c r="AE861" i="22"/>
  <c r="AF861" i="22"/>
  <c r="T688" i="22"/>
  <c r="W687" i="22"/>
  <c r="X687" i="22" s="1"/>
  <c r="AK862" i="22"/>
  <c r="AN861" i="22"/>
  <c r="AO861" i="22" s="1"/>
  <c r="AC866" i="22" l="1"/>
  <c r="AG865" i="22"/>
  <c r="AK863" i="22"/>
  <c r="AN862" i="22"/>
  <c r="AO862" i="22" s="1"/>
  <c r="T689" i="22"/>
  <c r="W688" i="22"/>
  <c r="X688" i="22" s="1"/>
  <c r="AB863" i="22"/>
  <c r="AE862" i="22"/>
  <c r="AF862" i="22"/>
  <c r="AE863" i="22" l="1"/>
  <c r="AB864" i="22"/>
  <c r="AF863" i="22"/>
  <c r="T690" i="22"/>
  <c r="W689" i="22"/>
  <c r="X689" i="22" s="1"/>
  <c r="AK864" i="22"/>
  <c r="AN863" i="22"/>
  <c r="AO863" i="22" s="1"/>
  <c r="AC867" i="22"/>
  <c r="AG866" i="22"/>
  <c r="AK865" i="22" l="1"/>
  <c r="AN864" i="22"/>
  <c r="AO864" i="22" s="1"/>
  <c r="T691" i="22"/>
  <c r="W690" i="22"/>
  <c r="X690" i="22" s="1"/>
  <c r="AE864" i="22"/>
  <c r="AB865" i="22"/>
  <c r="AF864" i="22"/>
  <c r="AC868" i="22"/>
  <c r="AG867" i="22"/>
  <c r="AC869" i="22" l="1"/>
  <c r="AG868" i="22"/>
  <c r="AB866" i="22"/>
  <c r="AE865" i="22"/>
  <c r="AF865" i="22"/>
  <c r="T692" i="22"/>
  <c r="W691" i="22"/>
  <c r="X691" i="22" s="1"/>
  <c r="AK866" i="22"/>
  <c r="AN865" i="22"/>
  <c r="AO865" i="22" s="1"/>
  <c r="AK867" i="22" l="1"/>
  <c r="AN866" i="22"/>
  <c r="AO866" i="22" s="1"/>
  <c r="T693" i="22"/>
  <c r="W692" i="22"/>
  <c r="X692" i="22" s="1"/>
  <c r="AB867" i="22"/>
  <c r="AE866" i="22"/>
  <c r="AF866" i="22"/>
  <c r="AC870" i="22"/>
  <c r="AG869" i="22"/>
  <c r="AK868" i="22" l="1"/>
  <c r="AN867" i="22"/>
  <c r="AO867" i="22" s="1"/>
  <c r="AC871" i="22"/>
  <c r="AG870" i="22"/>
  <c r="AE867" i="22"/>
  <c r="AB868" i="22"/>
  <c r="AF867" i="22"/>
  <c r="T694" i="22"/>
  <c r="W693" i="22"/>
  <c r="X693" i="22" s="1"/>
  <c r="AK869" i="22" l="1"/>
  <c r="AN868" i="22"/>
  <c r="AO868" i="22" s="1"/>
  <c r="T695" i="22"/>
  <c r="W694" i="22"/>
  <c r="X694" i="22" s="1"/>
  <c r="AB869" i="22"/>
  <c r="AE868" i="22"/>
  <c r="AF868" i="22"/>
  <c r="AC872" i="22"/>
  <c r="AG871" i="22"/>
  <c r="AC873" i="22" l="1"/>
  <c r="AG872" i="22"/>
  <c r="AE869" i="22"/>
  <c r="AB870" i="22"/>
  <c r="AF869" i="22"/>
  <c r="T696" i="22"/>
  <c r="W695" i="22"/>
  <c r="X695" i="22" s="1"/>
  <c r="AK870" i="22"/>
  <c r="AN869" i="22"/>
  <c r="AO869" i="22" s="1"/>
  <c r="AK871" i="22" l="1"/>
  <c r="AN870" i="22"/>
  <c r="AO870" i="22" s="1"/>
  <c r="W696" i="22"/>
  <c r="X696" i="22" s="1"/>
  <c r="T697" i="22"/>
  <c r="AE870" i="22"/>
  <c r="AB871" i="22"/>
  <c r="AF870" i="22"/>
  <c r="AC874" i="22"/>
  <c r="AG873" i="22"/>
  <c r="AC875" i="22" l="1"/>
  <c r="AG874" i="22"/>
  <c r="AE871" i="22"/>
  <c r="AB872" i="22"/>
  <c r="AF871" i="22"/>
  <c r="T698" i="22"/>
  <c r="W697" i="22"/>
  <c r="X697" i="22" s="1"/>
  <c r="AK872" i="22"/>
  <c r="AN871" i="22"/>
  <c r="AO871" i="22" s="1"/>
  <c r="AK873" i="22" l="1"/>
  <c r="AN872" i="22"/>
  <c r="AO872" i="22" s="1"/>
  <c r="T699" i="22"/>
  <c r="W698" i="22"/>
  <c r="X698" i="22" s="1"/>
  <c r="AB873" i="22"/>
  <c r="AE872" i="22"/>
  <c r="AF872" i="22"/>
  <c r="AG875" i="22"/>
  <c r="AC876" i="22"/>
  <c r="AC877" i="22" l="1"/>
  <c r="AG876" i="22"/>
  <c r="AE873" i="22"/>
  <c r="AB874" i="22"/>
  <c r="AF873" i="22"/>
  <c r="W699" i="22"/>
  <c r="X699" i="22" s="1"/>
  <c r="T700" i="22"/>
  <c r="AK874" i="22"/>
  <c r="AN873" i="22"/>
  <c r="AO873" i="22" s="1"/>
  <c r="AK875" i="22" l="1"/>
  <c r="AN874" i="22"/>
  <c r="AO874" i="22" s="1"/>
  <c r="T701" i="22"/>
  <c r="W700" i="22"/>
  <c r="X700" i="22" s="1"/>
  <c r="AB875" i="22"/>
  <c r="AE874" i="22"/>
  <c r="AF874" i="22"/>
  <c r="AC878" i="22"/>
  <c r="AG877" i="22"/>
  <c r="AC879" i="22" l="1"/>
  <c r="AG878" i="22"/>
  <c r="AB876" i="22"/>
  <c r="AE875" i="22"/>
  <c r="AF875" i="22"/>
  <c r="T702" i="22"/>
  <c r="W701" i="22"/>
  <c r="X701" i="22" s="1"/>
  <c r="AK876" i="22"/>
  <c r="AN875" i="22"/>
  <c r="AO875" i="22" s="1"/>
  <c r="AK877" i="22" l="1"/>
  <c r="AN876" i="22"/>
  <c r="AO876" i="22" s="1"/>
  <c r="T703" i="22"/>
  <c r="W702" i="22"/>
  <c r="X702" i="22" s="1"/>
  <c r="AE876" i="22"/>
  <c r="AB877" i="22"/>
  <c r="AF876" i="22"/>
  <c r="AC880" i="22"/>
  <c r="AG879" i="22"/>
  <c r="AC881" i="22" l="1"/>
  <c r="AG880" i="22"/>
  <c r="AE877" i="22"/>
  <c r="AB878" i="22"/>
  <c r="AF877" i="22"/>
  <c r="W703" i="22"/>
  <c r="X703" i="22" s="1"/>
  <c r="T704" i="22"/>
  <c r="AK878" i="22"/>
  <c r="AN877" i="22"/>
  <c r="AO877" i="22" s="1"/>
  <c r="AK879" i="22" l="1"/>
  <c r="AN878" i="22"/>
  <c r="AO878" i="22" s="1"/>
  <c r="T705" i="22"/>
  <c r="W704" i="22"/>
  <c r="X704" i="22" s="1"/>
  <c r="AB879" i="22"/>
  <c r="AE878" i="22"/>
  <c r="AF878" i="22"/>
  <c r="AC882" i="22"/>
  <c r="AG881" i="22"/>
  <c r="AK880" i="22" l="1"/>
  <c r="AN879" i="22"/>
  <c r="AO879" i="22" s="1"/>
  <c r="AC883" i="22"/>
  <c r="AG882" i="22"/>
  <c r="AE879" i="22"/>
  <c r="AB880" i="22"/>
  <c r="AF879" i="22"/>
  <c r="T706" i="22"/>
  <c r="W705" i="22"/>
  <c r="X705" i="22" s="1"/>
  <c r="AC884" i="22" l="1"/>
  <c r="AG883" i="22"/>
  <c r="W706" i="22"/>
  <c r="X706" i="22" s="1"/>
  <c r="T707" i="22"/>
  <c r="AE880" i="22"/>
  <c r="AB881" i="22"/>
  <c r="AF880" i="22"/>
  <c r="AK881" i="22"/>
  <c r="AN880" i="22"/>
  <c r="AO880" i="22" s="1"/>
  <c r="AK882" i="22" l="1"/>
  <c r="AN881" i="22"/>
  <c r="AO881" i="22" s="1"/>
  <c r="AB882" i="22"/>
  <c r="AE881" i="22"/>
  <c r="AF881" i="22"/>
  <c r="T708" i="22"/>
  <c r="W707" i="22"/>
  <c r="X707" i="22" s="1"/>
  <c r="AC885" i="22"/>
  <c r="AG884" i="22"/>
  <c r="AC886" i="22" l="1"/>
  <c r="AG885" i="22"/>
  <c r="T709" i="22"/>
  <c r="W708" i="22"/>
  <c r="X708" i="22" s="1"/>
  <c r="AB883" i="22"/>
  <c r="AE882" i="22"/>
  <c r="AF882" i="22"/>
  <c r="AK883" i="22"/>
  <c r="AN882" i="22"/>
  <c r="AO882" i="22" s="1"/>
  <c r="AK884" i="22" l="1"/>
  <c r="AN883" i="22"/>
  <c r="AO883" i="22" s="1"/>
  <c r="AE883" i="22"/>
  <c r="AB884" i="22"/>
  <c r="AF883" i="22"/>
  <c r="T710" i="22"/>
  <c r="W709" i="22"/>
  <c r="X709" i="22" s="1"/>
  <c r="AC887" i="22"/>
  <c r="AG886" i="22"/>
  <c r="AC888" i="22" l="1"/>
  <c r="AG887" i="22"/>
  <c r="T711" i="22"/>
  <c r="W710" i="22"/>
  <c r="X710" i="22" s="1"/>
  <c r="AE884" i="22"/>
  <c r="AB885" i="22"/>
  <c r="AF884" i="22"/>
  <c r="AK885" i="22"/>
  <c r="AN884" i="22"/>
  <c r="AO884" i="22" s="1"/>
  <c r="AK886" i="22" l="1"/>
  <c r="AN885" i="22"/>
  <c r="AO885" i="22" s="1"/>
  <c r="AB886" i="22"/>
  <c r="AE885" i="22"/>
  <c r="AF885" i="22"/>
  <c r="W711" i="22"/>
  <c r="X711" i="22" s="1"/>
  <c r="T712" i="22"/>
  <c r="AC889" i="22"/>
  <c r="AG888" i="22"/>
  <c r="AC890" i="22" l="1"/>
  <c r="AG889" i="22"/>
  <c r="T713" i="22"/>
  <c r="W712" i="22"/>
  <c r="X712" i="22" s="1"/>
  <c r="AE886" i="22"/>
  <c r="AB887" i="22"/>
  <c r="AF886" i="22"/>
  <c r="AK887" i="22"/>
  <c r="AN886" i="22"/>
  <c r="AO886" i="22" s="1"/>
  <c r="AK888" i="22" l="1"/>
  <c r="AN887" i="22"/>
  <c r="AO887" i="22" s="1"/>
  <c r="AE887" i="22"/>
  <c r="AB888" i="22"/>
  <c r="AF887" i="22"/>
  <c r="T714" i="22"/>
  <c r="W713" i="22"/>
  <c r="X713" i="22" s="1"/>
  <c r="AC891" i="22"/>
  <c r="AG890" i="22"/>
  <c r="T715" i="22" l="1"/>
  <c r="W714" i="22"/>
  <c r="X714" i="22" s="1"/>
  <c r="AB889" i="22"/>
  <c r="AE888" i="22"/>
  <c r="AF888" i="22"/>
  <c r="AC892" i="22"/>
  <c r="AG891" i="22"/>
  <c r="AK889" i="22"/>
  <c r="AN888" i="22"/>
  <c r="AO888" i="22" s="1"/>
  <c r="AK890" i="22" l="1"/>
  <c r="AN889" i="22"/>
  <c r="AO889" i="22" s="1"/>
  <c r="AC893" i="22"/>
  <c r="AG892" i="22"/>
  <c r="AE889" i="22"/>
  <c r="AB890" i="22"/>
  <c r="AF889" i="22"/>
  <c r="T716" i="22"/>
  <c r="W715" i="22"/>
  <c r="X715" i="22" s="1"/>
  <c r="T717" i="22" l="1"/>
  <c r="W716" i="22"/>
  <c r="X716" i="22" s="1"/>
  <c r="AB891" i="22"/>
  <c r="AE890" i="22"/>
  <c r="AF890" i="22"/>
  <c r="AC894" i="22"/>
  <c r="AG893" i="22"/>
  <c r="AK891" i="22"/>
  <c r="AN890" i="22"/>
  <c r="AO890" i="22" s="1"/>
  <c r="AK892" i="22" l="1"/>
  <c r="AN891" i="22"/>
  <c r="AO891" i="22" s="1"/>
  <c r="AC895" i="22"/>
  <c r="AG894" i="22"/>
  <c r="AE891" i="22"/>
  <c r="AB892" i="22"/>
  <c r="AF891" i="22"/>
  <c r="T718" i="22"/>
  <c r="W717" i="22"/>
  <c r="X717" i="22" s="1"/>
  <c r="T719" i="22" l="1"/>
  <c r="W718" i="22"/>
  <c r="X718" i="22" s="1"/>
  <c r="AE892" i="22"/>
  <c r="AB893" i="22"/>
  <c r="AF892" i="22"/>
  <c r="AC896" i="22"/>
  <c r="AG895" i="22"/>
  <c r="AK893" i="22"/>
  <c r="AN892" i="22"/>
  <c r="AO892" i="22" s="1"/>
  <c r="AB894" i="22" l="1"/>
  <c r="AE893" i="22"/>
  <c r="AF893" i="22"/>
  <c r="AK894" i="22"/>
  <c r="AN893" i="22"/>
  <c r="AO893" i="22" s="1"/>
  <c r="AC897" i="22"/>
  <c r="AG896" i="22"/>
  <c r="W719" i="22"/>
  <c r="X719" i="22" s="1"/>
  <c r="T720" i="22"/>
  <c r="T721" i="22" l="1"/>
  <c r="W720" i="22"/>
  <c r="X720" i="22" s="1"/>
  <c r="AC898" i="22"/>
  <c r="AG897" i="22"/>
  <c r="AK895" i="22"/>
  <c r="AN894" i="22"/>
  <c r="AO894" i="22" s="1"/>
  <c r="AE894" i="22"/>
  <c r="AB895" i="22"/>
  <c r="AF894" i="22"/>
  <c r="AE895" i="22" l="1"/>
  <c r="AB896" i="22"/>
  <c r="AF895" i="22"/>
  <c r="AK896" i="22"/>
  <c r="AN895" i="22"/>
  <c r="AO895" i="22" s="1"/>
  <c r="AC899" i="22"/>
  <c r="AG898" i="22"/>
  <c r="T722" i="22"/>
  <c r="W721" i="22"/>
  <c r="X721" i="22" s="1"/>
  <c r="AC900" i="22" l="1"/>
  <c r="AG899" i="22"/>
  <c r="AK897" i="22"/>
  <c r="AN896" i="22"/>
  <c r="AO896" i="22" s="1"/>
  <c r="AB897" i="22"/>
  <c r="AE896" i="22"/>
  <c r="AF896" i="22"/>
  <c r="T723" i="22"/>
  <c r="W722" i="22"/>
  <c r="X722" i="22" s="1"/>
  <c r="AK898" i="22" l="1"/>
  <c r="AN897" i="22"/>
  <c r="AO897" i="22" s="1"/>
  <c r="AC901" i="22"/>
  <c r="AG900" i="22"/>
  <c r="W723" i="22"/>
  <c r="X723" i="22" s="1"/>
  <c r="T724" i="22"/>
  <c r="AB898" i="22"/>
  <c r="AE897" i="22"/>
  <c r="AF897" i="22"/>
  <c r="AK899" i="22" l="1"/>
  <c r="AN898" i="22"/>
  <c r="AO898" i="22" s="1"/>
  <c r="AB899" i="22"/>
  <c r="AE898" i="22"/>
  <c r="AF898" i="22"/>
  <c r="T725" i="22"/>
  <c r="W724" i="22"/>
  <c r="X724" i="22" s="1"/>
  <c r="AC902" i="22"/>
  <c r="AG901" i="22"/>
  <c r="AC903" i="22" l="1"/>
  <c r="AG902" i="22"/>
  <c r="T726" i="22"/>
  <c r="W725" i="22"/>
  <c r="X725" i="22" s="1"/>
  <c r="AE899" i="22"/>
  <c r="AB900" i="22"/>
  <c r="AF899" i="22"/>
  <c r="AK900" i="22"/>
  <c r="AN899" i="22"/>
  <c r="AO899" i="22" s="1"/>
  <c r="AK901" i="22" l="1"/>
  <c r="AN900" i="22"/>
  <c r="AO900" i="22" s="1"/>
  <c r="AE900" i="22"/>
  <c r="AB901" i="22"/>
  <c r="AF900" i="22"/>
  <c r="T727" i="22"/>
  <c r="W726" i="22"/>
  <c r="X726" i="22" s="1"/>
  <c r="AC904" i="22"/>
  <c r="AG903" i="22"/>
  <c r="T728" i="22" l="1"/>
  <c r="W727" i="22"/>
  <c r="X727" i="22" s="1"/>
  <c r="AB902" i="22"/>
  <c r="AE901" i="22"/>
  <c r="AF901" i="22"/>
  <c r="AC905" i="22"/>
  <c r="AG904" i="22"/>
  <c r="AK902" i="22"/>
  <c r="AN901" i="22"/>
  <c r="AO901" i="22" s="1"/>
  <c r="AK903" i="22" l="1"/>
  <c r="AN902" i="22"/>
  <c r="AO902" i="22" s="1"/>
  <c r="AC906" i="22"/>
  <c r="AG905" i="22"/>
  <c r="AB903" i="22"/>
  <c r="AE902" i="22"/>
  <c r="AF902" i="22"/>
  <c r="T729" i="22"/>
  <c r="W728" i="22"/>
  <c r="X728" i="22" s="1"/>
  <c r="AC907" i="22" l="1"/>
  <c r="AG906" i="22"/>
  <c r="AK904" i="22"/>
  <c r="AN903" i="22"/>
  <c r="AO903" i="22" s="1"/>
  <c r="W729" i="22"/>
  <c r="X729" i="22" s="1"/>
  <c r="T730" i="22"/>
  <c r="AE903" i="22"/>
  <c r="AB904" i="22"/>
  <c r="AF903" i="22"/>
  <c r="AK905" i="22" l="1"/>
  <c r="AN904" i="22"/>
  <c r="AO904" i="22" s="1"/>
  <c r="AC908" i="22"/>
  <c r="AG907" i="22"/>
  <c r="AB905" i="22"/>
  <c r="AE904" i="22"/>
  <c r="AF904" i="22"/>
  <c r="T731" i="22"/>
  <c r="W730" i="22"/>
  <c r="X730" i="22" s="1"/>
  <c r="AB906" i="22" l="1"/>
  <c r="AE905" i="22"/>
  <c r="AF905" i="22"/>
  <c r="W731" i="22"/>
  <c r="X731" i="22" s="1"/>
  <c r="T732" i="22"/>
  <c r="AC909" i="22"/>
  <c r="AG908" i="22"/>
  <c r="AK906" i="22"/>
  <c r="AN905" i="22"/>
  <c r="AO905" i="22" s="1"/>
  <c r="AK907" i="22" l="1"/>
  <c r="AN906" i="22"/>
  <c r="AO906" i="22" s="1"/>
  <c r="AC910" i="22"/>
  <c r="AG909" i="22"/>
  <c r="T733" i="22"/>
  <c r="W732" i="22"/>
  <c r="X732" i="22" s="1"/>
  <c r="AB907" i="22"/>
  <c r="AE906" i="22"/>
  <c r="AF906" i="22"/>
  <c r="AB908" i="22" l="1"/>
  <c r="AE907" i="22"/>
  <c r="AF907" i="22"/>
  <c r="T734" i="22"/>
  <c r="W733" i="22"/>
  <c r="X733" i="22" s="1"/>
  <c r="AC911" i="22"/>
  <c r="AG910" i="22"/>
  <c r="AK908" i="22"/>
  <c r="AN907" i="22"/>
  <c r="AO907" i="22" s="1"/>
  <c r="AK909" i="22" l="1"/>
  <c r="AN908" i="22"/>
  <c r="AO908" i="22" s="1"/>
  <c r="AC912" i="22"/>
  <c r="AG911" i="22"/>
  <c r="T735" i="22"/>
  <c r="W734" i="22"/>
  <c r="X734" i="22" s="1"/>
  <c r="AB909" i="22"/>
  <c r="AE908" i="22"/>
  <c r="AF908" i="22"/>
  <c r="AE909" i="22" l="1"/>
  <c r="AB910" i="22"/>
  <c r="AF909" i="22"/>
  <c r="T736" i="22"/>
  <c r="W735" i="22"/>
  <c r="X735" i="22" s="1"/>
  <c r="AC913" i="22"/>
  <c r="AG912" i="22"/>
  <c r="AK910" i="22"/>
  <c r="AN909" i="22"/>
  <c r="AO909" i="22" s="1"/>
  <c r="AK911" i="22" l="1"/>
  <c r="AN910" i="22"/>
  <c r="AO910" i="22" s="1"/>
  <c r="AC914" i="22"/>
  <c r="AG913" i="22"/>
  <c r="T737" i="22"/>
  <c r="W736" i="22"/>
  <c r="X736" i="22" s="1"/>
  <c r="AB911" i="22"/>
  <c r="AE910" i="22"/>
  <c r="AF910" i="22"/>
  <c r="AC915" i="22" l="1"/>
  <c r="AG914" i="22"/>
  <c r="AK912" i="22"/>
  <c r="AN911" i="22"/>
  <c r="AO911" i="22" s="1"/>
  <c r="AE911" i="22"/>
  <c r="AB912" i="22"/>
  <c r="AF911" i="22"/>
  <c r="T738" i="22"/>
  <c r="W737" i="22"/>
  <c r="X737" i="22" s="1"/>
  <c r="T739" i="22" l="1"/>
  <c r="W738" i="22"/>
  <c r="X738" i="22" s="1"/>
  <c r="AE912" i="22"/>
  <c r="AB913" i="22"/>
  <c r="AF912" i="22"/>
  <c r="AK913" i="22"/>
  <c r="AN912" i="22"/>
  <c r="AO912" i="22" s="1"/>
  <c r="AC916" i="22"/>
  <c r="AG915" i="22"/>
  <c r="AC917" i="22" l="1"/>
  <c r="AG916" i="22"/>
  <c r="AK914" i="22"/>
  <c r="AN913" i="22"/>
  <c r="AO913" i="22" s="1"/>
  <c r="AB914" i="22"/>
  <c r="AE913" i="22"/>
  <c r="AF913" i="22"/>
  <c r="W739" i="22"/>
  <c r="X739" i="22" s="1"/>
  <c r="T740" i="22"/>
  <c r="T741" i="22" l="1"/>
  <c r="W740" i="22"/>
  <c r="X740" i="22" s="1"/>
  <c r="AB915" i="22"/>
  <c r="AE914" i="22"/>
  <c r="AF914" i="22"/>
  <c r="AK915" i="22"/>
  <c r="AN914" i="22"/>
  <c r="AO914" i="22" s="1"/>
  <c r="AC918" i="22"/>
  <c r="AG917" i="22"/>
  <c r="AC919" i="22" l="1"/>
  <c r="AG918" i="22"/>
  <c r="AK916" i="22"/>
  <c r="AN915" i="22"/>
  <c r="AO915" i="22" s="1"/>
  <c r="AB916" i="22"/>
  <c r="AE915" i="22"/>
  <c r="AF915" i="22"/>
  <c r="T742" i="22"/>
  <c r="W741" i="22"/>
  <c r="X741" i="22" s="1"/>
  <c r="T743" i="22" l="1"/>
  <c r="W742" i="22"/>
  <c r="X742" i="22" s="1"/>
  <c r="AB917" i="22"/>
  <c r="AE916" i="22"/>
  <c r="AF916" i="22"/>
  <c r="AK917" i="22"/>
  <c r="AN916" i="22"/>
  <c r="AO916" i="22" s="1"/>
  <c r="AC920" i="22"/>
  <c r="AG919" i="22"/>
  <c r="AK918" i="22" l="1"/>
  <c r="AN917" i="22"/>
  <c r="AO917" i="22" s="1"/>
  <c r="AB918" i="22"/>
  <c r="AE917" i="22"/>
  <c r="AF917" i="22"/>
  <c r="AC921" i="22"/>
  <c r="AG920" i="22"/>
  <c r="T744" i="22"/>
  <c r="W743" i="22"/>
  <c r="X743" i="22" s="1"/>
  <c r="AK919" i="22" l="1"/>
  <c r="AN918" i="22"/>
  <c r="AO918" i="22" s="1"/>
  <c r="T745" i="22"/>
  <c r="W744" i="22"/>
  <c r="X744" i="22" s="1"/>
  <c r="AC922" i="22"/>
  <c r="AG921" i="22"/>
  <c r="AB919" i="22"/>
  <c r="AE918" i="22"/>
  <c r="AF918" i="22"/>
  <c r="T746" i="22" l="1"/>
  <c r="W745" i="22"/>
  <c r="X745" i="22" s="1"/>
  <c r="AK920" i="22"/>
  <c r="AN919" i="22"/>
  <c r="AO919" i="22" s="1"/>
  <c r="AE919" i="22"/>
  <c r="AB920" i="22"/>
  <c r="AF919" i="22"/>
  <c r="AC923" i="22"/>
  <c r="AG922" i="22"/>
  <c r="AC924" i="22" l="1"/>
  <c r="AG923" i="22"/>
  <c r="AB921" i="22"/>
  <c r="AE920" i="22"/>
  <c r="AF920" i="22"/>
  <c r="AK921" i="22"/>
  <c r="AN920" i="22"/>
  <c r="AO920" i="22" s="1"/>
  <c r="T747" i="22"/>
  <c r="W746" i="22"/>
  <c r="X746" i="22" s="1"/>
  <c r="T748" i="22" l="1"/>
  <c r="W747" i="22"/>
  <c r="X747" i="22" s="1"/>
  <c r="AK922" i="22"/>
  <c r="AN921" i="22"/>
  <c r="AO921" i="22" s="1"/>
  <c r="AE921" i="22"/>
  <c r="AB922" i="22"/>
  <c r="AF921" i="22"/>
  <c r="AC925" i="22"/>
  <c r="AG924" i="22"/>
  <c r="AC926" i="22" l="1"/>
  <c r="AG925" i="22"/>
  <c r="AB923" i="22"/>
  <c r="AE922" i="22"/>
  <c r="AF922" i="22"/>
  <c r="AK923" i="22"/>
  <c r="AN922" i="22"/>
  <c r="AO922" i="22" s="1"/>
  <c r="T749" i="22"/>
  <c r="W748" i="22"/>
  <c r="X748" i="22" s="1"/>
  <c r="AB924" i="22" l="1"/>
  <c r="AE923" i="22"/>
  <c r="AF923" i="22"/>
  <c r="T750" i="22"/>
  <c r="W749" i="22"/>
  <c r="X749" i="22" s="1"/>
  <c r="AK924" i="22"/>
  <c r="AN923" i="22"/>
  <c r="AO923" i="22" s="1"/>
  <c r="AC927" i="22"/>
  <c r="AG926" i="22"/>
  <c r="AC928" i="22" l="1"/>
  <c r="AG927" i="22"/>
  <c r="AK925" i="22"/>
  <c r="AN924" i="22"/>
  <c r="AO924" i="22" s="1"/>
  <c r="T751" i="22"/>
  <c r="W750" i="22"/>
  <c r="X750" i="22" s="1"/>
  <c r="AE924" i="22"/>
  <c r="AB925" i="22"/>
  <c r="AF924" i="22"/>
  <c r="AC929" i="22" l="1"/>
  <c r="AG928" i="22"/>
  <c r="AE925" i="22"/>
  <c r="AB926" i="22"/>
  <c r="AF925" i="22"/>
  <c r="T752" i="22"/>
  <c r="W751" i="22"/>
  <c r="X751" i="22" s="1"/>
  <c r="AK926" i="22"/>
  <c r="AN925" i="22"/>
  <c r="AO925" i="22" s="1"/>
  <c r="AC930" i="22" l="1"/>
  <c r="AG929" i="22"/>
  <c r="AK927" i="22"/>
  <c r="AN926" i="22"/>
  <c r="AO926" i="22" s="1"/>
  <c r="T753" i="22"/>
  <c r="W752" i="22"/>
  <c r="X752" i="22" s="1"/>
  <c r="AB927" i="22"/>
  <c r="AE926" i="22"/>
  <c r="AF926" i="22"/>
  <c r="AE927" i="22" l="1"/>
  <c r="AB928" i="22"/>
  <c r="AF927" i="22"/>
  <c r="T754" i="22"/>
  <c r="W753" i="22"/>
  <c r="X753" i="22" s="1"/>
  <c r="AK928" i="22"/>
  <c r="AN927" i="22"/>
  <c r="AO927" i="22" s="1"/>
  <c r="AC931" i="22"/>
  <c r="AG930" i="22"/>
  <c r="T755" i="22" l="1"/>
  <c r="W754" i="22"/>
  <c r="X754" i="22" s="1"/>
  <c r="AC932" i="22"/>
  <c r="AG931" i="22"/>
  <c r="AK929" i="22"/>
  <c r="AN928" i="22"/>
  <c r="AO928" i="22" s="1"/>
  <c r="AE928" i="22"/>
  <c r="AB929" i="22"/>
  <c r="AF928" i="22"/>
  <c r="T756" i="22" l="1"/>
  <c r="W755" i="22"/>
  <c r="X755" i="22" s="1"/>
  <c r="AB930" i="22"/>
  <c r="AE929" i="22"/>
  <c r="AF929" i="22"/>
  <c r="AK930" i="22"/>
  <c r="AN929" i="22"/>
  <c r="AO929" i="22" s="1"/>
  <c r="AC933" i="22"/>
  <c r="AG932" i="22"/>
  <c r="AC934" i="22" l="1"/>
  <c r="AG933" i="22"/>
  <c r="AK931" i="22"/>
  <c r="AN930" i="22"/>
  <c r="AO930" i="22" s="1"/>
  <c r="AB931" i="22"/>
  <c r="AE930" i="22"/>
  <c r="AF930" i="22"/>
  <c r="T757" i="22"/>
  <c r="W756" i="22"/>
  <c r="X756" i="22" s="1"/>
  <c r="T758" i="22" l="1"/>
  <c r="W757" i="22"/>
  <c r="X757" i="22" s="1"/>
  <c r="AE931" i="22"/>
  <c r="AB932" i="22"/>
  <c r="AF931" i="22"/>
  <c r="AK932" i="22"/>
  <c r="AN931" i="22"/>
  <c r="AO931" i="22" s="1"/>
  <c r="AC935" i="22"/>
  <c r="AG934" i="22"/>
  <c r="AC936" i="22" l="1"/>
  <c r="AG935" i="22"/>
  <c r="AK933" i="22"/>
  <c r="AN932" i="22"/>
  <c r="AO932" i="22" s="1"/>
  <c r="AB933" i="22"/>
  <c r="AE932" i="22"/>
  <c r="AF932" i="22"/>
  <c r="W758" i="22"/>
  <c r="X758" i="22" s="1"/>
  <c r="T759" i="22"/>
  <c r="AE933" i="22" l="1"/>
  <c r="AB934" i="22"/>
  <c r="AF933" i="22"/>
  <c r="T760" i="22"/>
  <c r="W759" i="22"/>
  <c r="X759" i="22" s="1"/>
  <c r="AK934" i="22"/>
  <c r="AN933" i="22"/>
  <c r="AO933" i="22" s="1"/>
  <c r="AC937" i="22"/>
  <c r="AG936" i="22"/>
  <c r="AE934" i="22" l="1"/>
  <c r="AB935" i="22"/>
  <c r="AF934" i="22"/>
  <c r="AC938" i="22"/>
  <c r="AG937" i="22"/>
  <c r="AK935" i="22"/>
  <c r="AN934" i="22"/>
  <c r="AO934" i="22" s="1"/>
  <c r="T761" i="22"/>
  <c r="W760" i="22"/>
  <c r="X760" i="22" s="1"/>
  <c r="AE935" i="22" l="1"/>
  <c r="AB936" i="22"/>
  <c r="AF935" i="22"/>
  <c r="W761" i="22"/>
  <c r="X761" i="22" s="1"/>
  <c r="T762" i="22"/>
  <c r="AK936" i="22"/>
  <c r="AN935" i="22"/>
  <c r="AO935" i="22" s="1"/>
  <c r="AC939" i="22"/>
  <c r="AG938" i="22"/>
  <c r="AE936" i="22" l="1"/>
  <c r="AB937" i="22"/>
  <c r="AF936" i="22"/>
  <c r="AK937" i="22"/>
  <c r="AN936" i="22"/>
  <c r="AO936" i="22" s="1"/>
  <c r="AC940" i="22"/>
  <c r="AG939" i="22"/>
  <c r="T763" i="22"/>
  <c r="W762" i="22"/>
  <c r="X762" i="22" s="1"/>
  <c r="T764" i="22" l="1"/>
  <c r="W763" i="22"/>
  <c r="X763" i="22" s="1"/>
  <c r="AE937" i="22"/>
  <c r="AB938" i="22"/>
  <c r="AF937" i="22"/>
  <c r="AC941" i="22"/>
  <c r="AG940" i="22"/>
  <c r="AK938" i="22"/>
  <c r="AN937" i="22"/>
  <c r="AO937" i="22" s="1"/>
  <c r="T765" i="22" l="1"/>
  <c r="W764" i="22"/>
  <c r="X764" i="22" s="1"/>
  <c r="AK939" i="22"/>
  <c r="AN938" i="22"/>
  <c r="AO938" i="22" s="1"/>
  <c r="AC942" i="22"/>
  <c r="AG941" i="22"/>
  <c r="AB939" i="22"/>
  <c r="AE938" i="22"/>
  <c r="AF938" i="22"/>
  <c r="AE939" i="22" l="1"/>
  <c r="AB940" i="22"/>
  <c r="AF939" i="22"/>
  <c r="AC943" i="22"/>
  <c r="AG942" i="22"/>
  <c r="AK940" i="22"/>
  <c r="AN939" i="22"/>
  <c r="AO939" i="22" s="1"/>
  <c r="T766" i="22"/>
  <c r="W765" i="22"/>
  <c r="X765" i="22" s="1"/>
  <c r="AE940" i="22" l="1"/>
  <c r="AB941" i="22"/>
  <c r="AF940" i="22"/>
  <c r="T767" i="22"/>
  <c r="W766" i="22"/>
  <c r="X766" i="22" s="1"/>
  <c r="AK941" i="22"/>
  <c r="AN940" i="22"/>
  <c r="AO940" i="22" s="1"/>
  <c r="AC944" i="22"/>
  <c r="AG943" i="22"/>
  <c r="T768" i="22" l="1"/>
  <c r="W767" i="22"/>
  <c r="X767" i="22" s="1"/>
  <c r="AE941" i="22"/>
  <c r="AB942" i="22"/>
  <c r="AF941" i="22"/>
  <c r="AC945" i="22"/>
  <c r="AG944" i="22"/>
  <c r="AK942" i="22"/>
  <c r="AN941" i="22"/>
  <c r="AO941" i="22" s="1"/>
  <c r="AK943" i="22" l="1"/>
  <c r="AN942" i="22"/>
  <c r="AO942" i="22" s="1"/>
  <c r="AC946" i="22"/>
  <c r="AG945" i="22"/>
  <c r="AB943" i="22"/>
  <c r="AE942" i="22"/>
  <c r="AF942" i="22"/>
  <c r="W768" i="22"/>
  <c r="X768" i="22" s="1"/>
  <c r="T769" i="22"/>
  <c r="T770" i="22" l="1"/>
  <c r="W769" i="22"/>
  <c r="X769" i="22" s="1"/>
  <c r="AE943" i="22"/>
  <c r="AB944" i="22"/>
  <c r="AF943" i="22"/>
  <c r="AC947" i="22"/>
  <c r="AG946" i="22"/>
  <c r="AK944" i="22"/>
  <c r="AN943" i="22"/>
  <c r="AO943" i="22" s="1"/>
  <c r="AK945" i="22" l="1"/>
  <c r="AN944" i="22"/>
  <c r="AO944" i="22" s="1"/>
  <c r="AC948" i="22"/>
  <c r="AG947" i="22"/>
  <c r="AE944" i="22"/>
  <c r="AB945" i="22"/>
  <c r="AF944" i="22"/>
  <c r="T771" i="22"/>
  <c r="W770" i="22"/>
  <c r="X770" i="22" s="1"/>
  <c r="AC949" i="22" l="1"/>
  <c r="AG948" i="22"/>
  <c r="AK946" i="22"/>
  <c r="AN945" i="22"/>
  <c r="AO945" i="22" s="1"/>
  <c r="T772" i="22"/>
  <c r="W771" i="22"/>
  <c r="X771" i="22" s="1"/>
  <c r="AB946" i="22"/>
  <c r="AE945" i="22"/>
  <c r="AF945" i="22"/>
  <c r="AC950" i="22" l="1"/>
  <c r="AG949" i="22"/>
  <c r="AB947" i="22"/>
  <c r="AE946" i="22"/>
  <c r="AF946" i="22"/>
  <c r="T773" i="22"/>
  <c r="W772" i="22"/>
  <c r="X772" i="22" s="1"/>
  <c r="AK947" i="22"/>
  <c r="AN946" i="22"/>
  <c r="AO946" i="22" s="1"/>
  <c r="AK948" i="22" l="1"/>
  <c r="AN947" i="22"/>
  <c r="AO947" i="22" s="1"/>
  <c r="T774" i="22"/>
  <c r="W773" i="22"/>
  <c r="X773" i="22" s="1"/>
  <c r="AE947" i="22"/>
  <c r="AB948" i="22"/>
  <c r="AF947" i="22"/>
  <c r="AC951" i="22"/>
  <c r="AG950" i="22"/>
  <c r="T775" i="22" l="1"/>
  <c r="W774" i="22"/>
  <c r="X774" i="22" s="1"/>
  <c r="AK949" i="22"/>
  <c r="AN948" i="22"/>
  <c r="AO948" i="22" s="1"/>
  <c r="AC952" i="22"/>
  <c r="AG951" i="22"/>
  <c r="AB949" i="22"/>
  <c r="AE948" i="22"/>
  <c r="AF948" i="22"/>
  <c r="AB950" i="22" l="1"/>
  <c r="AE949" i="22"/>
  <c r="AF949" i="22"/>
  <c r="AK950" i="22"/>
  <c r="AN949" i="22"/>
  <c r="AO949" i="22" s="1"/>
  <c r="AC953" i="22"/>
  <c r="AG952" i="22"/>
  <c r="T776" i="22"/>
  <c r="W775" i="22"/>
  <c r="X775" i="22" s="1"/>
  <c r="T777" i="22" l="1"/>
  <c r="W776" i="22"/>
  <c r="X776" i="22" s="1"/>
  <c r="AC954" i="22"/>
  <c r="AG953" i="22"/>
  <c r="AK951" i="22"/>
  <c r="AN950" i="22"/>
  <c r="AO950" i="22" s="1"/>
  <c r="AE950" i="22"/>
  <c r="AB951" i="22"/>
  <c r="AF950" i="22"/>
  <c r="AE951" i="22" l="1"/>
  <c r="AB952" i="22"/>
  <c r="AF951" i="22"/>
  <c r="AK952" i="22"/>
  <c r="AN951" i="22"/>
  <c r="AO951" i="22" s="1"/>
  <c r="AC955" i="22"/>
  <c r="AG954" i="22"/>
  <c r="T778" i="22"/>
  <c r="W777" i="22"/>
  <c r="X777" i="22" s="1"/>
  <c r="T779" i="22" l="1"/>
  <c r="W778" i="22"/>
  <c r="X778" i="22" s="1"/>
  <c r="AC956" i="22"/>
  <c r="AG955" i="22"/>
  <c r="AK953" i="22"/>
  <c r="AN952" i="22"/>
  <c r="AO952" i="22" s="1"/>
  <c r="AB953" i="22"/>
  <c r="AE952" i="22"/>
  <c r="AF952" i="22"/>
  <c r="AK954" i="22" l="1"/>
  <c r="AN953" i="22"/>
  <c r="AO953" i="22" s="1"/>
  <c r="T780" i="22"/>
  <c r="W779" i="22"/>
  <c r="X779" i="22" s="1"/>
  <c r="AE953" i="22"/>
  <c r="AB954" i="22"/>
  <c r="AF953" i="22"/>
  <c r="AC957" i="22"/>
  <c r="AG956" i="22"/>
  <c r="AC958" i="22" l="1"/>
  <c r="AG957" i="22"/>
  <c r="AB955" i="22"/>
  <c r="AE954" i="22"/>
  <c r="AF954" i="22"/>
  <c r="T781" i="22"/>
  <c r="W780" i="22"/>
  <c r="X780" i="22" s="1"/>
  <c r="AK955" i="22"/>
  <c r="AN954" i="22"/>
  <c r="AO954" i="22" s="1"/>
  <c r="AC959" i="22" l="1"/>
  <c r="AG958" i="22"/>
  <c r="AK956" i="22"/>
  <c r="AN955" i="22"/>
  <c r="AO955" i="22" s="1"/>
  <c r="T782" i="22"/>
  <c r="W781" i="22"/>
  <c r="X781" i="22" s="1"/>
  <c r="AE955" i="22"/>
  <c r="AB956" i="22"/>
  <c r="AF955" i="22"/>
  <c r="AE956" i="22" l="1"/>
  <c r="AB957" i="22"/>
  <c r="AF956" i="22"/>
  <c r="T783" i="22"/>
  <c r="W782" i="22"/>
  <c r="X782" i="22" s="1"/>
  <c r="AK957" i="22"/>
  <c r="AN956" i="22"/>
  <c r="AO956" i="22" s="1"/>
  <c r="AC960" i="22"/>
  <c r="AG959" i="22"/>
  <c r="AE957" i="22" l="1"/>
  <c r="AB958" i="22"/>
  <c r="AF957" i="22"/>
  <c r="AC961" i="22"/>
  <c r="AG960" i="22"/>
  <c r="AK958" i="22"/>
  <c r="AN957" i="22"/>
  <c r="AO957" i="22" s="1"/>
  <c r="W783" i="22"/>
  <c r="X783" i="22" s="1"/>
  <c r="T784" i="22"/>
  <c r="T785" i="22" l="1"/>
  <c r="W784" i="22"/>
  <c r="X784" i="22" s="1"/>
  <c r="AK959" i="22"/>
  <c r="AN958" i="22"/>
  <c r="AO958" i="22" s="1"/>
  <c r="AC962" i="22"/>
  <c r="AG961" i="22"/>
  <c r="AB959" i="22"/>
  <c r="AE958" i="22"/>
  <c r="AF958" i="22"/>
  <c r="AC963" i="22" l="1"/>
  <c r="AG962" i="22"/>
  <c r="AK960" i="22"/>
  <c r="AN959" i="22"/>
  <c r="AO959" i="22" s="1"/>
  <c r="W785" i="22"/>
  <c r="X785" i="22" s="1"/>
  <c r="T786" i="22"/>
  <c r="AE959" i="22"/>
  <c r="AB960" i="22"/>
  <c r="AF959" i="22"/>
  <c r="AB961" i="22" l="1"/>
  <c r="AE960" i="22"/>
  <c r="AF960" i="22"/>
  <c r="T787" i="22"/>
  <c r="W786" i="22"/>
  <c r="X786" i="22" s="1"/>
  <c r="AK961" i="22"/>
  <c r="AN960" i="22"/>
  <c r="AO960" i="22" s="1"/>
  <c r="AC964" i="22"/>
  <c r="AG963" i="22"/>
  <c r="AK962" i="22" l="1"/>
  <c r="AN961" i="22"/>
  <c r="AO961" i="22" s="1"/>
  <c r="T788" i="22"/>
  <c r="W787" i="22"/>
  <c r="X787" i="22" s="1"/>
  <c r="AC965" i="22"/>
  <c r="AG964" i="22"/>
  <c r="AE961" i="22"/>
  <c r="AB962" i="22"/>
  <c r="AF961" i="22"/>
  <c r="AB963" i="22" l="1"/>
  <c r="AE962" i="22"/>
  <c r="AF962" i="22"/>
  <c r="AC966" i="22"/>
  <c r="AG965" i="22"/>
  <c r="T789" i="22"/>
  <c r="W788" i="22"/>
  <c r="X788" i="22" s="1"/>
  <c r="AK963" i="22"/>
  <c r="AN962" i="22"/>
  <c r="AO962" i="22" s="1"/>
  <c r="AK964" i="22" l="1"/>
  <c r="AN963" i="22"/>
  <c r="AO963" i="22" s="1"/>
  <c r="T790" i="22"/>
  <c r="W789" i="22"/>
  <c r="X789" i="22" s="1"/>
  <c r="AC967" i="22"/>
  <c r="AG966" i="22"/>
  <c r="AE963" i="22"/>
  <c r="AB964" i="22"/>
  <c r="AF963" i="22"/>
  <c r="AE964" i="22" l="1"/>
  <c r="AB965" i="22"/>
  <c r="AF964" i="22"/>
  <c r="AC968" i="22"/>
  <c r="AG967" i="22"/>
  <c r="W790" i="22"/>
  <c r="X790" i="22" s="1"/>
  <c r="T791" i="22"/>
  <c r="AK965" i="22"/>
  <c r="AN964" i="22"/>
  <c r="AO964" i="22" s="1"/>
  <c r="AB966" i="22" l="1"/>
  <c r="AE965" i="22"/>
  <c r="AF965" i="22"/>
  <c r="AK966" i="22"/>
  <c r="AN965" i="22"/>
  <c r="AO965" i="22" s="1"/>
  <c r="W791" i="22"/>
  <c r="X791" i="22" s="1"/>
  <c r="T792" i="22"/>
  <c r="AC969" i="22"/>
  <c r="AG968" i="22"/>
  <c r="AE966" i="22" l="1"/>
  <c r="AB967" i="22"/>
  <c r="AF966" i="22"/>
  <c r="AC970" i="22"/>
  <c r="AG969" i="22"/>
  <c r="T793" i="22"/>
  <c r="W792" i="22"/>
  <c r="X792" i="22" s="1"/>
  <c r="AK967" i="22"/>
  <c r="AN966" i="22"/>
  <c r="AO966" i="22" s="1"/>
  <c r="T794" i="22" l="1"/>
  <c r="W793" i="22"/>
  <c r="X793" i="22" s="1"/>
  <c r="AK968" i="22"/>
  <c r="AN967" i="22"/>
  <c r="AO967" i="22" s="1"/>
  <c r="AC971" i="22"/>
  <c r="AG970" i="22"/>
  <c r="AE967" i="22"/>
  <c r="AB968" i="22"/>
  <c r="AF967" i="22"/>
  <c r="AC972" i="22" l="1"/>
  <c r="AG971" i="22"/>
  <c r="AK969" i="22"/>
  <c r="AN968" i="22"/>
  <c r="AO968" i="22" s="1"/>
  <c r="T795" i="22"/>
  <c r="W794" i="22"/>
  <c r="X794" i="22" s="1"/>
  <c r="AB969" i="22"/>
  <c r="AE968" i="22"/>
  <c r="AF968" i="22"/>
  <c r="W795" i="22" l="1"/>
  <c r="X795" i="22" s="1"/>
  <c r="T796" i="22"/>
  <c r="AK970" i="22"/>
  <c r="AN969" i="22"/>
  <c r="AO969" i="22" s="1"/>
  <c r="AC973" i="22"/>
  <c r="AG972" i="22"/>
  <c r="AE969" i="22"/>
  <c r="AB970" i="22"/>
  <c r="AF969" i="22"/>
  <c r="AC974" i="22" l="1"/>
  <c r="AG973" i="22"/>
  <c r="AK971" i="22"/>
  <c r="AN970" i="22"/>
  <c r="AO970" i="22" s="1"/>
  <c r="T797" i="22"/>
  <c r="W796" i="22"/>
  <c r="X796" i="22" s="1"/>
  <c r="AB971" i="22"/>
  <c r="AE970" i="22"/>
  <c r="AF970" i="22"/>
  <c r="AK972" i="22" l="1"/>
  <c r="AN971" i="22"/>
  <c r="AO971" i="22" s="1"/>
  <c r="AC975" i="22"/>
  <c r="AG974" i="22"/>
  <c r="AB972" i="22"/>
  <c r="AE971" i="22"/>
  <c r="AF971" i="22"/>
  <c r="T798" i="22"/>
  <c r="W797" i="22"/>
  <c r="X797" i="22" s="1"/>
  <c r="AB973" i="22" l="1"/>
  <c r="AE972" i="22"/>
  <c r="AF972" i="22"/>
  <c r="AC976" i="22"/>
  <c r="AG975" i="22"/>
  <c r="AK973" i="22"/>
  <c r="AN972" i="22"/>
  <c r="AO972" i="22" s="1"/>
  <c r="T799" i="22"/>
  <c r="W798" i="22"/>
  <c r="X798" i="22" s="1"/>
  <c r="AK974" i="22" l="1"/>
  <c r="AN973" i="22"/>
  <c r="AO973" i="22" s="1"/>
  <c r="AC977" i="22"/>
  <c r="AG976" i="22"/>
  <c r="AB974" i="22"/>
  <c r="AE973" i="22"/>
  <c r="AF973" i="22"/>
  <c r="W799" i="22"/>
  <c r="X799" i="22" s="1"/>
  <c r="T800" i="22"/>
  <c r="AB975" i="22" l="1"/>
  <c r="AE974" i="22"/>
  <c r="AF974" i="22"/>
  <c r="AC978" i="22"/>
  <c r="AG977" i="22"/>
  <c r="AK975" i="22"/>
  <c r="AN974" i="22"/>
  <c r="AO974" i="22" s="1"/>
  <c r="T801" i="22"/>
  <c r="W800" i="22"/>
  <c r="X800" i="22" s="1"/>
  <c r="T802" i="22" l="1"/>
  <c r="W801" i="22"/>
  <c r="X801" i="22" s="1"/>
  <c r="AK976" i="22"/>
  <c r="AN975" i="22"/>
  <c r="AO975" i="22" s="1"/>
  <c r="AC979" i="22"/>
  <c r="AG978" i="22"/>
  <c r="AE975" i="22"/>
  <c r="AB976" i="22"/>
  <c r="AF975" i="22"/>
  <c r="AC980" i="22" l="1"/>
  <c r="AG979" i="22"/>
  <c r="AB977" i="22"/>
  <c r="AE976" i="22"/>
  <c r="AF976" i="22"/>
  <c r="AK977" i="22"/>
  <c r="AN976" i="22"/>
  <c r="AO976" i="22" s="1"/>
  <c r="T803" i="22"/>
  <c r="W802" i="22"/>
  <c r="X802" i="22" s="1"/>
  <c r="AK978" i="22" l="1"/>
  <c r="AN977" i="22"/>
  <c r="AO977" i="22" s="1"/>
  <c r="AB978" i="22"/>
  <c r="AE977" i="22"/>
  <c r="AF977" i="22"/>
  <c r="T804" i="22"/>
  <c r="W803" i="22"/>
  <c r="X803" i="22" s="1"/>
  <c r="AC981" i="22"/>
  <c r="AG980" i="22"/>
  <c r="AC982" i="22" l="1"/>
  <c r="AG981" i="22"/>
  <c r="T805" i="22"/>
  <c r="W804" i="22"/>
  <c r="X804" i="22" s="1"/>
  <c r="AB979" i="22"/>
  <c r="AE978" i="22"/>
  <c r="AF978" i="22"/>
  <c r="AK979" i="22"/>
  <c r="AN978" i="22"/>
  <c r="AO978" i="22" s="1"/>
  <c r="AK980" i="22" l="1"/>
  <c r="AN979" i="22"/>
  <c r="AO979" i="22" s="1"/>
  <c r="AB980" i="22"/>
  <c r="AE979" i="22"/>
  <c r="AF979" i="22"/>
  <c r="T806" i="22"/>
  <c r="W805" i="22"/>
  <c r="X805" i="22" s="1"/>
  <c r="AC983" i="22"/>
  <c r="AG982" i="22"/>
  <c r="AK981" i="22" l="1"/>
  <c r="AN980" i="22"/>
  <c r="AO980" i="22" s="1"/>
  <c r="AC984" i="22"/>
  <c r="AG983" i="22"/>
  <c r="T807" i="22"/>
  <c r="W806" i="22"/>
  <c r="X806" i="22" s="1"/>
  <c r="AB981" i="22"/>
  <c r="AE980" i="22"/>
  <c r="AF980" i="22"/>
  <c r="AB982" i="22" l="1"/>
  <c r="AE981" i="22"/>
  <c r="AF981" i="22"/>
  <c r="T808" i="22"/>
  <c r="W807" i="22"/>
  <c r="X807" i="22" s="1"/>
  <c r="AC985" i="22"/>
  <c r="AG984" i="22"/>
  <c r="AK982" i="22"/>
  <c r="AN981" i="22"/>
  <c r="AO981" i="22" s="1"/>
  <c r="AK983" i="22" l="1"/>
  <c r="AN982" i="22"/>
  <c r="AO982" i="22" s="1"/>
  <c r="AC986" i="22"/>
  <c r="AG985" i="22"/>
  <c r="T809" i="22"/>
  <c r="W808" i="22"/>
  <c r="X808" i="22" s="1"/>
  <c r="AB983" i="22"/>
  <c r="AE982" i="22"/>
  <c r="AF982" i="22"/>
  <c r="AE983" i="22" l="1"/>
  <c r="AB984" i="22"/>
  <c r="AF983" i="22"/>
  <c r="W809" i="22"/>
  <c r="X809" i="22" s="1"/>
  <c r="T810" i="22"/>
  <c r="AC987" i="22"/>
  <c r="AG986" i="22"/>
  <c r="AK984" i="22"/>
  <c r="AN983" i="22"/>
  <c r="AO983" i="22" s="1"/>
  <c r="AC988" i="22" l="1"/>
  <c r="AG987" i="22"/>
  <c r="T811" i="22"/>
  <c r="W810" i="22"/>
  <c r="X810" i="22" s="1"/>
  <c r="AB985" i="22"/>
  <c r="AE984" i="22"/>
  <c r="AF984" i="22"/>
  <c r="AK985" i="22"/>
  <c r="AN984" i="22"/>
  <c r="AO984" i="22" s="1"/>
  <c r="T812" i="22" l="1"/>
  <c r="W811" i="22"/>
  <c r="X811" i="22" s="1"/>
  <c r="AE985" i="22"/>
  <c r="AB986" i="22"/>
  <c r="AF985" i="22"/>
  <c r="AK986" i="22"/>
  <c r="AN985" i="22"/>
  <c r="AO985" i="22" s="1"/>
  <c r="AC989" i="22"/>
  <c r="AG988" i="22"/>
  <c r="T813" i="22" l="1"/>
  <c r="W812" i="22"/>
  <c r="X812" i="22" s="1"/>
  <c r="AC990" i="22"/>
  <c r="AG989" i="22"/>
  <c r="AK987" i="22"/>
  <c r="AN986" i="22"/>
  <c r="AO986" i="22" s="1"/>
  <c r="AB987" i="22"/>
  <c r="AE986" i="22"/>
  <c r="AF986" i="22"/>
  <c r="AB988" i="22" l="1"/>
  <c r="AE987" i="22"/>
  <c r="AF987" i="22"/>
  <c r="AK988" i="22"/>
  <c r="AN987" i="22"/>
  <c r="AO987" i="22" s="1"/>
  <c r="AC991" i="22"/>
  <c r="AG990" i="22"/>
  <c r="T814" i="22"/>
  <c r="W813" i="22"/>
  <c r="X813" i="22" s="1"/>
  <c r="AC992" i="22" l="1"/>
  <c r="AG991" i="22"/>
  <c r="AK989" i="22"/>
  <c r="AN988" i="22"/>
  <c r="AO988" i="22" s="1"/>
  <c r="AB989" i="22"/>
  <c r="AE988" i="22"/>
  <c r="AF988" i="22"/>
  <c r="T815" i="22"/>
  <c r="W814" i="22"/>
  <c r="X814" i="22" s="1"/>
  <c r="W815" i="22" l="1"/>
  <c r="X815" i="22" s="1"/>
  <c r="T816" i="22"/>
  <c r="AE989" i="22"/>
  <c r="AB990" i="22"/>
  <c r="AF989" i="22"/>
  <c r="AK990" i="22"/>
  <c r="AN989" i="22"/>
  <c r="AO989" i="22" s="1"/>
  <c r="AG992" i="22"/>
  <c r="AC993" i="22"/>
  <c r="AC994" i="22" l="1"/>
  <c r="AG993" i="22"/>
  <c r="AK991" i="22"/>
  <c r="AN990" i="22"/>
  <c r="AO990" i="22" s="1"/>
  <c r="AB991" i="22"/>
  <c r="AE990" i="22"/>
  <c r="AF990" i="22"/>
  <c r="W816" i="22"/>
  <c r="X816" i="22" s="1"/>
  <c r="T817" i="22"/>
  <c r="AE991" i="22" l="1"/>
  <c r="AB992" i="22"/>
  <c r="AF991" i="22"/>
  <c r="AK992" i="22"/>
  <c r="AN991" i="22"/>
  <c r="AO991" i="22" s="1"/>
  <c r="AC995" i="22"/>
  <c r="AG994" i="22"/>
  <c r="T818" i="22"/>
  <c r="W817" i="22"/>
  <c r="X817" i="22" s="1"/>
  <c r="W818" i="22" l="1"/>
  <c r="X818" i="22" s="1"/>
  <c r="T819" i="22"/>
  <c r="AC996" i="22"/>
  <c r="AG995" i="22"/>
  <c r="AK993" i="22"/>
  <c r="AN992" i="22"/>
  <c r="AO992" i="22" s="1"/>
  <c r="AE992" i="22"/>
  <c r="AB993" i="22"/>
  <c r="AF992" i="22"/>
  <c r="AB994" i="22" l="1"/>
  <c r="AE993" i="22"/>
  <c r="AF993" i="22"/>
  <c r="AK994" i="22"/>
  <c r="AN993" i="22"/>
  <c r="AO993" i="22" s="1"/>
  <c r="AC997" i="22"/>
  <c r="AG996" i="22"/>
  <c r="T820" i="22"/>
  <c r="W819" i="22"/>
  <c r="X819" i="22" s="1"/>
  <c r="T821" i="22" l="1"/>
  <c r="W820" i="22"/>
  <c r="X820" i="22" s="1"/>
  <c r="AC998" i="22"/>
  <c r="AG997" i="22"/>
  <c r="AK995" i="22"/>
  <c r="AN994" i="22"/>
  <c r="AO994" i="22" s="1"/>
  <c r="AB995" i="22"/>
  <c r="AE994" i="22"/>
  <c r="AF994" i="22"/>
  <c r="AC999" i="22" l="1"/>
  <c r="AG998" i="22"/>
  <c r="T822" i="22"/>
  <c r="W821" i="22"/>
  <c r="X821" i="22" s="1"/>
  <c r="AE995" i="22"/>
  <c r="AB996" i="22"/>
  <c r="AF995" i="22"/>
  <c r="AK996" i="22"/>
  <c r="AN995" i="22"/>
  <c r="AO995" i="22" s="1"/>
  <c r="AK997" i="22" l="1"/>
  <c r="AN996" i="22"/>
  <c r="AO996" i="22" s="1"/>
  <c r="AB997" i="22"/>
  <c r="AE996" i="22"/>
  <c r="AF996" i="22"/>
  <c r="T823" i="22"/>
  <c r="W822" i="22"/>
  <c r="X822" i="22" s="1"/>
  <c r="AC1000" i="22"/>
  <c r="AG999" i="22"/>
  <c r="AC1001" i="22" l="1"/>
  <c r="AG1000" i="22"/>
  <c r="T824" i="22"/>
  <c r="W823" i="22"/>
  <c r="X823" i="22" s="1"/>
  <c r="AB998" i="22"/>
  <c r="AE997" i="22"/>
  <c r="AF997" i="22"/>
  <c r="AK998" i="22"/>
  <c r="AN997" i="22"/>
  <c r="AO997" i="22" s="1"/>
  <c r="AK999" i="22" l="1"/>
  <c r="AN998" i="22"/>
  <c r="AO998" i="22" s="1"/>
  <c r="AE998" i="22"/>
  <c r="AB999" i="22"/>
  <c r="AF998" i="22"/>
  <c r="W824" i="22"/>
  <c r="X824" i="22" s="1"/>
  <c r="T825" i="22"/>
  <c r="AC1002" i="22"/>
  <c r="AG1001" i="22"/>
  <c r="AE999" i="22" l="1"/>
  <c r="AB1000" i="22"/>
  <c r="AF999" i="22"/>
  <c r="AK1000" i="22"/>
  <c r="AN999" i="22"/>
  <c r="AO999" i="22" s="1"/>
  <c r="AC1003" i="22"/>
  <c r="AG1002" i="22"/>
  <c r="T826" i="22"/>
  <c r="W825" i="22"/>
  <c r="X825" i="22" s="1"/>
  <c r="T827" i="22" l="1"/>
  <c r="W826" i="22"/>
  <c r="X826" i="22" s="1"/>
  <c r="AC1004" i="22"/>
  <c r="AG1003" i="22"/>
  <c r="AK1001" i="22"/>
  <c r="AN1000" i="22"/>
  <c r="AO1000" i="22" s="1"/>
  <c r="AB1001" i="22"/>
  <c r="AE1000" i="22"/>
  <c r="AF1000" i="22"/>
  <c r="AE1001" i="22" l="1"/>
  <c r="AB1002" i="22"/>
  <c r="AF1001" i="22"/>
  <c r="AK1002" i="22"/>
  <c r="AN1001" i="22"/>
  <c r="AO1001" i="22" s="1"/>
  <c r="AC1005" i="22"/>
  <c r="AG1004" i="22"/>
  <c r="T828" i="22"/>
  <c r="W827" i="22"/>
  <c r="X827" i="22" s="1"/>
  <c r="T829" i="22" l="1"/>
  <c r="W828" i="22"/>
  <c r="X828" i="22" s="1"/>
  <c r="AC1006" i="22"/>
  <c r="AG1005" i="22"/>
  <c r="AK1003" i="22"/>
  <c r="AN1002" i="22"/>
  <c r="AO1002" i="22" s="1"/>
  <c r="AB1003" i="22"/>
  <c r="AE1002" i="22"/>
  <c r="AF1002" i="22"/>
  <c r="T830" i="22" l="1"/>
  <c r="W829" i="22"/>
  <c r="X829" i="22" s="1"/>
  <c r="AB1004" i="22"/>
  <c r="AE1003" i="22"/>
  <c r="AF1003" i="22"/>
  <c r="AK1004" i="22"/>
  <c r="AN1003" i="22"/>
  <c r="AO1003" i="22" s="1"/>
  <c r="AC1007" i="22"/>
  <c r="AG1006" i="22"/>
  <c r="AK1005" i="22" l="1"/>
  <c r="AN1004" i="22"/>
  <c r="AO1004" i="22" s="1"/>
  <c r="AE1004" i="22"/>
  <c r="AB1005" i="22"/>
  <c r="AF1004" i="22"/>
  <c r="AC1008" i="22"/>
  <c r="AG1007" i="22"/>
  <c r="T831" i="22"/>
  <c r="W830" i="22"/>
  <c r="X830" i="22" s="1"/>
  <c r="W831" i="22" l="1"/>
  <c r="X831" i="22" s="1"/>
  <c r="T832" i="22"/>
  <c r="AC1009" i="22"/>
  <c r="AG1008" i="22"/>
  <c r="AE1005" i="22"/>
  <c r="AB1006" i="22"/>
  <c r="AF1005" i="22"/>
  <c r="AK1006" i="22"/>
  <c r="AN1005" i="22"/>
  <c r="AO1005" i="22" s="1"/>
  <c r="AK1007" i="22" l="1"/>
  <c r="AN1006" i="22"/>
  <c r="AO1006" i="22" s="1"/>
  <c r="AB1007" i="22"/>
  <c r="AE1006" i="22"/>
  <c r="AF1006" i="22"/>
  <c r="AC1010" i="22"/>
  <c r="AG1009" i="22"/>
  <c r="T833" i="22"/>
  <c r="W832" i="22"/>
  <c r="X832" i="22" s="1"/>
  <c r="AC1011" i="22" l="1"/>
  <c r="AG1010" i="22"/>
  <c r="W833" i="22"/>
  <c r="X833" i="22" s="1"/>
  <c r="T834" i="22"/>
  <c r="AE1007" i="22"/>
  <c r="AB1008" i="22"/>
  <c r="AF1007" i="22"/>
  <c r="AK1008" i="22"/>
  <c r="AN1007" i="22"/>
  <c r="AO1007" i="22" s="1"/>
  <c r="AC1012" i="22" l="1"/>
  <c r="AG1011" i="22"/>
  <c r="AK1009" i="22"/>
  <c r="AN1008" i="22"/>
  <c r="AO1008" i="22" s="1"/>
  <c r="AE1008" i="22"/>
  <c r="AB1009" i="22"/>
  <c r="AF1008" i="22"/>
  <c r="T835" i="22"/>
  <c r="W834" i="22"/>
  <c r="X834" i="22" s="1"/>
  <c r="AE1009" i="22" l="1"/>
  <c r="AB1010" i="22"/>
  <c r="AF1009" i="22"/>
  <c r="W835" i="22"/>
  <c r="X835" i="22" s="1"/>
  <c r="T836" i="22"/>
  <c r="AK1010" i="22"/>
  <c r="AN1009" i="22"/>
  <c r="AO1009" i="22" s="1"/>
  <c r="AC1013" i="22"/>
  <c r="AG1012" i="22"/>
  <c r="AC1014" i="22" l="1"/>
  <c r="AG1013" i="22"/>
  <c r="AK1011" i="22"/>
  <c r="AN1010" i="22"/>
  <c r="AO1010" i="22" s="1"/>
  <c r="T837" i="22"/>
  <c r="W836" i="22"/>
  <c r="X836" i="22" s="1"/>
  <c r="AB1011" i="22"/>
  <c r="AE1010" i="22"/>
  <c r="AF1010" i="22"/>
  <c r="AC1015" i="22" l="1"/>
  <c r="AG1014" i="22"/>
  <c r="AE1011" i="22"/>
  <c r="AB1012" i="22"/>
  <c r="AF1011" i="22"/>
  <c r="T838" i="22"/>
  <c r="W837" i="22"/>
  <c r="X837" i="22" s="1"/>
  <c r="AK1012" i="22"/>
  <c r="AN1011" i="22"/>
  <c r="AO1011" i="22" s="1"/>
  <c r="AK1013" i="22" l="1"/>
  <c r="AN1012" i="22"/>
  <c r="AO1012" i="22" s="1"/>
  <c r="T839" i="22"/>
  <c r="W838" i="22"/>
  <c r="X838" i="22" s="1"/>
  <c r="AB1013" i="22"/>
  <c r="AE1012" i="22"/>
  <c r="AF1012" i="22"/>
  <c r="AC1016" i="22"/>
  <c r="AG1015" i="22"/>
  <c r="AC1017" i="22" l="1"/>
  <c r="AG1016" i="22"/>
  <c r="AB1014" i="22"/>
  <c r="AE1013" i="22"/>
  <c r="AF1013" i="22"/>
  <c r="T840" i="22"/>
  <c r="W839" i="22"/>
  <c r="X839" i="22" s="1"/>
  <c r="AK1014" i="22"/>
  <c r="AN1013" i="22"/>
  <c r="AO1013" i="22" s="1"/>
  <c r="AK1015" i="22" l="1"/>
  <c r="AN1014" i="22"/>
  <c r="AO1014" i="22" s="1"/>
  <c r="T841" i="22"/>
  <c r="W840" i="22"/>
  <c r="X840" i="22" s="1"/>
  <c r="AE1014" i="22"/>
  <c r="AB1015" i="22"/>
  <c r="AF1014" i="22"/>
  <c r="AC1018" i="22"/>
  <c r="AG1017" i="22"/>
  <c r="AC1019" i="22" l="1"/>
  <c r="AG1018" i="22"/>
  <c r="AE1015" i="22"/>
  <c r="AB1016" i="22"/>
  <c r="AF1015" i="22"/>
  <c r="W841" i="22"/>
  <c r="X841" i="22" s="1"/>
  <c r="T842" i="22"/>
  <c r="AK1016" i="22"/>
  <c r="AN1015" i="22"/>
  <c r="AO1015" i="22" s="1"/>
  <c r="AK1017" i="22" l="1"/>
  <c r="AN1016" i="22"/>
  <c r="AO1016" i="22" s="1"/>
  <c r="T843" i="22"/>
  <c r="W842" i="22"/>
  <c r="X842" i="22" s="1"/>
  <c r="AB1017" i="22"/>
  <c r="AE1016" i="22"/>
  <c r="AF1016" i="22"/>
  <c r="AC1020" i="22"/>
  <c r="AG1019" i="22"/>
  <c r="AC1021" i="22" l="1"/>
  <c r="AG1020" i="22"/>
  <c r="AE1017" i="22"/>
  <c r="AB1018" i="22"/>
  <c r="AF1017" i="22"/>
  <c r="T844" i="22"/>
  <c r="W843" i="22"/>
  <c r="X843" i="22" s="1"/>
  <c r="AK1018" i="22"/>
  <c r="AN1017" i="22"/>
  <c r="AO1017" i="22" s="1"/>
  <c r="AC1022" i="22" l="1"/>
  <c r="AG1021" i="22"/>
  <c r="AK1019" i="22"/>
  <c r="AN1018" i="22"/>
  <c r="AO1018" i="22" s="1"/>
  <c r="T845" i="22"/>
  <c r="W844" i="22"/>
  <c r="X844" i="22" s="1"/>
  <c r="AB1019" i="22"/>
  <c r="AE1018" i="22"/>
  <c r="AF1018" i="22"/>
  <c r="AE1019" i="22" l="1"/>
  <c r="AB1020" i="22"/>
  <c r="AF1019" i="22"/>
  <c r="T846" i="22"/>
  <c r="W845" i="22"/>
  <c r="X845" i="22" s="1"/>
  <c r="AK1020" i="22"/>
  <c r="AN1019" i="22"/>
  <c r="AO1019" i="22" s="1"/>
  <c r="AC1023" i="22"/>
  <c r="AG1022" i="22"/>
  <c r="AC1024" i="22" l="1"/>
  <c r="AG1023" i="22"/>
  <c r="AK1021" i="22"/>
  <c r="AN1020" i="22"/>
  <c r="AO1020" i="22" s="1"/>
  <c r="T847" i="22"/>
  <c r="W846" i="22"/>
  <c r="X846" i="22" s="1"/>
  <c r="AE1020" i="22"/>
  <c r="AB1021" i="22"/>
  <c r="AF1020" i="22"/>
  <c r="AB1022" i="22" l="1"/>
  <c r="AE1021" i="22"/>
  <c r="AF1021" i="22"/>
  <c r="T848" i="22"/>
  <c r="W847" i="22"/>
  <c r="X847" i="22" s="1"/>
  <c r="AK1022" i="22"/>
  <c r="AN1021" i="22"/>
  <c r="AO1021" i="22" s="1"/>
  <c r="AC1025" i="22"/>
  <c r="AG1024" i="22"/>
  <c r="AB1023" i="22" l="1"/>
  <c r="AE1022" i="22"/>
  <c r="AF1022" i="22"/>
  <c r="AC1026" i="22"/>
  <c r="AG1025" i="22"/>
  <c r="AK1023" i="22"/>
  <c r="AN1022" i="22"/>
  <c r="AO1022" i="22" s="1"/>
  <c r="T849" i="22"/>
  <c r="W848" i="22"/>
  <c r="X848" i="22" s="1"/>
  <c r="AE1023" i="22" l="1"/>
  <c r="AB1024" i="22"/>
  <c r="AF1023" i="22"/>
  <c r="T850" i="22"/>
  <c r="W849" i="22"/>
  <c r="X849" i="22" s="1"/>
  <c r="AK1024" i="22"/>
  <c r="AN1023" i="22"/>
  <c r="AO1023" i="22" s="1"/>
  <c r="AC1027" i="22"/>
  <c r="AG1026" i="22"/>
  <c r="AC1028" i="22" l="1"/>
  <c r="AG1027" i="22"/>
  <c r="AK1025" i="22"/>
  <c r="AN1024" i="22"/>
  <c r="AO1024" i="22" s="1"/>
  <c r="T851" i="22"/>
  <c r="W850" i="22"/>
  <c r="X850" i="22" s="1"/>
  <c r="AB1025" i="22"/>
  <c r="AE1024" i="22"/>
  <c r="AF1024" i="22"/>
  <c r="AB1026" i="22" l="1"/>
  <c r="AE1025" i="22"/>
  <c r="AF1025" i="22"/>
  <c r="T852" i="22"/>
  <c r="W851" i="22"/>
  <c r="X851" i="22" s="1"/>
  <c r="AK1026" i="22"/>
  <c r="AN1025" i="22"/>
  <c r="AO1025" i="22" s="1"/>
  <c r="AC1029" i="22"/>
  <c r="AG1028" i="22"/>
  <c r="AC1030" i="22" l="1"/>
  <c r="AG1029" i="22"/>
  <c r="AK1027" i="22"/>
  <c r="AN1026" i="22"/>
  <c r="AO1026" i="22" s="1"/>
  <c r="T853" i="22"/>
  <c r="W852" i="22"/>
  <c r="X852" i="22" s="1"/>
  <c r="AB1027" i="22"/>
  <c r="AE1026" i="22"/>
  <c r="AF1026" i="22"/>
  <c r="AB1028" i="22" l="1"/>
  <c r="AE1027" i="22"/>
  <c r="AF1027" i="22"/>
  <c r="T854" i="22"/>
  <c r="W853" i="22"/>
  <c r="X853" i="22" s="1"/>
  <c r="AK1028" i="22"/>
  <c r="AN1027" i="22"/>
  <c r="AO1027" i="22" s="1"/>
  <c r="AC1031" i="22"/>
  <c r="AG1030" i="22"/>
  <c r="AC1032" i="22" l="1"/>
  <c r="AG1031" i="22"/>
  <c r="AK1029" i="22"/>
  <c r="AN1028" i="22"/>
  <c r="AO1028" i="22" s="1"/>
  <c r="T855" i="22"/>
  <c r="W854" i="22"/>
  <c r="X854" i="22" s="1"/>
  <c r="AB1029" i="22"/>
  <c r="AE1028" i="22"/>
  <c r="AF1028" i="22"/>
  <c r="AB1030" i="22" l="1"/>
  <c r="AE1029" i="22"/>
  <c r="AF1029" i="22"/>
  <c r="W855" i="22"/>
  <c r="X855" i="22" s="1"/>
  <c r="T856" i="22"/>
  <c r="AK1030" i="22"/>
  <c r="AN1029" i="22"/>
  <c r="AO1029" i="22" s="1"/>
  <c r="AC1033" i="22"/>
  <c r="AG1032" i="22"/>
  <c r="AC1034" i="22" l="1"/>
  <c r="AG1033" i="22"/>
  <c r="AK1031" i="22"/>
  <c r="AN1030" i="22"/>
  <c r="AO1030" i="22" s="1"/>
  <c r="T857" i="22"/>
  <c r="W856" i="22"/>
  <c r="X856" i="22" s="1"/>
  <c r="AB1031" i="22"/>
  <c r="AE1030" i="22"/>
  <c r="AF1030" i="22"/>
  <c r="AE1031" i="22" l="1"/>
  <c r="AB1032" i="22"/>
  <c r="AF1031" i="22"/>
  <c r="W857" i="22"/>
  <c r="X857" i="22" s="1"/>
  <c r="T858" i="22"/>
  <c r="AK1032" i="22"/>
  <c r="AN1031" i="22"/>
  <c r="AO1031" i="22" s="1"/>
  <c r="AC1035" i="22"/>
  <c r="AG1034" i="22"/>
  <c r="AC1036" i="22" l="1"/>
  <c r="AG1035" i="22"/>
  <c r="AK1033" i="22"/>
  <c r="AN1032" i="22"/>
  <c r="AO1032" i="22" s="1"/>
  <c r="T859" i="22"/>
  <c r="W858" i="22"/>
  <c r="X858" i="22" s="1"/>
  <c r="AB1033" i="22"/>
  <c r="AE1032" i="22"/>
  <c r="AF1032" i="22"/>
  <c r="AC1037" i="22" l="1"/>
  <c r="AG1036" i="22"/>
  <c r="AB1034" i="22"/>
  <c r="AE1033" i="22"/>
  <c r="AF1033" i="22"/>
  <c r="T860" i="22"/>
  <c r="W859" i="22"/>
  <c r="X859" i="22" s="1"/>
  <c r="AK1034" i="22"/>
  <c r="AN1033" i="22"/>
  <c r="AO1033" i="22" s="1"/>
  <c r="AK1035" i="22" l="1"/>
  <c r="AN1034" i="22"/>
  <c r="AO1034" i="22" s="1"/>
  <c r="T861" i="22"/>
  <c r="W860" i="22"/>
  <c r="X860" i="22" s="1"/>
  <c r="AB1035" i="22"/>
  <c r="AE1034" i="22"/>
  <c r="AF1034" i="22"/>
  <c r="AC1038" i="22"/>
  <c r="AG1037" i="22"/>
  <c r="AC1039" i="22" l="1"/>
  <c r="AG1038" i="22"/>
  <c r="AB1036" i="22"/>
  <c r="AE1035" i="22"/>
  <c r="AF1035" i="22"/>
  <c r="T862" i="22"/>
  <c r="W861" i="22"/>
  <c r="X861" i="22" s="1"/>
  <c r="AK1036" i="22"/>
  <c r="AN1035" i="22"/>
  <c r="AO1035" i="22" s="1"/>
  <c r="AC1040" i="22" l="1"/>
  <c r="AG1039" i="22"/>
  <c r="AK1037" i="22"/>
  <c r="AN1036" i="22"/>
  <c r="AO1036" i="22" s="1"/>
  <c r="T863" i="22"/>
  <c r="W862" i="22"/>
  <c r="X862" i="22" s="1"/>
  <c r="AB1037" i="22"/>
  <c r="AE1036" i="22"/>
  <c r="AF1036" i="22"/>
  <c r="AE1037" i="22" l="1"/>
  <c r="AB1038" i="22"/>
  <c r="AF1037" i="22"/>
  <c r="W863" i="22"/>
  <c r="X863" i="22" s="1"/>
  <c r="T864" i="22"/>
  <c r="AK1038" i="22"/>
  <c r="AN1037" i="22"/>
  <c r="AO1037" i="22" s="1"/>
  <c r="AC1041" i="22"/>
  <c r="AG1040" i="22"/>
  <c r="AC1042" i="22" l="1"/>
  <c r="AG1041" i="22"/>
  <c r="AK1039" i="22"/>
  <c r="AN1038" i="22"/>
  <c r="AO1038" i="22" s="1"/>
  <c r="T865" i="22"/>
  <c r="W864" i="22"/>
  <c r="X864" i="22" s="1"/>
  <c r="AB1039" i="22"/>
  <c r="AE1038" i="22"/>
  <c r="AF1038" i="22"/>
  <c r="AE1039" i="22" l="1"/>
  <c r="AB1040" i="22"/>
  <c r="AF1039" i="22"/>
  <c r="T866" i="22"/>
  <c r="W865" i="22"/>
  <c r="X865" i="22" s="1"/>
  <c r="AK1040" i="22"/>
  <c r="AN1039" i="22"/>
  <c r="AO1039" i="22" s="1"/>
  <c r="AC1043" i="22"/>
  <c r="AG1042" i="22"/>
  <c r="AC1044" i="22" l="1"/>
  <c r="AG1043" i="22"/>
  <c r="AK1041" i="22"/>
  <c r="AN1040" i="22"/>
  <c r="AO1040" i="22" s="1"/>
  <c r="T867" i="22"/>
  <c r="W866" i="22"/>
  <c r="X866" i="22" s="1"/>
  <c r="AB1041" i="22"/>
  <c r="AE1040" i="22"/>
  <c r="AF1040" i="22"/>
  <c r="AB1042" i="22" l="1"/>
  <c r="AE1041" i="22"/>
  <c r="AF1041" i="22"/>
  <c r="T868" i="22"/>
  <c r="W867" i="22"/>
  <c r="X867" i="22" s="1"/>
  <c r="AK1042" i="22"/>
  <c r="AN1041" i="22"/>
  <c r="AO1041" i="22" s="1"/>
  <c r="AC1045" i="22"/>
  <c r="AG1044" i="22"/>
  <c r="AC1046" i="22" l="1"/>
  <c r="AG1045" i="22"/>
  <c r="AK1043" i="22"/>
  <c r="AN1042" i="22"/>
  <c r="AO1042" i="22" s="1"/>
  <c r="W868" i="22"/>
  <c r="X868" i="22" s="1"/>
  <c r="T869" i="22"/>
  <c r="AB1043" i="22"/>
  <c r="AE1042" i="22"/>
  <c r="AF1042" i="22"/>
  <c r="AB1044" i="22" l="1"/>
  <c r="AE1043" i="22"/>
  <c r="AF1043" i="22"/>
  <c r="T870" i="22"/>
  <c r="W869" i="22"/>
  <c r="X869" i="22" s="1"/>
  <c r="AK1044" i="22"/>
  <c r="AN1043" i="22"/>
  <c r="AO1043" i="22" s="1"/>
  <c r="AC1047" i="22"/>
  <c r="AG1046" i="22"/>
  <c r="AC1048" i="22" l="1"/>
  <c r="AG1047" i="22"/>
  <c r="AK1045" i="22"/>
  <c r="AN1044" i="22"/>
  <c r="AO1044" i="22" s="1"/>
  <c r="T871" i="22"/>
  <c r="W870" i="22"/>
  <c r="X870" i="22" s="1"/>
  <c r="AB1045" i="22"/>
  <c r="AE1044" i="22"/>
  <c r="AF1044" i="22"/>
  <c r="AB1046" i="22" l="1"/>
  <c r="AE1045" i="22"/>
  <c r="AF1045" i="22"/>
  <c r="W871" i="22"/>
  <c r="X871" i="22" s="1"/>
  <c r="T872" i="22"/>
  <c r="AK1046" i="22"/>
  <c r="AN1045" i="22"/>
  <c r="AO1045" i="22" s="1"/>
  <c r="AC1049" i="22"/>
  <c r="AG1048" i="22"/>
  <c r="AC1050" i="22" l="1"/>
  <c r="AG1049" i="22"/>
  <c r="AK1047" i="22"/>
  <c r="AN1046" i="22"/>
  <c r="AO1046" i="22" s="1"/>
  <c r="T873" i="22"/>
  <c r="W872" i="22"/>
  <c r="X872" i="22" s="1"/>
  <c r="AB1047" i="22"/>
  <c r="AE1046" i="22"/>
  <c r="AF1046" i="22"/>
  <c r="AE1047" i="22" l="1"/>
  <c r="AB1048" i="22"/>
  <c r="AF1047" i="22"/>
  <c r="T874" i="22"/>
  <c r="W873" i="22"/>
  <c r="X873" i="22" s="1"/>
  <c r="AK1048" i="22"/>
  <c r="AN1047" i="22"/>
  <c r="AO1047" i="22" s="1"/>
  <c r="AC1051" i="22"/>
  <c r="AG1050" i="22"/>
  <c r="AC1052" i="22" l="1"/>
  <c r="AG1051" i="22"/>
  <c r="AK1049" i="22"/>
  <c r="AN1048" i="22"/>
  <c r="AO1048" i="22" s="1"/>
  <c r="T875" i="22"/>
  <c r="W874" i="22"/>
  <c r="X874" i="22" s="1"/>
  <c r="AB1049" i="22"/>
  <c r="AE1048" i="22"/>
  <c r="AF1048" i="22"/>
  <c r="AE1049" i="22" l="1"/>
  <c r="AB1050" i="22"/>
  <c r="AF1049" i="22"/>
  <c r="T876" i="22"/>
  <c r="W875" i="22"/>
  <c r="X875" i="22" s="1"/>
  <c r="AK1050" i="22"/>
  <c r="AN1049" i="22"/>
  <c r="AO1049" i="22" s="1"/>
  <c r="AC1053" i="22"/>
  <c r="AG1052" i="22"/>
  <c r="AC1054" i="22" l="1"/>
  <c r="AG1053" i="22"/>
  <c r="AK1051" i="22"/>
  <c r="AN1050" i="22"/>
  <c r="AO1050" i="22" s="1"/>
  <c r="T877" i="22"/>
  <c r="W876" i="22"/>
  <c r="X876" i="22" s="1"/>
  <c r="AB1051" i="22"/>
  <c r="AE1050" i="22"/>
  <c r="AF1050" i="22"/>
  <c r="AB1052" i="22" l="1"/>
  <c r="AE1051" i="22"/>
  <c r="AF1051" i="22"/>
  <c r="T878" i="22"/>
  <c r="W877" i="22"/>
  <c r="X877" i="22" s="1"/>
  <c r="AK1052" i="22"/>
  <c r="AN1051" i="22"/>
  <c r="AO1051" i="22" s="1"/>
  <c r="AC1055" i="22"/>
  <c r="AG1054" i="22"/>
  <c r="AC1056" i="22" l="1"/>
  <c r="AG1055" i="22"/>
  <c r="AK1053" i="22"/>
  <c r="AN1052" i="22"/>
  <c r="AO1052" i="22" s="1"/>
  <c r="T879" i="22"/>
  <c r="W878" i="22"/>
  <c r="X878" i="22" s="1"/>
  <c r="AB1053" i="22"/>
  <c r="AE1052" i="22"/>
  <c r="AF1052" i="22"/>
  <c r="AB1054" i="22" l="1"/>
  <c r="AE1053" i="22"/>
  <c r="AF1053" i="22"/>
  <c r="T880" i="22"/>
  <c r="W879" i="22"/>
  <c r="X879" i="22" s="1"/>
  <c r="AK1054" i="22"/>
  <c r="AN1053" i="22"/>
  <c r="AO1053" i="22" s="1"/>
  <c r="AC1057" i="22"/>
  <c r="AG1056" i="22"/>
  <c r="AC1058" i="22" l="1"/>
  <c r="AG1057" i="22"/>
  <c r="AK1055" i="22"/>
  <c r="AN1054" i="22"/>
  <c r="AO1054" i="22" s="1"/>
  <c r="W880" i="22"/>
  <c r="X880" i="22" s="1"/>
  <c r="T881" i="22"/>
  <c r="AB1055" i="22"/>
  <c r="AE1054" i="22"/>
  <c r="AF1054" i="22"/>
  <c r="AE1055" i="22" l="1"/>
  <c r="AB1056" i="22"/>
  <c r="AF1055" i="22"/>
  <c r="T882" i="22"/>
  <c r="W881" i="22"/>
  <c r="X881" i="22" s="1"/>
  <c r="AK1056" i="22"/>
  <c r="AN1055" i="22"/>
  <c r="AO1055" i="22" s="1"/>
  <c r="AC1059" i="22"/>
  <c r="AG1058" i="22"/>
  <c r="AC1060" i="22" l="1"/>
  <c r="AG1059" i="22"/>
  <c r="AK1057" i="22"/>
  <c r="AN1056" i="22"/>
  <c r="AO1056" i="22" s="1"/>
  <c r="T883" i="22"/>
  <c r="W882" i="22"/>
  <c r="X882" i="22" s="1"/>
  <c r="AE1056" i="22"/>
  <c r="AB1057" i="22"/>
  <c r="AF1056" i="22"/>
  <c r="AB1058" i="22" l="1"/>
  <c r="AE1057" i="22"/>
  <c r="AF1057" i="22"/>
  <c r="T884" i="22"/>
  <c r="W883" i="22"/>
  <c r="X883" i="22" s="1"/>
  <c r="AK1058" i="22"/>
  <c r="AN1057" i="22"/>
  <c r="AO1057" i="22" s="1"/>
  <c r="AC1061" i="22"/>
  <c r="AG1060" i="22"/>
  <c r="AC1062" i="22" l="1"/>
  <c r="AG1061" i="22"/>
  <c r="AK1059" i="22"/>
  <c r="AN1058" i="22"/>
  <c r="AO1058" i="22" s="1"/>
  <c r="T885" i="22"/>
  <c r="W884" i="22"/>
  <c r="X884" i="22" s="1"/>
  <c r="AB1059" i="22"/>
  <c r="AE1058" i="22"/>
  <c r="AF1058" i="22"/>
  <c r="AB1060" i="22" l="1"/>
  <c r="AE1059" i="22"/>
  <c r="AF1059" i="22"/>
  <c r="T886" i="22"/>
  <c r="W885" i="22"/>
  <c r="X885" i="22" s="1"/>
  <c r="AK1060" i="22"/>
  <c r="AN1059" i="22"/>
  <c r="AO1059" i="22" s="1"/>
  <c r="AC1063" i="22"/>
  <c r="AG1062" i="22"/>
  <c r="AC1064" i="22" l="1"/>
  <c r="AG1063" i="22"/>
  <c r="AK1061" i="22"/>
  <c r="AN1060" i="22"/>
  <c r="AO1060" i="22" s="1"/>
  <c r="T887" i="22"/>
  <c r="W886" i="22"/>
  <c r="X886" i="22" s="1"/>
  <c r="AB1061" i="22"/>
  <c r="AE1060" i="22"/>
  <c r="AF1060" i="22"/>
  <c r="AB1062" i="22" l="1"/>
  <c r="AE1061" i="22"/>
  <c r="AF1061" i="22"/>
  <c r="T888" i="22"/>
  <c r="W887" i="22"/>
  <c r="X887" i="22" s="1"/>
  <c r="AK1062" i="22"/>
  <c r="AN1061" i="22"/>
  <c r="AO1061" i="22" s="1"/>
  <c r="AC1065" i="22"/>
  <c r="AG1064" i="22"/>
  <c r="AC1066" i="22" l="1"/>
  <c r="AG1065" i="22"/>
  <c r="AK1063" i="22"/>
  <c r="AN1062" i="22"/>
  <c r="AO1062" i="22" s="1"/>
  <c r="T889" i="22"/>
  <c r="W888" i="22"/>
  <c r="X888" i="22" s="1"/>
  <c r="AE1062" i="22"/>
  <c r="AB1063" i="22"/>
  <c r="AF1062" i="22"/>
  <c r="AE1063" i="22" l="1"/>
  <c r="AB1064" i="22"/>
  <c r="AF1063" i="22"/>
  <c r="T890" i="22"/>
  <c r="W889" i="22"/>
  <c r="X889" i="22" s="1"/>
  <c r="AK1064" i="22"/>
  <c r="AN1063" i="22"/>
  <c r="AO1063" i="22" s="1"/>
  <c r="AC1067" i="22"/>
  <c r="AG1066" i="22"/>
  <c r="AC1068" i="22" l="1"/>
  <c r="AG1067" i="22"/>
  <c r="AK1065" i="22"/>
  <c r="AN1064" i="22"/>
  <c r="AO1064" i="22" s="1"/>
  <c r="W890" i="22"/>
  <c r="X890" i="22" s="1"/>
  <c r="T891" i="22"/>
  <c r="AE1064" i="22"/>
  <c r="AB1065" i="22"/>
  <c r="AF1064" i="22"/>
  <c r="AE1065" i="22" l="1"/>
  <c r="AB1066" i="22"/>
  <c r="AF1065" i="22"/>
  <c r="T892" i="22"/>
  <c r="W891" i="22"/>
  <c r="X891" i="22" s="1"/>
  <c r="AK1066" i="22"/>
  <c r="AN1065" i="22"/>
  <c r="AO1065" i="22" s="1"/>
  <c r="AC1069" i="22"/>
  <c r="AG1068" i="22"/>
  <c r="AC1070" i="22" l="1"/>
  <c r="AG1069" i="22"/>
  <c r="AK1067" i="22"/>
  <c r="AN1066" i="22"/>
  <c r="AO1066" i="22" s="1"/>
  <c r="T893" i="22"/>
  <c r="W892" i="22"/>
  <c r="X892" i="22" s="1"/>
  <c r="AB1067" i="22"/>
  <c r="AE1066" i="22"/>
  <c r="AF1066" i="22"/>
  <c r="AB1068" i="22" l="1"/>
  <c r="AE1067" i="22"/>
  <c r="AF1067" i="22"/>
  <c r="T894" i="22"/>
  <c r="W893" i="22"/>
  <c r="X893" i="22" s="1"/>
  <c r="AK1068" i="22"/>
  <c r="AN1067" i="22"/>
  <c r="AO1067" i="22" s="1"/>
  <c r="AC1071" i="22"/>
  <c r="AG1070" i="22"/>
  <c r="AC1072" i="22" l="1"/>
  <c r="AG1071" i="22"/>
  <c r="AK1069" i="22"/>
  <c r="AN1068" i="22"/>
  <c r="AO1068" i="22" s="1"/>
  <c r="T895" i="22"/>
  <c r="W894" i="22"/>
  <c r="X894" i="22" s="1"/>
  <c r="AB1069" i="22"/>
  <c r="AE1068" i="22"/>
  <c r="AF1068" i="22"/>
  <c r="AB1070" i="22" l="1"/>
  <c r="AE1069" i="22"/>
  <c r="AF1069" i="22"/>
  <c r="T896" i="22"/>
  <c r="W895" i="22"/>
  <c r="X895" i="22" s="1"/>
  <c r="AK1070" i="22"/>
  <c r="AN1069" i="22"/>
  <c r="AO1069" i="22" s="1"/>
  <c r="AC1073" i="22"/>
  <c r="AG1072" i="22"/>
  <c r="AC1074" i="22" l="1"/>
  <c r="AG1073" i="22"/>
  <c r="AK1071" i="22"/>
  <c r="AN1070" i="22"/>
  <c r="AO1070" i="22" s="1"/>
  <c r="T897" i="22"/>
  <c r="W896" i="22"/>
  <c r="X896" i="22" s="1"/>
  <c r="AB1071" i="22"/>
  <c r="AE1070" i="22"/>
  <c r="AF1070" i="22"/>
  <c r="AE1071" i="22" l="1"/>
  <c r="AB1072" i="22"/>
  <c r="AF1071" i="22"/>
  <c r="W897" i="22"/>
  <c r="X897" i="22" s="1"/>
  <c r="T898" i="22"/>
  <c r="AK1072" i="22"/>
  <c r="AN1071" i="22"/>
  <c r="AO1071" i="22" s="1"/>
  <c r="AC1075" i="22"/>
  <c r="AG1074" i="22"/>
  <c r="AC1076" i="22" l="1"/>
  <c r="AG1075" i="22"/>
  <c r="AK1073" i="22"/>
  <c r="AN1072" i="22"/>
  <c r="AO1072" i="22" s="1"/>
  <c r="T899" i="22"/>
  <c r="W898" i="22"/>
  <c r="X898" i="22" s="1"/>
  <c r="AE1072" i="22"/>
  <c r="AB1073" i="22"/>
  <c r="AF1072" i="22"/>
  <c r="AB1074" i="22" l="1"/>
  <c r="AE1073" i="22"/>
  <c r="AF1073" i="22"/>
  <c r="T900" i="22"/>
  <c r="W899" i="22"/>
  <c r="X899" i="22" s="1"/>
  <c r="AK1074" i="22"/>
  <c r="AN1073" i="22"/>
  <c r="AO1073" i="22" s="1"/>
  <c r="AC1077" i="22"/>
  <c r="AG1076" i="22"/>
  <c r="AC1078" i="22" l="1"/>
  <c r="AG1077" i="22"/>
  <c r="AK1075" i="22"/>
  <c r="AN1074" i="22"/>
  <c r="AO1074" i="22" s="1"/>
  <c r="T901" i="22"/>
  <c r="W900" i="22"/>
  <c r="X900" i="22" s="1"/>
  <c r="AB1075" i="22"/>
  <c r="AE1074" i="22"/>
  <c r="AF1074" i="22"/>
  <c r="AE1075" i="22" l="1"/>
  <c r="AB1076" i="22"/>
  <c r="AF1075" i="22"/>
  <c r="T902" i="22"/>
  <c r="W901" i="22"/>
  <c r="X901" i="22" s="1"/>
  <c r="AK1076" i="22"/>
  <c r="AN1075" i="22"/>
  <c r="AO1075" i="22" s="1"/>
  <c r="AC1079" i="22"/>
  <c r="AG1078" i="22"/>
  <c r="AC1080" i="22" l="1"/>
  <c r="AG1079" i="22"/>
  <c r="AK1077" i="22"/>
  <c r="AN1076" i="22"/>
  <c r="AO1076" i="22" s="1"/>
  <c r="T903" i="22"/>
  <c r="W902" i="22"/>
  <c r="X902" i="22" s="1"/>
  <c r="AB1077" i="22"/>
  <c r="AE1076" i="22"/>
  <c r="AF1076" i="22"/>
  <c r="AE1077" i="22" l="1"/>
  <c r="AB1078" i="22"/>
  <c r="AF1077" i="22"/>
  <c r="W903" i="22"/>
  <c r="X903" i="22" s="1"/>
  <c r="T904" i="22"/>
  <c r="AK1078" i="22"/>
  <c r="AN1077" i="22"/>
  <c r="AO1077" i="22" s="1"/>
  <c r="AC1081" i="22"/>
  <c r="AG1080" i="22"/>
  <c r="AC1082" i="22" l="1"/>
  <c r="AG1081" i="22"/>
  <c r="AK1079" i="22"/>
  <c r="AN1078" i="22"/>
  <c r="AO1078" i="22" s="1"/>
  <c r="T905" i="22"/>
  <c r="W904" i="22"/>
  <c r="X904" i="22" s="1"/>
  <c r="AE1078" i="22"/>
  <c r="AB1079" i="22"/>
  <c r="AF1078" i="22"/>
  <c r="AE1079" i="22" l="1"/>
  <c r="AB1080" i="22"/>
  <c r="AF1079" i="22"/>
  <c r="T906" i="22"/>
  <c r="W905" i="22"/>
  <c r="X905" i="22" s="1"/>
  <c r="AK1080" i="22"/>
  <c r="AN1079" i="22"/>
  <c r="AO1079" i="22" s="1"/>
  <c r="AC1083" i="22"/>
  <c r="AG1082" i="22"/>
  <c r="AC1084" i="22" l="1"/>
  <c r="AG1083" i="22"/>
  <c r="AK1081" i="22"/>
  <c r="AN1080" i="22"/>
  <c r="AO1080" i="22" s="1"/>
  <c r="T907" i="22"/>
  <c r="W906" i="22"/>
  <c r="X906" i="22" s="1"/>
  <c r="AB1081" i="22"/>
  <c r="AE1080" i="22"/>
  <c r="AF1080" i="22"/>
  <c r="AE1081" i="22" l="1"/>
  <c r="AB1082" i="22"/>
  <c r="AF1081" i="22"/>
  <c r="W907" i="22"/>
  <c r="X907" i="22" s="1"/>
  <c r="T908" i="22"/>
  <c r="AK1082" i="22"/>
  <c r="AN1081" i="22"/>
  <c r="AO1081" i="22" s="1"/>
  <c r="AC1085" i="22"/>
  <c r="AG1084" i="22"/>
  <c r="AC1086" i="22" l="1"/>
  <c r="AG1085" i="22"/>
  <c r="AK1083" i="22"/>
  <c r="AN1082" i="22"/>
  <c r="AO1082" i="22" s="1"/>
  <c r="W908" i="22"/>
  <c r="X908" i="22" s="1"/>
  <c r="T909" i="22"/>
  <c r="AB1083" i="22"/>
  <c r="AE1082" i="22"/>
  <c r="AF1082" i="22"/>
  <c r="AB1084" i="22" l="1"/>
  <c r="AE1083" i="22"/>
  <c r="AF1083" i="22"/>
  <c r="T910" i="22"/>
  <c r="W909" i="22"/>
  <c r="X909" i="22" s="1"/>
  <c r="AK1084" i="22"/>
  <c r="AN1083" i="22"/>
  <c r="AO1083" i="22" s="1"/>
  <c r="AC1087" i="22"/>
  <c r="AG1086" i="22"/>
  <c r="AC1088" i="22" l="1"/>
  <c r="AG1087" i="22"/>
  <c r="AK1085" i="22"/>
  <c r="AN1084" i="22"/>
  <c r="AO1084" i="22" s="1"/>
  <c r="T911" i="22"/>
  <c r="W910" i="22"/>
  <c r="X910" i="22" s="1"/>
  <c r="AE1084" i="22"/>
  <c r="AB1085" i="22"/>
  <c r="AF1084" i="22"/>
  <c r="AE1085" i="22" l="1"/>
  <c r="AB1086" i="22"/>
  <c r="AF1085" i="22"/>
  <c r="W911" i="22"/>
  <c r="X911" i="22" s="1"/>
  <c r="T912" i="22"/>
  <c r="AK1086" i="22"/>
  <c r="AN1085" i="22"/>
  <c r="AO1085" i="22" s="1"/>
  <c r="AC1089" i="22"/>
  <c r="AG1088" i="22"/>
  <c r="AC1090" i="22" l="1"/>
  <c r="AG1089" i="22"/>
  <c r="AK1087" i="22"/>
  <c r="AN1086" i="22"/>
  <c r="AO1086" i="22" s="1"/>
  <c r="T913" i="22"/>
  <c r="W912" i="22"/>
  <c r="X912" i="22" s="1"/>
  <c r="AB1087" i="22"/>
  <c r="AE1086" i="22"/>
  <c r="AF1086" i="22"/>
  <c r="T914" i="22" l="1"/>
  <c r="W913" i="22"/>
  <c r="X913" i="22" s="1"/>
  <c r="AK1088" i="22"/>
  <c r="AN1087" i="22"/>
  <c r="AO1087" i="22" s="1"/>
  <c r="AB1088" i="22"/>
  <c r="AE1087" i="22"/>
  <c r="AF1087" i="22"/>
  <c r="AC1091" i="22"/>
  <c r="AG1090" i="22"/>
  <c r="AC1092" i="22" l="1"/>
  <c r="AG1091" i="22"/>
  <c r="AK1089" i="22"/>
  <c r="AN1088" i="22"/>
  <c r="AO1088" i="22" s="1"/>
  <c r="T915" i="22"/>
  <c r="W914" i="22"/>
  <c r="X914" i="22" s="1"/>
  <c r="AB1089" i="22"/>
  <c r="AE1088" i="22"/>
  <c r="AF1088" i="22"/>
  <c r="T916" i="22" l="1"/>
  <c r="W915" i="22"/>
  <c r="X915" i="22" s="1"/>
  <c r="AC1093" i="22"/>
  <c r="AG1092" i="22"/>
  <c r="AB1090" i="22"/>
  <c r="AE1089" i="22"/>
  <c r="AF1089" i="22"/>
  <c r="AK1090" i="22"/>
  <c r="AN1089" i="22"/>
  <c r="AO1089" i="22" s="1"/>
  <c r="AK1091" i="22" l="1"/>
  <c r="AN1090" i="22"/>
  <c r="AO1090" i="22" s="1"/>
  <c r="AC1094" i="22"/>
  <c r="AG1093" i="22"/>
  <c r="AB1091" i="22"/>
  <c r="AE1090" i="22"/>
  <c r="AF1090" i="22"/>
  <c r="T917" i="22"/>
  <c r="W916" i="22"/>
  <c r="X916" i="22" s="1"/>
  <c r="AK1092" i="22" l="1"/>
  <c r="AN1091" i="22"/>
  <c r="AO1091" i="22" s="1"/>
  <c r="T918" i="22"/>
  <c r="W917" i="22"/>
  <c r="X917" i="22" s="1"/>
  <c r="AB1092" i="22"/>
  <c r="AE1091" i="22"/>
  <c r="AF1091" i="22"/>
  <c r="AC1095" i="22"/>
  <c r="AG1094" i="22"/>
  <c r="AK1093" i="22" l="1"/>
  <c r="AN1092" i="22"/>
  <c r="AO1092" i="22" s="1"/>
  <c r="AC1096" i="22"/>
  <c r="AG1095" i="22"/>
  <c r="AB1093" i="22"/>
  <c r="AE1092" i="22"/>
  <c r="AF1092" i="22"/>
  <c r="W918" i="22"/>
  <c r="X918" i="22" s="1"/>
  <c r="T919" i="22"/>
  <c r="AB1094" i="22" l="1"/>
  <c r="AE1093" i="22"/>
  <c r="AF1093" i="22"/>
  <c r="T920" i="22"/>
  <c r="W919" i="22"/>
  <c r="X919" i="22" s="1"/>
  <c r="AC1097" i="22"/>
  <c r="AG1096" i="22"/>
  <c r="AK1094" i="22"/>
  <c r="AN1093" i="22"/>
  <c r="AO1093" i="22" s="1"/>
  <c r="AK1095" i="22" l="1"/>
  <c r="AN1094" i="22"/>
  <c r="AO1094" i="22" s="1"/>
  <c r="AC1098" i="22"/>
  <c r="AG1097" i="22"/>
  <c r="T921" i="22"/>
  <c r="W920" i="22"/>
  <c r="X920" i="22" s="1"/>
  <c r="AE1094" i="22"/>
  <c r="AB1095" i="22"/>
  <c r="AF1094" i="22"/>
  <c r="W921" i="22" l="1"/>
  <c r="X921" i="22" s="1"/>
  <c r="T922" i="22"/>
  <c r="AK1096" i="22"/>
  <c r="AN1095" i="22"/>
  <c r="AO1095" i="22" s="1"/>
  <c r="AE1095" i="22"/>
  <c r="AB1096" i="22"/>
  <c r="AF1095" i="22"/>
  <c r="AC1099" i="22"/>
  <c r="AG1098" i="22"/>
  <c r="AC1100" i="22" l="1"/>
  <c r="AG1099" i="22"/>
  <c r="AB1097" i="22"/>
  <c r="AE1096" i="22"/>
  <c r="AF1096" i="22"/>
  <c r="AK1097" i="22"/>
  <c r="AN1096" i="22"/>
  <c r="AO1096" i="22" s="1"/>
  <c r="T923" i="22"/>
  <c r="W922" i="22"/>
  <c r="X922" i="22" s="1"/>
  <c r="T924" i="22" l="1"/>
  <c r="W923" i="22"/>
  <c r="X923" i="22" s="1"/>
  <c r="AK1098" i="22"/>
  <c r="AN1097" i="22"/>
  <c r="AO1097" i="22" s="1"/>
  <c r="AB1098" i="22"/>
  <c r="AE1097" i="22"/>
  <c r="AF1097" i="22"/>
  <c r="AC1101" i="22"/>
  <c r="AG1100" i="22"/>
  <c r="T925" i="22" l="1"/>
  <c r="W924" i="22"/>
  <c r="X924" i="22" s="1"/>
  <c r="AC1102" i="22"/>
  <c r="AG1101" i="22"/>
  <c r="AB1099" i="22"/>
  <c r="AE1098" i="22"/>
  <c r="AF1098" i="22"/>
  <c r="AK1099" i="22"/>
  <c r="AN1098" i="22"/>
  <c r="AO1098" i="22" s="1"/>
  <c r="AK1100" i="22" l="1"/>
  <c r="AN1099" i="22"/>
  <c r="AO1099" i="22" s="1"/>
  <c r="AB1100" i="22"/>
  <c r="AE1099" i="22"/>
  <c r="AF1099" i="22"/>
  <c r="AC1103" i="22"/>
  <c r="AG1102" i="22"/>
  <c r="T926" i="22"/>
  <c r="W925" i="22"/>
  <c r="X925" i="22" s="1"/>
  <c r="AK1101" i="22" l="1"/>
  <c r="AN1100" i="22"/>
  <c r="AO1100" i="22" s="1"/>
  <c r="T927" i="22"/>
  <c r="W926" i="22"/>
  <c r="X926" i="22" s="1"/>
  <c r="AC1104" i="22"/>
  <c r="AG1103" i="22"/>
  <c r="AE1100" i="22"/>
  <c r="AB1101" i="22"/>
  <c r="AF1100" i="22"/>
  <c r="AB1102" i="22" l="1"/>
  <c r="AE1101" i="22"/>
  <c r="AF1101" i="22"/>
  <c r="AC1105" i="22"/>
  <c r="AG1104" i="22"/>
  <c r="W927" i="22"/>
  <c r="X927" i="22" s="1"/>
  <c r="T928" i="22"/>
  <c r="AK1102" i="22"/>
  <c r="AN1101" i="22"/>
  <c r="AO1101" i="22" s="1"/>
  <c r="AK1103" i="22" l="1"/>
  <c r="AN1102" i="22"/>
  <c r="AO1102" i="22" s="1"/>
  <c r="T929" i="22"/>
  <c r="W928" i="22"/>
  <c r="X928" i="22" s="1"/>
  <c r="AC1106" i="22"/>
  <c r="AG1105" i="22"/>
  <c r="AB1103" i="22"/>
  <c r="AE1102" i="22"/>
  <c r="AF1102" i="22"/>
  <c r="AK1104" i="22" l="1"/>
  <c r="AN1103" i="22"/>
  <c r="AO1103" i="22" s="1"/>
  <c r="AB1104" i="22"/>
  <c r="AE1103" i="22"/>
  <c r="AF1103" i="22"/>
  <c r="AC1107" i="22"/>
  <c r="AG1106" i="22"/>
  <c r="T930" i="22"/>
  <c r="W929" i="22"/>
  <c r="X929" i="22" s="1"/>
  <c r="T931" i="22" l="1"/>
  <c r="W930" i="22"/>
  <c r="X930" i="22" s="1"/>
  <c r="AC1108" i="22"/>
  <c r="AG1107" i="22"/>
  <c r="AB1105" i="22"/>
  <c r="AE1104" i="22"/>
  <c r="AF1104" i="22"/>
  <c r="AK1105" i="22"/>
  <c r="AN1104" i="22"/>
  <c r="AO1104" i="22" s="1"/>
  <c r="T932" i="22" l="1"/>
  <c r="W931" i="22"/>
  <c r="X931" i="22" s="1"/>
  <c r="AK1106" i="22"/>
  <c r="AN1105" i="22"/>
  <c r="AO1105" i="22" s="1"/>
  <c r="AB1106" i="22"/>
  <c r="AE1105" i="22"/>
  <c r="AF1105" i="22"/>
  <c r="AC1109" i="22"/>
  <c r="AG1108" i="22"/>
  <c r="T933" i="22" l="1"/>
  <c r="W932" i="22"/>
  <c r="X932" i="22" s="1"/>
  <c r="AC1110" i="22"/>
  <c r="AG1109" i="22"/>
  <c r="AB1107" i="22"/>
  <c r="AE1106" i="22"/>
  <c r="AF1106" i="22"/>
  <c r="AK1107" i="22"/>
  <c r="AN1106" i="22"/>
  <c r="AO1106" i="22" s="1"/>
  <c r="T934" i="22" l="1"/>
  <c r="W933" i="22"/>
  <c r="X933" i="22" s="1"/>
  <c r="AK1108" i="22"/>
  <c r="AN1107" i="22"/>
  <c r="AO1107" i="22" s="1"/>
  <c r="AB1108" i="22"/>
  <c r="AE1107" i="22"/>
  <c r="AF1107" i="22"/>
  <c r="AC1111" i="22"/>
  <c r="AG1110" i="22"/>
  <c r="T935" i="22" l="1"/>
  <c r="W934" i="22"/>
  <c r="X934" i="22" s="1"/>
  <c r="AC1112" i="22"/>
  <c r="AG1111" i="22"/>
  <c r="AB1109" i="22"/>
  <c r="AE1108" i="22"/>
  <c r="AF1108" i="22"/>
  <c r="AK1109" i="22"/>
  <c r="AN1108" i="22"/>
  <c r="AO1108" i="22" s="1"/>
  <c r="T936" i="22" l="1"/>
  <c r="W935" i="22"/>
  <c r="X935" i="22" s="1"/>
  <c r="AK1110" i="22"/>
  <c r="AN1109" i="22"/>
  <c r="AO1109" i="22" s="1"/>
  <c r="AB1110" i="22"/>
  <c r="AE1109" i="22"/>
  <c r="AF1109" i="22"/>
  <c r="AC1113" i="22"/>
  <c r="AG1112" i="22"/>
  <c r="AC1114" i="22" l="1"/>
  <c r="AG1113" i="22"/>
  <c r="AB1111" i="22"/>
  <c r="AE1110" i="22"/>
  <c r="AF1110" i="22"/>
  <c r="AK1111" i="22"/>
  <c r="AN1110" i="22"/>
  <c r="AO1110" i="22" s="1"/>
  <c r="T937" i="22"/>
  <c r="W936" i="22"/>
  <c r="X936" i="22" s="1"/>
  <c r="T938" i="22" l="1"/>
  <c r="W937" i="22"/>
  <c r="X937" i="22" s="1"/>
  <c r="AK1112" i="22"/>
  <c r="AN1111" i="22"/>
  <c r="AO1111" i="22" s="1"/>
  <c r="AB1112" i="22"/>
  <c r="AE1111" i="22"/>
  <c r="AF1111" i="22"/>
  <c r="AC1115" i="22"/>
  <c r="AG1114" i="22"/>
  <c r="AB1113" i="22" l="1"/>
  <c r="AE1112" i="22"/>
  <c r="AF1112" i="22"/>
  <c r="AK1113" i="22"/>
  <c r="AN1112" i="22"/>
  <c r="AO1112" i="22" s="1"/>
  <c r="AC1116" i="22"/>
  <c r="AG1115" i="22"/>
  <c r="T939" i="22"/>
  <c r="W938" i="22"/>
  <c r="X938" i="22" s="1"/>
  <c r="AB1114" i="22" l="1"/>
  <c r="AE1113" i="22"/>
  <c r="AF1113" i="22"/>
  <c r="T940" i="22"/>
  <c r="W939" i="22"/>
  <c r="X939" i="22" s="1"/>
  <c r="AC1117" i="22"/>
  <c r="AG1116" i="22"/>
  <c r="AK1114" i="22"/>
  <c r="AN1113" i="22"/>
  <c r="AO1113" i="22" s="1"/>
  <c r="AK1115" i="22" l="1"/>
  <c r="AN1114" i="22"/>
  <c r="AO1114" i="22" s="1"/>
  <c r="AC1118" i="22"/>
  <c r="AG1117" i="22"/>
  <c r="W940" i="22"/>
  <c r="X940" i="22" s="1"/>
  <c r="T941" i="22"/>
  <c r="AB1115" i="22"/>
  <c r="AE1114" i="22"/>
  <c r="AF1114" i="22"/>
  <c r="AK1116" i="22" l="1"/>
  <c r="AN1115" i="22"/>
  <c r="AO1115" i="22" s="1"/>
  <c r="AB1116" i="22"/>
  <c r="AE1115" i="22"/>
  <c r="AF1115" i="22"/>
  <c r="T942" i="22"/>
  <c r="W941" i="22"/>
  <c r="X941" i="22" s="1"/>
  <c r="AC1119" i="22"/>
  <c r="AG1118" i="22"/>
  <c r="AC1120" i="22" l="1"/>
  <c r="AG1119" i="22"/>
  <c r="T943" i="22"/>
  <c r="W942" i="22"/>
  <c r="X942" i="22" s="1"/>
  <c r="AB1117" i="22"/>
  <c r="AE1116" i="22"/>
  <c r="AF1116" i="22"/>
  <c r="AK1117" i="22"/>
  <c r="AN1116" i="22"/>
  <c r="AO1116" i="22" s="1"/>
  <c r="AC1121" i="22" l="1"/>
  <c r="AG1120" i="22"/>
  <c r="AK1118" i="22"/>
  <c r="AN1117" i="22"/>
  <c r="AO1117" i="22" s="1"/>
  <c r="AB1118" i="22"/>
  <c r="AE1117" i="22"/>
  <c r="AF1117" i="22"/>
  <c r="T944" i="22"/>
  <c r="W943" i="22"/>
  <c r="X943" i="22" s="1"/>
  <c r="AC1122" i="22" l="1"/>
  <c r="AG1121" i="22"/>
  <c r="W944" i="22"/>
  <c r="X944" i="22" s="1"/>
  <c r="T945" i="22"/>
  <c r="AB1119" i="22"/>
  <c r="AE1118" i="22"/>
  <c r="AF1118" i="22"/>
  <c r="AK1119" i="22"/>
  <c r="AN1118" i="22"/>
  <c r="AO1118" i="22" s="1"/>
  <c r="T946" i="22" l="1"/>
  <c r="W945" i="22"/>
  <c r="X945" i="22" s="1"/>
  <c r="AK1120" i="22"/>
  <c r="AN1119" i="22"/>
  <c r="AO1119" i="22" s="1"/>
  <c r="AB1120" i="22"/>
  <c r="AE1119" i="22"/>
  <c r="AF1119" i="22"/>
  <c r="AC1123" i="22"/>
  <c r="AG1122" i="22"/>
  <c r="AC1124" i="22" l="1"/>
  <c r="AG1123" i="22"/>
  <c r="AB1121" i="22"/>
  <c r="AE1120" i="22"/>
  <c r="AF1120" i="22"/>
  <c r="AK1121" i="22"/>
  <c r="AN1120" i="22"/>
  <c r="AO1120" i="22" s="1"/>
  <c r="T947" i="22"/>
  <c r="W946" i="22"/>
  <c r="X946" i="22" s="1"/>
  <c r="T948" i="22" l="1"/>
  <c r="W947" i="22"/>
  <c r="X947" i="22" s="1"/>
  <c r="AK1122" i="22"/>
  <c r="AN1121" i="22"/>
  <c r="AO1121" i="22" s="1"/>
  <c r="AB1122" i="22"/>
  <c r="AE1121" i="22"/>
  <c r="AF1121" i="22"/>
  <c r="AC1125" i="22"/>
  <c r="AG1124" i="22"/>
  <c r="AC1126" i="22" l="1"/>
  <c r="AG1125" i="22"/>
  <c r="AB1123" i="22"/>
  <c r="AE1122" i="22"/>
  <c r="AF1122" i="22"/>
  <c r="AK1123" i="22"/>
  <c r="AN1122" i="22"/>
  <c r="AO1122" i="22" s="1"/>
  <c r="T949" i="22"/>
  <c r="W948" i="22"/>
  <c r="X948" i="22" s="1"/>
  <c r="AC1127" i="22" l="1"/>
  <c r="AG1126" i="22"/>
  <c r="T950" i="22"/>
  <c r="W949" i="22"/>
  <c r="X949" i="22" s="1"/>
  <c r="AK1124" i="22"/>
  <c r="AN1123" i="22"/>
  <c r="AO1123" i="22" s="1"/>
  <c r="AE1123" i="22"/>
  <c r="AB1124" i="22"/>
  <c r="AF1123" i="22"/>
  <c r="AK1125" i="22" l="1"/>
  <c r="AN1124" i="22"/>
  <c r="AO1124" i="22" s="1"/>
  <c r="T951" i="22"/>
  <c r="W950" i="22"/>
  <c r="X950" i="22" s="1"/>
  <c r="AB1125" i="22"/>
  <c r="AE1124" i="22"/>
  <c r="AF1124" i="22"/>
  <c r="AC1128" i="22"/>
  <c r="AG1127" i="22"/>
  <c r="AK1126" i="22" l="1"/>
  <c r="AN1125" i="22"/>
  <c r="AO1125" i="22" s="1"/>
  <c r="AC1129" i="22"/>
  <c r="AG1128" i="22"/>
  <c r="AB1126" i="22"/>
  <c r="AE1125" i="22"/>
  <c r="AF1125" i="22"/>
  <c r="T952" i="22"/>
  <c r="W951" i="22"/>
  <c r="X951" i="22" s="1"/>
  <c r="AK1127" i="22" l="1"/>
  <c r="AN1126" i="22"/>
  <c r="AO1126" i="22" s="1"/>
  <c r="W952" i="22"/>
  <c r="X952" i="22" s="1"/>
  <c r="T953" i="22"/>
  <c r="AE1126" i="22"/>
  <c r="AB1127" i="22"/>
  <c r="AF1126" i="22"/>
  <c r="AC1130" i="22"/>
  <c r="AG1129" i="22"/>
  <c r="AC1131" i="22" l="1"/>
  <c r="AG1130" i="22"/>
  <c r="AE1127" i="22"/>
  <c r="AB1128" i="22"/>
  <c r="AF1127" i="22"/>
  <c r="T954" i="22"/>
  <c r="W953" i="22"/>
  <c r="X953" i="22" s="1"/>
  <c r="AK1128" i="22"/>
  <c r="AN1127" i="22"/>
  <c r="AO1127" i="22" s="1"/>
  <c r="AC1132" i="22" l="1"/>
  <c r="AG1131" i="22"/>
  <c r="AK1129" i="22"/>
  <c r="AN1128" i="22"/>
  <c r="AO1128" i="22" s="1"/>
  <c r="T955" i="22"/>
  <c r="W954" i="22"/>
  <c r="X954" i="22" s="1"/>
  <c r="AE1128" i="22"/>
  <c r="AB1129" i="22"/>
  <c r="AF1128" i="22"/>
  <c r="T956" i="22" l="1"/>
  <c r="W955" i="22"/>
  <c r="X955" i="22" s="1"/>
  <c r="AK1130" i="22"/>
  <c r="AN1129" i="22"/>
  <c r="AO1129" i="22" s="1"/>
  <c r="AB1130" i="22"/>
  <c r="AE1129" i="22"/>
  <c r="AF1129" i="22"/>
  <c r="AG1132" i="22"/>
  <c r="AC1133" i="22"/>
  <c r="T957" i="22" l="1"/>
  <c r="W956" i="22"/>
  <c r="X956" i="22" s="1"/>
  <c r="AC1134" i="22"/>
  <c r="AG1133" i="22"/>
  <c r="AB1131" i="22"/>
  <c r="AE1130" i="22"/>
  <c r="AF1130" i="22"/>
  <c r="AK1131" i="22"/>
  <c r="AN1130" i="22"/>
  <c r="AO1130" i="22" s="1"/>
  <c r="T958" i="22" l="1"/>
  <c r="W957" i="22"/>
  <c r="X957" i="22" s="1"/>
  <c r="AK1132" i="22"/>
  <c r="AN1131" i="22"/>
  <c r="AO1131" i="22" s="1"/>
  <c r="AB1132" i="22"/>
  <c r="AE1131" i="22"/>
  <c r="AF1131" i="22"/>
  <c r="AC1135" i="22"/>
  <c r="AG1134" i="22"/>
  <c r="AC1136" i="22" l="1"/>
  <c r="AG1135" i="22"/>
  <c r="AB1133" i="22"/>
  <c r="AE1132" i="22"/>
  <c r="AF1132" i="22"/>
  <c r="AK1133" i="22"/>
  <c r="AN1132" i="22"/>
  <c r="AO1132" i="22" s="1"/>
  <c r="T959" i="22"/>
  <c r="W958" i="22"/>
  <c r="X958" i="22" s="1"/>
  <c r="AC1137" i="22" l="1"/>
  <c r="AG1136" i="22"/>
  <c r="T960" i="22"/>
  <c r="W959" i="22"/>
  <c r="X959" i="22" s="1"/>
  <c r="AK1134" i="22"/>
  <c r="AN1133" i="22"/>
  <c r="AO1133" i="22" s="1"/>
  <c r="AB1134" i="22"/>
  <c r="AE1133" i="22"/>
  <c r="AF1133" i="22"/>
  <c r="AB1135" i="22" l="1"/>
  <c r="AE1134" i="22"/>
  <c r="AF1134" i="22"/>
  <c r="AK1135" i="22"/>
  <c r="AN1134" i="22"/>
  <c r="AO1134" i="22" s="1"/>
  <c r="T961" i="22"/>
  <c r="W960" i="22"/>
  <c r="X960" i="22" s="1"/>
  <c r="AG1137" i="22"/>
  <c r="AC1138" i="22"/>
  <c r="AC1139" i="22" l="1"/>
  <c r="AG1138" i="22"/>
  <c r="T962" i="22"/>
  <c r="W961" i="22"/>
  <c r="X961" i="22" s="1"/>
  <c r="AK1136" i="22"/>
  <c r="AN1135" i="22"/>
  <c r="AO1135" i="22" s="1"/>
  <c r="AE1135" i="22"/>
  <c r="AB1136" i="22"/>
  <c r="AF1135" i="22"/>
  <c r="AB1137" i="22" l="1"/>
  <c r="AE1136" i="22"/>
  <c r="AF1136" i="22"/>
  <c r="AK1137" i="22"/>
  <c r="AN1136" i="22"/>
  <c r="AO1136" i="22" s="1"/>
  <c r="T963" i="22"/>
  <c r="W962" i="22"/>
  <c r="X962" i="22" s="1"/>
  <c r="AC1140" i="22"/>
  <c r="AG1139" i="22"/>
  <c r="T964" i="22" l="1"/>
  <c r="W963" i="22"/>
  <c r="X963" i="22" s="1"/>
  <c r="AK1138" i="22"/>
  <c r="AN1137" i="22"/>
  <c r="AO1137" i="22" s="1"/>
  <c r="AC1141" i="22"/>
  <c r="AG1140" i="22"/>
  <c r="AE1137" i="22"/>
  <c r="AB1138" i="22"/>
  <c r="AF1137" i="22"/>
  <c r="AB1139" i="22" l="1"/>
  <c r="AE1138" i="22"/>
  <c r="AF1138" i="22"/>
  <c r="AC1142" i="22"/>
  <c r="AG1141" i="22"/>
  <c r="AK1139" i="22"/>
  <c r="AN1138" i="22"/>
  <c r="AO1138" i="22" s="1"/>
  <c r="T965" i="22"/>
  <c r="W964" i="22"/>
  <c r="X964" i="22" s="1"/>
  <c r="T966" i="22" l="1"/>
  <c r="W965" i="22"/>
  <c r="X965" i="22" s="1"/>
  <c r="AK1140" i="22"/>
  <c r="AN1139" i="22"/>
  <c r="AO1139" i="22" s="1"/>
  <c r="AC1143" i="22"/>
  <c r="AG1142" i="22"/>
  <c r="AE1139" i="22"/>
  <c r="AB1140" i="22"/>
  <c r="AF1139" i="22"/>
  <c r="AB1141" i="22" l="1"/>
  <c r="AE1140" i="22"/>
  <c r="AF1140" i="22"/>
  <c r="AC1144" i="22"/>
  <c r="AG1143" i="22"/>
  <c r="AK1141" i="22"/>
  <c r="AN1140" i="22"/>
  <c r="AO1140" i="22" s="1"/>
  <c r="T967" i="22"/>
  <c r="W966" i="22"/>
  <c r="X966" i="22" s="1"/>
  <c r="T968" i="22" l="1"/>
  <c r="W967" i="22"/>
  <c r="X967" i="22" s="1"/>
  <c r="AK1142" i="22"/>
  <c r="AN1141" i="22"/>
  <c r="AO1141" i="22" s="1"/>
  <c r="AG1144" i="22"/>
  <c r="AC1145" i="22"/>
  <c r="AB1142" i="22"/>
  <c r="AE1141" i="22"/>
  <c r="AF1141" i="22"/>
  <c r="AE1142" i="22" l="1"/>
  <c r="AB1143" i="22"/>
  <c r="AF1142" i="22"/>
  <c r="AC1146" i="22"/>
  <c r="AG1145" i="22"/>
  <c r="AK1143" i="22"/>
  <c r="AN1142" i="22"/>
  <c r="AO1142" i="22" s="1"/>
  <c r="T969" i="22"/>
  <c r="W968" i="22"/>
  <c r="X968" i="22" s="1"/>
  <c r="T970" i="22" l="1"/>
  <c r="W969" i="22"/>
  <c r="X969" i="22" s="1"/>
  <c r="AK1144" i="22"/>
  <c r="AN1143" i="22"/>
  <c r="AO1143" i="22" s="1"/>
  <c r="AC1147" i="22"/>
  <c r="AG1146" i="22"/>
  <c r="AE1143" i="22"/>
  <c r="AB1144" i="22"/>
  <c r="AF1143" i="22"/>
  <c r="AB1145" i="22" l="1"/>
  <c r="AE1144" i="22"/>
  <c r="AF1144" i="22"/>
  <c r="AC1148" i="22"/>
  <c r="AG1147" i="22"/>
  <c r="AK1145" i="22"/>
  <c r="AN1144" i="22"/>
  <c r="AO1144" i="22" s="1"/>
  <c r="T971" i="22"/>
  <c r="W970" i="22"/>
  <c r="X970" i="22" s="1"/>
  <c r="T972" i="22" l="1"/>
  <c r="W971" i="22"/>
  <c r="X971" i="22" s="1"/>
  <c r="AK1146" i="22"/>
  <c r="AN1145" i="22"/>
  <c r="AO1145" i="22" s="1"/>
  <c r="AC1149" i="22"/>
  <c r="AG1148" i="22"/>
  <c r="AE1145" i="22"/>
  <c r="AB1146" i="22"/>
  <c r="AF1145" i="22"/>
  <c r="AB1147" i="22" l="1"/>
  <c r="AE1146" i="22"/>
  <c r="AF1146" i="22"/>
  <c r="AC1150" i="22"/>
  <c r="AG1149" i="22"/>
  <c r="AK1147" i="22"/>
  <c r="AN1146" i="22"/>
  <c r="AO1146" i="22" s="1"/>
  <c r="W972" i="22"/>
  <c r="X972" i="22" s="1"/>
  <c r="T973" i="22"/>
  <c r="T974" i="22" l="1"/>
  <c r="W973" i="22"/>
  <c r="X973" i="22" s="1"/>
  <c r="AK1148" i="22"/>
  <c r="AN1147" i="22"/>
  <c r="AO1147" i="22" s="1"/>
  <c r="AC1151" i="22"/>
  <c r="AG1150" i="22"/>
  <c r="AB1148" i="22"/>
  <c r="AE1147" i="22"/>
  <c r="AF1147" i="22"/>
  <c r="AE1148" i="22" l="1"/>
  <c r="AB1149" i="22"/>
  <c r="AF1148" i="22"/>
  <c r="AC1152" i="22"/>
  <c r="AG1151" i="22"/>
  <c r="AK1149" i="22"/>
  <c r="AN1148" i="22"/>
  <c r="AO1148" i="22" s="1"/>
  <c r="T975" i="22"/>
  <c r="W974" i="22"/>
  <c r="X974" i="22" s="1"/>
  <c r="W975" i="22" l="1"/>
  <c r="X975" i="22" s="1"/>
  <c r="T976" i="22"/>
  <c r="AK1150" i="22"/>
  <c r="AN1149" i="22"/>
  <c r="AO1149" i="22" s="1"/>
  <c r="AC1153" i="22"/>
  <c r="AG1152" i="22"/>
  <c r="AB1150" i="22"/>
  <c r="AE1149" i="22"/>
  <c r="AF1149" i="22"/>
  <c r="AC1154" i="22" l="1"/>
  <c r="AG1153" i="22"/>
  <c r="W976" i="22"/>
  <c r="X976" i="22" s="1"/>
  <c r="T977" i="22"/>
  <c r="AE1150" i="22"/>
  <c r="AB1151" i="22"/>
  <c r="AF1150" i="22"/>
  <c r="AK1151" i="22"/>
  <c r="AN1150" i="22"/>
  <c r="AO1150" i="22" s="1"/>
  <c r="AK1152" i="22" l="1"/>
  <c r="AN1151" i="22"/>
  <c r="AO1151" i="22" s="1"/>
  <c r="AE1151" i="22"/>
  <c r="AB1152" i="22"/>
  <c r="AF1151" i="22"/>
  <c r="T978" i="22"/>
  <c r="W977" i="22"/>
  <c r="X977" i="22" s="1"/>
  <c r="AC1155" i="22"/>
  <c r="AG1154" i="22"/>
  <c r="AC1156" i="22" l="1"/>
  <c r="AG1155" i="22"/>
  <c r="T979" i="22"/>
  <c r="W978" i="22"/>
  <c r="X978" i="22" s="1"/>
  <c r="AB1153" i="22"/>
  <c r="AE1152" i="22"/>
  <c r="AF1152" i="22"/>
  <c r="AK1153" i="22"/>
  <c r="AN1152" i="22"/>
  <c r="AO1152" i="22" s="1"/>
  <c r="AK1154" i="22" l="1"/>
  <c r="AN1153" i="22"/>
  <c r="AO1153" i="22" s="1"/>
  <c r="AB1154" i="22"/>
  <c r="AE1153" i="22"/>
  <c r="AF1153" i="22"/>
  <c r="T980" i="22"/>
  <c r="W979" i="22"/>
  <c r="X979" i="22" s="1"/>
  <c r="AC1157" i="22"/>
  <c r="AG1156" i="22"/>
  <c r="AC1158" i="22" l="1"/>
  <c r="AG1157" i="22"/>
  <c r="T981" i="22"/>
  <c r="W980" i="22"/>
  <c r="X980" i="22" s="1"/>
  <c r="AB1155" i="22"/>
  <c r="AE1154" i="22"/>
  <c r="AF1154" i="22"/>
  <c r="AK1155" i="22"/>
  <c r="AN1154" i="22"/>
  <c r="AO1154" i="22" s="1"/>
  <c r="AK1156" i="22" l="1"/>
  <c r="AN1155" i="22"/>
  <c r="AO1155" i="22" s="1"/>
  <c r="AB1156" i="22"/>
  <c r="AE1155" i="22"/>
  <c r="AF1155" i="22"/>
  <c r="T982" i="22"/>
  <c r="W981" i="22"/>
  <c r="X981" i="22" s="1"/>
  <c r="AC1159" i="22"/>
  <c r="AG1158" i="22"/>
  <c r="AC1160" i="22" l="1"/>
  <c r="AG1159" i="22"/>
  <c r="T983" i="22"/>
  <c r="W982" i="22"/>
  <c r="X982" i="22" s="1"/>
  <c r="AB1157" i="22"/>
  <c r="AE1156" i="22"/>
  <c r="AF1156" i="22"/>
  <c r="AK1157" i="22"/>
  <c r="AN1156" i="22"/>
  <c r="AO1156" i="22" s="1"/>
  <c r="AK1158" i="22" l="1"/>
  <c r="AN1157" i="22"/>
  <c r="AO1157" i="22" s="1"/>
  <c r="AB1158" i="22"/>
  <c r="AE1157" i="22"/>
  <c r="AF1157" i="22"/>
  <c r="W983" i="22"/>
  <c r="X983" i="22" s="1"/>
  <c r="T984" i="22"/>
  <c r="AC1161" i="22"/>
  <c r="AG1160" i="22"/>
  <c r="AC1162" i="22" l="1"/>
  <c r="AG1161" i="22"/>
  <c r="T985" i="22"/>
  <c r="W984" i="22"/>
  <c r="X984" i="22" s="1"/>
  <c r="AE1158" i="22"/>
  <c r="AB1159" i="22"/>
  <c r="AF1158" i="22"/>
  <c r="AK1159" i="22"/>
  <c r="AN1158" i="22"/>
  <c r="AO1158" i="22" s="1"/>
  <c r="AK1160" i="22" l="1"/>
  <c r="AN1159" i="22"/>
  <c r="AO1159" i="22" s="1"/>
  <c r="AE1159" i="22"/>
  <c r="AB1160" i="22"/>
  <c r="AF1159" i="22"/>
  <c r="T986" i="22"/>
  <c r="W985" i="22"/>
  <c r="X985" i="22" s="1"/>
  <c r="AC1163" i="22"/>
  <c r="AG1162" i="22"/>
  <c r="AB1161" i="22" l="1"/>
  <c r="AE1160" i="22"/>
  <c r="AF1160" i="22"/>
  <c r="AC1164" i="22"/>
  <c r="AG1163" i="22"/>
  <c r="T987" i="22"/>
  <c r="W986" i="22"/>
  <c r="X986" i="22" s="1"/>
  <c r="AK1161" i="22"/>
  <c r="AN1160" i="22"/>
  <c r="AO1160" i="22" s="1"/>
  <c r="AK1162" i="22" l="1"/>
  <c r="AN1161" i="22"/>
  <c r="AO1161" i="22" s="1"/>
  <c r="T988" i="22"/>
  <c r="W987" i="22"/>
  <c r="X987" i="22" s="1"/>
  <c r="AC1165" i="22"/>
  <c r="AG1164" i="22"/>
  <c r="AB1162" i="22"/>
  <c r="AE1161" i="22"/>
  <c r="AF1161" i="22"/>
  <c r="AB1163" i="22" l="1"/>
  <c r="AE1162" i="22"/>
  <c r="AF1162" i="22"/>
  <c r="AC1166" i="22"/>
  <c r="AG1165" i="22"/>
  <c r="T989" i="22"/>
  <c r="W988" i="22"/>
  <c r="X988" i="22" s="1"/>
  <c r="AK1163" i="22"/>
  <c r="AN1162" i="22"/>
  <c r="AO1162" i="22" s="1"/>
  <c r="AK1164" i="22" l="1"/>
  <c r="AN1163" i="22"/>
  <c r="AO1163" i="22" s="1"/>
  <c r="T990" i="22"/>
  <c r="W989" i="22"/>
  <c r="X989" i="22" s="1"/>
  <c r="AC1167" i="22"/>
  <c r="AG1166" i="22"/>
  <c r="AB1164" i="22"/>
  <c r="AE1163" i="22"/>
  <c r="AF1163" i="22"/>
  <c r="AE1164" i="22" l="1"/>
  <c r="AB1165" i="22"/>
  <c r="AF1164" i="22"/>
  <c r="AC1168" i="22"/>
  <c r="AG1167" i="22"/>
  <c r="T991" i="22"/>
  <c r="W990" i="22"/>
  <c r="X990" i="22" s="1"/>
  <c r="AK1165" i="22"/>
  <c r="AN1164" i="22"/>
  <c r="AO1164" i="22" s="1"/>
  <c r="AK1166" i="22" l="1"/>
  <c r="AN1165" i="22"/>
  <c r="AO1165" i="22" s="1"/>
  <c r="W991" i="22"/>
  <c r="X991" i="22" s="1"/>
  <c r="T992" i="22"/>
  <c r="AC1169" i="22"/>
  <c r="AG1168" i="22"/>
  <c r="AB1166" i="22"/>
  <c r="AE1165" i="22"/>
  <c r="AF1165" i="22"/>
  <c r="AB1167" i="22" l="1"/>
  <c r="AE1166" i="22"/>
  <c r="AF1166" i="22"/>
  <c r="AC1170" i="22"/>
  <c r="AG1169" i="22"/>
  <c r="W992" i="22"/>
  <c r="X992" i="22" s="1"/>
  <c r="T993" i="22"/>
  <c r="AK1167" i="22"/>
  <c r="AN1166" i="22"/>
  <c r="AO1166" i="22" s="1"/>
  <c r="AK1168" i="22" l="1"/>
  <c r="AN1167" i="22"/>
  <c r="AO1167" i="22" s="1"/>
  <c r="T994" i="22"/>
  <c r="W993" i="22"/>
  <c r="X993" i="22" s="1"/>
  <c r="AC1171" i="22"/>
  <c r="AG1170" i="22"/>
  <c r="AB1168" i="22"/>
  <c r="AE1167" i="22"/>
  <c r="AF1167" i="22"/>
  <c r="AB1169" i="22" l="1"/>
  <c r="AE1168" i="22"/>
  <c r="AF1168" i="22"/>
  <c r="AC1172" i="22"/>
  <c r="AG1171" i="22"/>
  <c r="T995" i="22"/>
  <c r="W994" i="22"/>
  <c r="X994" i="22" s="1"/>
  <c r="AK1169" i="22"/>
  <c r="AN1168" i="22"/>
  <c r="AO1168" i="22" s="1"/>
  <c r="AK1170" i="22" l="1"/>
  <c r="AN1169" i="22"/>
  <c r="AO1169" i="22" s="1"/>
  <c r="T996" i="22"/>
  <c r="W995" i="22"/>
  <c r="X995" i="22" s="1"/>
  <c r="AC1173" i="22"/>
  <c r="AG1172" i="22"/>
  <c r="AB1170" i="22"/>
  <c r="AE1169" i="22"/>
  <c r="AF1169" i="22"/>
  <c r="AC1174" i="22" l="1"/>
  <c r="AG1173" i="22"/>
  <c r="AB1171" i="22"/>
  <c r="AE1170" i="22"/>
  <c r="AF1170" i="22"/>
  <c r="T997" i="22"/>
  <c r="W996" i="22"/>
  <c r="X996" i="22" s="1"/>
  <c r="AK1171" i="22"/>
  <c r="AN1170" i="22"/>
  <c r="AO1170" i="22" s="1"/>
  <c r="AK1172" i="22" l="1"/>
  <c r="AN1171" i="22"/>
  <c r="AO1171" i="22" s="1"/>
  <c r="T998" i="22"/>
  <c r="W997" i="22"/>
  <c r="X997" i="22" s="1"/>
  <c r="AE1171" i="22"/>
  <c r="AB1172" i="22"/>
  <c r="AF1171" i="22"/>
  <c r="AC1175" i="22"/>
  <c r="AG1174" i="22"/>
  <c r="AC1176" i="22" l="1"/>
  <c r="AG1175" i="22"/>
  <c r="AB1173" i="22"/>
  <c r="AE1172" i="22"/>
  <c r="AF1172" i="22"/>
  <c r="T999" i="22"/>
  <c r="W998" i="22"/>
  <c r="X998" i="22" s="1"/>
  <c r="AK1173" i="22"/>
  <c r="AN1172" i="22"/>
  <c r="AO1172" i="22" s="1"/>
  <c r="AK1174" i="22" l="1"/>
  <c r="AN1173" i="22"/>
  <c r="AO1173" i="22" s="1"/>
  <c r="AB1174" i="22"/>
  <c r="AE1173" i="22"/>
  <c r="AF1173" i="22"/>
  <c r="W999" i="22"/>
  <c r="X999" i="22" s="1"/>
  <c r="T1000" i="22"/>
  <c r="AC1177" i="22"/>
  <c r="AG1176" i="22"/>
  <c r="T1001" i="22" l="1"/>
  <c r="W1000" i="22"/>
  <c r="X1000" i="22" s="1"/>
  <c r="AC1178" i="22"/>
  <c r="AG1177" i="22"/>
  <c r="AE1174" i="22"/>
  <c r="AB1175" i="22"/>
  <c r="AF1174" i="22"/>
  <c r="AK1175" i="22"/>
  <c r="AN1174" i="22"/>
  <c r="AO1174" i="22" s="1"/>
  <c r="AK1176" i="22" l="1"/>
  <c r="AN1175" i="22"/>
  <c r="AO1175" i="22" s="1"/>
  <c r="AB1176" i="22"/>
  <c r="AE1175" i="22"/>
  <c r="AF1175" i="22"/>
  <c r="AC1179" i="22"/>
  <c r="AG1178" i="22"/>
  <c r="T1002" i="22"/>
  <c r="W1001" i="22"/>
  <c r="X1001" i="22" s="1"/>
  <c r="T1003" i="22" l="1"/>
  <c r="W1002" i="22"/>
  <c r="X1002" i="22" s="1"/>
  <c r="AC1180" i="22"/>
  <c r="AG1179" i="22"/>
  <c r="AB1177" i="22"/>
  <c r="AE1176" i="22"/>
  <c r="AF1176" i="22"/>
  <c r="AK1177" i="22"/>
  <c r="AN1176" i="22"/>
  <c r="AO1176" i="22" s="1"/>
  <c r="AK1178" i="22" l="1"/>
  <c r="AN1177" i="22"/>
  <c r="AO1177" i="22" s="1"/>
  <c r="AB1178" i="22"/>
  <c r="AE1177" i="22"/>
  <c r="AF1177" i="22"/>
  <c r="AC1181" i="22"/>
  <c r="AG1180" i="22"/>
  <c r="T1004" i="22"/>
  <c r="W1003" i="22"/>
  <c r="X1003" i="22" s="1"/>
  <c r="T1005" i="22" l="1"/>
  <c r="W1004" i="22"/>
  <c r="X1004" i="22" s="1"/>
  <c r="AC1182" i="22"/>
  <c r="AG1181" i="22"/>
  <c r="AB1179" i="22"/>
  <c r="AE1178" i="22"/>
  <c r="AF1178" i="22"/>
  <c r="AK1179" i="22"/>
  <c r="AN1178" i="22"/>
  <c r="AO1178" i="22" s="1"/>
  <c r="AK1180" i="22" l="1"/>
  <c r="AN1179" i="22"/>
  <c r="AO1179" i="22" s="1"/>
  <c r="AB1180" i="22"/>
  <c r="AE1179" i="22"/>
  <c r="AF1179" i="22"/>
  <c r="AC1183" i="22"/>
  <c r="AG1182" i="22"/>
  <c r="T1006" i="22"/>
  <c r="W1005" i="22"/>
  <c r="X1005" i="22" s="1"/>
  <c r="T1007" i="22" l="1"/>
  <c r="W1006" i="22"/>
  <c r="X1006" i="22" s="1"/>
  <c r="AC1184" i="22"/>
  <c r="AG1183" i="22"/>
  <c r="AE1180" i="22"/>
  <c r="AB1181" i="22"/>
  <c r="AF1180" i="22"/>
  <c r="AK1181" i="22"/>
  <c r="AN1180" i="22"/>
  <c r="AO1180" i="22" s="1"/>
  <c r="AK1182" i="22" l="1"/>
  <c r="AN1181" i="22"/>
  <c r="AO1181" i="22" s="1"/>
  <c r="AE1181" i="22"/>
  <c r="AB1182" i="22"/>
  <c r="AF1181" i="22"/>
  <c r="AC1185" i="22"/>
  <c r="AG1184" i="22"/>
  <c r="T1008" i="22"/>
  <c r="W1007" i="22"/>
  <c r="X1007" i="22" s="1"/>
  <c r="T1009" i="22" l="1"/>
  <c r="W1008" i="22"/>
  <c r="X1008" i="22" s="1"/>
  <c r="AC1186" i="22"/>
  <c r="AG1185" i="22"/>
  <c r="AB1183" i="22"/>
  <c r="AE1182" i="22"/>
  <c r="AF1182" i="22"/>
  <c r="AK1183" i="22"/>
  <c r="AN1182" i="22"/>
  <c r="AO1182" i="22" s="1"/>
  <c r="AK1184" i="22" l="1"/>
  <c r="AN1183" i="22"/>
  <c r="AO1183" i="22" s="1"/>
  <c r="AE1183" i="22"/>
  <c r="AB1184" i="22"/>
  <c r="AF1183" i="22"/>
  <c r="AC1187" i="22"/>
  <c r="AG1186" i="22"/>
  <c r="W1009" i="22"/>
  <c r="X1009" i="22" s="1"/>
  <c r="T1010" i="22"/>
  <c r="T1011" i="22" l="1"/>
  <c r="W1010" i="22"/>
  <c r="X1010" i="22" s="1"/>
  <c r="AC1188" i="22"/>
  <c r="AG1187" i="22"/>
  <c r="AE1184" i="22"/>
  <c r="AB1185" i="22"/>
  <c r="AF1184" i="22"/>
  <c r="AK1185" i="22"/>
  <c r="AN1184" i="22"/>
  <c r="AO1184" i="22" s="1"/>
  <c r="AK1186" i="22" l="1"/>
  <c r="AN1185" i="22"/>
  <c r="AO1185" i="22" s="1"/>
  <c r="AB1186" i="22"/>
  <c r="AE1185" i="22"/>
  <c r="AF1185" i="22"/>
  <c r="AC1189" i="22"/>
  <c r="AG1188" i="22"/>
  <c r="T1012" i="22"/>
  <c r="W1011" i="22"/>
  <c r="X1011" i="22" s="1"/>
  <c r="T1013" i="22" l="1"/>
  <c r="W1012" i="22"/>
  <c r="X1012" i="22" s="1"/>
  <c r="AC1190" i="22"/>
  <c r="AG1189" i="22"/>
  <c r="AB1187" i="22"/>
  <c r="AE1186" i="22"/>
  <c r="AF1186" i="22"/>
  <c r="AK1187" i="22"/>
  <c r="AN1186" i="22"/>
  <c r="AO1186" i="22" s="1"/>
  <c r="AK1188" i="22" l="1"/>
  <c r="AN1187" i="22"/>
  <c r="AO1187" i="22" s="1"/>
  <c r="AB1188" i="22"/>
  <c r="AE1187" i="22"/>
  <c r="AF1187" i="22"/>
  <c r="AC1191" i="22"/>
  <c r="AG1190" i="22"/>
  <c r="W1013" i="22"/>
  <c r="X1013" i="22" s="1"/>
  <c r="T1014" i="22"/>
  <c r="T1015" i="22" l="1"/>
  <c r="W1014" i="22"/>
  <c r="X1014" i="22" s="1"/>
  <c r="AC1192" i="22"/>
  <c r="AG1191" i="22"/>
  <c r="AB1189" i="22"/>
  <c r="AE1188" i="22"/>
  <c r="AF1188" i="22"/>
  <c r="AK1189" i="22"/>
  <c r="AN1188" i="22"/>
  <c r="AO1188" i="22" s="1"/>
  <c r="AK1190" i="22" l="1"/>
  <c r="AN1189" i="22"/>
  <c r="AO1189" i="22" s="1"/>
  <c r="AE1189" i="22"/>
  <c r="AB1190" i="22"/>
  <c r="AF1189" i="22"/>
  <c r="AC1193" i="22"/>
  <c r="AG1192" i="22"/>
  <c r="T1016" i="22"/>
  <c r="W1015" i="22"/>
  <c r="X1015" i="22" s="1"/>
  <c r="T1017" i="22" l="1"/>
  <c r="W1016" i="22"/>
  <c r="X1016" i="22" s="1"/>
  <c r="AC1194" i="22"/>
  <c r="AG1193" i="22"/>
  <c r="AE1190" i="22"/>
  <c r="AB1191" i="22"/>
  <c r="AF1190" i="22"/>
  <c r="AK1191" i="22"/>
  <c r="AN1190" i="22"/>
  <c r="AO1190" i="22" s="1"/>
  <c r="AK1192" i="22" l="1"/>
  <c r="AN1191" i="22"/>
  <c r="AO1191" i="22" s="1"/>
  <c r="AB1192" i="22"/>
  <c r="AE1191" i="22"/>
  <c r="AF1191" i="22"/>
  <c r="AC1195" i="22"/>
  <c r="AG1194" i="22"/>
  <c r="W1017" i="22"/>
  <c r="X1017" i="22" s="1"/>
  <c r="T1018" i="22"/>
  <c r="T1019" i="22" l="1"/>
  <c r="W1018" i="22"/>
  <c r="X1018" i="22" s="1"/>
  <c r="AC1196" i="22"/>
  <c r="AG1195" i="22"/>
  <c r="AE1192" i="22"/>
  <c r="AB1193" i="22"/>
  <c r="AF1192" i="22"/>
  <c r="AK1193" i="22"/>
  <c r="AN1192" i="22"/>
  <c r="AO1192" i="22" s="1"/>
  <c r="AK1194" i="22" l="1"/>
  <c r="AN1193" i="22"/>
  <c r="AO1193" i="22" s="1"/>
  <c r="AB1194" i="22"/>
  <c r="AE1193" i="22"/>
  <c r="AF1193" i="22"/>
  <c r="AC1197" i="22"/>
  <c r="AG1196" i="22"/>
  <c r="T1020" i="22"/>
  <c r="W1019" i="22"/>
  <c r="X1019" i="22" s="1"/>
  <c r="T1021" i="22" l="1"/>
  <c r="W1020" i="22"/>
  <c r="X1020" i="22" s="1"/>
  <c r="AC1198" i="22"/>
  <c r="AG1197" i="22"/>
  <c r="AE1194" i="22"/>
  <c r="AB1195" i="22"/>
  <c r="AF1194" i="22"/>
  <c r="AK1195" i="22"/>
  <c r="AN1194" i="22"/>
  <c r="AO1194" i="22" s="1"/>
  <c r="AK1196" i="22" l="1"/>
  <c r="AN1195" i="22"/>
  <c r="AO1195" i="22" s="1"/>
  <c r="AC1199" i="22"/>
  <c r="AG1198" i="22"/>
  <c r="AB1196" i="22"/>
  <c r="AE1195" i="22"/>
  <c r="AF1195" i="22"/>
  <c r="T1022" i="22"/>
  <c r="W1021" i="22"/>
  <c r="X1021" i="22" s="1"/>
  <c r="T1023" i="22" l="1"/>
  <c r="W1022" i="22"/>
  <c r="X1022" i="22" s="1"/>
  <c r="AB1197" i="22"/>
  <c r="AE1196" i="22"/>
  <c r="AF1196" i="22"/>
  <c r="AC1200" i="22"/>
  <c r="AG1199" i="22"/>
  <c r="AK1197" i="22"/>
  <c r="AN1196" i="22"/>
  <c r="AO1196" i="22" s="1"/>
  <c r="AK1198" i="22" l="1"/>
  <c r="AN1197" i="22"/>
  <c r="AO1197" i="22" s="1"/>
  <c r="AC1201" i="22"/>
  <c r="AG1200" i="22"/>
  <c r="AB1198" i="22"/>
  <c r="AE1197" i="22"/>
  <c r="AF1197" i="22"/>
  <c r="W1023" i="22"/>
  <c r="X1023" i="22" s="1"/>
  <c r="T1024" i="22"/>
  <c r="W1024" i="22" l="1"/>
  <c r="X1024" i="22" s="1"/>
  <c r="T1025" i="22"/>
  <c r="AK1199" i="22"/>
  <c r="AN1198" i="22"/>
  <c r="AO1198" i="22" s="1"/>
  <c r="AE1198" i="22"/>
  <c r="AB1199" i="22"/>
  <c r="AF1198" i="22"/>
  <c r="AC1202" i="22"/>
  <c r="AG1201" i="22"/>
  <c r="AC1203" i="22" l="1"/>
  <c r="AG1202" i="22"/>
  <c r="AE1199" i="22"/>
  <c r="AB1200" i="22"/>
  <c r="AF1199" i="22"/>
  <c r="AK1200" i="22"/>
  <c r="AN1199" i="22"/>
  <c r="AO1199" i="22" s="1"/>
  <c r="W1025" i="22"/>
  <c r="X1025" i="22" s="1"/>
  <c r="T1026" i="22"/>
  <c r="T1027" i="22" l="1"/>
  <c r="W1026" i="22"/>
  <c r="X1026" i="22" s="1"/>
  <c r="AK1201" i="22"/>
  <c r="AN1200" i="22"/>
  <c r="AO1200" i="22" s="1"/>
  <c r="AE1200" i="22"/>
  <c r="AB1201" i="22"/>
  <c r="AF1200" i="22"/>
  <c r="AC1204" i="22"/>
  <c r="AG1203" i="22"/>
  <c r="AC1205" i="22" l="1"/>
  <c r="AG1204" i="22"/>
  <c r="AB1202" i="22"/>
  <c r="AE1201" i="22"/>
  <c r="AF1201" i="22"/>
  <c r="AK1202" i="22"/>
  <c r="AN1201" i="22"/>
  <c r="AO1201" i="22" s="1"/>
  <c r="T1028" i="22"/>
  <c r="W1027" i="22"/>
  <c r="X1027" i="22" s="1"/>
  <c r="T1029" i="22" l="1"/>
  <c r="W1028" i="22"/>
  <c r="X1028" i="22" s="1"/>
  <c r="AK1203" i="22"/>
  <c r="AN1202" i="22"/>
  <c r="AO1202" i="22" s="1"/>
  <c r="AE1202" i="22"/>
  <c r="AB1203" i="22"/>
  <c r="AF1202" i="22"/>
  <c r="AC1206" i="22"/>
  <c r="AG1205" i="22"/>
  <c r="AC1207" i="22" l="1"/>
  <c r="AG1206" i="22"/>
  <c r="AB1204" i="22"/>
  <c r="AE1203" i="22"/>
  <c r="AF1203" i="22"/>
  <c r="AK1204" i="22"/>
  <c r="AN1203" i="22"/>
  <c r="AO1203" i="22" s="1"/>
  <c r="T1030" i="22"/>
  <c r="W1029" i="22"/>
  <c r="X1029" i="22" s="1"/>
  <c r="T1031" i="22" l="1"/>
  <c r="W1030" i="22"/>
  <c r="X1030" i="22" s="1"/>
  <c r="AK1205" i="22"/>
  <c r="AN1204" i="22"/>
  <c r="AO1204" i="22" s="1"/>
  <c r="AE1204" i="22"/>
  <c r="AB1205" i="22"/>
  <c r="AF1204" i="22"/>
  <c r="AC1208" i="22"/>
  <c r="AG1207" i="22"/>
  <c r="AC1209" i="22" l="1"/>
  <c r="AG1208" i="22"/>
  <c r="AB1206" i="22"/>
  <c r="AE1205" i="22"/>
  <c r="AF1205" i="22"/>
  <c r="AK1206" i="22"/>
  <c r="AN1205" i="22"/>
  <c r="AO1205" i="22" s="1"/>
  <c r="T1032" i="22"/>
  <c r="W1031" i="22"/>
  <c r="X1031" i="22" s="1"/>
  <c r="T1033" i="22" l="1"/>
  <c r="W1032" i="22"/>
  <c r="X1032" i="22" s="1"/>
  <c r="AK1207" i="22"/>
  <c r="AN1206" i="22"/>
  <c r="AO1206" i="22" s="1"/>
  <c r="AB1207" i="22"/>
  <c r="AE1206" i="22"/>
  <c r="AF1206" i="22"/>
  <c r="AC1210" i="22"/>
  <c r="AG1209" i="22"/>
  <c r="AC1211" i="22" l="1"/>
  <c r="AG1210" i="22"/>
  <c r="AE1207" i="22"/>
  <c r="AB1208" i="22"/>
  <c r="AF1207" i="22"/>
  <c r="AK1208" i="22"/>
  <c r="AN1207" i="22"/>
  <c r="AO1207" i="22" s="1"/>
  <c r="W1033" i="22"/>
  <c r="X1033" i="22" s="1"/>
  <c r="T1034" i="22"/>
  <c r="T1035" i="22" l="1"/>
  <c r="W1034" i="22"/>
  <c r="X1034" i="22" s="1"/>
  <c r="AK1209" i="22"/>
  <c r="AN1208" i="22"/>
  <c r="AO1208" i="22" s="1"/>
  <c r="AE1208" i="22"/>
  <c r="AB1209" i="22"/>
  <c r="AF1208" i="22"/>
  <c r="AC1212" i="22"/>
  <c r="AG1211" i="22"/>
  <c r="AC1213" i="22" l="1"/>
  <c r="AG1212" i="22"/>
  <c r="AB1210" i="22"/>
  <c r="AE1209" i="22"/>
  <c r="AF1209" i="22"/>
  <c r="AK1210" i="22"/>
  <c r="AN1209" i="22"/>
  <c r="AO1209" i="22" s="1"/>
  <c r="T1036" i="22"/>
  <c r="W1035" i="22"/>
  <c r="X1035" i="22" s="1"/>
  <c r="T1037" i="22" l="1"/>
  <c r="W1036" i="22"/>
  <c r="X1036" i="22" s="1"/>
  <c r="AK1211" i="22"/>
  <c r="AN1210" i="22"/>
  <c r="AO1210" i="22" s="1"/>
  <c r="AB1211" i="22"/>
  <c r="AE1210" i="22"/>
  <c r="AF1210" i="22"/>
  <c r="AC1214" i="22"/>
  <c r="AG1213" i="22"/>
  <c r="AC1215" i="22" l="1"/>
  <c r="AG1214" i="22"/>
  <c r="AB1212" i="22"/>
  <c r="AE1211" i="22"/>
  <c r="AF1211" i="22"/>
  <c r="AK1212" i="22"/>
  <c r="AN1211" i="22"/>
  <c r="AO1211" i="22" s="1"/>
  <c r="T1038" i="22"/>
  <c r="W1037" i="22"/>
  <c r="X1037" i="22" s="1"/>
  <c r="T1039" i="22" l="1"/>
  <c r="W1038" i="22"/>
  <c r="X1038" i="22" s="1"/>
  <c r="AK1213" i="22"/>
  <c r="AN1212" i="22"/>
  <c r="AO1212" i="22" s="1"/>
  <c r="AB1213" i="22"/>
  <c r="AE1212" i="22"/>
  <c r="AF1212" i="22"/>
  <c r="AC1216" i="22"/>
  <c r="AG1215" i="22"/>
  <c r="AC1217" i="22" l="1"/>
  <c r="AG1216" i="22"/>
  <c r="AE1213" i="22"/>
  <c r="AB1214" i="22"/>
  <c r="AF1213" i="22"/>
  <c r="AK1214" i="22"/>
  <c r="AN1213" i="22"/>
  <c r="AO1213" i="22" s="1"/>
  <c r="T1040" i="22"/>
  <c r="W1039" i="22"/>
  <c r="X1039" i="22" s="1"/>
  <c r="T1041" i="22" l="1"/>
  <c r="W1040" i="22"/>
  <c r="X1040" i="22" s="1"/>
  <c r="AK1215" i="22"/>
  <c r="AN1214" i="22"/>
  <c r="AO1214" i="22" s="1"/>
  <c r="AE1214" i="22"/>
  <c r="AB1215" i="22"/>
  <c r="AF1214" i="22"/>
  <c r="AC1218" i="22"/>
  <c r="AG1217" i="22"/>
  <c r="AC1219" i="22" l="1"/>
  <c r="AG1218" i="22"/>
  <c r="AB1216" i="22"/>
  <c r="AE1215" i="22"/>
  <c r="AF1215" i="22"/>
  <c r="AK1216" i="22"/>
  <c r="AN1215" i="22"/>
  <c r="AO1215" i="22" s="1"/>
  <c r="W1041" i="22"/>
  <c r="X1041" i="22" s="1"/>
  <c r="T1042" i="22"/>
  <c r="T1043" i="22" l="1"/>
  <c r="W1042" i="22"/>
  <c r="X1042" i="22" s="1"/>
  <c r="AK1217" i="22"/>
  <c r="AN1216" i="22"/>
  <c r="AO1216" i="22" s="1"/>
  <c r="AB1217" i="22"/>
  <c r="AE1216" i="22"/>
  <c r="AF1216" i="22"/>
  <c r="AC1220" i="22"/>
  <c r="AG1219" i="22"/>
  <c r="AC1221" i="22" l="1"/>
  <c r="AG1220" i="22"/>
  <c r="AB1218" i="22"/>
  <c r="AE1217" i="22"/>
  <c r="AF1217" i="22"/>
  <c r="AK1218" i="22"/>
  <c r="AN1217" i="22"/>
  <c r="AO1217" i="22" s="1"/>
  <c r="W1043" i="22"/>
  <c r="X1043" i="22" s="1"/>
  <c r="T1044" i="22"/>
  <c r="T1045" i="22" l="1"/>
  <c r="W1044" i="22"/>
  <c r="X1044" i="22" s="1"/>
  <c r="AK1219" i="22"/>
  <c r="AN1218" i="22"/>
  <c r="AO1218" i="22" s="1"/>
  <c r="AB1219" i="22"/>
  <c r="AE1218" i="22"/>
  <c r="AF1218" i="22"/>
  <c r="AC1222" i="22"/>
  <c r="AG1221" i="22"/>
  <c r="AC1223" i="22" l="1"/>
  <c r="AG1222" i="22"/>
  <c r="AB1220" i="22"/>
  <c r="AE1219" i="22"/>
  <c r="AF1219" i="22"/>
  <c r="AK1220" i="22"/>
  <c r="AN1219" i="22"/>
  <c r="AO1219" i="22" s="1"/>
  <c r="T1046" i="22"/>
  <c r="W1045" i="22"/>
  <c r="X1045" i="22" s="1"/>
  <c r="T1047" i="22" l="1"/>
  <c r="W1046" i="22"/>
  <c r="X1046" i="22" s="1"/>
  <c r="AK1221" i="22"/>
  <c r="AN1220" i="22"/>
  <c r="AO1220" i="22" s="1"/>
  <c r="AE1220" i="22"/>
  <c r="AB1221" i="22"/>
  <c r="AF1220" i="22"/>
  <c r="AC1224" i="22"/>
  <c r="AG1223" i="22"/>
  <c r="AC1225" i="22" l="1"/>
  <c r="AG1224" i="22"/>
  <c r="AB1222" i="22"/>
  <c r="AE1221" i="22"/>
  <c r="AF1221" i="22"/>
  <c r="AK1222" i="22"/>
  <c r="AN1221" i="22"/>
  <c r="AO1221" i="22" s="1"/>
  <c r="W1047" i="22"/>
  <c r="X1047" i="22" s="1"/>
  <c r="T1048" i="22"/>
  <c r="T1049" i="22" l="1"/>
  <c r="W1048" i="22"/>
  <c r="X1048" i="22" s="1"/>
  <c r="AK1223" i="22"/>
  <c r="AN1222" i="22"/>
  <c r="AO1222" i="22" s="1"/>
  <c r="AE1222" i="22"/>
  <c r="AB1223" i="22"/>
  <c r="AF1222" i="22"/>
  <c r="AC1226" i="22"/>
  <c r="AG1225" i="22"/>
  <c r="AC1227" i="22" l="1"/>
  <c r="AG1226" i="22"/>
  <c r="AB1224" i="22"/>
  <c r="AE1223" i="22"/>
  <c r="AF1223" i="22"/>
  <c r="AK1224" i="22"/>
  <c r="AN1223" i="22"/>
  <c r="AO1223" i="22" s="1"/>
  <c r="T1050" i="22"/>
  <c r="W1049" i="22"/>
  <c r="X1049" i="22" s="1"/>
  <c r="T1051" i="22" l="1"/>
  <c r="W1050" i="22"/>
  <c r="X1050" i="22" s="1"/>
  <c r="AK1225" i="22"/>
  <c r="AN1224" i="22"/>
  <c r="AO1224" i="22" s="1"/>
  <c r="AE1224" i="22"/>
  <c r="AB1225" i="22"/>
  <c r="AF1224" i="22"/>
  <c r="AC1228" i="22"/>
  <c r="AG1227" i="22"/>
  <c r="AC1229" i="22" l="1"/>
  <c r="AG1228" i="22"/>
  <c r="AB1226" i="22"/>
  <c r="AE1225" i="22"/>
  <c r="AF1225" i="22"/>
  <c r="AK1226" i="22"/>
  <c r="AN1225" i="22"/>
  <c r="AO1225" i="22" s="1"/>
  <c r="W1051" i="22"/>
  <c r="X1051" i="22" s="1"/>
  <c r="T1052" i="22"/>
  <c r="T1053" i="22" l="1"/>
  <c r="W1052" i="22"/>
  <c r="X1052" i="22" s="1"/>
  <c r="AE1226" i="22"/>
  <c r="AB1227" i="22"/>
  <c r="AF1226" i="22"/>
  <c r="AK1227" i="22"/>
  <c r="AN1226" i="22"/>
  <c r="AO1226" i="22" s="1"/>
  <c r="AC1230" i="22"/>
  <c r="AG1229" i="22"/>
  <c r="AC1231" i="22" l="1"/>
  <c r="AG1230" i="22"/>
  <c r="AK1228" i="22"/>
  <c r="AN1227" i="22"/>
  <c r="AO1227" i="22" s="1"/>
  <c r="AB1228" i="22"/>
  <c r="AE1227" i="22"/>
  <c r="AF1227" i="22"/>
  <c r="W1053" i="22"/>
  <c r="X1053" i="22" s="1"/>
  <c r="T1054" i="22"/>
  <c r="T1055" i="22" l="1"/>
  <c r="W1054" i="22"/>
  <c r="X1054" i="22" s="1"/>
  <c r="AE1228" i="22"/>
  <c r="AB1229" i="22"/>
  <c r="AF1228" i="22"/>
  <c r="AK1229" i="22"/>
  <c r="AN1228" i="22"/>
  <c r="AO1228" i="22" s="1"/>
  <c r="AC1232" i="22"/>
  <c r="AG1231" i="22"/>
  <c r="AC1233" i="22" l="1"/>
  <c r="AG1232" i="22"/>
  <c r="AK1230" i="22"/>
  <c r="AN1229" i="22"/>
  <c r="AO1229" i="22" s="1"/>
  <c r="AB1230" i="22"/>
  <c r="AE1229" i="22"/>
  <c r="AF1229" i="22"/>
  <c r="T1056" i="22"/>
  <c r="W1055" i="22"/>
  <c r="X1055" i="22" s="1"/>
  <c r="T1057" i="22" l="1"/>
  <c r="W1056" i="22"/>
  <c r="X1056" i="22" s="1"/>
  <c r="AB1231" i="22"/>
  <c r="AE1230" i="22"/>
  <c r="AF1230" i="22"/>
  <c r="AK1231" i="22"/>
  <c r="AN1230" i="22"/>
  <c r="AO1230" i="22" s="1"/>
  <c r="AC1234" i="22"/>
  <c r="AG1233" i="22"/>
  <c r="AC1235" i="22" l="1"/>
  <c r="AG1234" i="22"/>
  <c r="AK1232" i="22"/>
  <c r="AN1231" i="22"/>
  <c r="AO1231" i="22" s="1"/>
  <c r="AB1232" i="22"/>
  <c r="AE1231" i="22"/>
  <c r="AF1231" i="22"/>
  <c r="T1058" i="22"/>
  <c r="W1057" i="22"/>
  <c r="X1057" i="22" s="1"/>
  <c r="T1059" i="22" l="1"/>
  <c r="W1058" i="22"/>
  <c r="X1058" i="22" s="1"/>
  <c r="AE1232" i="22"/>
  <c r="AB1233" i="22"/>
  <c r="AF1232" i="22"/>
  <c r="AK1233" i="22"/>
  <c r="AN1232" i="22"/>
  <c r="AO1232" i="22" s="1"/>
  <c r="AC1236" i="22"/>
  <c r="AG1235" i="22"/>
  <c r="AC1237" i="22" l="1"/>
  <c r="AG1236" i="22"/>
  <c r="AK1234" i="22"/>
  <c r="AN1233" i="22"/>
  <c r="AO1233" i="22" s="1"/>
  <c r="AB1234" i="22"/>
  <c r="AE1233" i="22"/>
  <c r="AF1233" i="22"/>
  <c r="W1059" i="22"/>
  <c r="X1059" i="22" s="1"/>
  <c r="T1060" i="22"/>
  <c r="T1061" i="22" l="1"/>
  <c r="W1060" i="22"/>
  <c r="X1060" i="22" s="1"/>
  <c r="AB1235" i="22"/>
  <c r="AE1234" i="22"/>
  <c r="AF1234" i="22"/>
  <c r="AK1235" i="22"/>
  <c r="AN1234" i="22"/>
  <c r="AO1234" i="22" s="1"/>
  <c r="AC1238" i="22"/>
  <c r="AG1237" i="22"/>
  <c r="AB1236" i="22" l="1"/>
  <c r="AE1235" i="22"/>
  <c r="AF1235" i="22"/>
  <c r="AC1239" i="22"/>
  <c r="AG1238" i="22"/>
  <c r="AK1236" i="22"/>
  <c r="AN1235" i="22"/>
  <c r="AO1235" i="22" s="1"/>
  <c r="W1061" i="22"/>
  <c r="X1061" i="22" s="1"/>
  <c r="T1062" i="22"/>
  <c r="T1063" i="22" l="1"/>
  <c r="W1062" i="22"/>
  <c r="X1062" i="22" s="1"/>
  <c r="AK1237" i="22"/>
  <c r="AN1236" i="22"/>
  <c r="AO1236" i="22" s="1"/>
  <c r="AC1240" i="22"/>
  <c r="AG1239" i="22"/>
  <c r="AB1237" i="22"/>
  <c r="AE1236" i="22"/>
  <c r="AF1236" i="22"/>
  <c r="AB1238" i="22" l="1"/>
  <c r="AE1237" i="22"/>
  <c r="AF1237" i="22"/>
  <c r="AG1240" i="22"/>
  <c r="AC1241" i="22"/>
  <c r="AK1238" i="22"/>
  <c r="AN1237" i="22"/>
  <c r="AO1237" i="22" s="1"/>
  <c r="T1064" i="22"/>
  <c r="W1063" i="22"/>
  <c r="X1063" i="22" s="1"/>
  <c r="AK1239" i="22" l="1"/>
  <c r="AN1238" i="22"/>
  <c r="AO1238" i="22" s="1"/>
  <c r="T1065" i="22"/>
  <c r="W1064" i="22"/>
  <c r="X1064" i="22" s="1"/>
  <c r="AC1242" i="22"/>
  <c r="AG1241" i="22"/>
  <c r="AB1239" i="22"/>
  <c r="AE1238" i="22"/>
  <c r="AF1238" i="22"/>
  <c r="AE1239" i="22" l="1"/>
  <c r="AB1240" i="22"/>
  <c r="AF1239" i="22"/>
  <c r="AC1243" i="22"/>
  <c r="AG1242" i="22"/>
  <c r="T1066" i="22"/>
  <c r="W1065" i="22"/>
  <c r="X1065" i="22" s="1"/>
  <c r="AK1240" i="22"/>
  <c r="AN1239" i="22"/>
  <c r="AO1239" i="22" s="1"/>
  <c r="AK1241" i="22" l="1"/>
  <c r="AN1240" i="22"/>
  <c r="AO1240" i="22" s="1"/>
  <c r="T1067" i="22"/>
  <c r="W1066" i="22"/>
  <c r="X1066" i="22" s="1"/>
  <c r="AC1244" i="22"/>
  <c r="AG1243" i="22"/>
  <c r="AE1240" i="22"/>
  <c r="AB1241" i="22"/>
  <c r="AF1240" i="22"/>
  <c r="AB1242" i="22" l="1"/>
  <c r="AE1241" i="22"/>
  <c r="AF1241" i="22"/>
  <c r="AG1244" i="22"/>
  <c r="T1068" i="22"/>
  <c r="W1067" i="22"/>
  <c r="X1067" i="22" s="1"/>
  <c r="AK1242" i="22"/>
  <c r="AN1241" i="22"/>
  <c r="AO1241" i="22" s="1"/>
  <c r="AK1243" i="22" l="1"/>
  <c r="AN1242" i="22"/>
  <c r="AO1242" i="22" s="1"/>
  <c r="W1068" i="22"/>
  <c r="X1068" i="22" s="1"/>
  <c r="T1069" i="22"/>
  <c r="AB1243" i="22"/>
  <c r="AE1242" i="22"/>
  <c r="AF1242" i="22"/>
  <c r="AB1244" i="22" l="1"/>
  <c r="AE1243" i="22"/>
  <c r="AF1243" i="22"/>
  <c r="T1070" i="22"/>
  <c r="W1069" i="22"/>
  <c r="X1069" i="22" s="1"/>
  <c r="AK1244" i="22"/>
  <c r="AN1244" i="22" s="1"/>
  <c r="AO1244" i="22" s="1"/>
  <c r="AN1243" i="22"/>
  <c r="AO1243" i="22" s="1"/>
  <c r="T1071" i="22" l="1"/>
  <c r="W1070" i="22"/>
  <c r="X1070" i="22" s="1"/>
  <c r="AE1244" i="22"/>
  <c r="AF1244" i="22"/>
  <c r="T1072" i="22" l="1"/>
  <c r="W1071" i="22"/>
  <c r="X1071" i="22" s="1"/>
  <c r="T1073" i="22" l="1"/>
  <c r="W1072" i="22"/>
  <c r="X1072" i="22" s="1"/>
  <c r="W1073" i="22" l="1"/>
  <c r="X1073" i="22" s="1"/>
  <c r="T1074" i="22"/>
  <c r="T1075" i="22" l="1"/>
  <c r="W1074" i="22"/>
  <c r="X1074" i="22" s="1"/>
  <c r="T1076" i="22" l="1"/>
  <c r="W1075" i="22"/>
  <c r="X1075" i="22" s="1"/>
  <c r="T1077" i="22" l="1"/>
  <c r="W1076" i="22"/>
  <c r="X1076" i="22" s="1"/>
  <c r="T1078" i="22" l="1"/>
  <c r="W1077" i="22"/>
  <c r="X1077" i="22" s="1"/>
  <c r="T1079" i="22" l="1"/>
  <c r="W1078" i="22"/>
  <c r="X1078" i="22" s="1"/>
  <c r="W1079" i="22" l="1"/>
  <c r="X1079" i="22" s="1"/>
  <c r="T1080" i="22"/>
  <c r="T1081" i="22" l="1"/>
  <c r="W1080" i="22"/>
  <c r="X1080" i="22" s="1"/>
  <c r="T1082" i="22" l="1"/>
  <c r="W1081" i="22"/>
  <c r="X1081" i="22" s="1"/>
  <c r="T1083" i="22" l="1"/>
  <c r="W1082" i="22"/>
  <c r="X1082" i="22" s="1"/>
  <c r="T1084" i="22" l="1"/>
  <c r="W1083" i="22"/>
  <c r="X1083" i="22" s="1"/>
  <c r="T1085" i="22" l="1"/>
  <c r="W1084" i="22"/>
  <c r="X1084" i="22" s="1"/>
  <c r="T1086" i="22" l="1"/>
  <c r="W1085" i="22"/>
  <c r="X1085" i="22" s="1"/>
  <c r="T1087" i="22" l="1"/>
  <c r="W1086" i="22"/>
  <c r="X1086" i="22" s="1"/>
  <c r="T1088" i="22" l="1"/>
  <c r="W1087" i="22"/>
  <c r="X1087" i="22" s="1"/>
  <c r="T1089" i="22" l="1"/>
  <c r="W1088" i="22"/>
  <c r="X1088" i="22" s="1"/>
  <c r="T1090" i="22" l="1"/>
  <c r="W1089" i="22"/>
  <c r="X1089" i="22" s="1"/>
  <c r="T1091" i="22" l="1"/>
  <c r="W1090" i="22"/>
  <c r="X1090" i="22" s="1"/>
  <c r="W1091" i="22" l="1"/>
  <c r="X1091" i="22" s="1"/>
  <c r="T1092" i="22"/>
  <c r="T1093" i="22" l="1"/>
  <c r="W1092" i="22"/>
  <c r="X1092" i="22" s="1"/>
  <c r="W1093" i="22" l="1"/>
  <c r="X1093" i="22" s="1"/>
  <c r="T1094" i="22"/>
  <c r="W1094" i="22" l="1"/>
  <c r="X1094" i="22" s="1"/>
  <c r="T1095" i="22"/>
  <c r="W1095" i="22" l="1"/>
  <c r="X1095" i="22" s="1"/>
  <c r="T1096" i="22"/>
  <c r="W1096" i="22" l="1"/>
  <c r="X1096" i="22" s="1"/>
  <c r="T1097" i="22"/>
  <c r="W1097" i="22" l="1"/>
  <c r="X1097" i="22" s="1"/>
  <c r="T1098" i="22"/>
  <c r="T1099" i="22" l="1"/>
  <c r="W1098" i="22"/>
  <c r="X1098" i="22" s="1"/>
  <c r="T1100" i="22" l="1"/>
  <c r="W1099" i="22"/>
  <c r="X1099" i="22" s="1"/>
  <c r="T1101" i="22" l="1"/>
  <c r="W1100" i="22"/>
  <c r="X1100" i="22" s="1"/>
  <c r="T1102" i="22" l="1"/>
  <c r="W1101" i="22"/>
  <c r="X1101" i="22" s="1"/>
  <c r="T1103" i="22" l="1"/>
  <c r="W1102" i="22"/>
  <c r="X1102" i="22" s="1"/>
  <c r="T1104" i="22" l="1"/>
  <c r="W1103" i="22"/>
  <c r="X1103" i="22" s="1"/>
  <c r="T1105" i="22" l="1"/>
  <c r="W1104" i="22"/>
  <c r="X1104" i="22" s="1"/>
  <c r="W1105" i="22" l="1"/>
  <c r="X1105" i="22" s="1"/>
  <c r="T1106" i="22"/>
  <c r="T1107" i="22" l="1"/>
  <c r="W1106" i="22"/>
  <c r="X1106" i="22" s="1"/>
  <c r="T1108" i="22" l="1"/>
  <c r="W1107" i="22"/>
  <c r="X1107" i="22" s="1"/>
  <c r="T1109" i="22" l="1"/>
  <c r="W1108" i="22"/>
  <c r="X1108" i="22" s="1"/>
  <c r="T1110" i="22" l="1"/>
  <c r="W1109" i="22"/>
  <c r="X1109" i="22" s="1"/>
  <c r="T1111" i="22" l="1"/>
  <c r="W1110" i="22"/>
  <c r="X1110" i="22" s="1"/>
  <c r="T1112" i="22" l="1"/>
  <c r="W1111" i="22"/>
  <c r="X1111" i="22" s="1"/>
  <c r="T1113" i="22" l="1"/>
  <c r="W1112" i="22"/>
  <c r="X1112" i="22" s="1"/>
  <c r="T1114" i="22" l="1"/>
  <c r="W1113" i="22"/>
  <c r="X1113" i="22" s="1"/>
  <c r="T1115" i="22" l="1"/>
  <c r="W1114" i="22"/>
  <c r="X1114" i="22" s="1"/>
  <c r="T1116" i="22" l="1"/>
  <c r="W1115" i="22"/>
  <c r="X1115" i="22" s="1"/>
  <c r="T1117" i="22" l="1"/>
  <c r="W1116" i="22"/>
  <c r="X1116" i="22" s="1"/>
  <c r="T1118" i="22" l="1"/>
  <c r="W1117" i="22"/>
  <c r="X1117" i="22" s="1"/>
  <c r="T1119" i="22" l="1"/>
  <c r="W1118" i="22"/>
  <c r="X1118" i="22" s="1"/>
  <c r="T1120" i="22" l="1"/>
  <c r="W1119" i="22"/>
  <c r="X1119" i="22" s="1"/>
  <c r="T1121" i="22" l="1"/>
  <c r="W1120" i="22"/>
  <c r="X1120" i="22" s="1"/>
  <c r="W1121" i="22" l="1"/>
  <c r="X1121" i="22" s="1"/>
  <c r="T1122" i="22"/>
  <c r="T1123" i="22" l="1"/>
  <c r="W1122" i="22"/>
  <c r="X1122" i="22" s="1"/>
  <c r="T1124" i="22" l="1"/>
  <c r="W1123" i="22"/>
  <c r="X1123" i="22" s="1"/>
  <c r="T1125" i="22" l="1"/>
  <c r="W1124" i="22"/>
  <c r="X1124" i="22" s="1"/>
  <c r="T1126" i="22" l="1"/>
  <c r="W1125" i="22"/>
  <c r="X1125" i="22" s="1"/>
  <c r="T1127" i="22" l="1"/>
  <c r="W1126" i="22"/>
  <c r="X1126" i="22" s="1"/>
  <c r="W1127" i="22" l="1"/>
  <c r="X1127" i="22" s="1"/>
  <c r="T1128" i="22"/>
  <c r="W1128" i="22" l="1"/>
  <c r="X1128" i="22" s="1"/>
  <c r="T1129" i="22"/>
  <c r="T1130" i="22" l="1"/>
  <c r="W1129" i="22"/>
  <c r="X1129" i="22" s="1"/>
  <c r="T1131" i="22" l="1"/>
  <c r="W1130" i="22"/>
  <c r="X1130" i="22" s="1"/>
  <c r="T1132" i="22" l="1"/>
  <c r="W1131" i="22"/>
  <c r="X1131" i="22" s="1"/>
  <c r="T1133" i="22" l="1"/>
  <c r="W1132" i="22"/>
  <c r="X1132" i="22" s="1"/>
  <c r="T1134" i="22" l="1"/>
  <c r="W1133" i="22"/>
  <c r="X1133" i="22" s="1"/>
  <c r="T1135" i="22" l="1"/>
  <c r="W1134" i="22"/>
  <c r="X1134" i="22" s="1"/>
  <c r="W1135" i="22" l="1"/>
  <c r="X1135" i="22" s="1"/>
  <c r="T1136" i="22"/>
  <c r="W1136" i="22" l="1"/>
  <c r="X1136" i="22" s="1"/>
  <c r="T1137" i="22"/>
  <c r="T1138" i="22" l="1"/>
  <c r="W1137" i="22"/>
  <c r="X1137" i="22" s="1"/>
  <c r="T1139" i="22" l="1"/>
  <c r="W1138" i="22"/>
  <c r="X1138" i="22" s="1"/>
  <c r="T1140" i="22" l="1"/>
  <c r="W1139" i="22"/>
  <c r="X1139" i="22" s="1"/>
  <c r="T1141" i="22" l="1"/>
  <c r="W1140" i="22"/>
  <c r="X1140" i="22" s="1"/>
  <c r="W1141" i="22" l="1"/>
  <c r="X1141" i="22" s="1"/>
  <c r="T1142" i="22"/>
  <c r="W1142" i="22" l="1"/>
  <c r="X1142" i="22" s="1"/>
  <c r="T1143" i="22"/>
  <c r="W1143" i="22" l="1"/>
  <c r="X1143" i="22" s="1"/>
  <c r="T1144" i="22"/>
  <c r="T1145" i="22" l="1"/>
  <c r="W1144" i="22"/>
  <c r="X1144" i="22" s="1"/>
  <c r="T1146" i="22" l="1"/>
  <c r="W1145" i="22"/>
  <c r="X1145" i="22" s="1"/>
  <c r="T1147" i="22" l="1"/>
  <c r="W1146" i="22"/>
  <c r="X1146" i="22" s="1"/>
  <c r="T1148" i="22" l="1"/>
  <c r="W1147" i="22"/>
  <c r="X1147" i="22" s="1"/>
  <c r="T1149" i="22" l="1"/>
  <c r="W1148" i="22"/>
  <c r="X1148" i="22" s="1"/>
  <c r="T1150" i="22" l="1"/>
  <c r="W1149" i="22"/>
  <c r="X1149" i="22" s="1"/>
  <c r="T1151" i="22" l="1"/>
  <c r="W1150" i="22"/>
  <c r="X1150" i="22" s="1"/>
  <c r="T1152" i="22" l="1"/>
  <c r="W1151" i="22"/>
  <c r="X1151" i="22" s="1"/>
  <c r="T1153" i="22" l="1"/>
  <c r="W1152" i="22"/>
  <c r="X1152" i="22" s="1"/>
  <c r="T1154" i="22" l="1"/>
  <c r="W1153" i="22"/>
  <c r="X1153" i="22" s="1"/>
  <c r="T1155" i="22" l="1"/>
  <c r="W1154" i="22"/>
  <c r="X1154" i="22" s="1"/>
  <c r="T1156" i="22" l="1"/>
  <c r="W1155" i="22"/>
  <c r="X1155" i="22" s="1"/>
  <c r="T1157" i="22" l="1"/>
  <c r="W1156" i="22"/>
  <c r="X1156" i="22" s="1"/>
  <c r="T1158" i="22" l="1"/>
  <c r="W1157" i="22"/>
  <c r="X1157" i="22" s="1"/>
  <c r="T1159" i="22" l="1"/>
  <c r="W1158" i="22"/>
  <c r="X1158" i="22" s="1"/>
  <c r="T1160" i="22" l="1"/>
  <c r="W1159" i="22"/>
  <c r="X1159" i="22" s="1"/>
  <c r="T1161" i="22" l="1"/>
  <c r="W1160" i="22"/>
  <c r="X1160" i="22" s="1"/>
  <c r="W1161" i="22" l="1"/>
  <c r="X1161" i="22" s="1"/>
  <c r="T1162" i="22"/>
  <c r="T1163" i="22" l="1"/>
  <c r="W1162" i="22"/>
  <c r="X1162" i="22" s="1"/>
  <c r="T1164" i="22" l="1"/>
  <c r="W1163" i="22"/>
  <c r="X1163" i="22" s="1"/>
  <c r="T1165" i="22" l="1"/>
  <c r="W1164" i="22"/>
  <c r="X1164" i="22" s="1"/>
  <c r="T1166" i="22" l="1"/>
  <c r="W1165" i="22"/>
  <c r="X1165" i="22" s="1"/>
  <c r="T1167" i="22" l="1"/>
  <c r="W1166" i="22"/>
  <c r="X1166" i="22" s="1"/>
  <c r="T1168" i="22" l="1"/>
  <c r="W1167" i="22"/>
  <c r="X1167" i="22" s="1"/>
  <c r="T1169" i="22" l="1"/>
  <c r="W1168" i="22"/>
  <c r="X1168" i="22" s="1"/>
  <c r="T1170" i="22" l="1"/>
  <c r="W1169" i="22"/>
  <c r="X1169" i="22" s="1"/>
  <c r="T1171" i="22" l="1"/>
  <c r="W1170" i="22"/>
  <c r="X1170" i="22" s="1"/>
  <c r="T1172" i="22" l="1"/>
  <c r="W1171" i="22"/>
  <c r="X1171" i="22" s="1"/>
  <c r="T1173" i="22" l="1"/>
  <c r="W1172" i="22"/>
  <c r="X1172" i="22" s="1"/>
  <c r="T1174" i="22" l="1"/>
  <c r="W1173" i="22"/>
  <c r="X1173" i="22" s="1"/>
  <c r="T1175" i="22" l="1"/>
  <c r="W1174" i="22"/>
  <c r="X1174" i="22" s="1"/>
  <c r="W1175" i="22" l="1"/>
  <c r="X1175" i="22" s="1"/>
  <c r="T1176" i="22"/>
  <c r="T1177" i="22" l="1"/>
  <c r="W1176" i="22"/>
  <c r="X1176" i="22" s="1"/>
  <c r="T1178" i="22" l="1"/>
  <c r="W1177" i="22"/>
  <c r="X1177" i="22" s="1"/>
  <c r="T1179" i="22" l="1"/>
  <c r="W1178" i="22"/>
  <c r="X1178" i="22" s="1"/>
  <c r="T1180" i="22" l="1"/>
  <c r="W1179" i="22"/>
  <c r="X1179" i="22" s="1"/>
  <c r="T1181" i="22" l="1"/>
  <c r="W1180" i="22"/>
  <c r="X1180" i="22" s="1"/>
  <c r="T1182" i="22" l="1"/>
  <c r="W1181" i="22"/>
  <c r="X1181" i="22" s="1"/>
  <c r="T1183" i="22" l="1"/>
  <c r="W1182" i="22"/>
  <c r="X1182" i="22" s="1"/>
  <c r="T1184" i="22" l="1"/>
  <c r="W1183" i="22"/>
  <c r="X1183" i="22" s="1"/>
  <c r="T1185" i="22" l="1"/>
  <c r="W1184" i="22"/>
  <c r="X1184" i="22" s="1"/>
  <c r="T1186" i="22" l="1"/>
  <c r="W1185" i="22"/>
  <c r="X1185" i="22" s="1"/>
  <c r="T1187" i="22" l="1"/>
  <c r="W1186" i="22"/>
  <c r="X1186" i="22" s="1"/>
  <c r="T1188" i="22" l="1"/>
  <c r="W1187" i="22"/>
  <c r="X1187" i="22" s="1"/>
  <c r="T1189" i="22" l="1"/>
  <c r="W1188" i="22"/>
  <c r="X1188" i="22" s="1"/>
  <c r="T1190" i="22" l="1"/>
  <c r="W1189" i="22"/>
  <c r="X1189" i="22" s="1"/>
  <c r="T1191" i="22" l="1"/>
  <c r="W1190" i="22"/>
  <c r="X1190" i="22" s="1"/>
  <c r="W1191" i="22" l="1"/>
  <c r="X1191" i="22" s="1"/>
  <c r="T1192" i="22"/>
  <c r="T1193" i="22" l="1"/>
  <c r="W1192" i="22"/>
  <c r="X1192" i="22" s="1"/>
  <c r="W1193" i="22" l="1"/>
  <c r="X1193" i="22" s="1"/>
  <c r="T1194" i="22"/>
  <c r="W1194" i="22" l="1"/>
  <c r="X1194" i="22" s="1"/>
  <c r="T1195" i="22"/>
  <c r="T1196" i="22" l="1"/>
  <c r="W1195" i="22"/>
  <c r="X1195" i="22" s="1"/>
  <c r="T1197" i="22" l="1"/>
  <c r="W1196" i="22"/>
  <c r="X1196" i="22" s="1"/>
  <c r="T1198" i="22" l="1"/>
  <c r="W1197" i="22"/>
  <c r="X1197" i="22" s="1"/>
  <c r="T1199" i="22" l="1"/>
  <c r="W1198" i="22"/>
  <c r="X1198" i="22" s="1"/>
  <c r="T1200" i="22" l="1"/>
  <c r="W1199" i="22"/>
  <c r="X1199" i="22" s="1"/>
  <c r="T1201" i="22" l="1"/>
  <c r="W1200" i="22"/>
  <c r="X1200" i="22" s="1"/>
  <c r="W1201" i="22" l="1"/>
  <c r="X1201" i="22" s="1"/>
  <c r="T1202" i="22"/>
  <c r="T1203" i="22" l="1"/>
  <c r="W1202" i="22"/>
  <c r="X1202" i="22" s="1"/>
  <c r="W1203" i="22" l="1"/>
  <c r="X1203" i="22" s="1"/>
  <c r="T1204" i="22"/>
  <c r="W1204" i="22" l="1"/>
  <c r="X1204" i="22" s="1"/>
  <c r="T1205" i="22"/>
  <c r="T1206" i="22" l="1"/>
  <c r="W1205" i="22"/>
  <c r="X1205" i="22" s="1"/>
  <c r="W1206" i="22" l="1"/>
  <c r="X1206" i="22" s="1"/>
  <c r="T1207" i="22"/>
  <c r="W1207" i="22" l="1"/>
  <c r="X1207" i="22" s="1"/>
  <c r="T1208" i="22"/>
  <c r="T1209" i="22" l="1"/>
  <c r="W1208" i="22"/>
  <c r="X1208" i="22" s="1"/>
  <c r="T1210" i="22" l="1"/>
  <c r="W1209" i="22"/>
  <c r="X1209" i="22" s="1"/>
  <c r="T1211" i="22" l="1"/>
  <c r="W1210" i="22"/>
  <c r="X1210" i="22" s="1"/>
  <c r="T1212" i="22" l="1"/>
  <c r="W1211" i="22"/>
  <c r="X1211" i="22" s="1"/>
  <c r="T1213" i="22" l="1"/>
  <c r="W1212" i="22"/>
  <c r="X1212" i="22" s="1"/>
  <c r="T1214" i="22" l="1"/>
  <c r="W1213" i="22"/>
  <c r="X1213" i="22" s="1"/>
  <c r="T1215" i="22" l="1"/>
  <c r="W1214" i="22"/>
  <c r="X1214" i="22" s="1"/>
  <c r="W1215" i="22" l="1"/>
  <c r="X1215" i="22" s="1"/>
  <c r="T1216" i="22"/>
  <c r="T1217" i="22" l="1"/>
  <c r="W1216" i="22"/>
  <c r="X1216" i="22" s="1"/>
  <c r="T1218" i="22" l="1"/>
  <c r="W1217" i="22"/>
  <c r="X1217" i="22" s="1"/>
  <c r="T1219" i="22" l="1"/>
  <c r="W1218" i="22"/>
  <c r="X1218" i="22" s="1"/>
  <c r="T1220" i="22" l="1"/>
  <c r="W1219" i="22"/>
  <c r="X1219" i="22" s="1"/>
  <c r="T1221" i="22" l="1"/>
  <c r="W1220" i="22"/>
  <c r="X1220" i="22" s="1"/>
  <c r="T1222" i="22" l="1"/>
  <c r="W1221" i="22"/>
  <c r="X1221" i="22" s="1"/>
  <c r="T1223" i="22" l="1"/>
  <c r="W1222" i="22"/>
  <c r="X1222" i="22" s="1"/>
  <c r="T1224" i="22" l="1"/>
  <c r="W1223" i="22"/>
  <c r="X1223" i="22" s="1"/>
  <c r="T1225" i="22" l="1"/>
  <c r="W1224" i="22"/>
  <c r="X1224" i="22" s="1"/>
  <c r="T1226" i="22" l="1"/>
  <c r="W1225" i="22"/>
  <c r="X1225" i="22" s="1"/>
  <c r="T1227" i="22" l="1"/>
  <c r="W1226" i="22"/>
  <c r="X1226" i="22" s="1"/>
  <c r="T1228" i="22" l="1"/>
  <c r="W1227" i="22"/>
  <c r="X1227" i="22" s="1"/>
  <c r="T1229" i="22" l="1"/>
  <c r="W1228" i="22"/>
  <c r="X1228" i="22" s="1"/>
  <c r="T1230" i="22" l="1"/>
  <c r="W1229" i="22"/>
  <c r="X1229" i="22" s="1"/>
  <c r="T1231" i="22" l="1"/>
  <c r="W1230" i="22"/>
  <c r="X1230" i="22" s="1"/>
  <c r="W1231" i="22" l="1"/>
  <c r="X1231" i="22" s="1"/>
  <c r="T1232" i="22"/>
  <c r="T1233" i="22" l="1"/>
  <c r="W1232" i="22"/>
  <c r="X1232" i="22" s="1"/>
  <c r="T1234" i="22" l="1"/>
  <c r="W1233" i="22"/>
  <c r="X1233" i="22" s="1"/>
  <c r="T1235" i="22" l="1"/>
  <c r="W1234" i="22"/>
  <c r="X1234" i="22" s="1"/>
  <c r="W1235" i="22" l="1"/>
  <c r="X1235" i="22" s="1"/>
  <c r="T1236" i="22"/>
  <c r="T1237" i="22" l="1"/>
  <c r="W1236" i="22"/>
  <c r="X1236" i="22" s="1"/>
  <c r="T1238" i="22" l="1"/>
  <c r="W1237" i="22"/>
  <c r="X1237" i="22" s="1"/>
  <c r="T1239" i="22" l="1"/>
  <c r="W1238" i="22"/>
  <c r="X1238" i="22" s="1"/>
  <c r="T1240" i="22" l="1"/>
  <c r="W1239" i="22"/>
  <c r="X1239" i="22" s="1"/>
  <c r="W1240" i="22" l="1"/>
  <c r="X1240" i="22" s="1"/>
  <c r="T1241" i="22"/>
  <c r="W1241" i="22" l="1"/>
  <c r="X1241" i="22" s="1"/>
  <c r="T1242" i="22"/>
  <c r="T1243" i="22" l="1"/>
  <c r="W1242" i="22"/>
  <c r="X1242" i="22" s="1"/>
  <c r="W1243" i="22" l="1"/>
  <c r="X1243" i="22" s="1"/>
  <c r="T1244" i="22"/>
  <c r="W1244" i="22" s="1"/>
  <c r="X1244" i="2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15" authorId="0" shapeId="0" xr:uid="{A84C7A55-B27A-483C-8500-B88214F8EC46}">
      <text>
        <r>
          <rPr>
            <sz val="10"/>
            <rFont val="Arial"/>
            <family val="2"/>
          </rPr>
          <t>Año de transición: parte gestionada con Buffett Partnership y parte ya con Berkshire Hathaway. Se cuenta UN solo periodo anual (no se encadenan los dos). Por defecto se usa el dato de Berkshire (49,5%). Alternativa: usar el de la partnership (36,9%) -&gt; el valor final pasa de ~31,2 M a ~28,6 M $.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BFF4FA-4C76-4C2C-A82D-76B25C184F16}" keepAlive="1" name="Query - AAPL_dividend_full_history" description="Connection to the 'AAPL_dividend_full_history' query in the workbook." type="5" refreshedVersion="8" background="1" saveData="1">
    <dbPr connection="Provider=Microsoft.Mashup.OleDb.1;Data Source=$Workbook$;Location=AAPL_dividend_full_history;Extended Properties=&quot;&quot;" command="SELECT * FROM [AAPL_dividend_full_history]"/>
  </connection>
  <connection id="2" xr16:uid="{F22D30C7-B265-4BAF-97E2-D86035C6F4F4}" keepAlive="1" name="Query - KO_dividend_full_history" description="Connection to the 'KO_dividend_full_history' query in the workbook." type="5" refreshedVersion="8" background="1" saveData="1">
    <dbPr connection="Provider=Microsoft.Mashup.OleDb.1;Data Source=$Workbook$;Location=KO_dividend_full_history;Extended Properties=&quot;&quot;" command="SELECT * FROM [KO_dividend_full_history]"/>
  </connection>
  <connection id="3" xr16:uid="{00000000-0015-0000-FFFF-FFFF00000000}" keepAlive="1" name="Query - sp500_financials" description="Connection to the 'sp500_financials' query in the workbook." type="5" refreshedVersion="8" background="1" saveData="1">
    <dbPr connection="Provider=Microsoft.Mashup.OleDb.1;Data Source=$Workbook$;Location=sp500_financials;Extended Properties=&quot;&quot;" command="SELECT * FROM [sp500_financials]"/>
  </connection>
  <connection id="4" xr16:uid="{00000000-0015-0000-FFFF-FFFF01000000}" keepAlive="1" name="Query - SPY" description="Connection to the 'SPY' query in the workbook." type="5" refreshedVersion="0" background="1" saveData="1">
    <dbPr connection="Provider=Microsoft.Mashup.OleDb.1;Data Source=$Workbook$;Location=SPY;Extended Properties=&quot;&quot;" command="SELECT * FROM [SPY]"/>
  </connection>
  <connection id="5" xr16:uid="{00000000-0015-0000-FFFF-FFFF02000000}" keepAlive="1" name="Query - SPY (2)" description="Connection to the 'SPY (2)' query in the workbook." type="5" refreshedVersion="8" background="1" saveData="1">
    <dbPr connection="Provider=Microsoft.Mashup.OleDb.1;Data Source=$Workbook$;Location=&quot;SPY (2)&quot;;Extended Properties=&quot;&quot;" command="SELECT * FROM [SPY (2)]"/>
  </connection>
  <connection id="6" xr16:uid="{9CDF19FC-758A-4C9F-BECD-570BF334FC1F}" keepAlive="1" name="Query - US0378331005_dividends" description="Connection to the 'US0378331005_dividends' query in the workbook." type="5" refreshedVersion="8" background="1" saveData="1">
    <dbPr connection="Provider=Microsoft.Mashup.OleDb.1;Data Source=$Workbook$;Location=US0378331005_dividends;Extended Properties=&quot;&quot;" command="SELECT * FROM [US0378331005_dividends]"/>
  </connection>
  <connection id="7" xr16:uid="{283B3663-8081-4BF0-BB5C-30415C244677}" keepAlive="1" name="Query - US0378331005_dividends (2)" description="Connection to the 'US0378331005_dividends (2)' query in the workbook." type="5" refreshedVersion="8" background="1" saveData="1">
    <dbPr connection="Provider=Microsoft.Mashup.OleDb.1;Data Source=$Workbook$;Location=&quot;US0378331005_dividends (2)&quot;;Extended Properties=&quot;&quot;" command="SELECT * FROM [US0378331005_dividends (2)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<sst xmlns="http://schemas.openxmlformats.org/spreadsheetml/2006/main" count="8184" uniqueCount="3922">
  <si>
    <t>BNTX</t>
  </si>
  <si>
    <t>BioNTech SE</t>
  </si>
  <si>
    <t>USA</t>
  </si>
  <si>
    <t>23.101 US$</t>
  </si>
  <si>
    <t>Healthcare</t>
  </si>
  <si>
    <t>PBF</t>
  </si>
  <si>
    <t>PBF Energy Inc.</t>
  </si>
  <si>
    <t>5020 US$</t>
  </si>
  <si>
    <t>Energy</t>
  </si>
  <si>
    <t>SWN</t>
  </si>
  <si>
    <t>Southwestern Energy Company</t>
  </si>
  <si>
    <t>6828 US$</t>
  </si>
  <si>
    <t>CHK</t>
  </si>
  <si>
    <t>Chesapeake Energy Corporation</t>
  </si>
  <si>
    <t>9824 US$</t>
  </si>
  <si>
    <t>TX</t>
  </si>
  <si>
    <t>Ternium S.A.</t>
  </si>
  <si>
    <t>7880 US$</t>
  </si>
  <si>
    <t>Materials</t>
  </si>
  <si>
    <t>LNG</t>
  </si>
  <si>
    <t>Cheniere Energy, Inc.</t>
  </si>
  <si>
    <t>40.527 US$</t>
  </si>
  <si>
    <t>VLO</t>
  </si>
  <si>
    <t>Valero Energy Corporation</t>
  </si>
  <si>
    <t>42.489 US$</t>
  </si>
  <si>
    <t>SQM</t>
  </si>
  <si>
    <t>Sociedad Química y Minera de Chile S.A.</t>
  </si>
  <si>
    <t>15.547 US$</t>
  </si>
  <si>
    <t>Industrials</t>
  </si>
  <si>
    <t>DINO</t>
  </si>
  <si>
    <t>HF Sinclair Corporation</t>
  </si>
  <si>
    <t>10.540 US$</t>
  </si>
  <si>
    <t>RRC</t>
  </si>
  <si>
    <t>Range Resources Corporation</t>
  </si>
  <si>
    <t>7157 US$</t>
  </si>
  <si>
    <t>CHRD</t>
  </si>
  <si>
    <t>Chord Energy Corporation</t>
  </si>
  <si>
    <t>6565 US$</t>
  </si>
  <si>
    <t>APA</t>
  </si>
  <si>
    <t>APA Corporation</t>
  </si>
  <si>
    <t>10.689 US$</t>
  </si>
  <si>
    <t>MPC</t>
  </si>
  <si>
    <t>Marathon Petroleum Corporation</t>
  </si>
  <si>
    <t>55.686 US$</t>
  </si>
  <si>
    <t>EQT</t>
  </si>
  <si>
    <t>EQT Corporation</t>
  </si>
  <si>
    <t>15.326 US$</t>
  </si>
  <si>
    <t>CMC</t>
  </si>
  <si>
    <t>Commercial Metals Company</t>
  </si>
  <si>
    <t>5532 US$</t>
  </si>
  <si>
    <t>TMHC</t>
  </si>
  <si>
    <t>Taylor Morrison Home Corporation</t>
  </si>
  <si>
    <t>5274 US$</t>
  </si>
  <si>
    <t>Consumer Discretionary</t>
  </si>
  <si>
    <t>CF</t>
  </si>
  <si>
    <t>CF Industries Holdings, Inc.</t>
  </si>
  <si>
    <t>14.564 US$</t>
  </si>
  <si>
    <t>VIPS</t>
  </si>
  <si>
    <t>Vipshop Holdings Limited</t>
  </si>
  <si>
    <t>8653 US$</t>
  </si>
  <si>
    <t>STLD</t>
  </si>
  <si>
    <t>Steel Dynamics, Inc.</t>
  </si>
  <si>
    <t>18.667 US$</t>
  </si>
  <si>
    <t>AGCO</t>
  </si>
  <si>
    <t>AGCO Corporation</t>
  </si>
  <si>
    <t>8789 US$</t>
  </si>
  <si>
    <t>UAL</t>
  </si>
  <si>
    <t>United Airlines Holdings, Inc.</t>
  </si>
  <si>
    <t>13.639 US$</t>
  </si>
  <si>
    <t>CQP</t>
  </si>
  <si>
    <t>Cheniere Energy Partners, L.P.</t>
  </si>
  <si>
    <t>25.823 US$</t>
  </si>
  <si>
    <t>MTH</t>
  </si>
  <si>
    <t>Meritage Homes Corporation</t>
  </si>
  <si>
    <t>5915 US$</t>
  </si>
  <si>
    <t>PHM</t>
  </si>
  <si>
    <t>PulteGroup, Inc.</t>
  </si>
  <si>
    <t>21.120 US$</t>
  </si>
  <si>
    <t>NUE</t>
  </si>
  <si>
    <t>Nucor Corporation</t>
  </si>
  <si>
    <t>40.986 US$</t>
  </si>
  <si>
    <t>DDS</t>
  </si>
  <si>
    <t>Dillard's, Inc.</t>
  </si>
  <si>
    <t>6278 US$</t>
  </si>
  <si>
    <t>ARW</t>
  </si>
  <si>
    <t>Arrow Electronics, Inc.</t>
  </si>
  <si>
    <t>6547 US$</t>
  </si>
  <si>
    <t>Information Technology</t>
  </si>
  <si>
    <t>BG</t>
  </si>
  <si>
    <t>Bunge Global SA</t>
  </si>
  <si>
    <t>15.274 US$</t>
  </si>
  <si>
    <t>Consumer Staples</t>
  </si>
  <si>
    <t>ATKR</t>
  </si>
  <si>
    <t>Atkore Inc.</t>
  </si>
  <si>
    <t>5316 US$</t>
  </si>
  <si>
    <t>BWA</t>
  </si>
  <si>
    <t>BorgWarner Inc.</t>
  </si>
  <si>
    <t>7867 US$</t>
  </si>
  <si>
    <t>TOL</t>
  </si>
  <si>
    <t>Toll Brothers, Inc.</t>
  </si>
  <si>
    <t>10.367 US$</t>
  </si>
  <si>
    <t>JD</t>
  </si>
  <si>
    <t>JD.com, Inc.</t>
  </si>
  <si>
    <t>39.794 US$</t>
  </si>
  <si>
    <t>EOG</t>
  </si>
  <si>
    <t>EOG Resources, Inc.</t>
  </si>
  <si>
    <t>69.092 US$</t>
  </si>
  <si>
    <t>DVN</t>
  </si>
  <si>
    <t>Devon Energy Corporation</t>
  </si>
  <si>
    <t>28.332 US$</t>
  </si>
  <si>
    <t>CTRA</t>
  </si>
  <si>
    <t>Coterra Energy Inc.</t>
  </si>
  <si>
    <t>18.549 US$</t>
  </si>
  <si>
    <t>UTHR</t>
  </si>
  <si>
    <t>United Therapeutics Corporation</t>
  </si>
  <si>
    <t>12.075 US$</t>
  </si>
  <si>
    <t>MTDR</t>
  </si>
  <si>
    <t>Matador Resources Company</t>
  </si>
  <si>
    <t>6461 US$</t>
  </si>
  <si>
    <t>FOXA</t>
  </si>
  <si>
    <t>Fox Corporation</t>
  </si>
  <si>
    <t>13.810 US$</t>
  </si>
  <si>
    <t>Communication Services</t>
  </si>
  <si>
    <t>FANG</t>
  </si>
  <si>
    <t>Diamondback Energy, Inc.</t>
  </si>
  <si>
    <t>26.751 US$</t>
  </si>
  <si>
    <t>MUR</t>
  </si>
  <si>
    <t>Murphy Oil Corporation</t>
  </si>
  <si>
    <t>6366 US$</t>
  </si>
  <si>
    <t>X</t>
  </si>
  <si>
    <t>United States Steel Corporation</t>
  </si>
  <si>
    <t>8607 US$</t>
  </si>
  <si>
    <t>LEN</t>
  </si>
  <si>
    <t>Lennar Corporation</t>
  </si>
  <si>
    <t>40.845 US$</t>
  </si>
  <si>
    <t>AN</t>
  </si>
  <si>
    <t>AutoNation, Inc.</t>
  </si>
  <si>
    <t>5959 US$</t>
  </si>
  <si>
    <t>XOM</t>
  </si>
  <si>
    <t>Exxon Mobil Corporation</t>
  </si>
  <si>
    <t>395.361 US$</t>
  </si>
  <si>
    <t>ALSN</t>
  </si>
  <si>
    <t>Allison Transmission Holdings, Inc.</t>
  </si>
  <si>
    <t>5099 US$</t>
  </si>
  <si>
    <t>MO</t>
  </si>
  <si>
    <t>Altria Group, Inc.</t>
  </si>
  <si>
    <t>74.319 US$</t>
  </si>
  <si>
    <t>DHI</t>
  </si>
  <si>
    <t>D.R. Horton, Inc.</t>
  </si>
  <si>
    <t>48.035 US$</t>
  </si>
  <si>
    <t>BABA</t>
  </si>
  <si>
    <t>Alibaba Group Holding Limited</t>
  </si>
  <si>
    <t>181.753 US$</t>
  </si>
  <si>
    <t>AAL</t>
  </si>
  <si>
    <t>American Airlines Group Inc.</t>
  </si>
  <si>
    <t>9208 US$</t>
  </si>
  <si>
    <t>COP</t>
  </si>
  <si>
    <t>ConocoPhillips</t>
  </si>
  <si>
    <t>132.812 US$</t>
  </si>
  <si>
    <t>CNC</t>
  </si>
  <si>
    <t>Centene Corporation</t>
  </si>
  <si>
    <t>40.957 US$</t>
  </si>
  <si>
    <t>ALB</t>
  </si>
  <si>
    <t>Albemarle Corporation</t>
  </si>
  <si>
    <t>16.436 US$</t>
  </si>
  <si>
    <t>RS</t>
  </si>
  <si>
    <t>Reliance Steel &amp; Aluminum Co.</t>
  </si>
  <si>
    <t>15.455 US$</t>
  </si>
  <si>
    <t>CROX</t>
  </si>
  <si>
    <t>Crocs, Inc.</t>
  </si>
  <si>
    <t>6469 US$</t>
  </si>
  <si>
    <t>HPQ</t>
  </si>
  <si>
    <t>HP Inc.</t>
  </si>
  <si>
    <t>29.796 US$</t>
  </si>
  <si>
    <t>PSX</t>
  </si>
  <si>
    <t>Phillips 66</t>
  </si>
  <si>
    <t>55.945 US$</t>
  </si>
  <si>
    <t>PXD</t>
  </si>
  <si>
    <t>Pioneer Natural Resources Company</t>
  </si>
  <si>
    <t>51.939 US$</t>
  </si>
  <si>
    <t>MOS</t>
  </si>
  <si>
    <t>The Mosaic Company</t>
  </si>
  <si>
    <t>11.916 US$</t>
  </si>
  <si>
    <t>AR</t>
  </si>
  <si>
    <t>Antero Resources Corporation</t>
  </si>
  <si>
    <t>6326 US$</t>
  </si>
  <si>
    <t>MRO</t>
  </si>
  <si>
    <t>Marathon Oil Corporation</t>
  </si>
  <si>
    <t>14.005 US$</t>
  </si>
  <si>
    <t>TPR</t>
  </si>
  <si>
    <t>Tapestry, Inc.</t>
  </si>
  <si>
    <t>7914 US$</t>
  </si>
  <si>
    <t>SNX</t>
  </si>
  <si>
    <t>TD SYNNEX Corporation</t>
  </si>
  <si>
    <t>9265 US$</t>
  </si>
  <si>
    <t>CIVI</t>
  </si>
  <si>
    <t>Civitas Resources, Inc.</t>
  </si>
  <si>
    <t>6318 US$</t>
  </si>
  <si>
    <t>WCC</t>
  </si>
  <si>
    <t>WESCO International, Inc.</t>
  </si>
  <si>
    <t>8676 US$</t>
  </si>
  <si>
    <t>DAL</t>
  </si>
  <si>
    <t>Delta Air Lines, Inc.</t>
  </si>
  <si>
    <t>26.376 US$</t>
  </si>
  <si>
    <t>BYD</t>
  </si>
  <si>
    <t>Boyd Gaming Corporation</t>
  </si>
  <si>
    <t>5974 US$</t>
  </si>
  <si>
    <t>OLN</t>
  </si>
  <si>
    <t>Olin Corporation</t>
  </si>
  <si>
    <t>6127 US$</t>
  </si>
  <si>
    <t>BIDU</t>
  </si>
  <si>
    <t>Baidu, Inc.</t>
  </si>
  <si>
    <t>39.278 US$</t>
  </si>
  <si>
    <t>THC</t>
  </si>
  <si>
    <t>Tenet Healthcare Corporation</t>
  </si>
  <si>
    <t>7540 US$</t>
  </si>
  <si>
    <t>CVX</t>
  </si>
  <si>
    <t>Chevron Corporation</t>
  </si>
  <si>
    <t>272.163 US$</t>
  </si>
  <si>
    <t>EBAY</t>
  </si>
  <si>
    <t>eBay Inc.</t>
  </si>
  <si>
    <t>21.777 US$</t>
  </si>
  <si>
    <t>OSK</t>
  </si>
  <si>
    <t>Oshkosh Corporation</t>
  </si>
  <si>
    <t>6753 US$</t>
  </si>
  <si>
    <t>NVR</t>
  </si>
  <si>
    <t>NVR, Inc.</t>
  </si>
  <si>
    <t>21.291 US$</t>
  </si>
  <si>
    <t>WFRD</t>
  </si>
  <si>
    <t>Weatherford International plc</t>
  </si>
  <si>
    <t>6266 US$</t>
  </si>
  <si>
    <t>BC</t>
  </si>
  <si>
    <t>Brunswick Corporation</t>
  </si>
  <si>
    <t>6076 US$</t>
  </si>
  <si>
    <t>HAL</t>
  </si>
  <si>
    <t>Halliburton Company</t>
  </si>
  <si>
    <t>31.049 US$</t>
  </si>
  <si>
    <t>UFPI</t>
  </si>
  <si>
    <t>UFP Industries, Inc.</t>
  </si>
  <si>
    <t>7285 US$</t>
  </si>
  <si>
    <t>OMC</t>
  </si>
  <si>
    <t>Omnicom Group Inc.</t>
  </si>
  <si>
    <t>16.613 US$</t>
  </si>
  <si>
    <t>FLEX</t>
  </si>
  <si>
    <t>Flex Ltd.</t>
  </si>
  <si>
    <t>11.398 US$</t>
  </si>
  <si>
    <t>COKE</t>
  </si>
  <si>
    <t>Coca-Cola Consolidated, Inc.</t>
  </si>
  <si>
    <t>8019 US$</t>
  </si>
  <si>
    <t>LEA</t>
  </si>
  <si>
    <t>Lear Corporation</t>
  </si>
  <si>
    <t>7712 US$</t>
  </si>
  <si>
    <t>M</t>
  </si>
  <si>
    <t>Macy's, Inc.</t>
  </si>
  <si>
    <t>5355 US$</t>
  </si>
  <si>
    <t>OC</t>
  </si>
  <si>
    <t>Owens Corning</t>
  </si>
  <si>
    <t>12.993 US$</t>
  </si>
  <si>
    <t>PCAR</t>
  </si>
  <si>
    <t>PACCAR Inc</t>
  </si>
  <si>
    <t>51.293 US$</t>
  </si>
  <si>
    <t>INGR</t>
  </si>
  <si>
    <t>Ingredion Incorporated</t>
  </si>
  <si>
    <t>7116 US$</t>
  </si>
  <si>
    <t>GPK</t>
  </si>
  <si>
    <t>Graphic Packaging Holding Company</t>
  </si>
  <si>
    <t>7437 US$</t>
  </si>
  <si>
    <t>CAR</t>
  </si>
  <si>
    <t>Avis Budget Group, Inc.</t>
  </si>
  <si>
    <t>7260 US$</t>
  </si>
  <si>
    <t>LAD</t>
  </si>
  <si>
    <t>Lithia Motors, Inc.</t>
  </si>
  <si>
    <t>7719 US$</t>
  </si>
  <si>
    <t>TKR</t>
  </si>
  <si>
    <t>The Timken Company</t>
  </si>
  <si>
    <t>5363 US$</t>
  </si>
  <si>
    <t>BLDR</t>
  </si>
  <si>
    <t>Builders FirstSource, Inc.</t>
  </si>
  <si>
    <t>19.103 US$</t>
  </si>
  <si>
    <t>WSM</t>
  </si>
  <si>
    <t>Williams-Sonoma, Inc.</t>
  </si>
  <si>
    <t>12.673 US$</t>
  </si>
  <si>
    <t>NE</t>
  </si>
  <si>
    <t>Noble Corporation Plc</t>
  </si>
  <si>
    <t>6109 US$</t>
  </si>
  <si>
    <t>CR</t>
  </si>
  <si>
    <t>Crane Company</t>
  </si>
  <si>
    <t>6126 US$</t>
  </si>
  <si>
    <t>IPG</t>
  </si>
  <si>
    <t>The Interpublic Group of Companies, Inc.</t>
  </si>
  <si>
    <t>12.065 US$</t>
  </si>
  <si>
    <t>JBL</t>
  </si>
  <si>
    <t>Jabil Inc.</t>
  </si>
  <si>
    <t>15.515 US$</t>
  </si>
  <si>
    <t>VZ</t>
  </si>
  <si>
    <t>Verizon Communications Inc.</t>
  </si>
  <si>
    <t>155.510 US$</t>
  </si>
  <si>
    <t>KR</t>
  </si>
  <si>
    <t>The Kroger Co.</t>
  </si>
  <si>
    <t>32.173 US$</t>
  </si>
  <si>
    <t>T</t>
  </si>
  <si>
    <t>AT&amp;T Inc.</t>
  </si>
  <si>
    <t>117.618 US$</t>
  </si>
  <si>
    <t>HRB</t>
  </si>
  <si>
    <t>H&amp;R Block, Inc.</t>
  </si>
  <si>
    <t>6727 US$</t>
  </si>
  <si>
    <t>SAIC</t>
  </si>
  <si>
    <t>Science Applications International Corporation</t>
  </si>
  <si>
    <t>6735 US$</t>
  </si>
  <si>
    <t>DKS</t>
  </si>
  <si>
    <t>DICK'S Sporting Goods, Inc.</t>
  </si>
  <si>
    <t>11.555 US$</t>
  </si>
  <si>
    <t>CMI</t>
  </si>
  <si>
    <t>Cummins Inc.</t>
  </si>
  <si>
    <t>33.927 US$</t>
  </si>
  <si>
    <t>BBY</t>
  </si>
  <si>
    <t>Best Buy Co., Inc.</t>
  </si>
  <si>
    <t>15.588 US$</t>
  </si>
  <si>
    <t>LYB</t>
  </si>
  <si>
    <t>LyondellBasell Industries N.V.</t>
  </si>
  <si>
    <t>30.198 US$</t>
  </si>
  <si>
    <t>OXY</t>
  </si>
  <si>
    <t>Occidental Petroleum Corporation</t>
  </si>
  <si>
    <t>50.215 US$</t>
  </si>
  <si>
    <t>PR</t>
  </si>
  <si>
    <t>Permian Resources Corporation</t>
  </si>
  <si>
    <t>6589 US$</t>
  </si>
  <si>
    <t>CSCO</t>
  </si>
  <si>
    <t>Cisco Systems, Inc.</t>
  </si>
  <si>
    <t>201.914 US$</t>
  </si>
  <si>
    <t>SEE</t>
  </si>
  <si>
    <t>Sealed Air Corporation</t>
  </si>
  <si>
    <t>5021 US$</t>
  </si>
  <si>
    <t>CVS</t>
  </si>
  <si>
    <t>CVS Health Corporation</t>
  </si>
  <si>
    <t>96.890 US$</t>
  </si>
  <si>
    <t>FMC</t>
  </si>
  <si>
    <t>FMC Corporation</t>
  </si>
  <si>
    <t>7206 US$</t>
  </si>
  <si>
    <t>SNA</t>
  </si>
  <si>
    <t>Snap-on Incorporated</t>
  </si>
  <si>
    <t>14.993 US$</t>
  </si>
  <si>
    <t>NEU</t>
  </si>
  <si>
    <t>NewMarket Corporation</t>
  </si>
  <si>
    <t>5349 US$</t>
  </si>
  <si>
    <t>FCX</t>
  </si>
  <si>
    <t>Freeport-McMoRan Inc.</t>
  </si>
  <si>
    <t>56.198 US$</t>
  </si>
  <si>
    <t>BBWI</t>
  </si>
  <si>
    <t>Bath &amp; Body Works, Inc.</t>
  </si>
  <si>
    <t>9074 US$</t>
  </si>
  <si>
    <t>IGT</t>
  </si>
  <si>
    <t>International Game Technology PLC</t>
  </si>
  <si>
    <t>5477 US$</t>
  </si>
  <si>
    <t>CMCSA</t>
  </si>
  <si>
    <t>Comcast Corporation</t>
  </si>
  <si>
    <t>175.775 US$</t>
  </si>
  <si>
    <t>TEVA</t>
  </si>
  <si>
    <t>Teva Pharmaceutical Industries Limited</t>
  </si>
  <si>
    <t>11.378 US$</t>
  </si>
  <si>
    <t>PVH</t>
  </si>
  <si>
    <t>PVH Corp.</t>
  </si>
  <si>
    <t>JAZZ</t>
  </si>
  <si>
    <t>Jazz Pharmaceuticals plc</t>
  </si>
  <si>
    <t>7899 US$</t>
  </si>
  <si>
    <t>ADM</t>
  </si>
  <si>
    <t>Archer-Daniels-Midland Company</t>
  </si>
  <si>
    <t>40.142 US$</t>
  </si>
  <si>
    <t>HUM</t>
  </si>
  <si>
    <t>Humana Inc.</t>
  </si>
  <si>
    <t>60.089 US$</t>
  </si>
  <si>
    <t>MMM</t>
  </si>
  <si>
    <t>3M Company</t>
  </si>
  <si>
    <t>57.546 US$</t>
  </si>
  <si>
    <t>KHC</t>
  </si>
  <si>
    <t>The Kraft Heinz Company</t>
  </si>
  <si>
    <t>46.191 US$</t>
  </si>
  <si>
    <t>BECN</t>
  </si>
  <si>
    <t>Beacon Roofing Supply, Inc.</t>
  </si>
  <si>
    <t>5185 US$</t>
  </si>
  <si>
    <t>HPE</t>
  </si>
  <si>
    <t>Hewlett Packard Enterprise Company</t>
  </si>
  <si>
    <t>21.270 US$</t>
  </si>
  <si>
    <t>G</t>
  </si>
  <si>
    <t>Genpact Limited</t>
  </si>
  <si>
    <t>6304 US$</t>
  </si>
  <si>
    <t>CAG</t>
  </si>
  <si>
    <t>Conagra Brands, Inc.</t>
  </si>
  <si>
    <t>14.549 US$</t>
  </si>
  <si>
    <t>CNM</t>
  </si>
  <si>
    <t>Core &amp; Main, Inc.</t>
  </si>
  <si>
    <t>6966 US$</t>
  </si>
  <si>
    <t>CAT</t>
  </si>
  <si>
    <t>Caterpillar Inc.</t>
  </si>
  <si>
    <t>136.419 US$</t>
  </si>
  <si>
    <t>KOF</t>
  </si>
  <si>
    <t>Coca-Cola FEMSA, S.A.B. de C.V.</t>
  </si>
  <si>
    <t>19.588 US$</t>
  </si>
  <si>
    <t>MOH</t>
  </si>
  <si>
    <t>Molina Healthcare, Inc.</t>
  </si>
  <si>
    <t>22.293 US$</t>
  </si>
  <si>
    <t>CNXC</t>
  </si>
  <si>
    <t>Concentrix Corporation</t>
  </si>
  <si>
    <t>6292 US$</t>
  </si>
  <si>
    <t>WLK</t>
  </si>
  <si>
    <t>Westlake Corporation</t>
  </si>
  <si>
    <t>16.984 US$</t>
  </si>
  <si>
    <t>LSXM.K</t>
  </si>
  <si>
    <t>The Liberty SiriusXM Group</t>
  </si>
  <si>
    <t>9025 US$</t>
  </si>
  <si>
    <t>ACI</t>
  </si>
  <si>
    <t>Albertsons Companies, Inc.</t>
  </si>
  <si>
    <t>12.917 US$</t>
  </si>
  <si>
    <t>CTSH</t>
  </si>
  <si>
    <t>Cognizant Technology Solutions Corporation</t>
  </si>
  <si>
    <t>36.693 US$</t>
  </si>
  <si>
    <t>LKQ</t>
  </si>
  <si>
    <t>LKQ Corporation</t>
  </si>
  <si>
    <t>12.312 US$</t>
  </si>
  <si>
    <t>CHX</t>
  </si>
  <si>
    <t>ChampionX Corporation</t>
  </si>
  <si>
    <t>5756 US$</t>
  </si>
  <si>
    <t>PAG</t>
  </si>
  <si>
    <t>Penske Automotive Group, Inc.</t>
  </si>
  <si>
    <t>10.468 US$</t>
  </si>
  <si>
    <t>MSM</t>
  </si>
  <si>
    <t>MSC Industrial Direct Co., Inc.</t>
  </si>
  <si>
    <t>5610 US$</t>
  </si>
  <si>
    <t>MHK</t>
  </si>
  <si>
    <t>Mohawk Industries, Inc.</t>
  </si>
  <si>
    <t>6214 US$</t>
  </si>
  <si>
    <t>HCA</t>
  </si>
  <si>
    <t>HCA Healthcare, Inc.</t>
  </si>
  <si>
    <t>71.805 US$</t>
  </si>
  <si>
    <t>URI</t>
  </si>
  <si>
    <t>United Rentals, Inc.</t>
  </si>
  <si>
    <t>35.935 US$</t>
  </si>
  <si>
    <t>AYI</t>
  </si>
  <si>
    <t>Acuity Brands, Inc.</t>
  </si>
  <si>
    <t>5967 US$</t>
  </si>
  <si>
    <t>MUSA</t>
  </si>
  <si>
    <t>Murphy USA Inc.</t>
  </si>
  <si>
    <t>7694 US$</t>
  </si>
  <si>
    <t>ZTO</t>
  </si>
  <si>
    <t>ZTO Express (Cayman) Inc.</t>
  </si>
  <si>
    <t>16.416 US$</t>
  </si>
  <si>
    <t>CNHI</t>
  </si>
  <si>
    <t>CNH Industrial N.V.</t>
  </si>
  <si>
    <t>14.928 US$</t>
  </si>
  <si>
    <t>NXST</t>
  </si>
  <si>
    <t>Nexstar Media Group, Inc.</t>
  </si>
  <si>
    <t>5139 US$</t>
  </si>
  <si>
    <t>EXP</t>
  </si>
  <si>
    <t>Eagle Materials Inc.</t>
  </si>
  <si>
    <t>6709 US$</t>
  </si>
  <si>
    <t>DE</t>
  </si>
  <si>
    <t>Deere &amp; Company</t>
  </si>
  <si>
    <t>108.579 US$</t>
  </si>
  <si>
    <t>CHTR</t>
  </si>
  <si>
    <t>Charter Communications, Inc.</t>
  </si>
  <si>
    <t>56.114 US$</t>
  </si>
  <si>
    <t>SON</t>
  </si>
  <si>
    <t>Sonoco Products Company</t>
  </si>
  <si>
    <t>5542 US$</t>
  </si>
  <si>
    <t>UHAL</t>
  </si>
  <si>
    <t>U-Haul Holding Company</t>
  </si>
  <si>
    <t>11.723 US$</t>
  </si>
  <si>
    <t>WHR</t>
  </si>
  <si>
    <t>Whirlpool Corporation</t>
  </si>
  <si>
    <t>6294 US$</t>
  </si>
  <si>
    <t>CRH</t>
  </si>
  <si>
    <t>CRH plc</t>
  </si>
  <si>
    <t>46.466 US$</t>
  </si>
  <si>
    <t>GILD</t>
  </si>
  <si>
    <t>Gilead Sciences, Inc.</t>
  </si>
  <si>
    <t>103.534 US$</t>
  </si>
  <si>
    <t>BLD</t>
  </si>
  <si>
    <t>TopBuild Corp.</t>
  </si>
  <si>
    <t>10.510 US$</t>
  </si>
  <si>
    <t>VNT</t>
  </si>
  <si>
    <t>Vontier Corporation</t>
  </si>
  <si>
    <t>5284 US$</t>
  </si>
  <si>
    <t>IP</t>
  </si>
  <si>
    <t>International Paper Company</t>
  </si>
  <si>
    <t>12.771 US$</t>
  </si>
  <si>
    <t>CI</t>
  </si>
  <si>
    <t>The Cigna Group</t>
  </si>
  <si>
    <t>86.961 US$</t>
  </si>
  <si>
    <t>ST</t>
  </si>
  <si>
    <t>Sensata Technologies Holding plc</t>
  </si>
  <si>
    <t>5275 US$</t>
  </si>
  <si>
    <t>ET</t>
  </si>
  <si>
    <t>Energy Transfer LP</t>
  </si>
  <si>
    <t>42.553 US$</t>
  </si>
  <si>
    <t>TRGP</t>
  </si>
  <si>
    <t>Targa Resources Corp.</t>
  </si>
  <si>
    <t>18.919 US$</t>
  </si>
  <si>
    <t>SJM</t>
  </si>
  <si>
    <t>The J. M. Smucker Company</t>
  </si>
  <si>
    <t>13.453 US$</t>
  </si>
  <si>
    <t>EME</t>
  </si>
  <si>
    <t>EMCOR Group, Inc.</t>
  </si>
  <si>
    <t>10.230 US$</t>
  </si>
  <si>
    <t>TAP</t>
  </si>
  <si>
    <t>Molson Coors Beverage Company</t>
  </si>
  <si>
    <t>13.856 US$</t>
  </si>
  <si>
    <t>GM</t>
  </si>
  <si>
    <t>General Motors Company</t>
  </si>
  <si>
    <t>46.549 US$</t>
  </si>
  <si>
    <t>ON</t>
  </si>
  <si>
    <t>ON Semiconductor Corporation</t>
  </si>
  <si>
    <t>34.912 US$</t>
  </si>
  <si>
    <t>UHS</t>
  </si>
  <si>
    <t>Universal Health Services, Inc.</t>
  </si>
  <si>
    <t>10.192 US$</t>
  </si>
  <si>
    <t>MAS</t>
  </si>
  <si>
    <t>Masco Corporation</t>
  </si>
  <si>
    <t>14.880 US$</t>
  </si>
  <si>
    <t>PARA</t>
  </si>
  <si>
    <t>Paramount Global</t>
  </si>
  <si>
    <t>10.470 US$</t>
  </si>
  <si>
    <t>GPC</t>
  </si>
  <si>
    <t>Genuine Parts Company</t>
  </si>
  <si>
    <t>19.292 US$</t>
  </si>
  <si>
    <t>CZR</t>
  </si>
  <si>
    <t>Caesars Entertainment, Inc.</t>
  </si>
  <si>
    <t>10.100 US$</t>
  </si>
  <si>
    <t>CPB</t>
  </si>
  <si>
    <t>Campbell Soup Company</t>
  </si>
  <si>
    <t>13.516 US$</t>
  </si>
  <si>
    <t>MIDD</t>
  </si>
  <si>
    <t>The Middleby Corporation</t>
  </si>
  <si>
    <t>7495 US$</t>
  </si>
  <si>
    <t>VTRS</t>
  </si>
  <si>
    <t>Viatris Inc.</t>
  </si>
  <si>
    <t>12.153 US$</t>
  </si>
  <si>
    <t>SCCO</t>
  </si>
  <si>
    <t>Southern Copper Corporation</t>
  </si>
  <si>
    <t>59.800 US$</t>
  </si>
  <si>
    <t>EPD</t>
  </si>
  <si>
    <t>Enterprise Products Partners L.P.</t>
  </si>
  <si>
    <t>56.903 US$</t>
  </si>
  <si>
    <t>BKR</t>
  </si>
  <si>
    <t>Baker Hughes Company</t>
  </si>
  <si>
    <t>32.803 US$</t>
  </si>
  <si>
    <t>JNJ</t>
  </si>
  <si>
    <t>Johnson &amp; Johnson</t>
  </si>
  <si>
    <t>375.030 US$</t>
  </si>
  <si>
    <t>BERY</t>
  </si>
  <si>
    <t>Berry Global Group, Inc.</t>
  </si>
  <si>
    <t>7839 US$</t>
  </si>
  <si>
    <t>LMT</t>
  </si>
  <si>
    <t>Lockheed Martin Corporation</t>
  </si>
  <si>
    <t>112.002 US$</t>
  </si>
  <si>
    <t>SKX</t>
  </si>
  <si>
    <t>Skechers U.S.A., Inc.</t>
  </si>
  <si>
    <t>9471 US$</t>
  </si>
  <si>
    <t>ARMK</t>
  </si>
  <si>
    <t>Aramark</t>
  </si>
  <si>
    <t>7100 US$</t>
  </si>
  <si>
    <t>WES</t>
  </si>
  <si>
    <t>Western Midstream Partners, LP</t>
  </si>
  <si>
    <t>10.513 US$</t>
  </si>
  <si>
    <t>THO</t>
  </si>
  <si>
    <t>THOR Industries, Inc.</t>
  </si>
  <si>
    <t>5872 US$</t>
  </si>
  <si>
    <t>AIT</t>
  </si>
  <si>
    <t>Applied Industrial Technologies, Inc.</t>
  </si>
  <si>
    <t>6578 US$</t>
  </si>
  <si>
    <t>DELL</t>
  </si>
  <si>
    <t>Dell Technologies Inc.</t>
  </si>
  <si>
    <t>49.720 US$</t>
  </si>
  <si>
    <t>EHC</t>
  </si>
  <si>
    <t>Encompass Health Corporation</t>
  </si>
  <si>
    <t>6713 US$</t>
  </si>
  <si>
    <t>LOW</t>
  </si>
  <si>
    <t>Lowe's Companies, Inc.</t>
  </si>
  <si>
    <t>123.908 US$</t>
  </si>
  <si>
    <t>CAH</t>
  </si>
  <si>
    <t>Cardinal Health, Inc.</t>
  </si>
  <si>
    <t>26.631 US$</t>
  </si>
  <si>
    <t>MPLX</t>
  </si>
  <si>
    <t>MPLX LP</t>
  </si>
  <si>
    <t>35.864 US$</t>
  </si>
  <si>
    <t>CCK</t>
  </si>
  <si>
    <t>Crown Holdings, Inc.</t>
  </si>
  <si>
    <t>10.827 US$</t>
  </si>
  <si>
    <t>RL</t>
  </si>
  <si>
    <t>Ralph Lauren Corporation</t>
  </si>
  <si>
    <t>8945 US$</t>
  </si>
  <si>
    <t>RHI</t>
  </si>
  <si>
    <t>Robert Half Inc.</t>
  </si>
  <si>
    <t>8760 US$</t>
  </si>
  <si>
    <t>NOV</t>
  </si>
  <si>
    <t>NOV Inc.</t>
  </si>
  <si>
    <t>7528 US$</t>
  </si>
  <si>
    <t>ELV</t>
  </si>
  <si>
    <t>Elevance Health, Inc.</t>
  </si>
  <si>
    <t>114.674 US$</t>
  </si>
  <si>
    <t>DOX</t>
  </si>
  <si>
    <t>Amdocs Limited</t>
  </si>
  <si>
    <t>10.353 US$</t>
  </si>
  <si>
    <t>VFC</t>
  </si>
  <si>
    <t>V.F. Corporation</t>
  </si>
  <si>
    <t>7315 US$</t>
  </si>
  <si>
    <t>PKG</t>
  </si>
  <si>
    <t>Packaging Corporation of America</t>
  </si>
  <si>
    <t>14.746 US$</t>
  </si>
  <si>
    <t>SIRI</t>
  </si>
  <si>
    <t>Sirius XM Holdings Inc.</t>
  </si>
  <si>
    <t>20.859 US$</t>
  </si>
  <si>
    <t>EMN</t>
  </si>
  <si>
    <t>Eastman Chemical Company</t>
  </si>
  <si>
    <t>10.331 US$</t>
  </si>
  <si>
    <t>AU</t>
  </si>
  <si>
    <t>AngloGold Ashanti plc</t>
  </si>
  <si>
    <t>7397 US$</t>
  </si>
  <si>
    <t>GEHC</t>
  </si>
  <si>
    <t>GE HealthCare Technologies Inc.</t>
  </si>
  <si>
    <t>33.770 US$</t>
  </si>
  <si>
    <t>CSX</t>
  </si>
  <si>
    <t>CSX Corporation</t>
  </si>
  <si>
    <t>65.687 US$</t>
  </si>
  <si>
    <t>ADT</t>
  </si>
  <si>
    <t>ADT Inc.</t>
  </si>
  <si>
    <t>6086 US$</t>
  </si>
  <si>
    <t>NOC</t>
  </si>
  <si>
    <t>Northrop Grumman Corporation</t>
  </si>
  <si>
    <t>73.136 US$</t>
  </si>
  <si>
    <t>HAS</t>
  </si>
  <si>
    <t>Hasbro, Inc.</t>
  </si>
  <si>
    <t>6924 US$</t>
  </si>
  <si>
    <t>ALV</t>
  </si>
  <si>
    <t>Autoliv, Inc.</t>
  </si>
  <si>
    <t>8626 US$</t>
  </si>
  <si>
    <t>AMKR</t>
  </si>
  <si>
    <t>Amkor Technology, Inc.</t>
  </si>
  <si>
    <t>7793 US$</t>
  </si>
  <si>
    <t>YUMC</t>
  </si>
  <si>
    <t>Yum China Holdings, Inc.</t>
  </si>
  <si>
    <t>16.211 US$</t>
  </si>
  <si>
    <t>FDX</t>
  </si>
  <si>
    <t>FedEx Corporation</t>
  </si>
  <si>
    <t>68.846 US$</t>
  </si>
  <si>
    <t>GE</t>
  </si>
  <si>
    <t>General Electric Company</t>
  </si>
  <si>
    <t>131.891 US$</t>
  </si>
  <si>
    <t>TNET</t>
  </si>
  <si>
    <t>TriNet Group, Inc.</t>
  </si>
  <si>
    <t>6121 US$</t>
  </si>
  <si>
    <t>TXT</t>
  </si>
  <si>
    <t>Textron Inc.</t>
  </si>
  <si>
    <t>15.441 US$</t>
  </si>
  <si>
    <t>GEN</t>
  </si>
  <si>
    <t>Gen Digital Inc.</t>
  </si>
  <si>
    <t>14.429 US$</t>
  </si>
  <si>
    <t>GIS</t>
  </si>
  <si>
    <t>General Mills, Inc.</t>
  </si>
  <si>
    <t>39.434 US$</t>
  </si>
  <si>
    <t>DVA</t>
  </si>
  <si>
    <t>DaVita Inc.</t>
  </si>
  <si>
    <t>9939 US$</t>
  </si>
  <si>
    <t>FLS</t>
  </si>
  <si>
    <t>Flowserve Corporation</t>
  </si>
  <si>
    <t>5118 US$</t>
  </si>
  <si>
    <t>MCK</t>
  </si>
  <si>
    <t>McKesson Corporation</t>
  </si>
  <si>
    <t>61.315 US$</t>
  </si>
  <si>
    <t>SLB</t>
  </si>
  <si>
    <t>Schlumberger Limited</t>
  </si>
  <si>
    <t>70.257 US$</t>
  </si>
  <si>
    <t>F</t>
  </si>
  <si>
    <t>Ford Motor Company</t>
  </si>
  <si>
    <t>44.993 US$</t>
  </si>
  <si>
    <t>ESAB</t>
  </si>
  <si>
    <t>ESAB Corporation</t>
  </si>
  <si>
    <t>5010 US$</t>
  </si>
  <si>
    <t>UPS</t>
  </si>
  <si>
    <t>United Parcel Service, Inc.</t>
  </si>
  <si>
    <t>133.965 US$</t>
  </si>
  <si>
    <t>MNSO</t>
  </si>
  <si>
    <t>MINISO Group Holding Limited</t>
  </si>
  <si>
    <t>5920 US$</t>
  </si>
  <si>
    <t>GNTX</t>
  </si>
  <si>
    <t>Gentex Corporation</t>
  </si>
  <si>
    <t>7266 US$</t>
  </si>
  <si>
    <t>AM</t>
  </si>
  <si>
    <t>Antero Midstream Corporation</t>
  </si>
  <si>
    <t>6083 US$</t>
  </si>
  <si>
    <t>BJ</t>
  </si>
  <si>
    <t>BJ's Wholesale Club Holdings, Inc.</t>
  </si>
  <si>
    <t>8957 US$</t>
  </si>
  <si>
    <t>KVUE</t>
  </si>
  <si>
    <t>Kenvue Inc.</t>
  </si>
  <si>
    <t>40.291 US$</t>
  </si>
  <si>
    <t>TTC</t>
  </si>
  <si>
    <t>The Toro Company</t>
  </si>
  <si>
    <t>8884 US$</t>
  </si>
  <si>
    <t>NTES</t>
  </si>
  <si>
    <t>NetEase, Inc.</t>
  </si>
  <si>
    <t>66.876 US$</t>
  </si>
  <si>
    <t>CHH</t>
  </si>
  <si>
    <t>Choice Hotels International, Inc.</t>
  </si>
  <si>
    <t>5619 US$</t>
  </si>
  <si>
    <t>FERG</t>
  </si>
  <si>
    <t>Ferguson plc</t>
  </si>
  <si>
    <t>37.436 US$</t>
  </si>
  <si>
    <t>JNPR</t>
  </si>
  <si>
    <t>Juniper Networks, Inc.</t>
  </si>
  <si>
    <t>9359 US$</t>
  </si>
  <si>
    <t>EXPD</t>
  </si>
  <si>
    <t>Expeditors International of Washington, Inc.</t>
  </si>
  <si>
    <t>17.780 US$</t>
  </si>
  <si>
    <t>LH</t>
  </si>
  <si>
    <t>Laboratory Corporation of America Holdings</t>
  </si>
  <si>
    <t>18.803 US$</t>
  </si>
  <si>
    <t>MAT</t>
  </si>
  <si>
    <t>Mattel, Inc.</t>
  </si>
  <si>
    <t>6711 US$</t>
  </si>
  <si>
    <t>HSIC</t>
  </si>
  <si>
    <t>Henry Schein, Inc.</t>
  </si>
  <si>
    <t>9619 US$</t>
  </si>
  <si>
    <t>TGT</t>
  </si>
  <si>
    <t>Target Corporation</t>
  </si>
  <si>
    <t>63.885 US$</t>
  </si>
  <si>
    <t>LFUS</t>
  </si>
  <si>
    <t>Littelfuse, Inc.</t>
  </si>
  <si>
    <t>6150 US$</t>
  </si>
  <si>
    <t>MCHP</t>
  </si>
  <si>
    <t>Microchip Technology Incorporated</t>
  </si>
  <si>
    <t>48.618 US$</t>
  </si>
  <si>
    <t>K</t>
  </si>
  <si>
    <t>Kellanova</t>
  </si>
  <si>
    <t>18.941 US$</t>
  </si>
  <si>
    <t>APTV</t>
  </si>
  <si>
    <t>Aptiv PLC</t>
  </si>
  <si>
    <t>23.076 US$</t>
  </si>
  <si>
    <t>CLF</t>
  </si>
  <si>
    <t>Cleveland-Cliffs Inc.</t>
  </si>
  <si>
    <t>9128 US$</t>
  </si>
  <si>
    <t>VICI</t>
  </si>
  <si>
    <t>VICI Properties Inc.</t>
  </si>
  <si>
    <t>32.619 US$</t>
  </si>
  <si>
    <t>AMCR</t>
  </si>
  <si>
    <t>Amcor plc</t>
  </si>
  <si>
    <t>14.068 US$</t>
  </si>
  <si>
    <t>SWKS</t>
  </si>
  <si>
    <t>Skyworks Solutions, Inc.</t>
  </si>
  <si>
    <t>17.430 US$</t>
  </si>
  <si>
    <t>LDOS</t>
  </si>
  <si>
    <t>Leidos Holdings, Inc.</t>
  </si>
  <si>
    <t>15.150 US$</t>
  </si>
  <si>
    <t>WMS</t>
  </si>
  <si>
    <t>Advanced Drainage Systems, Inc.</t>
  </si>
  <si>
    <t>10.031 US$</t>
  </si>
  <si>
    <t>USFD</t>
  </si>
  <si>
    <t>US Foods Holding Corp.</t>
  </si>
  <si>
    <t>10.963 US$</t>
  </si>
  <si>
    <t>PM</t>
  </si>
  <si>
    <t>Philip Morris International Inc.</t>
  </si>
  <si>
    <t>146.547 US$</t>
  </si>
  <si>
    <t>SSD</t>
  </si>
  <si>
    <t>Simpson Manufacturing Co., Inc.</t>
  </si>
  <si>
    <t>7956 US$</t>
  </si>
  <si>
    <t>AOS</t>
  </si>
  <si>
    <t>A. O. Smith Corporation</t>
  </si>
  <si>
    <t>11.828 US$</t>
  </si>
  <si>
    <t>LEVI</t>
  </si>
  <si>
    <t>Levi Strauss &amp; Co.</t>
  </si>
  <si>
    <t>6175 US$</t>
  </si>
  <si>
    <t>NSIT</t>
  </si>
  <si>
    <t>Insight Enterprises, Inc.</t>
  </si>
  <si>
    <t>5871 US$</t>
  </si>
  <si>
    <t>ALLE</t>
  </si>
  <si>
    <t>Allegion plc</t>
  </si>
  <si>
    <t>9766 US$</t>
  </si>
  <si>
    <t>CHKP</t>
  </si>
  <si>
    <t>Check Point Software Technologies Ltd.</t>
  </si>
  <si>
    <t>17.405 US$</t>
  </si>
  <si>
    <t>LSTR</t>
  </si>
  <si>
    <t>Landstar System, Inc.</t>
  </si>
  <si>
    <t>6596 US$</t>
  </si>
  <si>
    <t>NFE</t>
  </si>
  <si>
    <t>New Fortress Energy Inc.</t>
  </si>
  <si>
    <t>7475 US$</t>
  </si>
  <si>
    <t>ULTA</t>
  </si>
  <si>
    <t>Ulta Beauty, Inc.</t>
  </si>
  <si>
    <t>23.947 US$</t>
  </si>
  <si>
    <t>AER</t>
  </si>
  <si>
    <t>AerCap Holdings N.V.</t>
  </si>
  <si>
    <t>14.971 US$</t>
  </si>
  <si>
    <t>REYN</t>
  </si>
  <si>
    <t>Reynolds Consumer Products Inc.</t>
  </si>
  <si>
    <t>5687 US$</t>
  </si>
  <si>
    <t>BMY</t>
  </si>
  <si>
    <t>Bristol-Myers Squibb Company</t>
  </si>
  <si>
    <t>105.523 US$</t>
  </si>
  <si>
    <t>DCI</t>
  </si>
  <si>
    <t>Donaldson Company, Inc.</t>
  </si>
  <si>
    <t>7642 US$</t>
  </si>
  <si>
    <t>AZO</t>
  </si>
  <si>
    <t>AutoZone, Inc.</t>
  </si>
  <si>
    <t>47.123 US$</t>
  </si>
  <si>
    <t>EXPE</t>
  </si>
  <si>
    <t>Expedia Group, Inc.</t>
  </si>
  <si>
    <t>20.119 US$</t>
  </si>
  <si>
    <t>JCI</t>
  </si>
  <si>
    <t>Johnson Controls International plc</t>
  </si>
  <si>
    <t>36.259 US$</t>
  </si>
  <si>
    <t>CACI</t>
  </si>
  <si>
    <t>CACI International Inc</t>
  </si>
  <si>
    <t>7323 US$</t>
  </si>
  <si>
    <t>WMB</t>
  </si>
  <si>
    <t>The Williams Companies, Inc.</t>
  </si>
  <si>
    <t>42.164 US$</t>
  </si>
  <si>
    <t>HES</t>
  </si>
  <si>
    <t>Hess Corporation</t>
  </si>
  <si>
    <t>41.818 US$</t>
  </si>
  <si>
    <t>WRK</t>
  </si>
  <si>
    <t>WestRock Company</t>
  </si>
  <si>
    <t>10.709 US$</t>
  </si>
  <si>
    <t>UI</t>
  </si>
  <si>
    <t>Ubiquiti Inc.</t>
  </si>
  <si>
    <t>8004 US$</t>
  </si>
  <si>
    <t>CSL</t>
  </si>
  <si>
    <t>Carlisle Companies Incorporated</t>
  </si>
  <si>
    <t>14.456 US$</t>
  </si>
  <si>
    <t>DGX</t>
  </si>
  <si>
    <t>Quest Diagnostics Incorporated</t>
  </si>
  <si>
    <t>15.867 US$</t>
  </si>
  <si>
    <t>DG</t>
  </si>
  <si>
    <t>Dollar General Corporation</t>
  </si>
  <si>
    <t>28.609 US$</t>
  </si>
  <si>
    <t>TCOM</t>
  </si>
  <si>
    <t>Trip.com Group Limited</t>
  </si>
  <si>
    <t>21.513 US$</t>
  </si>
  <si>
    <t>SCI</t>
  </si>
  <si>
    <t>Service Corporation International</t>
  </si>
  <si>
    <t>9957 US$</t>
  </si>
  <si>
    <t>PNR</t>
  </si>
  <si>
    <t>Pentair plc</t>
  </si>
  <si>
    <t>11.349 US$</t>
  </si>
  <si>
    <t>DOV</t>
  </si>
  <si>
    <t>Dover Corporation</t>
  </si>
  <si>
    <t>20.606 US$</t>
  </si>
  <si>
    <t>J</t>
  </si>
  <si>
    <t>Jacobs Solutions Inc.</t>
  </si>
  <si>
    <t>16.292 US$</t>
  </si>
  <si>
    <t>ABBV</t>
  </si>
  <si>
    <t>AbbVie Inc.</t>
  </si>
  <si>
    <t>272.422 US$</t>
  </si>
  <si>
    <t>ITT</t>
  </si>
  <si>
    <t>ITT Inc.</t>
  </si>
  <si>
    <t>9267 US$</t>
  </si>
  <si>
    <t>HSY</t>
  </si>
  <si>
    <t>The Hershey Company</t>
  </si>
  <si>
    <t>38.607 US$</t>
  </si>
  <si>
    <t>NTAP</t>
  </si>
  <si>
    <t>NetApp, Inc.</t>
  </si>
  <si>
    <t>18.448 US$</t>
  </si>
  <si>
    <t>KMB</t>
  </si>
  <si>
    <t>Kimberly-Clark Corporation</t>
  </si>
  <si>
    <t>41.776 US$</t>
  </si>
  <si>
    <t>GWW</t>
  </si>
  <si>
    <t>W.W. Grainger, Inc.</t>
  </si>
  <si>
    <t>40.641 US$</t>
  </si>
  <si>
    <t>KMI</t>
  </si>
  <si>
    <t>Kinder Morgan, Inc.</t>
  </si>
  <si>
    <t>38.854 US$</t>
  </si>
  <si>
    <t>AEM</t>
  </si>
  <si>
    <t>Agnico Eagle Mines Limited</t>
  </si>
  <si>
    <t>26.570 US$</t>
  </si>
  <si>
    <t>LKNC.Y</t>
  </si>
  <si>
    <t>Luckin Coffee Inc.</t>
  </si>
  <si>
    <t>7334 US$</t>
  </si>
  <si>
    <t>AMAT</t>
  </si>
  <si>
    <t>Applied Materials, Inc.</t>
  </si>
  <si>
    <t>131.327 US$</t>
  </si>
  <si>
    <t>BAX</t>
  </si>
  <si>
    <t>Baxter International Inc.</t>
  </si>
  <si>
    <t>19.091 US$</t>
  </si>
  <si>
    <t>CASY</t>
  </si>
  <si>
    <t>Casey's General Stores, Inc.</t>
  </si>
  <si>
    <t>10.321 US$</t>
  </si>
  <si>
    <t>FBIN</t>
  </si>
  <si>
    <t>Fortune Brands Innovations, Inc.</t>
  </si>
  <si>
    <t>9598 US$</t>
  </si>
  <si>
    <t>DOW</t>
  </si>
  <si>
    <t>Dow Inc.</t>
  </si>
  <si>
    <t>36.704 US$</t>
  </si>
  <si>
    <t>UNH</t>
  </si>
  <si>
    <t>UnitedHealth Group Incorporated</t>
  </si>
  <si>
    <t>507.793 US$</t>
  </si>
  <si>
    <t>NVT</t>
  </si>
  <si>
    <t>nVent Electric plc</t>
  </si>
  <si>
    <t>9392 US$</t>
  </si>
  <si>
    <t>NXPI</t>
  </si>
  <si>
    <t>NXP Semiconductors N.V.</t>
  </si>
  <si>
    <t>57.051 US$</t>
  </si>
  <si>
    <t>TEL</t>
  </si>
  <si>
    <t>TE Connectivity Ltd.</t>
  </si>
  <si>
    <t>42.853 US$</t>
  </si>
  <si>
    <t>ATI</t>
  </si>
  <si>
    <t>ATI Inc.</t>
  </si>
  <si>
    <t>5288 US$</t>
  </si>
  <si>
    <t>COR</t>
  </si>
  <si>
    <t>Cencora, Inc.</t>
  </si>
  <si>
    <t>40.543 US$</t>
  </si>
  <si>
    <t>WH</t>
  </si>
  <si>
    <t>Wyndham Hotels &amp; Resorts, Inc.</t>
  </si>
  <si>
    <t>6575 US$</t>
  </si>
  <si>
    <t>CPRI</t>
  </si>
  <si>
    <t>Capri Holdings Limited</t>
  </si>
  <si>
    <t>5738 US$</t>
  </si>
  <si>
    <t>HD</t>
  </si>
  <si>
    <t>The Home Depot, Inc.</t>
  </si>
  <si>
    <t>341.773 US$</t>
  </si>
  <si>
    <t>POST</t>
  </si>
  <si>
    <t>Post Holdings, Inc.</t>
  </si>
  <si>
    <t>5459 US$</t>
  </si>
  <si>
    <t>ENLC</t>
  </si>
  <si>
    <t>EnLink Midstream, LLC</t>
  </si>
  <si>
    <t>5651 US$</t>
  </si>
  <si>
    <t>CTVA</t>
  </si>
  <si>
    <t>Corteva, Inc.</t>
  </si>
  <si>
    <t>32.093 US$</t>
  </si>
  <si>
    <t>CIEN</t>
  </si>
  <si>
    <t>Ciena Corporation</t>
  </si>
  <si>
    <t>6419 US$</t>
  </si>
  <si>
    <t>HII</t>
  </si>
  <si>
    <t>Huntington Ingalls Industries, Inc.</t>
  </si>
  <si>
    <t>10.232 US$</t>
  </si>
  <si>
    <t>FLR</t>
  </si>
  <si>
    <t>Fluor Corporation</t>
  </si>
  <si>
    <t>6611 US$</t>
  </si>
  <si>
    <t>QSR</t>
  </si>
  <si>
    <t>Restaurant Brands International Inc.</t>
  </si>
  <si>
    <t>23.243 US$</t>
  </si>
  <si>
    <t>SSNC</t>
  </si>
  <si>
    <t>SS&amp;C Technologies Holdings, Inc.</t>
  </si>
  <si>
    <t>14.794 US$</t>
  </si>
  <si>
    <t>SYY</t>
  </si>
  <si>
    <t>Sysco Corporation</t>
  </si>
  <si>
    <t>37.999 US$</t>
  </si>
  <si>
    <t>HOLX</t>
  </si>
  <si>
    <t>Hologic, Inc.</t>
  </si>
  <si>
    <t>17.047 US$</t>
  </si>
  <si>
    <t>ACHC</t>
  </si>
  <si>
    <t>Acadia Healthcare Company, Inc.</t>
  </si>
  <si>
    <t>7281 US$</t>
  </si>
  <si>
    <t>ACM</t>
  </si>
  <si>
    <t>AECOM</t>
  </si>
  <si>
    <t>12.606 US$</t>
  </si>
  <si>
    <t>LW</t>
  </si>
  <si>
    <t>Lamb Weston Holdings, Inc.</t>
  </si>
  <si>
    <t>15.372 US$</t>
  </si>
  <si>
    <t>WSC</t>
  </si>
  <si>
    <t>WillScot Mobile Mini Holdings Corp.</t>
  </si>
  <si>
    <t>8033 US$</t>
  </si>
  <si>
    <t>HUBB</t>
  </si>
  <si>
    <t>Hubbell Incorporated</t>
  </si>
  <si>
    <t>16.887 US$</t>
  </si>
  <si>
    <t>AXTA</t>
  </si>
  <si>
    <t>Axalta Coating Systems Ltd.</t>
  </si>
  <si>
    <t>7322 US$</t>
  </si>
  <si>
    <t>PH</t>
  </si>
  <si>
    <t>Parker-Hannifin Corporation</t>
  </si>
  <si>
    <t>56.727 US$</t>
  </si>
  <si>
    <t>AMGN</t>
  </si>
  <si>
    <t>Amgen Inc.</t>
  </si>
  <si>
    <t>150.717 US$</t>
  </si>
  <si>
    <t>REGN</t>
  </si>
  <si>
    <t>Regeneron Pharmaceuticals, Inc.</t>
  </si>
  <si>
    <t>93.173 US$</t>
  </si>
  <si>
    <t>DTM</t>
  </si>
  <si>
    <t>DT Midstream, Inc.</t>
  </si>
  <si>
    <t>5312 US$</t>
  </si>
  <si>
    <t>MAR</t>
  </si>
  <si>
    <t>Marriott International, Inc.</t>
  </si>
  <si>
    <t>64.045 US$</t>
  </si>
  <si>
    <t>FFIV</t>
  </si>
  <si>
    <t>F5, Inc.</t>
  </si>
  <si>
    <t>10.387 US$</t>
  </si>
  <si>
    <t>QCOM</t>
  </si>
  <si>
    <t>QUALCOMM Incorporated</t>
  </si>
  <si>
    <t>154.484 US$</t>
  </si>
  <si>
    <t>WMT</t>
  </si>
  <si>
    <t>Walmart Inc.</t>
  </si>
  <si>
    <t>414.739 US$</t>
  </si>
  <si>
    <t>GLPI</t>
  </si>
  <si>
    <t>Gaming and Leisure Properties, Inc.</t>
  </si>
  <si>
    <t>12.670 US$</t>
  </si>
  <si>
    <t>VLTO</t>
  </si>
  <si>
    <t>Veralto Corporation</t>
  </si>
  <si>
    <t>19.148 US$</t>
  </si>
  <si>
    <t>MSA</t>
  </si>
  <si>
    <t>MSA Safety Incorporated</t>
  </si>
  <si>
    <t>6690 US$</t>
  </si>
  <si>
    <t>TPX</t>
  </si>
  <si>
    <t>Tempur Sealy International, Inc.</t>
  </si>
  <si>
    <t>8443 US$</t>
  </si>
  <si>
    <t>WTS</t>
  </si>
  <si>
    <t>Watts Water Technologies, Inc.</t>
  </si>
  <si>
    <t>6708 US$</t>
  </si>
  <si>
    <t>CHRW</t>
  </si>
  <si>
    <t>C.H. Robinson Worldwide, Inc.</t>
  </si>
  <si>
    <t>9898 US$</t>
  </si>
  <si>
    <t>PPG</t>
  </si>
  <si>
    <t>PPG Industries, Inc.</t>
  </si>
  <si>
    <t>34.773 US$</t>
  </si>
  <si>
    <t>STZ</t>
  </si>
  <si>
    <t>Constellation Brands, Inc.</t>
  </si>
  <si>
    <t>44.555 US$</t>
  </si>
  <si>
    <t>CW</t>
  </si>
  <si>
    <t>Curtiss-Wright Corporation</t>
  </si>
  <si>
    <t>8508 US$</t>
  </si>
  <si>
    <t>BKNG</t>
  </si>
  <si>
    <t>Booking Holdings Inc.</t>
  </si>
  <si>
    <t>119.471 US$</t>
  </si>
  <si>
    <t>TSCO</t>
  </si>
  <si>
    <t>Tractor Supply Company</t>
  </si>
  <si>
    <t>23.835 US$</t>
  </si>
  <si>
    <t>KBR</t>
  </si>
  <si>
    <t>KBR, Inc.</t>
  </si>
  <si>
    <t>7309 US$</t>
  </si>
  <si>
    <t>KDP</t>
  </si>
  <si>
    <t>Keurig Dr Pepper Inc.</t>
  </si>
  <si>
    <t>46.481 US$</t>
  </si>
  <si>
    <t>PG</t>
  </si>
  <si>
    <t>The Procter &amp; Gamble Company</t>
  </si>
  <si>
    <t>350.186 US$</t>
  </si>
  <si>
    <t>LNW</t>
  </si>
  <si>
    <t>Light &amp; Wonder, Inc.</t>
  </si>
  <si>
    <t>7611 US$</t>
  </si>
  <si>
    <t>META</t>
  </si>
  <si>
    <t>Meta Platforms, Inc.</t>
  </si>
  <si>
    <t>860.236 US$</t>
  </si>
  <si>
    <t>LECO</t>
  </si>
  <si>
    <t>Lincoln Electric Holdings, Inc.</t>
  </si>
  <si>
    <t>11.976 US$</t>
  </si>
  <si>
    <t>KEYS</t>
  </si>
  <si>
    <t>Keysight Technologies, Inc.</t>
  </si>
  <si>
    <t>26.593 US$</t>
  </si>
  <si>
    <t>TXN</t>
  </si>
  <si>
    <t>Texas Instruments Incorporated</t>
  </si>
  <si>
    <t>146.957 US$</t>
  </si>
  <si>
    <t>GOOGL</t>
  </si>
  <si>
    <t>Alphabet Inc.</t>
  </si>
  <si>
    <t>1.667.261 US$</t>
  </si>
  <si>
    <t>NSC</t>
  </si>
  <si>
    <t>Norfolk Southern Corporation</t>
  </si>
  <si>
    <t>51.471 US$</t>
  </si>
  <si>
    <t>HRL</t>
  </si>
  <si>
    <t>Hormel Foods Corporation</t>
  </si>
  <si>
    <t>17.882 US$</t>
  </si>
  <si>
    <t>WSO</t>
  </si>
  <si>
    <t>Watsco, Inc.</t>
  </si>
  <si>
    <t>14.841 US$</t>
  </si>
  <si>
    <t>PFGC</t>
  </si>
  <si>
    <t>Performance Food Group Company</t>
  </si>
  <si>
    <t>10.333 US$</t>
  </si>
  <si>
    <t>ZBRA</t>
  </si>
  <si>
    <t>Zebra Technologies Corporation</t>
  </si>
  <si>
    <t>12.554 US$</t>
  </si>
  <si>
    <t>OTIS</t>
  </si>
  <si>
    <t>Otis Worldwide Corporation</t>
  </si>
  <si>
    <t>36.592 US$</t>
  </si>
  <si>
    <t>HON</t>
  </si>
  <si>
    <t>Honeywell International Inc.</t>
  </si>
  <si>
    <t>133.881 US$</t>
  </si>
  <si>
    <t>ALGM</t>
  </si>
  <si>
    <t>Allegro MicroSystems, Inc.</t>
  </si>
  <si>
    <t>5636 US$</t>
  </si>
  <si>
    <t>CLH</t>
  </si>
  <si>
    <t>Clean Harbors, Inc.</t>
  </si>
  <si>
    <t>9507 US$</t>
  </si>
  <si>
    <t>FIX</t>
  </si>
  <si>
    <t>Comfort Systems USA, Inc.</t>
  </si>
  <si>
    <t>FYBR</t>
  </si>
  <si>
    <t>Frontier Communications Parent, Inc.</t>
  </si>
  <si>
    <t>5791 US$</t>
  </si>
  <si>
    <t>MDLZ</t>
  </si>
  <si>
    <t>Mondelez International, Inc.</t>
  </si>
  <si>
    <t>99.495 US$</t>
  </si>
  <si>
    <t>POOL</t>
  </si>
  <si>
    <t>Pool Corporation</t>
  </si>
  <si>
    <t>14.119 US$</t>
  </si>
  <si>
    <t>UNP</t>
  </si>
  <si>
    <t>Union Pacific Corporation</t>
  </si>
  <si>
    <t>144.286 US$</t>
  </si>
  <si>
    <t>HALO</t>
  </si>
  <si>
    <t>Halozyme Therapeutics, Inc.</t>
  </si>
  <si>
    <t>5561 US$</t>
  </si>
  <si>
    <t>CARR</t>
  </si>
  <si>
    <t>Carrier Global Corporation</t>
  </si>
  <si>
    <t>46.819 US$</t>
  </si>
  <si>
    <t>INCY</t>
  </si>
  <si>
    <t>Incyte Corporation</t>
  </si>
  <si>
    <t>14.386 US$</t>
  </si>
  <si>
    <t>GD</t>
  </si>
  <si>
    <t>General Dynamics Corporation</t>
  </si>
  <si>
    <t>69.696 US$</t>
  </si>
  <si>
    <t>WAB</t>
  </si>
  <si>
    <t>Westinghouse Air Brake Technologies Corporation</t>
  </si>
  <si>
    <t>21.773 US$</t>
  </si>
  <si>
    <t>CDW</t>
  </si>
  <si>
    <t>CDW Corporation</t>
  </si>
  <si>
    <t>29.206 US$</t>
  </si>
  <si>
    <t>TMUS</t>
  </si>
  <si>
    <t>T-Mobile US, Inc.</t>
  </si>
  <si>
    <t>184.516 US$</t>
  </si>
  <si>
    <t>ITW</t>
  </si>
  <si>
    <t>Illinois Tool Works Inc.</t>
  </si>
  <si>
    <t>76.001 US$</t>
  </si>
  <si>
    <t>EMR</t>
  </si>
  <si>
    <t>Emerson Electric Co.</t>
  </si>
  <si>
    <t>52.712 US$</t>
  </si>
  <si>
    <t>OKE</t>
  </si>
  <si>
    <t>ONEOK, Inc.</t>
  </si>
  <si>
    <t>39.211 US$</t>
  </si>
  <si>
    <t>YUM</t>
  </si>
  <si>
    <t>Yum! Brands, Inc.</t>
  </si>
  <si>
    <t>36.701 US$</t>
  </si>
  <si>
    <t>PEP</t>
  </si>
  <si>
    <t>PepsiCo, Inc.</t>
  </si>
  <si>
    <t>239.297 US$</t>
  </si>
  <si>
    <t>JBHT</t>
  </si>
  <si>
    <t>J.B. Hunt Transport Services, Inc.</t>
  </si>
  <si>
    <t>20.217 US$</t>
  </si>
  <si>
    <t>BIIB</t>
  </si>
  <si>
    <t>Biogen Inc.</t>
  </si>
  <si>
    <t>37.030 US$</t>
  </si>
  <si>
    <t>ORLY</t>
  </si>
  <si>
    <t>O'Reilly Automotive, Inc.</t>
  </si>
  <si>
    <t>58.181 US$</t>
  </si>
  <si>
    <t>RH</t>
  </si>
  <si>
    <t>5171 US$</t>
  </si>
  <si>
    <t>VRTX</t>
  </si>
  <si>
    <t>Vertex Pharmaceuticals Incorporated</t>
  </si>
  <si>
    <t>104.354 US$</t>
  </si>
  <si>
    <t>ACN</t>
  </si>
  <si>
    <t>Accenture plc</t>
  </si>
  <si>
    <t>215.673 US$</t>
  </si>
  <si>
    <t>ZBH</t>
  </si>
  <si>
    <t>Zimmer Biomet Holdings, Inc.</t>
  </si>
  <si>
    <t>24.639 US$</t>
  </si>
  <si>
    <t>CL</t>
  </si>
  <si>
    <t>Colgate-Palmolive Company</t>
  </si>
  <si>
    <t>65.368 US$</t>
  </si>
  <si>
    <t>TME</t>
  </si>
  <si>
    <t>Tencent Music Entertainment Group</t>
  </si>
  <si>
    <t>15.044 US$</t>
  </si>
  <si>
    <t>LRCX</t>
  </si>
  <si>
    <t>Lam Research Corporation</t>
  </si>
  <si>
    <t>96.821 US$</t>
  </si>
  <si>
    <t>SMCI</t>
  </si>
  <si>
    <t>Super Micro Computer, Inc.</t>
  </si>
  <si>
    <t>15.266 US$</t>
  </si>
  <si>
    <t>MDT</t>
  </si>
  <si>
    <t>Medtronic plc</t>
  </si>
  <si>
    <t>108.899 US$</t>
  </si>
  <si>
    <t>AVY</t>
  </si>
  <si>
    <t>Avery Dennison Corporation</t>
  </si>
  <si>
    <t>15.821 US$</t>
  </si>
  <si>
    <t>XPO</t>
  </si>
  <si>
    <t>XPO, Inc.</t>
  </si>
  <si>
    <t>9893 US$</t>
  </si>
  <si>
    <t>RPM</t>
  </si>
  <si>
    <t>RPM International Inc.</t>
  </si>
  <si>
    <t>14.108 US$</t>
  </si>
  <si>
    <t>LII</t>
  </si>
  <si>
    <t>Lennox International Inc.</t>
  </si>
  <si>
    <t>15.092 US$</t>
  </si>
  <si>
    <t>CRL</t>
  </si>
  <si>
    <t>Charles River Laboratories International, Inc.</t>
  </si>
  <si>
    <t>11.182 US$</t>
  </si>
  <si>
    <t>PAA</t>
  </si>
  <si>
    <t>Plains All American Pipeline, L.P.</t>
  </si>
  <si>
    <t>10.438 US$</t>
  </si>
  <si>
    <t>IBM</t>
  </si>
  <si>
    <t>International Business Machines Corporation</t>
  </si>
  <si>
    <t>149.404 US$</t>
  </si>
  <si>
    <t>GRMN</t>
  </si>
  <si>
    <t>Garmin Ltd.</t>
  </si>
  <si>
    <t>24.278 US$</t>
  </si>
  <si>
    <t>TT</t>
  </si>
  <si>
    <t>Trane Technologies plc</t>
  </si>
  <si>
    <t>54.170 US$</t>
  </si>
  <si>
    <t>TJX</t>
  </si>
  <si>
    <t>The TJX Companies, Inc.</t>
  </si>
  <si>
    <t>104.725 US$</t>
  </si>
  <si>
    <t>KLAC</t>
  </si>
  <si>
    <t>KLA Corporation</t>
  </si>
  <si>
    <t>77.799 US$</t>
  </si>
  <si>
    <t>DRI</t>
  </si>
  <si>
    <t>Darden Restaurants, Inc.</t>
  </si>
  <si>
    <t>19.546 US$</t>
  </si>
  <si>
    <t>RPRX</t>
  </si>
  <si>
    <t>Royalty Pharma plc</t>
  </si>
  <si>
    <t>13.000 US$</t>
  </si>
  <si>
    <t>OPCH</t>
  </si>
  <si>
    <t>Option Care Health, Inc.</t>
  </si>
  <si>
    <t>5606 US$</t>
  </si>
  <si>
    <t>DAR</t>
  </si>
  <si>
    <t>Darling Ingredients Inc.</t>
  </si>
  <si>
    <t>7887 US$</t>
  </si>
  <si>
    <t>IEX</t>
  </si>
  <si>
    <t>IDEX Corporation</t>
  </si>
  <si>
    <t>15.794 US$</t>
  </si>
  <si>
    <t>AVTR</t>
  </si>
  <si>
    <t>Avantor, Inc.</t>
  </si>
  <si>
    <t>14.874 US$</t>
  </si>
  <si>
    <t>EXLS</t>
  </si>
  <si>
    <t>ExlService Holdings, Inc.</t>
  </si>
  <si>
    <t>5048 US$</t>
  </si>
  <si>
    <t>TDY</t>
  </si>
  <si>
    <t>Teledyne Technologies Incorporated</t>
  </si>
  <si>
    <t>19.907 US$</t>
  </si>
  <si>
    <t>BALL</t>
  </si>
  <si>
    <t>Ball Corporation</t>
  </si>
  <si>
    <t>18.587 US$</t>
  </si>
  <si>
    <t>NDSN</t>
  </si>
  <si>
    <t>Nordson Corporation</t>
  </si>
  <si>
    <t>13.725 US$</t>
  </si>
  <si>
    <t>ADP</t>
  </si>
  <si>
    <t>Automatic Data Processing, Inc.</t>
  </si>
  <si>
    <t>98.392 US$</t>
  </si>
  <si>
    <t>SE</t>
  </si>
  <si>
    <t>Sea Limited</t>
  </si>
  <si>
    <t>21.253 US$</t>
  </si>
  <si>
    <t>PFE</t>
  </si>
  <si>
    <t>Pfizer Inc.</t>
  </si>
  <si>
    <t>150.533 US$</t>
  </si>
  <si>
    <t>MTN</t>
  </si>
  <si>
    <t>Vail Resorts, Inc.</t>
  </si>
  <si>
    <t>8718 US$</t>
  </si>
  <si>
    <t>YNDX</t>
  </si>
  <si>
    <t>Yandex N.V.</t>
  </si>
  <si>
    <t>6846 US$</t>
  </si>
  <si>
    <t>RCL</t>
  </si>
  <si>
    <t>Royal Caribbean Cruises Ltd.</t>
  </si>
  <si>
    <t>30.869 US$</t>
  </si>
  <si>
    <t>PAYX</t>
  </si>
  <si>
    <t>Paychex, Inc.</t>
  </si>
  <si>
    <t>46.281 US$</t>
  </si>
  <si>
    <t>HST</t>
  </si>
  <si>
    <t>Host Hotels &amp; Resorts, Inc.</t>
  </si>
  <si>
    <t>13.255 US$</t>
  </si>
  <si>
    <t>DD</t>
  </si>
  <si>
    <t>DuPont de Nemours, Inc.</t>
  </si>
  <si>
    <t>30.916 US$</t>
  </si>
  <si>
    <t>GGG</t>
  </si>
  <si>
    <t>Graco Inc.</t>
  </si>
  <si>
    <t>14.163 US$</t>
  </si>
  <si>
    <t>FN</t>
  </si>
  <si>
    <t>Fabrinet</t>
  </si>
  <si>
    <t>6400 US$</t>
  </si>
  <si>
    <t>KO</t>
  </si>
  <si>
    <t>The Coca-Cola Company</t>
  </si>
  <si>
    <t>259.102 US$</t>
  </si>
  <si>
    <t>TFX</t>
  </si>
  <si>
    <t>Teleflex Incorporated</t>
  </si>
  <si>
    <t>11.402 US$</t>
  </si>
  <si>
    <t>ROK</t>
  </si>
  <si>
    <t>Rockwell Automation, Inc.</t>
  </si>
  <si>
    <t>33.366 US$</t>
  </si>
  <si>
    <t>LYV</t>
  </si>
  <si>
    <t>Live Nation Entertainment, Inc.</t>
  </si>
  <si>
    <t>20.101 US$</t>
  </si>
  <si>
    <t>BIO</t>
  </si>
  <si>
    <t>Bio-Rad Laboratories, Inc.</t>
  </si>
  <si>
    <t>9116 US$</t>
  </si>
  <si>
    <t>MMS</t>
  </si>
  <si>
    <t>Maximus, Inc.</t>
  </si>
  <si>
    <t>5243 US$</t>
  </si>
  <si>
    <t>ROST</t>
  </si>
  <si>
    <t>Ross Stores, Inc.</t>
  </si>
  <si>
    <t>46.383 US$</t>
  </si>
  <si>
    <t>MTCH</t>
  </si>
  <si>
    <t>Match Group, Inc.</t>
  </si>
  <si>
    <t>9092 US$</t>
  </si>
  <si>
    <t>ATR</t>
  </si>
  <si>
    <t>AptarGroup, Inc.</t>
  </si>
  <si>
    <t>8459 US$</t>
  </si>
  <si>
    <t>BRKR</t>
  </si>
  <si>
    <t>Bruker Corporation</t>
  </si>
  <si>
    <t>10.029 US$</t>
  </si>
  <si>
    <t>MLM</t>
  </si>
  <si>
    <t>Martin Marietta Materials, Inc.</t>
  </si>
  <si>
    <t>30.150 US$</t>
  </si>
  <si>
    <t>MCD</t>
  </si>
  <si>
    <t>McDonald's Corporation</t>
  </si>
  <si>
    <t>214.650 US$</t>
  </si>
  <si>
    <t>SN</t>
  </si>
  <si>
    <t>SharkNinja, Inc.</t>
  </si>
  <si>
    <t>DLTR</t>
  </si>
  <si>
    <t>Dollar Tree, Inc.</t>
  </si>
  <si>
    <t>28.428 US$</t>
  </si>
  <si>
    <t>NWSA</t>
  </si>
  <si>
    <t>News Corporation</t>
  </si>
  <si>
    <t>13.174 US$</t>
  </si>
  <si>
    <t>RMD</t>
  </si>
  <si>
    <t>ResMed Inc.</t>
  </si>
  <si>
    <t>25.313 US$</t>
  </si>
  <si>
    <t>RHP</t>
  </si>
  <si>
    <t>Ryman Hospitality Properties, Inc.</t>
  </si>
  <si>
    <t>6411 US$</t>
  </si>
  <si>
    <t>HWM</t>
  </si>
  <si>
    <t>Howmet Aerospace Inc.</t>
  </si>
  <si>
    <t>22.321 US$</t>
  </si>
  <si>
    <t>FCN</t>
  </si>
  <si>
    <t>FTI Consulting, Inc.</t>
  </si>
  <si>
    <t>7707 US$</t>
  </si>
  <si>
    <t>ENPH</t>
  </si>
  <si>
    <t>Enphase Energy, Inc.</t>
  </si>
  <si>
    <t>14.740 US$</t>
  </si>
  <si>
    <t>HLT</t>
  </si>
  <si>
    <t>Hilton Worldwide Holdings Inc.</t>
  </si>
  <si>
    <t>45.669 US$</t>
  </si>
  <si>
    <t>NNN</t>
  </si>
  <si>
    <t>NNN REIT, Inc.</t>
  </si>
  <si>
    <t>7590 US$</t>
  </si>
  <si>
    <t>MKSI</t>
  </si>
  <si>
    <t>MKS Instruments, Inc.</t>
  </si>
  <si>
    <t>5973 US$</t>
  </si>
  <si>
    <t>MKC</t>
  </si>
  <si>
    <t>McCormick &amp; Company, Incorporated</t>
  </si>
  <si>
    <t>18.709 US$</t>
  </si>
  <si>
    <t>DECK</t>
  </si>
  <si>
    <t>Deckers Outdoor Corporation</t>
  </si>
  <si>
    <t>18.507 US$</t>
  </si>
  <si>
    <t>TTEK</t>
  </si>
  <si>
    <t>Tetra Tech, Inc.</t>
  </si>
  <si>
    <t>8921 US$</t>
  </si>
  <si>
    <t>APH</t>
  </si>
  <si>
    <t>Amphenol Corporation</t>
  </si>
  <si>
    <t>57.516 US$</t>
  </si>
  <si>
    <t>MTD</t>
  </si>
  <si>
    <t>Mettler-Toledo International Inc.</t>
  </si>
  <si>
    <t>25.392 US$</t>
  </si>
  <si>
    <t>DPZ</t>
  </si>
  <si>
    <t>Domino's Pizza, Inc.</t>
  </si>
  <si>
    <t>14.050 US$</t>
  </si>
  <si>
    <t>VRSN</t>
  </si>
  <si>
    <t>VeriSign, Inc.</t>
  </si>
  <si>
    <t>22.464 US$</t>
  </si>
  <si>
    <t>QGEN</t>
  </si>
  <si>
    <t>Qiagen N.V.</t>
  </si>
  <si>
    <t>9830 US$</t>
  </si>
  <si>
    <t>DIS</t>
  </si>
  <si>
    <t>The Walt Disney Company</t>
  </si>
  <si>
    <t>169.908 US$</t>
  </si>
  <si>
    <t>AME</t>
  </si>
  <si>
    <t>AMETEK, Inc.</t>
  </si>
  <si>
    <t>37.272 US$</t>
  </si>
  <si>
    <t>FTI</t>
  </si>
  <si>
    <t>TechnipFMC plc</t>
  </si>
  <si>
    <t>8413 US$</t>
  </si>
  <si>
    <t>EPAM</t>
  </si>
  <si>
    <t>EPAM Systems, Inc.</t>
  </si>
  <si>
    <t>16.130 US$</t>
  </si>
  <si>
    <t>SAIA</t>
  </si>
  <si>
    <t>Saia, Inc.</t>
  </si>
  <si>
    <t>10.558 US$</t>
  </si>
  <si>
    <t>RSG</t>
  </si>
  <si>
    <t>Republic Services, Inc.</t>
  </si>
  <si>
    <t>52.579 US$</t>
  </si>
  <si>
    <t>RRX</t>
  </si>
  <si>
    <t>Regal Rexnord Corporation</t>
  </si>
  <si>
    <t>FTV</t>
  </si>
  <si>
    <t>Fortive Corporation</t>
  </si>
  <si>
    <t>25.019 US$</t>
  </si>
  <si>
    <t>SBUX</t>
  </si>
  <si>
    <t>Starbucks Corporation</t>
  </si>
  <si>
    <t>111.522 US$</t>
  </si>
  <si>
    <t>TPL</t>
  </si>
  <si>
    <t>Texas Pacific Land Corporation</t>
  </si>
  <si>
    <t>12.083 US$</t>
  </si>
  <si>
    <t>CHD</t>
  </si>
  <si>
    <t>Church &amp; Dwight Co., Inc.</t>
  </si>
  <si>
    <t>23.399 US$</t>
  </si>
  <si>
    <t>WM</t>
  </si>
  <si>
    <t>Waste Management, Inc.</t>
  </si>
  <si>
    <t>72.121 US$</t>
  </si>
  <si>
    <t>BF.B</t>
  </si>
  <si>
    <t>Brown-Forman Corporation</t>
  </si>
  <si>
    <t>27.493 US$</t>
  </si>
  <si>
    <t>GLW</t>
  </si>
  <si>
    <t>Corning Incorporated</t>
  </si>
  <si>
    <t>25.322 US$</t>
  </si>
  <si>
    <t>PAYC</t>
  </si>
  <si>
    <t>Paycom Software, Inc.</t>
  </si>
  <si>
    <t>11.433 US$</t>
  </si>
  <si>
    <t>FAST</t>
  </si>
  <si>
    <t>Fastenal Company</t>
  </si>
  <si>
    <t>36.605 US$</t>
  </si>
  <si>
    <t>ZWS</t>
  </si>
  <si>
    <t>Zurn Elkay Water Solutions Corporation</t>
  </si>
  <si>
    <t>5067 US$</t>
  </si>
  <si>
    <t>TDG</t>
  </si>
  <si>
    <t>TransDigm Group Incorporated</t>
  </si>
  <si>
    <t>55.942 US$</t>
  </si>
  <si>
    <t>ORCL</t>
  </si>
  <si>
    <t>Oracle Corporation</t>
  </si>
  <si>
    <t>283.111 US$</t>
  </si>
  <si>
    <t>MSI</t>
  </si>
  <si>
    <t>Motorola Solutions, Inc.</t>
  </si>
  <si>
    <t>54.262 US$</t>
  </si>
  <si>
    <t>WAT</t>
  </si>
  <si>
    <t>Waters Corporation</t>
  </si>
  <si>
    <t>18.455 US$</t>
  </si>
  <si>
    <t>TER</t>
  </si>
  <si>
    <t>Teradyne, Inc.</t>
  </si>
  <si>
    <t>15.007 US$</t>
  </si>
  <si>
    <t>NYT</t>
  </si>
  <si>
    <t>The New York Times Company</t>
  </si>
  <si>
    <t>7765 US$</t>
  </si>
  <si>
    <t>APG</t>
  </si>
  <si>
    <t>APi Group Corporation</t>
  </si>
  <si>
    <t>7566 US$</t>
  </si>
  <si>
    <t>TXRH</t>
  </si>
  <si>
    <t>Texas Roadhouse, Inc.</t>
  </si>
  <si>
    <t>7766 US$</t>
  </si>
  <si>
    <t>ENSG</t>
  </si>
  <si>
    <t>The Ensign Group, Inc.</t>
  </si>
  <si>
    <t>6253 US$</t>
  </si>
  <si>
    <t>SHW</t>
  </si>
  <si>
    <t>The Sherwin-Williams Company</t>
  </si>
  <si>
    <t>77.658 US$</t>
  </si>
  <si>
    <t>GFS</t>
  </si>
  <si>
    <t>GLOBALFOUNDRIES Inc.</t>
  </si>
  <si>
    <t>31.947 US$</t>
  </si>
  <si>
    <t>WY</t>
  </si>
  <si>
    <t>Weyerhaeuser Company</t>
  </si>
  <si>
    <t>23.360 US$</t>
  </si>
  <si>
    <t>CHDN</t>
  </si>
  <si>
    <t>Churchill Downs Incorporated</t>
  </si>
  <si>
    <t>9600 US$</t>
  </si>
  <si>
    <t>EA</t>
  </si>
  <si>
    <t>Electronic Arts Inc.</t>
  </si>
  <si>
    <t>38.311 US$</t>
  </si>
  <si>
    <t>ODFL</t>
  </si>
  <si>
    <t>Old Dominion Freight Line, Inc.</t>
  </si>
  <si>
    <t>41.906 US$</t>
  </si>
  <si>
    <t>DHR</t>
  </si>
  <si>
    <t>Danaher Corporation</t>
  </si>
  <si>
    <t>167.633 US$</t>
  </si>
  <si>
    <t>AAON</t>
  </si>
  <si>
    <t>AAON, Inc.</t>
  </si>
  <si>
    <t>5473 US$</t>
  </si>
  <si>
    <t>OTEX</t>
  </si>
  <si>
    <t>Open Text Corporation</t>
  </si>
  <si>
    <t>10.937 US$</t>
  </si>
  <si>
    <t>ADI</t>
  </si>
  <si>
    <t>Analog Devices, Inc.</t>
  </si>
  <si>
    <t>95.416 US$</t>
  </si>
  <si>
    <t>GMED</t>
  </si>
  <si>
    <t>Globus Medical, Inc.</t>
  </si>
  <si>
    <t>6808 US$</t>
  </si>
  <si>
    <t>WMG</t>
  </si>
  <si>
    <t>Warner Music Group Corp.</t>
  </si>
  <si>
    <t>17.534 US$</t>
  </si>
  <si>
    <t>COTY</t>
  </si>
  <si>
    <t>Coty Inc.</t>
  </si>
  <si>
    <t>10.869 US$</t>
  </si>
  <si>
    <t>ESI</t>
  </si>
  <si>
    <t>Element Solutions Inc</t>
  </si>
  <si>
    <t>5255 US$</t>
  </si>
  <si>
    <t>SPG</t>
  </si>
  <si>
    <t>Simon Property Group, Inc.</t>
  </si>
  <si>
    <t>45.433 US$</t>
  </si>
  <si>
    <t>VRT</t>
  </si>
  <si>
    <t>Vertiv Holdings Co</t>
  </si>
  <si>
    <t>18.286 US$</t>
  </si>
  <si>
    <t>VMC</t>
  </si>
  <si>
    <t>Vulcan Materials Company</t>
  </si>
  <si>
    <t>29.720 US$</t>
  </si>
  <si>
    <t>KNX</t>
  </si>
  <si>
    <t>Knight-Swift Transportation Holdings Inc.</t>
  </si>
  <si>
    <t>9158 US$</t>
  </si>
  <si>
    <t>BR</t>
  </si>
  <si>
    <t>Broadridge Financial Solutions, Inc.</t>
  </si>
  <si>
    <t>22.741 US$</t>
  </si>
  <si>
    <t>APD</t>
  </si>
  <si>
    <t>Air Products and Chemicals, Inc.</t>
  </si>
  <si>
    <t>59.850 US$</t>
  </si>
  <si>
    <t>AAPL</t>
  </si>
  <si>
    <t>Apple Inc.</t>
  </si>
  <si>
    <t>3.078.823 US$</t>
  </si>
  <si>
    <t>GXO</t>
  </si>
  <si>
    <t>GXO Logistics, Inc.</t>
  </si>
  <si>
    <t>6923 US$</t>
  </si>
  <si>
    <t>PSA</t>
  </si>
  <si>
    <t>Public Storage</t>
  </si>
  <si>
    <t>49.683 US$</t>
  </si>
  <si>
    <t>GNRC</t>
  </si>
  <si>
    <t>Generac Holdings Inc.</t>
  </si>
  <si>
    <t>7692 US$</t>
  </si>
  <si>
    <t>LIN</t>
  </si>
  <si>
    <t>Linde plc</t>
  </si>
  <si>
    <t>198.194 US$</t>
  </si>
  <si>
    <t>CUBE</t>
  </si>
  <si>
    <t>CubeSmart</t>
  </si>
  <si>
    <t>9826 US$</t>
  </si>
  <si>
    <t>IR</t>
  </si>
  <si>
    <t>Ingersoll Rand Inc.</t>
  </si>
  <si>
    <t>29.834 US$</t>
  </si>
  <si>
    <t>LAMR</t>
  </si>
  <si>
    <t>Lamar Advertising Company</t>
  </si>
  <si>
    <t>10.977 US$</t>
  </si>
  <si>
    <t>PPC</t>
  </si>
  <si>
    <t>Pilgrim's Pride Corporation</t>
  </si>
  <si>
    <t>6384 US$</t>
  </si>
  <si>
    <t>TKO</t>
  </si>
  <si>
    <t>TKO Group Holdings, Inc.</t>
  </si>
  <si>
    <t>6042 US$</t>
  </si>
  <si>
    <t>PDD</t>
  </si>
  <si>
    <t>PDD Holdings Inc.</t>
  </si>
  <si>
    <t>194.518 US$</t>
  </si>
  <si>
    <t>RBC</t>
  </si>
  <si>
    <t>RBC Bearings Incorporated</t>
  </si>
  <si>
    <t>7714 US$</t>
  </si>
  <si>
    <t>IQV</t>
  </si>
  <si>
    <t>IQVIA Holdings Inc.</t>
  </si>
  <si>
    <t>41.236 US$</t>
  </si>
  <si>
    <t>ICLR</t>
  </si>
  <si>
    <t>ICON Public Limited Company</t>
  </si>
  <si>
    <t>22.819 US$</t>
  </si>
  <si>
    <t>RGLD</t>
  </si>
  <si>
    <t>Royal Gold, Inc.</t>
  </si>
  <si>
    <t>7888 US$</t>
  </si>
  <si>
    <t>ETN</t>
  </si>
  <si>
    <t>Eaton Corporation plc</t>
  </si>
  <si>
    <t>94.550 US$</t>
  </si>
  <si>
    <t>CE</t>
  </si>
  <si>
    <t>Celanese Corporation</t>
  </si>
  <si>
    <t>15.789 US$</t>
  </si>
  <si>
    <t>BRX</t>
  </si>
  <si>
    <t>Brixmor Property Group Inc.</t>
  </si>
  <si>
    <t>7112 US$</t>
  </si>
  <si>
    <t>ALGN</t>
  </si>
  <si>
    <t>Align Technology, Inc.</t>
  </si>
  <si>
    <t>17.720 US$</t>
  </si>
  <si>
    <t>CHE</t>
  </si>
  <si>
    <t>Chemed Corporation</t>
  </si>
  <si>
    <t>8775 US$</t>
  </si>
  <si>
    <t>GTLS</t>
  </si>
  <si>
    <t>Chart Industries, Inc.</t>
  </si>
  <si>
    <t>5294 US$</t>
  </si>
  <si>
    <t>BIRK</t>
  </si>
  <si>
    <t>Birkenstock Holding plc</t>
  </si>
  <si>
    <t>9102 US$</t>
  </si>
  <si>
    <t>BRBR</t>
  </si>
  <si>
    <t>BellRing Brands, Inc.</t>
  </si>
  <si>
    <t>7431 US$</t>
  </si>
  <si>
    <t>TRU</t>
  </si>
  <si>
    <t>TransUnion</t>
  </si>
  <si>
    <t>13.129 US$</t>
  </si>
  <si>
    <t>MEDP</t>
  </si>
  <si>
    <t>Medpace Holdings, Inc.</t>
  </si>
  <si>
    <t>9117 US$</t>
  </si>
  <si>
    <t>EW</t>
  </si>
  <si>
    <t>Edwards Lifesciences Corporation</t>
  </si>
  <si>
    <t>45.621 US$</t>
  </si>
  <si>
    <t>WYNN</t>
  </si>
  <si>
    <t>Wynn Resorts, Limited</t>
  </si>
  <si>
    <t>9868 US$</t>
  </si>
  <si>
    <t>AVGO</t>
  </si>
  <si>
    <t>Broadcom Inc.</t>
  </si>
  <si>
    <t>449.754 US$</t>
  </si>
  <si>
    <t>RBA</t>
  </si>
  <si>
    <t>RB Global, Inc.</t>
  </si>
  <si>
    <t>11.770 US$</t>
  </si>
  <si>
    <t>PLNT</t>
  </si>
  <si>
    <t>Planet Fitness, Inc.</t>
  </si>
  <si>
    <t>6029 US$</t>
  </si>
  <si>
    <t>LNTH</t>
  </si>
  <si>
    <t>Lantheus Holdings, Inc.</t>
  </si>
  <si>
    <t>5244 US$</t>
  </si>
  <si>
    <t>CLX</t>
  </si>
  <si>
    <t>The Clorox Company</t>
  </si>
  <si>
    <t>18.067 US$</t>
  </si>
  <si>
    <t>WBA</t>
  </si>
  <si>
    <t>Walgreens Boots Alliance, Inc.</t>
  </si>
  <si>
    <t>21.278 US$</t>
  </si>
  <si>
    <t>DLB</t>
  </si>
  <si>
    <t>Dolby Laboratories, Inc.</t>
  </si>
  <si>
    <t>8395 US$</t>
  </si>
  <si>
    <t>AKAM</t>
  </si>
  <si>
    <t>Akamai Technologies, Inc.</t>
  </si>
  <si>
    <t>17.723 US$</t>
  </si>
  <si>
    <t>CPRT</t>
  </si>
  <si>
    <t>Copart, Inc.</t>
  </si>
  <si>
    <t>47.887 US$</t>
  </si>
  <si>
    <t>HTHT</t>
  </si>
  <si>
    <t>H World Group Limited</t>
  </si>
  <si>
    <t>11.106 US$</t>
  </si>
  <si>
    <t>MNST</t>
  </si>
  <si>
    <t>Monster Beverage Corporation</t>
  </si>
  <si>
    <t>58.837 US$</t>
  </si>
  <si>
    <t>MAA</t>
  </si>
  <si>
    <t>Mid-America Apartment Communities, Inc.</t>
  </si>
  <si>
    <t>15.591 US$</t>
  </si>
  <si>
    <t>WWD</t>
  </si>
  <si>
    <t>Woodward, Inc.</t>
  </si>
  <si>
    <t>8261 US$</t>
  </si>
  <si>
    <t>STE</t>
  </si>
  <si>
    <t>STERIS plc</t>
  </si>
  <si>
    <t>20.439 US$</t>
  </si>
  <si>
    <t>ZI</t>
  </si>
  <si>
    <t>ZoomInfo Technologies Inc.</t>
  </si>
  <si>
    <t>6657 US$</t>
  </si>
  <si>
    <t>MSFT</t>
  </si>
  <si>
    <t>Microsoft Corporation</t>
  </si>
  <si>
    <t>2.782.416 US$</t>
  </si>
  <si>
    <t>TRMB</t>
  </si>
  <si>
    <t>Trimble Inc.</t>
  </si>
  <si>
    <t>12.244 US$</t>
  </si>
  <si>
    <t>ABT</t>
  </si>
  <si>
    <t>Abbott Laboratories</t>
  </si>
  <si>
    <t>186.192 US$</t>
  </si>
  <si>
    <t>GPS</t>
  </si>
  <si>
    <t>The Gap, Inc.</t>
  </si>
  <si>
    <t>7873 US$</t>
  </si>
  <si>
    <t>PSN</t>
  </si>
  <si>
    <t>Parsons Corporation</t>
  </si>
  <si>
    <t>6675 US$</t>
  </si>
  <si>
    <t>BWXT</t>
  </si>
  <si>
    <t>BWX Technologies, Inc.</t>
  </si>
  <si>
    <t>7311 US$</t>
  </si>
  <si>
    <t>TREX</t>
  </si>
  <si>
    <t>Trex Company, Inc.</t>
  </si>
  <si>
    <t>8194 US$</t>
  </si>
  <si>
    <t>A</t>
  </si>
  <si>
    <t>Agilent Technologies, Inc.</t>
  </si>
  <si>
    <t>39.069 US$</t>
  </si>
  <si>
    <t>SRC</t>
  </si>
  <si>
    <t>Spirit Realty Capital, Inc.</t>
  </si>
  <si>
    <t>6128 US$</t>
  </si>
  <si>
    <t>ETSY</t>
  </si>
  <si>
    <t>Etsy, Inc.</t>
  </si>
  <si>
    <t>10.055 US$</t>
  </si>
  <si>
    <t>SITE</t>
  </si>
  <si>
    <t>SiteOne Landscape Supply, Inc.</t>
  </si>
  <si>
    <t>6869 US$</t>
  </si>
  <si>
    <t>BDX</t>
  </si>
  <si>
    <t>Becton, Dickinson and Company</t>
  </si>
  <si>
    <t>69.421 US$</t>
  </si>
  <si>
    <t>XRAY</t>
  </si>
  <si>
    <t>DENTSPLY SIRONA Inc.</t>
  </si>
  <si>
    <t>7061 US$</t>
  </si>
  <si>
    <t>DBX</t>
  </si>
  <si>
    <t>Dropbox, Inc.</t>
  </si>
  <si>
    <t>10.024 US$</t>
  </si>
  <si>
    <t>LHX</t>
  </si>
  <si>
    <t>L3Harris Technologies, Inc.</t>
  </si>
  <si>
    <t>39.440 US$</t>
  </si>
  <si>
    <t>TMO</t>
  </si>
  <si>
    <t>Thermo Fisher Scientific Inc.</t>
  </si>
  <si>
    <t>200.350 US$</t>
  </si>
  <si>
    <t>LVS</t>
  </si>
  <si>
    <t>Las Vegas Sands Corp.</t>
  </si>
  <si>
    <t>36.634 US$</t>
  </si>
  <si>
    <t>LULU</t>
  </si>
  <si>
    <t>Lululemon Athletica Inc.</t>
  </si>
  <si>
    <t>63.663 US$</t>
  </si>
  <si>
    <t>ZTS</t>
  </si>
  <si>
    <t>Zoetis Inc.</t>
  </si>
  <si>
    <t>90.634 US$</t>
  </si>
  <si>
    <t>ECL</t>
  </si>
  <si>
    <t>Ecolab Inc.</t>
  </si>
  <si>
    <t>56.600 US$</t>
  </si>
  <si>
    <t>RTX</t>
  </si>
  <si>
    <t>RTX Corporation</t>
  </si>
  <si>
    <t>119.394 US$</t>
  </si>
  <si>
    <t>EDU</t>
  </si>
  <si>
    <t>New Oriental Education &amp; Technology Group Inc.</t>
  </si>
  <si>
    <t>13.375 US$</t>
  </si>
  <si>
    <t>SYK</t>
  </si>
  <si>
    <t>Stryker Corporation</t>
  </si>
  <si>
    <t>113.423 US$</t>
  </si>
  <si>
    <t>BURL</t>
  </si>
  <si>
    <t>Burlington Stores, Inc.</t>
  </si>
  <si>
    <t>11.936 US$</t>
  </si>
  <si>
    <t>CCI</t>
  </si>
  <si>
    <t>Crown Castle Inc.</t>
  </si>
  <si>
    <t>50.638 US$</t>
  </si>
  <si>
    <t>HXL</t>
  </si>
  <si>
    <t>Hexcel Corporation</t>
  </si>
  <si>
    <t>6200 US$</t>
  </si>
  <si>
    <t>IRM</t>
  </si>
  <si>
    <t>Iron Mountain Incorporated</t>
  </si>
  <si>
    <t>19.809 US$</t>
  </si>
  <si>
    <t>WCN</t>
  </si>
  <si>
    <t>Waste Connections, Inc.</t>
  </si>
  <si>
    <t>38.303 US$</t>
  </si>
  <si>
    <t>FSLR</t>
  </si>
  <si>
    <t>First Solar, Inc.</t>
  </si>
  <si>
    <t>15.659 US$</t>
  </si>
  <si>
    <t>ANET</t>
  </si>
  <si>
    <t>Arista Networks, Inc.</t>
  </si>
  <si>
    <t>71.413 US$</t>
  </si>
  <si>
    <t>MRK</t>
  </si>
  <si>
    <t>Merck &amp; Co., Inc.</t>
  </si>
  <si>
    <t>271.419 US$</t>
  </si>
  <si>
    <t>NKE</t>
  </si>
  <si>
    <t>NIKE, Inc.</t>
  </si>
  <si>
    <t>184.410 US$</t>
  </si>
  <si>
    <t>RVTY</t>
  </si>
  <si>
    <t>Revvity, Inc.</t>
  </si>
  <si>
    <t>12.178 US$</t>
  </si>
  <si>
    <t>IT</t>
  </si>
  <si>
    <t>Gartner, Inc.</t>
  </si>
  <si>
    <t>36.328 US$</t>
  </si>
  <si>
    <t>NBIX</t>
  </si>
  <si>
    <t>Neurocrine Biosciences, Inc.</t>
  </si>
  <si>
    <t>12.139 US$</t>
  </si>
  <si>
    <t>CTAS</t>
  </si>
  <si>
    <t>Cintas Corporation</t>
  </si>
  <si>
    <t>58.556 US$</t>
  </si>
  <si>
    <t>COST</t>
  </si>
  <si>
    <t>Costco Wholesale Corporation</t>
  </si>
  <si>
    <t>284.939 US$</t>
  </si>
  <si>
    <t>PWR</t>
  </si>
  <si>
    <t>Quanta Services, Inc.</t>
  </si>
  <si>
    <t>30.551 US$</t>
  </si>
  <si>
    <t>GDDY</t>
  </si>
  <si>
    <t>GoDaddy Inc.</t>
  </si>
  <si>
    <t>15.026 US$</t>
  </si>
  <si>
    <t>FTNT</t>
  </si>
  <si>
    <t>Fortinet, Inc.</t>
  </si>
  <si>
    <t>42.504 US$</t>
  </si>
  <si>
    <t>REG</t>
  </si>
  <si>
    <t>Regency Centers Corporation</t>
  </si>
  <si>
    <t>12.276 US$</t>
  </si>
  <si>
    <t>FRT</t>
  </si>
  <si>
    <t>Federal Realty Investment Trust</t>
  </si>
  <si>
    <t>8468 US$</t>
  </si>
  <si>
    <t>FND</t>
  </si>
  <si>
    <t>Floor &amp; Decor Holdings, Inc.</t>
  </si>
  <si>
    <t>11.221 US$</t>
  </si>
  <si>
    <t>EDR</t>
  </si>
  <si>
    <t>Endeavor Group Holdings, Inc.</t>
  </si>
  <si>
    <t>6977 US$</t>
  </si>
  <si>
    <t>OLED</t>
  </si>
  <si>
    <t>Universal Display Corporation</t>
  </si>
  <si>
    <t>8573 US$</t>
  </si>
  <si>
    <t>KIM</t>
  </si>
  <si>
    <t>Kimco Realty Corporation</t>
  </si>
  <si>
    <t>13.309 US$</t>
  </si>
  <si>
    <t>WST</t>
  </si>
  <si>
    <t>West Pharmaceutical Services, Inc.</t>
  </si>
  <si>
    <t>26.613 US$</t>
  </si>
  <si>
    <t>ADC</t>
  </si>
  <si>
    <t>Agree Realty Corporation</t>
  </si>
  <si>
    <t>6209 US$</t>
  </si>
  <si>
    <t>OHI</t>
  </si>
  <si>
    <t>Omega Healthcare Investors, Inc.</t>
  </si>
  <si>
    <t>7661 US$</t>
  </si>
  <si>
    <t>BXP</t>
  </si>
  <si>
    <t>Boston Properties, Inc.</t>
  </si>
  <si>
    <t>10.686 US$</t>
  </si>
  <si>
    <t>EXR</t>
  </si>
  <si>
    <t>Extra Space Storage Inc.</t>
  </si>
  <si>
    <t>30.847 US$</t>
  </si>
  <si>
    <t>ELAN</t>
  </si>
  <si>
    <t>Elanco Animal Health Incorporated</t>
  </si>
  <si>
    <t>6732 US$</t>
  </si>
  <si>
    <t>EQR</t>
  </si>
  <si>
    <t>Equity Residential</t>
  </si>
  <si>
    <t>23.144 US$</t>
  </si>
  <si>
    <t>STVN</t>
  </si>
  <si>
    <t>Stevanato Group S.p.A.</t>
  </si>
  <si>
    <t>7572 US$</t>
  </si>
  <si>
    <t>NFLX</t>
  </si>
  <si>
    <t>Netflix, Inc.</t>
  </si>
  <si>
    <t>210.077 US$</t>
  </si>
  <si>
    <t>XYL</t>
  </si>
  <si>
    <t>Xylem Inc.</t>
  </si>
  <si>
    <t>26.321 US$</t>
  </si>
  <si>
    <t>FIVE</t>
  </si>
  <si>
    <t>Five Below, Inc.</t>
  </si>
  <si>
    <t>11.124 US$</t>
  </si>
  <si>
    <t>CGNX</t>
  </si>
  <si>
    <t>Cognex Corporation</t>
  </si>
  <si>
    <t>6689 US$</t>
  </si>
  <si>
    <t>ABNB</t>
  </si>
  <si>
    <t>Airbnb, Inc.</t>
  </si>
  <si>
    <t>92.620 US$</t>
  </si>
  <si>
    <t>APP</t>
  </si>
  <si>
    <t>AppLovin Corporation</t>
  </si>
  <si>
    <t>12.737 US$</t>
  </si>
  <si>
    <t>FR</t>
  </si>
  <si>
    <t>First Industrial Realty Trust, Inc.</t>
  </si>
  <si>
    <t>6919 US$</t>
  </si>
  <si>
    <t>ESS</t>
  </si>
  <si>
    <t>Essex Property Trust, Inc.</t>
  </si>
  <si>
    <t>15.301 US$</t>
  </si>
  <si>
    <t>COHR</t>
  </si>
  <si>
    <t>Coherent Corp.</t>
  </si>
  <si>
    <t>6399 US$</t>
  </si>
  <si>
    <t>ROL</t>
  </si>
  <si>
    <t>Rollins, Inc.</t>
  </si>
  <si>
    <t>21.041 US$</t>
  </si>
  <si>
    <t>ELS</t>
  </si>
  <si>
    <t>Equity LifeStyle Properties, Inc.</t>
  </si>
  <si>
    <t>13.517 US$</t>
  </si>
  <si>
    <t>ROP</t>
  </si>
  <si>
    <t>Roper Technologies, Inc.</t>
  </si>
  <si>
    <t>58.834 US$</t>
  </si>
  <si>
    <t>O</t>
  </si>
  <si>
    <t>Realty Income Corporation</t>
  </si>
  <si>
    <t>40.989 US$</t>
  </si>
  <si>
    <t>BSX</t>
  </si>
  <si>
    <t>Boston Scientific Corporation</t>
  </si>
  <si>
    <t>82.742 US$</t>
  </si>
  <si>
    <t>AVB</t>
  </si>
  <si>
    <t>AvalonBay Communities, Inc.</t>
  </si>
  <si>
    <t>26.096 US$</t>
  </si>
  <si>
    <t>SBAC</t>
  </si>
  <si>
    <t>SBA Communications Corporation</t>
  </si>
  <si>
    <t>26.762 US$</t>
  </si>
  <si>
    <t>EFX</t>
  </si>
  <si>
    <t>Equifax Inc.</t>
  </si>
  <si>
    <t>29.811 US$</t>
  </si>
  <si>
    <t>COO</t>
  </si>
  <si>
    <t>The Cooper Companies, Inc.</t>
  </si>
  <si>
    <t>17.612 US$</t>
  </si>
  <si>
    <t>LSCC</t>
  </si>
  <si>
    <t>Lattice Semiconductor Corporation</t>
  </si>
  <si>
    <t>9028 US$</t>
  </si>
  <si>
    <t>SUI</t>
  </si>
  <si>
    <t>Sun Communities, Inc.</t>
  </si>
  <si>
    <t>16.427 US$</t>
  </si>
  <si>
    <t>BAH</t>
  </si>
  <si>
    <t>Booz Allen Hamilton Holding Corporation</t>
  </si>
  <si>
    <t>16.817 US$</t>
  </si>
  <si>
    <t>HEI</t>
  </si>
  <si>
    <t>HEICO Corporation</t>
  </si>
  <si>
    <t>22.613 US$</t>
  </si>
  <si>
    <t>SWAV</t>
  </si>
  <si>
    <t>Shockwave Medical, Inc.</t>
  </si>
  <si>
    <t>6847 US$</t>
  </si>
  <si>
    <t>MASI</t>
  </si>
  <si>
    <t>Masimo Corporation</t>
  </si>
  <si>
    <t>5900 US$</t>
  </si>
  <si>
    <t>LI</t>
  </si>
  <si>
    <t>Li Auto Inc.</t>
  </si>
  <si>
    <t>34.647 US$</t>
  </si>
  <si>
    <t>NCLH</t>
  </si>
  <si>
    <t>Norwegian Cruise Line Holdings Ltd.</t>
  </si>
  <si>
    <t>8177 US$</t>
  </si>
  <si>
    <t>RACE</t>
  </si>
  <si>
    <t>Ferrari N.V.</t>
  </si>
  <si>
    <t>66.769 US$</t>
  </si>
  <si>
    <t>STAG</t>
  </si>
  <si>
    <t>STAG Industrial, Inc.</t>
  </si>
  <si>
    <t>6951 US$</t>
  </si>
  <si>
    <t>MELI</t>
  </si>
  <si>
    <t>MercadoLibre, Inc.</t>
  </si>
  <si>
    <t>81.510 US$</t>
  </si>
  <si>
    <t>AMT</t>
  </si>
  <si>
    <t>American Tower Corporation</t>
  </si>
  <si>
    <t>98.379 US$</t>
  </si>
  <si>
    <t>H</t>
  </si>
  <si>
    <t>Hyatt Hotels Corporation</t>
  </si>
  <si>
    <t>INVH</t>
  </si>
  <si>
    <t>Invitation Homes Inc.</t>
  </si>
  <si>
    <t>21.327 US$</t>
  </si>
  <si>
    <t>KMX</t>
  </si>
  <si>
    <t>CarMax, Inc.</t>
  </si>
  <si>
    <t>11.273 US$</t>
  </si>
  <si>
    <t>ZM</t>
  </si>
  <si>
    <t>Zoom Video Communications, Inc.</t>
  </si>
  <si>
    <t>21.596 US$</t>
  </si>
  <si>
    <t>ONTO</t>
  </si>
  <si>
    <t>Onto Innovation Inc.</t>
  </si>
  <si>
    <t>7292 US$</t>
  </si>
  <si>
    <t>AZEK</t>
  </si>
  <si>
    <t>The AZEK Company Inc.</t>
  </si>
  <si>
    <t>5350 US$</t>
  </si>
  <si>
    <t>TECH</t>
  </si>
  <si>
    <t>Bio-Techne Corporation</t>
  </si>
  <si>
    <t>11.703 US$</t>
  </si>
  <si>
    <t>IDXX</t>
  </si>
  <si>
    <t>IDEXX Laboratories, Inc.</t>
  </si>
  <si>
    <t>46.306 US$</t>
  </si>
  <si>
    <t>CMG</t>
  </si>
  <si>
    <t>Chipotle Mexican Grill, Inc.</t>
  </si>
  <si>
    <t>64.221 US$</t>
  </si>
  <si>
    <t>ENTG</t>
  </si>
  <si>
    <t>Entegris, Inc.</t>
  </si>
  <si>
    <t>17.031 US$</t>
  </si>
  <si>
    <t>ADBE</t>
  </si>
  <si>
    <t>Adobe Inc.</t>
  </si>
  <si>
    <t>284.226 US$</t>
  </si>
  <si>
    <t>QLYS</t>
  </si>
  <si>
    <t>Qualys, Inc.</t>
  </si>
  <si>
    <t>7121 US$</t>
  </si>
  <si>
    <t>NEM</t>
  </si>
  <si>
    <t>Newmont Corporation</t>
  </si>
  <si>
    <t>46.100 US$</t>
  </si>
  <si>
    <t>CPT</t>
  </si>
  <si>
    <t>Camden Property Trust</t>
  </si>
  <si>
    <t>10.475 US$</t>
  </si>
  <si>
    <t>CLVT</t>
  </si>
  <si>
    <t>Clarivate Plc</t>
  </si>
  <si>
    <t>5604 US$</t>
  </si>
  <si>
    <t>ADSK</t>
  </si>
  <si>
    <t>Autodesk, Inc.</t>
  </si>
  <si>
    <t>50.251 US$</t>
  </si>
  <si>
    <t>YMM</t>
  </si>
  <si>
    <t>Full Truck Alliance Co. Ltd.</t>
  </si>
  <si>
    <t>7654 US$</t>
  </si>
  <si>
    <t>MTZ</t>
  </si>
  <si>
    <t>MasTec, Inc.</t>
  </si>
  <si>
    <t>5521 US$</t>
  </si>
  <si>
    <t>PLD</t>
  </si>
  <si>
    <t>Prologis, Inc.</t>
  </si>
  <si>
    <t>119.414 US$</t>
  </si>
  <si>
    <t>PTC</t>
  </si>
  <si>
    <t>PTC Inc.</t>
  </si>
  <si>
    <t>20.250 US$</t>
  </si>
  <si>
    <t>GLOB</t>
  </si>
  <si>
    <t>Globant S.A.</t>
  </si>
  <si>
    <t>10.001 US$</t>
  </si>
  <si>
    <t>TRNO</t>
  </si>
  <si>
    <t>Terreno Realty Corporation</t>
  </si>
  <si>
    <t>5209 US$</t>
  </si>
  <si>
    <t>ANSS</t>
  </si>
  <si>
    <t>ANSYS, Inc.</t>
  </si>
  <si>
    <t>25.806 US$</t>
  </si>
  <si>
    <t>EGP</t>
  </si>
  <si>
    <t>EastGroup Properties, Inc.</t>
  </si>
  <si>
    <t>CRM</t>
  </si>
  <si>
    <t>Salesforce, Inc.</t>
  </si>
  <si>
    <t>249.086 US$</t>
  </si>
  <si>
    <t>PCTY</t>
  </si>
  <si>
    <t>Paylocity Holding Corporation</t>
  </si>
  <si>
    <t>9093 US$</t>
  </si>
  <si>
    <t>FICO</t>
  </si>
  <si>
    <t>Fair Isaac Corporation</t>
  </si>
  <si>
    <t>28.835 US$</t>
  </si>
  <si>
    <t>NOVT</t>
  </si>
  <si>
    <t>Novanta Inc.</t>
  </si>
  <si>
    <t>5728 US$</t>
  </si>
  <si>
    <t>LUV</t>
  </si>
  <si>
    <t>Southwest Airlines Co.</t>
  </si>
  <si>
    <t>17.377 US$</t>
  </si>
  <si>
    <t>PEAK</t>
  </si>
  <si>
    <t>Healthpeak Properties, Inc.</t>
  </si>
  <si>
    <t>10.498 US$</t>
  </si>
  <si>
    <t>BLCO</t>
  </si>
  <si>
    <t>Bausch + Lomb Corporation</t>
  </si>
  <si>
    <t>5425 US$</t>
  </si>
  <si>
    <t>EL</t>
  </si>
  <si>
    <t>The Estée Lauder Companies Inc.</t>
  </si>
  <si>
    <t>51.183 US$</t>
  </si>
  <si>
    <t>IFF</t>
  </si>
  <si>
    <t>International Flavors &amp; Fragrances Inc.</t>
  </si>
  <si>
    <t>20.098 US$</t>
  </si>
  <si>
    <t>BFAM</t>
  </si>
  <si>
    <t>Bright Horizons Family Solutions Inc.</t>
  </si>
  <si>
    <t>5217 US$</t>
  </si>
  <si>
    <t>INTU</t>
  </si>
  <si>
    <t>Intuit Inc.</t>
  </si>
  <si>
    <t>170.823 US$</t>
  </si>
  <si>
    <t>REXR</t>
  </si>
  <si>
    <t>Rexford Industrial Realty, Inc.</t>
  </si>
  <si>
    <t>11.758 US$</t>
  </si>
  <si>
    <t>ARE</t>
  </si>
  <si>
    <t>Alexandria Real Estate Equities, Inc.</t>
  </si>
  <si>
    <t>21.818 US$</t>
  </si>
  <si>
    <t>VRSK</t>
  </si>
  <si>
    <t>Verisk Analytics, Inc.</t>
  </si>
  <si>
    <t>35.845 US$</t>
  </si>
  <si>
    <t>VTR</t>
  </si>
  <si>
    <t>Ventas, Inc.</t>
  </si>
  <si>
    <t>19.462 US$</t>
  </si>
  <si>
    <t>AMH</t>
  </si>
  <si>
    <t>American Homes 4 Rent</t>
  </si>
  <si>
    <t>13.240 US$</t>
  </si>
  <si>
    <t>MPWR</t>
  </si>
  <si>
    <t>Monolithic Power Systems, Inc.</t>
  </si>
  <si>
    <t>29.165 US$</t>
  </si>
  <si>
    <t>ONON</t>
  </si>
  <si>
    <t>On Holding AG</t>
  </si>
  <si>
    <t>9482 US$</t>
  </si>
  <si>
    <t>MTSI</t>
  </si>
  <si>
    <t>MACOM Technology Solutions Holdings, Inc.</t>
  </si>
  <si>
    <t>6468 US$</t>
  </si>
  <si>
    <t>TSN</t>
  </si>
  <si>
    <t>Tyson Foods, Inc.</t>
  </si>
  <si>
    <t>18.575 US$</t>
  </si>
  <si>
    <t>LLY</t>
  </si>
  <si>
    <t>Eli Lilly and Company</t>
  </si>
  <si>
    <t>537.336 US$</t>
  </si>
  <si>
    <t>NVDA</t>
  </si>
  <si>
    <t>NVIDIA Corporation</t>
  </si>
  <si>
    <t>1.187.774 US$</t>
  </si>
  <si>
    <t>ELF</t>
  </si>
  <si>
    <t>e.l.f. Beauty, Inc.</t>
  </si>
  <si>
    <t>7827 US$</t>
  </si>
  <si>
    <t>CWST</t>
  </si>
  <si>
    <t>Casella Waste Systems, Inc.</t>
  </si>
  <si>
    <t>5144 US$</t>
  </si>
  <si>
    <t>UDR</t>
  </si>
  <si>
    <t>UDR, Inc.</t>
  </si>
  <si>
    <t>12.210 US$</t>
  </si>
  <si>
    <t>HQY</t>
  </si>
  <si>
    <t>HealthEquity, Inc.</t>
  </si>
  <si>
    <t>5810 US$</t>
  </si>
  <si>
    <t>CCL</t>
  </si>
  <si>
    <t>Carnival Corporation &amp; plc</t>
  </si>
  <si>
    <t>22.791 US$</t>
  </si>
  <si>
    <t>VEEV</t>
  </si>
  <si>
    <t>Veeva Systems Inc.</t>
  </si>
  <si>
    <t>28.559 US$</t>
  </si>
  <si>
    <t>AMZN</t>
  </si>
  <si>
    <t>Amazon.com, Inc.</t>
  </si>
  <si>
    <t>1.538.117 US$</t>
  </si>
  <si>
    <t>SNPS</t>
  </si>
  <si>
    <t>Synopsys, Inc.</t>
  </si>
  <si>
    <t>86.397 US$</t>
  </si>
  <si>
    <t>ISRG</t>
  </si>
  <si>
    <t>Intuitive Surgical, Inc.</t>
  </si>
  <si>
    <t>115.817 US$</t>
  </si>
  <si>
    <t>CPNG</t>
  </si>
  <si>
    <t>Coupang, Inc.</t>
  </si>
  <si>
    <t>29.230 US$</t>
  </si>
  <si>
    <t>WELL</t>
  </si>
  <si>
    <t>Welltower Inc.</t>
  </si>
  <si>
    <t>50.283 US$</t>
  </si>
  <si>
    <t>CDNS</t>
  </si>
  <si>
    <t>Cadence Design Systems, Inc.</t>
  </si>
  <si>
    <t>75.244 US$</t>
  </si>
  <si>
    <t>KRG</t>
  </si>
  <si>
    <t>Kite Realty Group Trust</t>
  </si>
  <si>
    <t>5011 US$</t>
  </si>
  <si>
    <t>SWK</t>
  </si>
  <si>
    <t>Stanley Black &amp; Decker, Inc.</t>
  </si>
  <si>
    <t>14.798 US$</t>
  </si>
  <si>
    <t>CELH</t>
  </si>
  <si>
    <t>Celsius Holdings, Inc.</t>
  </si>
  <si>
    <t>12.022 US$</t>
  </si>
  <si>
    <t>WING</t>
  </si>
  <si>
    <t>Wingstop Inc.</t>
  </si>
  <si>
    <t>7406 US$</t>
  </si>
  <si>
    <t>TSLA</t>
  </si>
  <si>
    <t>Tesla, Inc.</t>
  </si>
  <si>
    <t>760.684 US$</t>
  </si>
  <si>
    <t>MANH</t>
  </si>
  <si>
    <t>Manhattan Associates, Inc.</t>
  </si>
  <si>
    <t>13.838 US$</t>
  </si>
  <si>
    <t>BSY</t>
  </si>
  <si>
    <t>Bentley Systems, Incorporated</t>
  </si>
  <si>
    <t>16.172 US$</t>
  </si>
  <si>
    <t>FWON.K</t>
  </si>
  <si>
    <t>Formula One Group</t>
  </si>
  <si>
    <t>14.624 US$</t>
  </si>
  <si>
    <t>DV</t>
  </si>
  <si>
    <t>DoubleVerify Holdings, Inc.</t>
  </si>
  <si>
    <t>6019 US$</t>
  </si>
  <si>
    <t>CDAY</t>
  </si>
  <si>
    <t>Ceridian HCM Holding Inc.</t>
  </si>
  <si>
    <t>10.697 US$</t>
  </si>
  <si>
    <t>TYL</t>
  </si>
  <si>
    <t>Tyler Technologies, Inc.</t>
  </si>
  <si>
    <t>17.375 US$</t>
  </si>
  <si>
    <t>COLD</t>
  </si>
  <si>
    <t>Americold Realty Trust, Inc.</t>
  </si>
  <si>
    <t>8455 US$</t>
  </si>
  <si>
    <t>SPSC</t>
  </si>
  <si>
    <t>SPS Commerce, Inc.</t>
  </si>
  <si>
    <t>6818 US$</t>
  </si>
  <si>
    <t>RMBS</t>
  </si>
  <si>
    <t>Rambus Inc.</t>
  </si>
  <si>
    <t>7386 US$</t>
  </si>
  <si>
    <t>DXCM</t>
  </si>
  <si>
    <t>DexCom, Inc.</t>
  </si>
  <si>
    <t>47.250 US$</t>
  </si>
  <si>
    <t>DLR</t>
  </si>
  <si>
    <t>Digital Realty Trust, Inc.</t>
  </si>
  <si>
    <t>41.391 US$</t>
  </si>
  <si>
    <t>EQIX</t>
  </si>
  <si>
    <t>Equinix, Inc.</t>
  </si>
  <si>
    <t>76.009 US$</t>
  </si>
  <si>
    <t>CTLT</t>
  </si>
  <si>
    <t>Catalent, Inc.</t>
  </si>
  <si>
    <t>7162 US$</t>
  </si>
  <si>
    <t>RGEN</t>
  </si>
  <si>
    <t>Repligen Corporation</t>
  </si>
  <si>
    <t>PSTG</t>
  </si>
  <si>
    <t>Pure Storage, Inc.</t>
  </si>
  <si>
    <t>10.694 US$</t>
  </si>
  <si>
    <t>DT</t>
  </si>
  <si>
    <t>Dynatrace, Inc.</t>
  </si>
  <si>
    <t>16.089 US$</t>
  </si>
  <si>
    <t>AXON</t>
  </si>
  <si>
    <t>Axon Enterprise, Inc.</t>
  </si>
  <si>
    <t>18.588 US$</t>
  </si>
  <si>
    <t>CCCS</t>
  </si>
  <si>
    <t>CCC Intelligent Solutions Holdings Inc.</t>
  </si>
  <si>
    <t>6964 US$</t>
  </si>
  <si>
    <t>PEN</t>
  </si>
  <si>
    <t>Penumbra, Inc.</t>
  </si>
  <si>
    <t>9275 US$</t>
  </si>
  <si>
    <t>BMRN</t>
  </si>
  <si>
    <t>BioMarin Pharmaceutical Inc.</t>
  </si>
  <si>
    <t>18.556 US$</t>
  </si>
  <si>
    <t>EXEL</t>
  </si>
  <si>
    <t>Exelixis, Inc.</t>
  </si>
  <si>
    <t>7336 US$</t>
  </si>
  <si>
    <t>PANW</t>
  </si>
  <si>
    <t>Palo Alto Networks, Inc.</t>
  </si>
  <si>
    <t>98.960 US$</t>
  </si>
  <si>
    <t>PODD</t>
  </si>
  <si>
    <t>Insulet Corporation</t>
  </si>
  <si>
    <t>14.303 US$</t>
  </si>
  <si>
    <t>INFA</t>
  </si>
  <si>
    <t>Informatica Inc.</t>
  </si>
  <si>
    <t>8475 US$</t>
  </si>
  <si>
    <t>BA</t>
  </si>
  <si>
    <t>The Boeing Company</t>
  </si>
  <si>
    <t>151.795 US$</t>
  </si>
  <si>
    <t>SPLK</t>
  </si>
  <si>
    <t>Splunk Inc.</t>
  </si>
  <si>
    <t>25.625 US$</t>
  </si>
  <si>
    <t>DOCU</t>
  </si>
  <si>
    <t>DocuSign, Inc.</t>
  </si>
  <si>
    <t>11.450 US$</t>
  </si>
  <si>
    <t>HR</t>
  </si>
  <si>
    <t>Healthcare Realty Trust Incorporated</t>
  </si>
  <si>
    <t>6323 US$</t>
  </si>
  <si>
    <t>NOW</t>
  </si>
  <si>
    <t>ServiceNow, Inc.</t>
  </si>
  <si>
    <t>146.388 US$</t>
  </si>
  <si>
    <t>TTD</t>
  </si>
  <si>
    <t>The Trade Desk, Inc.</t>
  </si>
  <si>
    <t>36.287 US$</t>
  </si>
  <si>
    <t>LBRD.K</t>
  </si>
  <si>
    <t>Liberty Broadband Corporation</t>
  </si>
  <si>
    <t>11.343 US$</t>
  </si>
  <si>
    <t>MGM</t>
  </si>
  <si>
    <t>MGM Resorts International</t>
  </si>
  <si>
    <t>14.944 US$</t>
  </si>
  <si>
    <t>QRVO</t>
  </si>
  <si>
    <t>Qorvo, Inc.</t>
  </si>
  <si>
    <t>10.544 US$</t>
  </si>
  <si>
    <t>ARM</t>
  </si>
  <si>
    <t>Arm Holdings plc</t>
  </si>
  <si>
    <t>67.266 US$</t>
  </si>
  <si>
    <t>UBER</t>
  </si>
  <si>
    <t>Uber Technologies, Inc.</t>
  </si>
  <si>
    <t>127.525 US$</t>
  </si>
  <si>
    <t>CHWY</t>
  </si>
  <si>
    <t>Chewy, Inc.</t>
  </si>
  <si>
    <t>8827 US$</t>
  </si>
  <si>
    <t>PLTR</t>
  </si>
  <si>
    <t>Palantir Technologies Inc.</t>
  </si>
  <si>
    <t>38.885 US$</t>
  </si>
  <si>
    <t>BZ</t>
  </si>
  <si>
    <t>Kanzhun Limited</t>
  </si>
  <si>
    <t>6879 US$</t>
  </si>
  <si>
    <t>WDAY</t>
  </si>
  <si>
    <t>Workday, Inc.</t>
  </si>
  <si>
    <t>73.293 US$</t>
  </si>
  <si>
    <t>TICKER</t>
  </si>
  <si>
    <t>NOMBRE</t>
  </si>
  <si>
    <t>PAIS</t>
  </si>
  <si>
    <t>MARKET CAP.</t>
  </si>
  <si>
    <t>SECTOR</t>
  </si>
  <si>
    <t>TEV/EBIT</t>
  </si>
  <si>
    <t>ROIC</t>
  </si>
  <si>
    <t>EBIT/TEV</t>
  </si>
  <si>
    <t>POSICION FINAL</t>
  </si>
  <si>
    <t>R PRECIO</t>
  </si>
  <si>
    <t>R ROIC</t>
  </si>
  <si>
    <t>RANKING COMBINADO</t>
  </si>
  <si>
    <t>Precio acción</t>
  </si>
  <si>
    <t>CAPITAL</t>
  </si>
  <si>
    <t>Peso</t>
  </si>
  <si>
    <t>Capital</t>
  </si>
  <si>
    <t>Descartadas por elevado precio de las acciones</t>
  </si>
  <si>
    <t>No Acc.</t>
  </si>
  <si>
    <t>Capital Invertido</t>
  </si>
  <si>
    <t>Monto</t>
  </si>
  <si>
    <t>Nº empresas</t>
  </si>
  <si>
    <t>Formula Investing U.S. Value 1000 Fund</t>
  </si>
  <si>
    <t>FUND</t>
  </si>
  <si>
    <t>RUSSELL</t>
  </si>
  <si>
    <t>SP500</t>
  </si>
  <si>
    <t>Fecha inicio</t>
  </si>
  <si>
    <t>Fecha fin</t>
  </si>
  <si>
    <t>Formula Investing International Value 400 Fund</t>
  </si>
  <si>
    <t>MSCI WORLD EX US</t>
  </si>
  <si>
    <t>EAFE</t>
  </si>
  <si>
    <t>Formula Investing International Value Select Fund</t>
  </si>
  <si>
    <t>Formula Investing U.S. Value Select Fund</t>
  </si>
  <si>
    <t>RUSSEL 1000</t>
  </si>
  <si>
    <t>FNAIX</t>
  </si>
  <si>
    <t>FVVAX</t>
  </si>
  <si>
    <t>FNSAX</t>
  </si>
  <si>
    <t>FNVAX</t>
  </si>
  <si>
    <t>FNAAX</t>
  </si>
  <si>
    <t>FNSIX</t>
  </si>
  <si>
    <t>URL: https://web.archive.org/web/20130916054425/http://www.formulainvestingfunds.com/MutualFunds/</t>
  </si>
  <si>
    <t>ROE</t>
  </si>
  <si>
    <t>GOOG</t>
  </si>
  <si>
    <t>TTM</t>
  </si>
  <si>
    <t xml:space="preserve"> =WISE(A2;$B$1;$C$1)</t>
  </si>
  <si>
    <t xml:space="preserve"> =WISE(A3;$B$1;$C$1)</t>
  </si>
  <si>
    <t xml:space="preserve"> =WISE(A4;$B$1;$C$1)</t>
  </si>
  <si>
    <t xml:space="preserve"> =WISE(A5;$B$1;$C$1)</t>
  </si>
  <si>
    <t xml:space="preserve"> =WISE(A6;$B$1;$C$1)</t>
  </si>
  <si>
    <t xml:space="preserve"> =WISE(A7;$B$1;$C$1)</t>
  </si>
  <si>
    <t xml:space="preserve"> =WISE(A8;$B$1;$C$1)</t>
  </si>
  <si>
    <t>Ticker</t>
  </si>
  <si>
    <t>Name </t>
  </si>
  <si>
    <t>Economic Moat</t>
  </si>
  <si>
    <t>Stock Style Box</t>
  </si>
  <si>
    <t>Sector</t>
  </si>
  <si>
    <t>Industry</t>
  </si>
  <si>
    <t>Market Cap</t>
  </si>
  <si>
    <t>A.O. Smith Corp</t>
  </si>
  <si>
    <t>Wide</t>
  </si>
  <si>
    <t>Mid Core</t>
  </si>
  <si>
    <t>Specialty Industrial Machinery</t>
  </si>
  <si>
    <t>12.2 Bil</t>
  </si>
  <si>
    <t>—</t>
  </si>
  <si>
    <t>Large Growth</t>
  </si>
  <si>
    <t>Electrical Equipment &amp; Parts</t>
  </si>
  <si>
    <t>AMETEK Inc</t>
  </si>
  <si>
    <t>Mid Growth</t>
  </si>
  <si>
    <t>37.9 Bil</t>
  </si>
  <si>
    <t>Technology</t>
  </si>
  <si>
    <t>Semiconductors</t>
  </si>
  <si>
    <t>74.1 Bil</t>
  </si>
  <si>
    <t>Semiconductor Equipment &amp; Materials</t>
  </si>
  <si>
    <t>Accenture PLC Class A</t>
  </si>
  <si>
    <t>Large Core</t>
  </si>
  <si>
    <t>Information Technology Services</t>
  </si>
  <si>
    <t>222.2 Bil</t>
  </si>
  <si>
    <t>Adobe Inc</t>
  </si>
  <si>
    <t>Software - Infrastructure</t>
  </si>
  <si>
    <t>272.6 Bil</t>
  </si>
  <si>
    <t>Telecom Services</t>
  </si>
  <si>
    <t>Agilent Technologies Inc</t>
  </si>
  <si>
    <t>Diagnostics &amp; Research</t>
  </si>
  <si>
    <t>40.9 Bil</t>
  </si>
  <si>
    <t>Basic Materials</t>
  </si>
  <si>
    <t>Specialty Chemicals</t>
  </si>
  <si>
    <t>Aerospace &amp; Defense</t>
  </si>
  <si>
    <t>16.5 Bil</t>
  </si>
  <si>
    <t>Consumer Cyclical</t>
  </si>
  <si>
    <t>Internet Retail</t>
  </si>
  <si>
    <t>Specialty Retail</t>
  </si>
  <si>
    <t>55.1 Bil</t>
  </si>
  <si>
    <t>Allegion PLC</t>
  </si>
  <si>
    <t>Security &amp; Protection Services</t>
  </si>
  <si>
    <t>11.1 Bil</t>
  </si>
  <si>
    <t>8.8 Bil</t>
  </si>
  <si>
    <t>Alphabet Inc Class A</t>
  </si>
  <si>
    <t>Internet Content &amp; Information</t>
  </si>
  <si>
    <t>1.8 Tril</t>
  </si>
  <si>
    <t>Alphabet Inc Class C</t>
  </si>
  <si>
    <t>Altria Group Inc</t>
  </si>
  <si>
    <t>Large Value</t>
  </si>
  <si>
    <t>Consumer Defensive</t>
  </si>
  <si>
    <t>Tobacco</t>
  </si>
  <si>
    <t>71.4 Bil</t>
  </si>
  <si>
    <t>Amazon.com Inc</t>
  </si>
  <si>
    <t>1.6 Tril</t>
  </si>
  <si>
    <t>Amgen Inc</t>
  </si>
  <si>
    <t>Drug Manufacturers - General</t>
  </si>
  <si>
    <t>152.1 Bil</t>
  </si>
  <si>
    <t>Amphenol Corp Class A</t>
  </si>
  <si>
    <t>Electronic Components</t>
  </si>
  <si>
    <t>59.2 Bil</t>
  </si>
  <si>
    <t>Analog Devices Inc</t>
  </si>
  <si>
    <t>97.8 Bil</t>
  </si>
  <si>
    <t>Ansys Inc</t>
  </si>
  <si>
    <t>Software - Application</t>
  </si>
  <si>
    <t>31.1 Bil</t>
  </si>
  <si>
    <t>Apple Inc</t>
  </si>
  <si>
    <t>Consumer Electronics</t>
  </si>
  <si>
    <t>3.0 Tril</t>
  </si>
  <si>
    <t>Applied Materials Inc</t>
  </si>
  <si>
    <t>134.7 Bil</t>
  </si>
  <si>
    <t>Beverages - Non-Alcoholic</t>
  </si>
  <si>
    <t>Arista Networks Inc</t>
  </si>
  <si>
    <t>Computer Hardware</t>
  </si>
  <si>
    <t>AWI</t>
  </si>
  <si>
    <t>Armstrong World Industries Inc</t>
  </si>
  <si>
    <t>Small Core</t>
  </si>
  <si>
    <t>Building Products &amp; Equipment</t>
  </si>
  <si>
    <t>4.4 Bil</t>
  </si>
  <si>
    <t>Autodesk Inc</t>
  </si>
  <si>
    <t>51.9 Bil</t>
  </si>
  <si>
    <t>Automatic Data Processing Inc</t>
  </si>
  <si>
    <t>Staffing &amp; Employment Services</t>
  </si>
  <si>
    <t>95.0 Bil</t>
  </si>
  <si>
    <t>Axon Enterprise Inc</t>
  </si>
  <si>
    <t>19.4 Bil</t>
  </si>
  <si>
    <t>Mid Value</t>
  </si>
  <si>
    <t>Recreational Vehicles</t>
  </si>
  <si>
    <t>BWX Technologies Inc</t>
  </si>
  <si>
    <t>7.1 Bil</t>
  </si>
  <si>
    <t>BMI</t>
  </si>
  <si>
    <t>Badger Meter Inc</t>
  </si>
  <si>
    <t>Small Growth</t>
  </si>
  <si>
    <t>Scientific &amp; Technical Instruments</t>
  </si>
  <si>
    <t>4.5 Bil</t>
  </si>
  <si>
    <t>Medical Care Facilities</t>
  </si>
  <si>
    <t>Confectioners</t>
  </si>
  <si>
    <t>8.9 Bil</t>
  </si>
  <si>
    <t>Household &amp; Personal Products</t>
  </si>
  <si>
    <t>Bio-Techne Corp</t>
  </si>
  <si>
    <t>Biotechnology</t>
  </si>
  <si>
    <t>12.3 Bil</t>
  </si>
  <si>
    <t>Biogen Inc</t>
  </si>
  <si>
    <t>37.4 Bil</t>
  </si>
  <si>
    <t>Specialty Business Services</t>
  </si>
  <si>
    <t>Bristol-Myers Squibb Co</t>
  </si>
  <si>
    <t>106.4 Bil</t>
  </si>
  <si>
    <t>Broadcom Inc</t>
  </si>
  <si>
    <t>525.2 Bil</t>
  </si>
  <si>
    <t>Beverages - Wineries &amp; Distilleries</t>
  </si>
  <si>
    <t>Bruker Corp</t>
  </si>
  <si>
    <t>Medical Devices</t>
  </si>
  <si>
    <t>10.2 Bil</t>
  </si>
  <si>
    <t>C.H. Robinson Worldwide Inc</t>
  </si>
  <si>
    <t>Integrated Freight &amp; Logistics</t>
  </si>
  <si>
    <t>CDW Corp</t>
  </si>
  <si>
    <t>30.4 Bil</t>
  </si>
  <si>
    <t>CSWI</t>
  </si>
  <si>
    <t>CSW Industrials Inc</t>
  </si>
  <si>
    <t>3.2 Bil</t>
  </si>
  <si>
    <t>CSX Corp</t>
  </si>
  <si>
    <t>Railroads</t>
  </si>
  <si>
    <t>68.4 Bil</t>
  </si>
  <si>
    <t>Campbell Soup Co</t>
  </si>
  <si>
    <t>Packaged Foods</t>
  </si>
  <si>
    <t>12.8 Bil</t>
  </si>
  <si>
    <t>Carlisle Companies Inc</t>
  </si>
  <si>
    <t>15.2 Bil</t>
  </si>
  <si>
    <t>Caterpillar Inc</t>
  </si>
  <si>
    <t>Farm &amp; Heavy Construction Machinery</t>
  </si>
  <si>
    <t>147.8 Bil</t>
  </si>
  <si>
    <t>Chemed Corp</t>
  </si>
  <si>
    <t>Cheniere Energy Inc</t>
  </si>
  <si>
    <t>Oil &amp; Gas Midstream</t>
  </si>
  <si>
    <t>41.1 Bil</t>
  </si>
  <si>
    <t>Cheniere Energy Partners LP</t>
  </si>
  <si>
    <t>25.2 Bil</t>
  </si>
  <si>
    <t>Chipotle Mexican Grill Inc</t>
  </si>
  <si>
    <t>Restaurants</t>
  </si>
  <si>
    <t>63.2 Bil</t>
  </si>
  <si>
    <t>27.9 Bil</t>
  </si>
  <si>
    <t>EXPO</t>
  </si>
  <si>
    <t>FELE</t>
  </si>
  <si>
    <t>LOPE</t>
  </si>
  <si>
    <t>HOG</t>
  </si>
  <si>
    <t>Cintas Corp</t>
  </si>
  <si>
    <t>60.3 Bil</t>
  </si>
  <si>
    <t>Cisco Systems Inc</t>
  </si>
  <si>
    <t>Communication Equipment</t>
  </si>
  <si>
    <t>203.5 Bil</t>
  </si>
  <si>
    <t>Clorox Co</t>
  </si>
  <si>
    <t>17.6 Bil</t>
  </si>
  <si>
    <t>Coca-Cola Co</t>
  </si>
  <si>
    <t>252.1 Bil</t>
  </si>
  <si>
    <t>Cognex Corp</t>
  </si>
  <si>
    <t>7.3 Bil</t>
  </si>
  <si>
    <t>Colgate-Palmolive Co</t>
  </si>
  <si>
    <t>64.6 Bil</t>
  </si>
  <si>
    <t>Medical Instruments &amp; Supplies</t>
  </si>
  <si>
    <t>Comcast Corp Class A</t>
  </si>
  <si>
    <t>177.1 Bil</t>
  </si>
  <si>
    <t>Constellation Brands Inc Class A</t>
  </si>
  <si>
    <t>43.7 Bil</t>
  </si>
  <si>
    <t>Copart Inc</t>
  </si>
  <si>
    <t>46.9 Bil</t>
  </si>
  <si>
    <t>Costco Wholesale Corp</t>
  </si>
  <si>
    <t>Discount Stores</t>
  </si>
  <si>
    <t>298.0 Bil</t>
  </si>
  <si>
    <t>Curtiss-Wright Corp</t>
  </si>
  <si>
    <t>8.4 Bil</t>
  </si>
  <si>
    <t>Deckers Outdoor Corp</t>
  </si>
  <si>
    <t>Footwear &amp; Accessories</t>
  </si>
  <si>
    <t>17.8 Bil</t>
  </si>
  <si>
    <t>Deere &amp; Co</t>
  </si>
  <si>
    <t>111.2 Bil</t>
  </si>
  <si>
    <t>Dolby Laboratories Inc Class A</t>
  </si>
  <si>
    <t>8.1 Bil</t>
  </si>
  <si>
    <t>Domino's Pizza Inc</t>
  </si>
  <si>
    <t>14.3 Bil</t>
  </si>
  <si>
    <t>Dover Corp</t>
  </si>
  <si>
    <t>21.4 Bil</t>
  </si>
  <si>
    <t>Ecolab Inc</t>
  </si>
  <si>
    <t>56.3 Bil</t>
  </si>
  <si>
    <t>Emerson Electric Co</t>
  </si>
  <si>
    <t>Enterprise Products Partners LP</t>
  </si>
  <si>
    <t>56.6 Bil</t>
  </si>
  <si>
    <t>Equifax Inc</t>
  </si>
  <si>
    <t>Consulting Services</t>
  </si>
  <si>
    <t>30.1 Bil</t>
  </si>
  <si>
    <t>Etsy Inc</t>
  </si>
  <si>
    <t>Expeditors International of Washington Inc</t>
  </si>
  <si>
    <t>18.7 Bil</t>
  </si>
  <si>
    <t>37.1 Bil</t>
  </si>
  <si>
    <t>Exponent Inc</t>
  </si>
  <si>
    <t>Engineering &amp; Construction</t>
  </si>
  <si>
    <t>Fair Isaac Corp</t>
  </si>
  <si>
    <t>28.9 Bil</t>
  </si>
  <si>
    <t>Apparel Retail</t>
  </si>
  <si>
    <t>Fastenal Co</t>
  </si>
  <si>
    <t>Industrial Distribution</t>
  </si>
  <si>
    <t>37.3 Bil</t>
  </si>
  <si>
    <t>Five Below Inc</t>
  </si>
  <si>
    <t>11.2 Bil</t>
  </si>
  <si>
    <t>Fortinet Inc</t>
  </si>
  <si>
    <t>45.5 Bil</t>
  </si>
  <si>
    <t>Franklin Electric Co Inc</t>
  </si>
  <si>
    <t>7.0 Bil</t>
  </si>
  <si>
    <t>Gartner Inc</t>
  </si>
  <si>
    <t>34.8 Bil</t>
  </si>
  <si>
    <t>21.1 Bil</t>
  </si>
  <si>
    <t>General Dynamics Corp</t>
  </si>
  <si>
    <t>69.3 Bil</t>
  </si>
  <si>
    <t>Gilead Sciences Inc</t>
  </si>
  <si>
    <t>99.3 Bil</t>
  </si>
  <si>
    <t>Graco Inc</t>
  </si>
  <si>
    <t>14.6 Bil</t>
  </si>
  <si>
    <t>Small Value</t>
  </si>
  <si>
    <t>Grand Canyon Education Inc</t>
  </si>
  <si>
    <t>Education &amp; Training Services</t>
  </si>
  <si>
    <t>4.3 Bil</t>
  </si>
  <si>
    <t>H&amp;R Block Inc</t>
  </si>
  <si>
    <t>Personal Services</t>
  </si>
  <si>
    <t>6.9 Bil</t>
  </si>
  <si>
    <t>Drug Manufacturers - Specialty &amp; Generic</t>
  </si>
  <si>
    <t>Conglomerates</t>
  </si>
  <si>
    <t>Harley-Davidson Inc</t>
  </si>
  <si>
    <t>5.0 Bil</t>
  </si>
  <si>
    <t>Home Improvement Retail</t>
  </si>
  <si>
    <t>Honeywell International Inc</t>
  </si>
  <si>
    <t>135.6 Bil</t>
  </si>
  <si>
    <t>Howmet Aerospace Inc</t>
  </si>
  <si>
    <t>22.1 Bil</t>
  </si>
  <si>
    <t>Hubbell Inc</t>
  </si>
  <si>
    <t>17.5 Bil</t>
  </si>
  <si>
    <t>Huntington Ingalls Industries Inc</t>
  </si>
  <si>
    <t>9.7 Bil</t>
  </si>
  <si>
    <t>International Flavors &amp; Fragrances Inc</t>
  </si>
  <si>
    <t>20.6 Bil</t>
  </si>
  <si>
    <t>Intuit Inc</t>
  </si>
  <si>
    <t>174.7 Bil</t>
  </si>
  <si>
    <t>Intuitive Surgical Inc</t>
  </si>
  <si>
    <t>118.4 Bil</t>
  </si>
  <si>
    <t>JKHY</t>
  </si>
  <si>
    <t>Jack Henry &amp; Associates Inc</t>
  </si>
  <si>
    <t>12.0 Bil</t>
  </si>
  <si>
    <t>JHIUF</t>
  </si>
  <si>
    <t>James Hardie Industries PLC</t>
  </si>
  <si>
    <t>Building Materials</t>
  </si>
  <si>
    <t>16.3 Bil</t>
  </si>
  <si>
    <t>JHX</t>
  </si>
  <si>
    <t>James Hardie Industries PLC ADR</t>
  </si>
  <si>
    <t>Food Distribution</t>
  </si>
  <si>
    <t>374.2 Bil</t>
  </si>
  <si>
    <t>KLA Corp</t>
  </si>
  <si>
    <t>79.2 Bil</t>
  </si>
  <si>
    <t>KAI</t>
  </si>
  <si>
    <t>Kadant Inc</t>
  </si>
  <si>
    <t>3.3 Bil</t>
  </si>
  <si>
    <t>Kenvue Inc</t>
  </si>
  <si>
    <t>Keysight Technologies Inc</t>
  </si>
  <si>
    <t>Lam Research Corp</t>
  </si>
  <si>
    <t>102.8 Bil</t>
  </si>
  <si>
    <t>LANC</t>
  </si>
  <si>
    <t>Lancaster Colony Corp</t>
  </si>
  <si>
    <t>Landstar System Inc</t>
  </si>
  <si>
    <t>Lattice Semiconductor Corp</t>
  </si>
  <si>
    <t>Lockheed Martin Corp</t>
  </si>
  <si>
    <t>Lowe's Companies Inc</t>
  </si>
  <si>
    <t>128.3 Bil</t>
  </si>
  <si>
    <t>Masco Corp</t>
  </si>
  <si>
    <t>15.1 Bil</t>
  </si>
  <si>
    <t>18.2 Bil</t>
  </si>
  <si>
    <t>McCormick &amp; Co Inc Registered Shs Non Vtg</t>
  </si>
  <si>
    <t>McDonald's Corp</t>
  </si>
  <si>
    <t>211.6 Bil</t>
  </si>
  <si>
    <t>Medtronic PLC</t>
  </si>
  <si>
    <t>108.9 Bil</t>
  </si>
  <si>
    <t>Merck &amp; Co Inc</t>
  </si>
  <si>
    <t>272.9 Bil</t>
  </si>
  <si>
    <t>Meta Platforms Inc Class A</t>
  </si>
  <si>
    <t>908.2 Bil</t>
  </si>
  <si>
    <t>Microchip Technology Inc</t>
  </si>
  <si>
    <t>48.8 Bil</t>
  </si>
  <si>
    <t>Microsoft Corp</t>
  </si>
  <si>
    <t>2.8 Tril</t>
  </si>
  <si>
    <t>Mondelez International Inc Class A</t>
  </si>
  <si>
    <t>96.9 Bil</t>
  </si>
  <si>
    <t>Monolithic Power Systems Inc</t>
  </si>
  <si>
    <t>29.6 Bil</t>
  </si>
  <si>
    <t>NVIDIA Corp</t>
  </si>
  <si>
    <t>1.2 Tril</t>
  </si>
  <si>
    <t>NVR Inc</t>
  </si>
  <si>
    <t>Residential Construction</t>
  </si>
  <si>
    <t>22.2 Bil</t>
  </si>
  <si>
    <t>FIZZ</t>
  </si>
  <si>
    <t>National Beverage Corp</t>
  </si>
  <si>
    <t>4.6 Bil</t>
  </si>
  <si>
    <t>NetApp Inc</t>
  </si>
  <si>
    <t>18.4 Bil</t>
  </si>
  <si>
    <t>Neurocrine Biosciences Inc</t>
  </si>
  <si>
    <t>12.6 Bil</t>
  </si>
  <si>
    <t>Nike Inc Class B</t>
  </si>
  <si>
    <t>164.4 Bil</t>
  </si>
  <si>
    <t>Norfolk Southern Corp</t>
  </si>
  <si>
    <t>52.9 Bil</t>
  </si>
  <si>
    <t>Northrop Grumman Corp</t>
  </si>
  <si>
    <t>69.8 Bil</t>
  </si>
  <si>
    <t>Otis Worldwide Corp Ordinary Shares</t>
  </si>
  <si>
    <t>36.5 Bil</t>
  </si>
  <si>
    <t>Palo Alto Networks Inc</t>
  </si>
  <si>
    <t>94.0 Bil</t>
  </si>
  <si>
    <t>Paychex Inc</t>
  </si>
  <si>
    <t>43.1 Bil</t>
  </si>
  <si>
    <t>PepsiCo Inc</t>
  </si>
  <si>
    <t>230.5 Bil</t>
  </si>
  <si>
    <t>Pfizer Inc</t>
  </si>
  <si>
    <t>160.4 Bil</t>
  </si>
  <si>
    <t>Philip Morris International Inc</t>
  </si>
  <si>
    <t>144.3 Bil</t>
  </si>
  <si>
    <t>PII</t>
  </si>
  <si>
    <t>Polaris Inc</t>
  </si>
  <si>
    <t>5.3 Bil</t>
  </si>
  <si>
    <t>Pool Corp</t>
  </si>
  <si>
    <t>15.3 Bil</t>
  </si>
  <si>
    <t>Procter &amp; Gamble Co</t>
  </si>
  <si>
    <t>342.4 Bil</t>
  </si>
  <si>
    <t>RTX Corp</t>
  </si>
  <si>
    <t>119.7 Bil</t>
  </si>
  <si>
    <t>Republic Services Inc</t>
  </si>
  <si>
    <t>Waste Management</t>
  </si>
  <si>
    <t>51.2 Bil</t>
  </si>
  <si>
    <t>RSMDF</t>
  </si>
  <si>
    <t>ResMed Inc CHESS Depositary Interests on a ratio of 10 CDIs per ord.sh</t>
  </si>
  <si>
    <t>Robert Half Inc</t>
  </si>
  <si>
    <t>9.2 Bil</t>
  </si>
  <si>
    <t>Rockwell Automation Inc</t>
  </si>
  <si>
    <t>35.3 Bil</t>
  </si>
  <si>
    <t>Rollins Inc</t>
  </si>
  <si>
    <t>20.8 Bil</t>
  </si>
  <si>
    <t>Roper Technologies Inc</t>
  </si>
  <si>
    <t>58.0 Bil</t>
  </si>
  <si>
    <t>Ross Stores Inc</t>
  </si>
  <si>
    <t>45.9 Bil</t>
  </si>
  <si>
    <t>Salesforce Inc</t>
  </si>
  <si>
    <t>257.8 Bil</t>
  </si>
  <si>
    <t>ServiceNow Inc</t>
  </si>
  <si>
    <t>143.0 Bil</t>
  </si>
  <si>
    <t>Sherwin-Williams Co</t>
  </si>
  <si>
    <t>79.7 Bil</t>
  </si>
  <si>
    <t>Southern Copper Corp</t>
  </si>
  <si>
    <t>Copper</t>
  </si>
  <si>
    <t>67.7 Bil</t>
  </si>
  <si>
    <t>Starbucks Corp</t>
  </si>
  <si>
    <t>108.3 Bil</t>
  </si>
  <si>
    <t>Stryker Corp</t>
  </si>
  <si>
    <t>113.0 Bil</t>
  </si>
  <si>
    <t>Sysco Corp</t>
  </si>
  <si>
    <t>TJX Companies Inc</t>
  </si>
  <si>
    <t>104.7 Bil</t>
  </si>
  <si>
    <t>Teradyne Inc</t>
  </si>
  <si>
    <t>Tetra Tech Inc</t>
  </si>
  <si>
    <t>Texas Instruments Inc</t>
  </si>
  <si>
    <t>152.8 Bil</t>
  </si>
  <si>
    <t>Texas Pacific Land Corp</t>
  </si>
  <si>
    <t>Oil &amp; Gas E&amp;P</t>
  </si>
  <si>
    <t>12.4 Bil</t>
  </si>
  <si>
    <t>Texas Roadhouse Inc</t>
  </si>
  <si>
    <t>30.7 Bil</t>
  </si>
  <si>
    <t>The Hershey Co</t>
  </si>
  <si>
    <t>The Home Depot Inc</t>
  </si>
  <si>
    <t>346.9 Bil</t>
  </si>
  <si>
    <t>The Toro Co</t>
  </si>
  <si>
    <t>Tools &amp; Accessories</t>
  </si>
  <si>
    <t>10.3 Bil</t>
  </si>
  <si>
    <t>The Walt Disney Co</t>
  </si>
  <si>
    <t>Entertainment</t>
  </si>
  <si>
    <t>166.6 Bil</t>
  </si>
  <si>
    <t>Thermo Fisher Scientific Inc</t>
  </si>
  <si>
    <t>204.4 Bil</t>
  </si>
  <si>
    <t>Tractor Supply Co</t>
  </si>
  <si>
    <t>22.9 Bil</t>
  </si>
  <si>
    <t>TransDigm Group Inc</t>
  </si>
  <si>
    <t>55.3 Bil</t>
  </si>
  <si>
    <t>Trex Co Inc</t>
  </si>
  <si>
    <t>9.0 Bil</t>
  </si>
  <si>
    <t>Tyler Technologies Inc</t>
  </si>
  <si>
    <t>Union Pacific Corp</t>
  </si>
  <si>
    <t>148.5 Bil</t>
  </si>
  <si>
    <t>United Parcel Service Inc Class B</t>
  </si>
  <si>
    <t>134.8 Bil</t>
  </si>
  <si>
    <t>Veeva Systems Inc Class A</t>
  </si>
  <si>
    <t>Health Information Services</t>
  </si>
  <si>
    <t>VeriSign Inc</t>
  </si>
  <si>
    <t>Verisk Analytics Inc</t>
  </si>
  <si>
    <t>34.2 Bil</t>
  </si>
  <si>
    <t>VSBC</t>
  </si>
  <si>
    <t>VitaSpring Biomedical Co Ltd Ordinary Shares</t>
  </si>
  <si>
    <t>Walmart Inc</t>
  </si>
  <si>
    <t>421.7 Bil</t>
  </si>
  <si>
    <t>Waste Management Inc</t>
  </si>
  <si>
    <t>71.3 Bil</t>
  </si>
  <si>
    <t>Waters Corp</t>
  </si>
  <si>
    <t>19.5 Bil</t>
  </si>
  <si>
    <t>Watts Water Technologies Inc Class A</t>
  </si>
  <si>
    <t>West Pharmaceutical Services Inc</t>
  </si>
  <si>
    <t>26.3 Bil</t>
  </si>
  <si>
    <t>Workday Inc Class A</t>
  </si>
  <si>
    <t>71.7 Bil</t>
  </si>
  <si>
    <t>Yum Brands Inc</t>
  </si>
  <si>
    <t>36.4 Bil</t>
  </si>
  <si>
    <t>Zimmer Biomet Holdings Inc</t>
  </si>
  <si>
    <t>Zoetis Inc Class A</t>
  </si>
  <si>
    <t>89.5 Bil</t>
  </si>
  <si>
    <t>Operating Income TTM</t>
  </si>
  <si>
    <t>Enterprise Value TTM</t>
  </si>
  <si>
    <t>Gross Profit TTM</t>
  </si>
  <si>
    <t>Total Assets TTM</t>
  </si>
  <si>
    <t>GPA</t>
  </si>
  <si>
    <t>Ranking GPA</t>
  </si>
  <si>
    <t>SUMA</t>
  </si>
  <si>
    <t>Domicile</t>
  </si>
  <si>
    <t>Country of Business</t>
  </si>
  <si>
    <t>United States</t>
  </si>
  <si>
    <t>Ireland</t>
  </si>
  <si>
    <t xml:space="preserve">Análisis márgenes </t>
  </si>
  <si>
    <t>5Y Growth</t>
  </si>
  <si>
    <t>Revenue</t>
  </si>
  <si>
    <t>Gross Profit Ratio</t>
  </si>
  <si>
    <t>EBITDA Ratio</t>
  </si>
  <si>
    <t>Operating Income Ratio</t>
  </si>
  <si>
    <t>Net Income Ratio</t>
  </si>
  <si>
    <t>EPS Diluted</t>
  </si>
  <si>
    <t>Rentabilidad</t>
  </si>
  <si>
    <t>Average 5 Years</t>
  </si>
  <si>
    <t>ROA</t>
  </si>
  <si>
    <t>Dupont</t>
  </si>
  <si>
    <t>NP/EBT -&gt; Fiscalidad</t>
  </si>
  <si>
    <t xml:space="preserve">EBT/EBIT -&gt; Financiación. </t>
  </si>
  <si>
    <t>EBIT/sales -&gt; Margen Operativo</t>
  </si>
  <si>
    <t>Sales/Assets -&gt; Rotación.</t>
  </si>
  <si>
    <t>Assets/Equity -&gt; Apalancamiento.</t>
  </si>
  <si>
    <t>Liquidez &amp; Solvencia</t>
  </si>
  <si>
    <t>Ratio corriente</t>
  </si>
  <si>
    <t>Cash And Cash Equivalents</t>
  </si>
  <si>
    <t>PMC</t>
  </si>
  <si>
    <t>PMP</t>
  </si>
  <si>
    <t>Days Of Inventory On Hand</t>
  </si>
  <si>
    <t>PMM</t>
  </si>
  <si>
    <t>Net Debt To EBITDA</t>
  </si>
  <si>
    <t>Debt To Equity</t>
  </si>
  <si>
    <t>Net Debt to Total Assets</t>
  </si>
  <si>
    <t>Precio</t>
  </si>
  <si>
    <t>Enterprise Value</t>
  </si>
  <si>
    <t>Weighted Average Shs Out Dil</t>
  </si>
  <si>
    <t>PER ratio</t>
  </si>
  <si>
    <t>Current Dividend Yield</t>
  </si>
  <si>
    <t>Expected dividend per share</t>
  </si>
  <si>
    <t>Dividend growth rate (3y)</t>
  </si>
  <si>
    <t>Dividend growth rate (5y)</t>
  </si>
  <si>
    <t>Growth Rate</t>
  </si>
  <si>
    <t>ROI</t>
  </si>
  <si>
    <t>Ranking ROI</t>
  </si>
  <si>
    <t>Ranking COMB</t>
  </si>
  <si>
    <t>Price</t>
  </si>
  <si>
    <t>Nº acciones</t>
  </si>
  <si>
    <t>Cash</t>
  </si>
  <si>
    <t xml:space="preserve">VitaSpring Biomedical Co </t>
  </si>
  <si>
    <t>FM con sólo factor "precio"</t>
  </si>
  <si>
    <t>FM con "precio" y "calidad"</t>
  </si>
  <si>
    <t>Five Y Dividend Per Share Growth Per Share</t>
  </si>
  <si>
    <t>Dividend Yield TTM</t>
  </si>
  <si>
    <t>Unavailable</t>
  </si>
  <si>
    <t>Payout Ratio TTM</t>
  </si>
  <si>
    <t>D Yield</t>
  </si>
  <si>
    <t>% 5Y Growth</t>
  </si>
  <si>
    <t>Payout</t>
  </si>
  <si>
    <t>Empresa</t>
  </si>
  <si>
    <t>PRECIO</t>
  </si>
  <si>
    <t>EBIT/EV</t>
  </si>
  <si>
    <t>Dividend/MC</t>
  </si>
  <si>
    <t>CALIDAD</t>
  </si>
  <si>
    <t>ROCE</t>
  </si>
  <si>
    <t>CRECIMIENTO</t>
  </si>
  <si>
    <t>% Growth EPS</t>
  </si>
  <si>
    <t>% Growth EBIT margin</t>
  </si>
  <si>
    <t>PESO</t>
  </si>
  <si>
    <t>Gestión indexada</t>
  </si>
  <si>
    <t>Gestión activa</t>
  </si>
  <si>
    <t>Capital inicial</t>
  </si>
  <si>
    <t>Años</t>
  </si>
  <si>
    <t>Ahorro anual</t>
  </si>
  <si>
    <t>Formación</t>
  </si>
  <si>
    <t>Capital final</t>
  </si>
  <si>
    <t>Capital inversión</t>
  </si>
  <si>
    <t>Suscripciones</t>
  </si>
  <si>
    <t>Tiempo dedicado (horas)</t>
  </si>
  <si>
    <t>Periodo</t>
  </si>
  <si>
    <t>Crecimiento exponencial</t>
  </si>
  <si>
    <t>Crecimiento lineal</t>
  </si>
  <si>
    <t>Año</t>
  </si>
  <si>
    <t>Inflación</t>
  </si>
  <si>
    <t>DCA</t>
  </si>
  <si>
    <t>Evento</t>
  </si>
  <si>
    <t>Pico</t>
  </si>
  <si>
    <t>Mínimo</t>
  </si>
  <si>
    <t>Recuperación</t>
  </si>
  <si>
    <t>Años recuperación</t>
  </si>
  <si>
    <t>Guerra fría</t>
  </si>
  <si>
    <t>Inflación 71</t>
  </si>
  <si>
    <t>Vietnam</t>
  </si>
  <si>
    <t>Lunes negro</t>
  </si>
  <si>
    <t>Punto.com</t>
  </si>
  <si>
    <t>Date</t>
  </si>
  <si>
    <t>Open</t>
  </si>
  <si>
    <t>High</t>
  </si>
  <si>
    <t>Low</t>
  </si>
  <si>
    <t>Close</t>
  </si>
  <si>
    <t>Adj Close</t>
  </si>
  <si>
    <t>Volume</t>
  </si>
  <si>
    <t>Participaciones</t>
  </si>
  <si>
    <t>Aportaciones</t>
  </si>
  <si>
    <t>Precio medio</t>
  </si>
  <si>
    <t>Precio medio entrada</t>
  </si>
  <si>
    <t>Precio cotización</t>
  </si>
  <si>
    <t>Ganancia/pérdida</t>
  </si>
  <si>
    <t>Equity Curve</t>
  </si>
  <si>
    <t>Compra partipaciones</t>
  </si>
  <si>
    <t>Total participaciones cartera</t>
  </si>
  <si>
    <t>Cotización</t>
  </si>
  <si>
    <t>Equity curve</t>
  </si>
  <si>
    <t>R (Lum sum)</t>
  </si>
  <si>
    <t>R (DCA)</t>
  </si>
  <si>
    <t>Tiempo</t>
  </si>
  <si>
    <t>FM All market</t>
  </si>
  <si>
    <t>S&amp;P500</t>
  </si>
  <si>
    <t>FM Large Cap.</t>
  </si>
  <si>
    <t>Media mercado all market</t>
  </si>
  <si>
    <t>Media mercado large cap.</t>
  </si>
  <si>
    <t>R.geom</t>
  </si>
  <si>
    <t>CAGR</t>
  </si>
  <si>
    <t>Cartera A</t>
  </si>
  <si>
    <t>Cartera B</t>
  </si>
  <si>
    <t>Cartera C</t>
  </si>
  <si>
    <t>Cartera D</t>
  </si>
  <si>
    <t>Cartera E</t>
  </si>
  <si>
    <t>Cartera F</t>
  </si>
  <si>
    <t>Cartera G</t>
  </si>
  <si>
    <t>Cartera H</t>
  </si>
  <si>
    <t>Cartera I</t>
  </si>
  <si>
    <t>Cartera J</t>
  </si>
  <si>
    <t>Fecha</t>
  </si>
  <si>
    <t>MFA Return %</t>
  </si>
  <si>
    <t>S&amp;P 500 Return %</t>
  </si>
  <si>
    <t>Resultados propios sobre la FM</t>
  </si>
  <si>
    <t>Activos (Assets)</t>
  </si>
  <si>
    <t>Balance de situación de una persona</t>
  </si>
  <si>
    <t>Efectivo</t>
  </si>
  <si>
    <t>Vivienda</t>
  </si>
  <si>
    <t>Coche</t>
  </si>
  <si>
    <t>Ordenadores</t>
  </si>
  <si>
    <t>Libros</t>
  </si>
  <si>
    <t>Muebles</t>
  </si>
  <si>
    <t>Total activos</t>
  </si>
  <si>
    <t>Inversiones financieras</t>
  </si>
  <si>
    <t>Neto (Equity)</t>
  </si>
  <si>
    <t>Pasivos (Liabilities)</t>
  </si>
  <si>
    <t>Préstamo bancario</t>
  </si>
  <si>
    <t>Préstamo familiar</t>
  </si>
  <si>
    <t>Total Neto + Pasivos</t>
  </si>
  <si>
    <t>Neto + Pasivo</t>
  </si>
  <si>
    <t>Ventas (sales)</t>
  </si>
  <si>
    <t>(-) Costes directos (Cost of sales)</t>
  </si>
  <si>
    <t>(=) Beneficio bruto (gross profit)</t>
  </si>
  <si>
    <t>(-) Gastos operativos (OPEX)</t>
  </si>
  <si>
    <t>(=) Beneficio Operativo (EBIT)</t>
  </si>
  <si>
    <t>(+/-) Gastos/Ingresos financieros</t>
  </si>
  <si>
    <t>(=) Beneficio Antes de impuestos (EBT)</t>
  </si>
  <si>
    <t>(-) Impuestos (Taxes)</t>
  </si>
  <si>
    <t>(=) Beneficio Neto (Net Profit)</t>
  </si>
  <si>
    <t>Caja y equivalentes</t>
  </si>
  <si>
    <t>Activos financieros de corto plazo</t>
  </si>
  <si>
    <t>Clientes</t>
  </si>
  <si>
    <t>Otros activos corrientes</t>
  </si>
  <si>
    <t>Inventarios</t>
  </si>
  <si>
    <t>Total activos corrientes</t>
  </si>
  <si>
    <t>Activos financieros de largo plazo</t>
  </si>
  <si>
    <t>Propiedad, planta y equipamiento</t>
  </si>
  <si>
    <t>Otros activos no corrientes</t>
  </si>
  <si>
    <t>Total activos no corrientes</t>
  </si>
  <si>
    <t>TOTAL ACTIVOS</t>
  </si>
  <si>
    <t>Proveedores</t>
  </si>
  <si>
    <t>Deuda a corto plazo</t>
  </si>
  <si>
    <t>Otros pasivos corrientes</t>
  </si>
  <si>
    <t>Total pasivos corrientes</t>
  </si>
  <si>
    <t>Deuda a largo plazo</t>
  </si>
  <si>
    <t>Otros pasivos no corrientes</t>
  </si>
  <si>
    <t>Total pasivos no corrientes</t>
  </si>
  <si>
    <t>Neto</t>
  </si>
  <si>
    <t>TOTAL PASIVO + NETO</t>
  </si>
  <si>
    <t>TOTAL PASIVOS</t>
  </si>
  <si>
    <t xml:space="preserve">PASIVO + NETO </t>
  </si>
  <si>
    <t>ACTIVOS</t>
  </si>
  <si>
    <t>ROA Apple</t>
  </si>
  <si>
    <t>Inicio</t>
  </si>
  <si>
    <t xml:space="preserve">Capital </t>
  </si>
  <si>
    <t>Retorno</t>
  </si>
  <si>
    <t>Beneficios o pérdidas</t>
  </si>
  <si>
    <t>Aportaciones o retiradas</t>
  </si>
  <si>
    <t>TIR</t>
  </si>
  <si>
    <t>MWR o TIR</t>
  </si>
  <si>
    <t>Inversor: JUAN MARTIN DÍAZ</t>
  </si>
  <si>
    <t>Rentabilidad acumulada</t>
  </si>
  <si>
    <t>Inversor: FERNANDO BELASTEGUÍN</t>
  </si>
  <si>
    <t>TIR JMD</t>
  </si>
  <si>
    <t>Aportaciones, retiradas</t>
  </si>
  <si>
    <t>Inversión inicial</t>
  </si>
  <si>
    <t>Beneficio o pérdida</t>
  </si>
  <si>
    <t>Cálculo del beneficio y de rentabilidad acumulada</t>
  </si>
  <si>
    <t>Rentabilidad simple Vs Rentabilidad compuesta</t>
  </si>
  <si>
    <t>Fórmula capitalización simple</t>
  </si>
  <si>
    <t>Cf=Cox(1+Rxn)</t>
  </si>
  <si>
    <t>Fórmula capitalizacióncompuesta</t>
  </si>
  <si>
    <t>Cf=Cox(1+R)^n</t>
  </si>
  <si>
    <t>¿Qué es mejor, un 20% anual durante 5 años, o un 5% durante 20 años?</t>
  </si>
  <si>
    <t>Retorno anual compuesto o CAGR (Compound Annual Growth Rate)</t>
  </si>
  <si>
    <t xml:space="preserve">* De un retorno del 30% a lo largo de 10 años. </t>
  </si>
  <si>
    <t xml:space="preserve">* De un retorno del 15% a lo largo de 3 años. </t>
  </si>
  <si>
    <t>Greenblatt</t>
  </si>
  <si>
    <t>Buffett</t>
  </si>
  <si>
    <t>Graham</t>
  </si>
  <si>
    <t xml:space="preserve">Money-Weighted Return, Time-Weighted Return, TIR y media geométrica </t>
  </si>
  <si>
    <t>FM "selecta"</t>
  </si>
  <si>
    <t>Media mercado "selecta"</t>
  </si>
  <si>
    <t>Juan Martín</t>
  </si>
  <si>
    <t>Bela</t>
  </si>
  <si>
    <t>TWR o média geométrica</t>
  </si>
  <si>
    <t>Observaciones</t>
  </si>
  <si>
    <t>Rentabilidad económica del inversor</t>
  </si>
  <si>
    <t>Rentabilidad del gestor profesional</t>
  </si>
  <si>
    <t>Rentabilidad de la estrategia o activo</t>
  </si>
  <si>
    <t>TWR o Media geométrica</t>
  </si>
  <si>
    <t>¿Mejora la TIR con las aportaciones periódicas?</t>
  </si>
  <si>
    <t>% anual</t>
  </si>
  <si>
    <t>SIN APORTACIONES</t>
  </si>
  <si>
    <t>CON APORTACIONES</t>
  </si>
  <si>
    <t>Tiempo en años</t>
  </si>
  <si>
    <t>Rentabilidad acum.</t>
  </si>
  <si>
    <t>FM real</t>
  </si>
  <si>
    <t>MV</t>
  </si>
  <si>
    <t>PV</t>
  </si>
  <si>
    <t>Ingresos trabajo</t>
  </si>
  <si>
    <t>(-) Casa</t>
  </si>
  <si>
    <t>Hipoteca</t>
  </si>
  <si>
    <t>Suministros</t>
  </si>
  <si>
    <t>Comida</t>
  </si>
  <si>
    <t>Impuestos</t>
  </si>
  <si>
    <t>(-) Ocio</t>
  </si>
  <si>
    <t>(-) Hijos</t>
  </si>
  <si>
    <t>Colegio</t>
  </si>
  <si>
    <t>Extraexcolares</t>
  </si>
  <si>
    <t>Ropa</t>
  </si>
  <si>
    <t>(-) Otros</t>
  </si>
  <si>
    <t>TOTAL GASTOS</t>
  </si>
  <si>
    <t>AHORRO/PÉRDIDA</t>
  </si>
  <si>
    <t>Tiendas</t>
  </si>
  <si>
    <t>Imventarios (palas)</t>
  </si>
  <si>
    <t>ACTIVOS "LA CUCHILLA"</t>
  </si>
  <si>
    <t>ACTIVOS "THE BEST"</t>
  </si>
  <si>
    <t>ACTIVOS CONSOLIDADOS</t>
  </si>
  <si>
    <t>Goodwill</t>
  </si>
  <si>
    <t>Total activos corrientes productivos</t>
  </si>
  <si>
    <t>Total pasivos corrientes sin intereses</t>
  </si>
  <si>
    <t>WORKING CAPITAL</t>
  </si>
  <si>
    <t>Cálculo del Working Capital de Apple</t>
  </si>
  <si>
    <t>Total Activos No corrientes</t>
  </si>
  <si>
    <t>Net Working Capital</t>
  </si>
  <si>
    <t>Capital Empleado</t>
  </si>
  <si>
    <t>EBIT</t>
  </si>
  <si>
    <t>ROC</t>
  </si>
  <si>
    <t>Apple</t>
  </si>
  <si>
    <t>Microsoft</t>
  </si>
  <si>
    <t>Meta</t>
  </si>
  <si>
    <t>Amazon</t>
  </si>
  <si>
    <t>Alphabet</t>
  </si>
  <si>
    <t>NVIDIA</t>
  </si>
  <si>
    <t>Tesla</t>
  </si>
  <si>
    <t>Research And Development Expenses</t>
  </si>
  <si>
    <t>% R&amp;D/revenue</t>
  </si>
  <si>
    <t>R&amp;D 2023</t>
  </si>
  <si>
    <t>R&amp;D 2021</t>
  </si>
  <si>
    <t>R&amp;D 2022</t>
  </si>
  <si>
    <t>EBIT oficial</t>
  </si>
  <si>
    <t>EBIT corregido</t>
  </si>
  <si>
    <t>Activos de Investigación y Desarrollo</t>
  </si>
  <si>
    <t>Total Activos NO corrientes</t>
  </si>
  <si>
    <t>Cálculo del ROCE Apple</t>
  </si>
  <si>
    <t>(-) Taxes</t>
  </si>
  <si>
    <t>NOPAT</t>
  </si>
  <si>
    <t>Cálculo del Capital Employed</t>
  </si>
  <si>
    <t>Cálculo del Working Capital</t>
  </si>
  <si>
    <t>Capital Employed</t>
  </si>
  <si>
    <t>Cálculo ROCE</t>
  </si>
  <si>
    <t>Cálculo Invested Capital</t>
  </si>
  <si>
    <t>Deuda Corto</t>
  </si>
  <si>
    <t xml:space="preserve">Deuda Largo </t>
  </si>
  <si>
    <t>(-) Cash ocioso</t>
  </si>
  <si>
    <t>Deuda neta</t>
  </si>
  <si>
    <t>Capital Invested</t>
  </si>
  <si>
    <t>Cálculo ROIC</t>
  </si>
  <si>
    <t xml:space="preserve">Otros pasivos no corrientes </t>
  </si>
  <si>
    <t>.</t>
  </si>
  <si>
    <t>Caja y equivalentes (2%/ventas)</t>
  </si>
  <si>
    <t>(-) Cash &amp; Equivalentes</t>
  </si>
  <si>
    <t>Equity</t>
  </si>
  <si>
    <t>Pasivos no corrientes</t>
  </si>
  <si>
    <t>Pasivo R&amp;D</t>
  </si>
  <si>
    <t>Beneficio netos</t>
  </si>
  <si>
    <t>Depreciación y amortización</t>
  </si>
  <si>
    <t>Amortización de fondos de comercio y activos intangibles</t>
  </si>
  <si>
    <t>Depreciación y amortización total</t>
  </si>
  <si>
    <t>Compensación de stock options</t>
  </si>
  <si>
    <t>Otras actividades operativas</t>
  </si>
  <si>
    <t>Cambio en cuentas por cobrar</t>
  </si>
  <si>
    <t>Cambio en inventarios</t>
  </si>
  <si>
    <t>Cambio en cuentas por pagar</t>
  </si>
  <si>
    <t>Cambio en los ingresos no devengados</t>
  </si>
  <si>
    <t>Variación en otros activos operativos netos</t>
  </si>
  <si>
    <t>Efectivo de Operaciones</t>
  </si>
  <si>
    <t>Gastos de capital</t>
  </si>
  <si>
    <t>Adquisiciones con efectivo</t>
  </si>
  <si>
    <t>Venta (compra) de activos intangibles</t>
  </si>
  <si>
    <t>Inversión en valores negociables y de renta variable</t>
  </si>
  <si>
    <t>Otras actividades de inversión</t>
  </si>
  <si>
    <t>Efectivo de la inversión</t>
  </si>
  <si>
    <t>Deuda total emitida</t>
  </si>
  <si>
    <t>Total de la deuda reembolsada</t>
  </si>
  <si>
    <t>Emisión de acciones ordinarias</t>
  </si>
  <si>
    <t>Recompra de acciones comunes</t>
  </si>
  <si>
    <t>Dividendos comunes pagados</t>
  </si>
  <si>
    <t>Otras Actividades de Financiamiento</t>
  </si>
  <si>
    <t>Efectivo de Financiamiento</t>
  </si>
  <si>
    <t>Cambio neto en efectivo</t>
  </si>
  <si>
    <t>Estado de flujo de efectivo</t>
  </si>
  <si>
    <t>Balance de situación | TIKR.com</t>
  </si>
  <si>
    <t>Total de cuentas por cobrar</t>
  </si>
  <si>
    <t>Inventario</t>
  </si>
  <si>
    <t>Efectivo restringido</t>
  </si>
  <si>
    <t>Otro activo corriente</t>
  </si>
  <si>
    <t>Total de activo corriente</t>
  </si>
  <si>
    <t>Inmobilizado material neto</t>
  </si>
  <si>
    <t>Inversiones a largo plazo</t>
  </si>
  <si>
    <t>Fondo de comercio</t>
  </si>
  <si>
    <t>Otros intangibles</t>
  </si>
  <si>
    <t>Otros activos a largo plazo</t>
  </si>
  <si>
    <t>Activo total</t>
  </si>
  <si>
    <t>Cuentas por pagar</t>
  </si>
  <si>
    <t>Gastos devengados</t>
  </si>
  <si>
    <t>Préstamos de corto plazo</t>
  </si>
  <si>
    <t>Porción corriente de la deuda a largo plazo</t>
  </si>
  <si>
    <t>Porción corriente de las obligaciones de arrendamiento financiero</t>
  </si>
  <si>
    <t>Unearned Revenue Current</t>
  </si>
  <si>
    <t>Total pasivo corriente</t>
  </si>
  <si>
    <t>Arrendamientos de capitales</t>
  </si>
  <si>
    <t>Ingresos no devengados no corrientes</t>
  </si>
  <si>
    <t>Pasivo por impuesto diferido no corriente</t>
  </si>
  <si>
    <t>Otro pasivo no corrientes</t>
  </si>
  <si>
    <t>Pasivo Total</t>
  </si>
  <si>
    <t>Acciones comunes</t>
  </si>
  <si>
    <t>Beneficio no distribuido</t>
  </si>
  <si>
    <t>Resultado integral y otros</t>
  </si>
  <si>
    <t>Fondos propios totales</t>
  </si>
  <si>
    <t>Pasivo total y patrimonio neto</t>
  </si>
  <si>
    <t>Total de activo No corriente</t>
  </si>
  <si>
    <t>Total pasivo no corriente</t>
  </si>
  <si>
    <t>Income Statement | TIKR.com</t>
  </si>
  <si>
    <t>Total Revenues</t>
  </si>
  <si>
    <t>Cost of Goods Sold</t>
  </si>
  <si>
    <t>Gross Profit</t>
  </si>
  <si>
    <t>Selling General &amp; Admin Expenses</t>
  </si>
  <si>
    <t>R&amp;D Expenses</t>
  </si>
  <si>
    <t>Operating Income</t>
  </si>
  <si>
    <t>Interest Expense</t>
  </si>
  <si>
    <t>Interest And Investment Income</t>
  </si>
  <si>
    <t>Other Non Operating Income (Expenses)</t>
  </si>
  <si>
    <t>Income Tax Expense</t>
  </si>
  <si>
    <t>EBT</t>
  </si>
  <si>
    <t>Net Profit</t>
  </si>
  <si>
    <t>Beneficio Neto</t>
  </si>
  <si>
    <t xml:space="preserve">(+) Depreciación y amortización </t>
  </si>
  <si>
    <t>(-) Capex</t>
  </si>
  <si>
    <t>Cash And Equivalents</t>
  </si>
  <si>
    <t>Short Term Investments</t>
  </si>
  <si>
    <t>Variación del Net Working Capital</t>
  </si>
  <si>
    <t>(+/-) Variación del Net Working Capital</t>
  </si>
  <si>
    <t>(=) Free Cash Flow available for the Debt</t>
  </si>
  <si>
    <t>(=) Free Cash Flow to The Equity</t>
  </si>
  <si>
    <t>Año 2023</t>
  </si>
  <si>
    <t>Cálculo del WC y Variación del WC</t>
  </si>
  <si>
    <t>Free Cash Flow to the Firm (FCFF)</t>
  </si>
  <si>
    <t>Free Cash Flow to the Equity (FCFE)</t>
  </si>
  <si>
    <t>(=) NOPAT</t>
  </si>
  <si>
    <t>(=) Free Cash Flow to The Firm (FCFF)</t>
  </si>
  <si>
    <t>Caja y equivalentes (5% de la Tesorería)</t>
  </si>
  <si>
    <t>EBIT corregido con Gastos I+D</t>
  </si>
  <si>
    <t>(=) NOPAT corregido</t>
  </si>
  <si>
    <t>Cálculo del ROIC Apple</t>
  </si>
  <si>
    <t>Beneficio Bruto</t>
  </si>
  <si>
    <t>Total Assets</t>
  </si>
  <si>
    <t>Patrimonio Neto</t>
  </si>
  <si>
    <t>Apartamento de alquiler</t>
  </si>
  <si>
    <t>Dupont Analysis</t>
  </si>
  <si>
    <t>NP</t>
  </si>
  <si>
    <t>% Impacto de la fiscalidad</t>
  </si>
  <si>
    <t>% Impacto de los intereses (financiación ajena)</t>
  </si>
  <si>
    <t>Sales</t>
  </si>
  <si>
    <t>% Margen Operativo</t>
  </si>
  <si>
    <t xml:space="preserve">Sales </t>
  </si>
  <si>
    <t>Assets</t>
  </si>
  <si>
    <t>% rotación</t>
  </si>
  <si>
    <t>% Apalancamiento</t>
  </si>
  <si>
    <t>% Eficiencia operativa</t>
  </si>
  <si>
    <t>PE Ratio</t>
  </si>
  <si>
    <t>Precio actual</t>
  </si>
  <si>
    <t> </t>
  </si>
  <si>
    <t>Flujos para el empresario (escenario conservador)</t>
  </si>
  <si>
    <t>Día 1</t>
  </si>
  <si>
    <t>Dieciseisavos de final</t>
  </si>
  <si>
    <t>Día 2</t>
  </si>
  <si>
    <t>Octavos de final</t>
  </si>
  <si>
    <t>Día 3</t>
  </si>
  <si>
    <t>Cuartos de final</t>
  </si>
  <si>
    <t>Día 4</t>
  </si>
  <si>
    <t>Semifinales</t>
  </si>
  <si>
    <t>Día 5</t>
  </si>
  <si>
    <t>Final</t>
  </si>
  <si>
    <t>VALORACIÓN (SUMA)</t>
  </si>
  <si>
    <t>Inversión</t>
  </si>
  <si>
    <t>Potencial revalorización</t>
  </si>
  <si>
    <t>Precio casa</t>
  </si>
  <si>
    <t>Estimación de ingresos</t>
  </si>
  <si>
    <t>Ingresos anuales</t>
  </si>
  <si>
    <t>Gastos anuales</t>
  </si>
  <si>
    <t>Cash Flow</t>
  </si>
  <si>
    <t>Apartamento</t>
  </si>
  <si>
    <t xml:space="preserve">K </t>
  </si>
  <si>
    <t>Préstamo</t>
  </si>
  <si>
    <t>(-) Comunidad</t>
  </si>
  <si>
    <t>(-) Mantenimiento</t>
  </si>
  <si>
    <t>% Incremento</t>
  </si>
  <si>
    <t>2026E</t>
  </si>
  <si>
    <t>2027E</t>
  </si>
  <si>
    <t>FCFF</t>
  </si>
  <si>
    <t>Upside</t>
  </si>
  <si>
    <t>Valor presente</t>
  </si>
  <si>
    <t>Año base</t>
  </si>
  <si>
    <t>Suma 10 primeros años</t>
  </si>
  <si>
    <t>Deuda</t>
  </si>
  <si>
    <t>(-) Impuestos</t>
  </si>
  <si>
    <t>Flujo terminal</t>
  </si>
  <si>
    <t>Factor de descuento</t>
  </si>
  <si>
    <t>Valor terminal</t>
  </si>
  <si>
    <t xml:space="preserve">Valor presente del valor terminal </t>
  </si>
  <si>
    <t>Valor de Empresa</t>
  </si>
  <si>
    <t>Valor del Equity</t>
  </si>
  <si>
    <t>Coste del equity (Ke)</t>
  </si>
  <si>
    <t>WACC</t>
  </si>
  <si>
    <t>Tax rate</t>
  </si>
  <si>
    <t xml:space="preserve"> - Minority interests</t>
  </si>
  <si>
    <t xml:space="preserve"> +  Cash</t>
  </si>
  <si>
    <t>Ventas</t>
  </si>
  <si>
    <t>% Crecimiento ventas</t>
  </si>
  <si>
    <t>Flujo Terminal</t>
  </si>
  <si>
    <t>Magen operativo (%)</t>
  </si>
  <si>
    <t>Margen operativo</t>
  </si>
  <si>
    <t>Beneficio operativo (EBIT)</t>
  </si>
  <si>
    <t>R&amp;D 2024</t>
  </si>
  <si>
    <t>Amortización R&amp;D</t>
  </si>
  <si>
    <t>Total Balance</t>
  </si>
  <si>
    <t>Amortización acumulada</t>
  </si>
  <si>
    <t>TOTAL</t>
  </si>
  <si>
    <t>P&amp;L Ajustado</t>
  </si>
  <si>
    <t>Incremento/descenso gastos</t>
  </si>
  <si>
    <t>Impacto en Tax (21%)</t>
  </si>
  <si>
    <t>Ajuste pasivo por activación I+D</t>
  </si>
  <si>
    <t>Año 2024</t>
  </si>
  <si>
    <t>% Tax/EBT</t>
  </si>
  <si>
    <t>% Tax/EBIT</t>
  </si>
  <si>
    <t>Ingresos</t>
  </si>
  <si>
    <t>Incremento ventas</t>
  </si>
  <si>
    <t>Sales to capital</t>
  </si>
  <si>
    <t>Capital invertido</t>
  </si>
  <si>
    <t>Reinversión</t>
  </si>
  <si>
    <t>Cáclulo WACC académica</t>
  </si>
  <si>
    <t>Tasa libre de riesgo</t>
  </si>
  <si>
    <t>Beta</t>
  </si>
  <si>
    <t>ERP</t>
  </si>
  <si>
    <t>Ke</t>
  </si>
  <si>
    <t>Kd</t>
  </si>
  <si>
    <t>% Tax</t>
  </si>
  <si>
    <t>Coste del capital</t>
  </si>
  <si>
    <t>Valor presente de los FCFF</t>
  </si>
  <si>
    <t>SUMA de los 10 primeros años</t>
  </si>
  <si>
    <t>Tasa de crecimiento a perpetuidad</t>
  </si>
  <si>
    <t>Cash Flow terminal</t>
  </si>
  <si>
    <t>Tasa de descuento terminal</t>
  </si>
  <si>
    <t>Tasa de crecimiento terminal</t>
  </si>
  <si>
    <t>Valor de Empresa (EV)</t>
  </si>
  <si>
    <t>(-) Deuda</t>
  </si>
  <si>
    <t xml:space="preserve">Equity Value </t>
  </si>
  <si>
    <t>Market Cap.</t>
  </si>
  <si>
    <t>Up/Down side</t>
  </si>
  <si>
    <t>Valor terminal descontado</t>
  </si>
  <si>
    <t>Metros cuadrados</t>
  </si>
  <si>
    <t>Valor inmueble en el año 10</t>
  </si>
  <si>
    <t>Market Cap-</t>
  </si>
  <si>
    <t>Múltiplo terminal (euros/m2)</t>
  </si>
  <si>
    <t>Valor potencial del Equity</t>
  </si>
  <si>
    <t>Up/down side</t>
  </si>
  <si>
    <t>Retorno para el accionista (TIR)</t>
  </si>
  <si>
    <t>Precio de compra</t>
  </si>
  <si>
    <t>Flujos de entrada (dividendos)</t>
  </si>
  <si>
    <t>Precio de venta</t>
  </si>
  <si>
    <t>Shares Outstanding</t>
  </si>
  <si>
    <t>% shares buybacks</t>
  </si>
  <si>
    <t>% Dividendo o/FCFF</t>
  </si>
  <si>
    <t>Dividendos pagados</t>
  </si>
  <si>
    <t>Dividendos por acción</t>
  </si>
  <si>
    <t>Flujo terminal por acción</t>
  </si>
  <si>
    <t>Múltiplo de salida</t>
  </si>
  <si>
    <t>Acciones en circulación</t>
  </si>
  <si>
    <t>Promedio ponderado de acciones diluidas en circulación</t>
  </si>
  <si>
    <t>AVERAGE</t>
  </si>
  <si>
    <t>% variación</t>
  </si>
  <si>
    <t>Dividendos o/FCFF</t>
  </si>
  <si>
    <t>Dividendos</t>
  </si>
  <si>
    <t>AVERAGE 5Y</t>
  </si>
  <si>
    <t>Retornos</t>
  </si>
  <si>
    <t>Retorno acumulado</t>
  </si>
  <si>
    <t>1985*</t>
  </si>
  <si>
    <t>*1985 sólo 9 meses</t>
  </si>
  <si>
    <t>Russel</t>
  </si>
  <si>
    <t>Fondo</t>
  </si>
  <si>
    <t>MSCI World EX US</t>
  </si>
  <si>
    <t>Benchmarks (CAGR)</t>
  </si>
  <si>
    <t>Beneficio</t>
  </si>
  <si>
    <t>Ejemplo</t>
  </si>
  <si>
    <t>Fórmula</t>
  </si>
  <si>
    <t>Bº = Cf-Co</t>
  </si>
  <si>
    <t>r = Bº/Co = (Cf-Co)/Co = Cf/Co -1</t>
  </si>
  <si>
    <t>r = 130/100 - 1= 0,3 = 30%</t>
  </si>
  <si>
    <t>Cf = Cox(1+Rxn)</t>
  </si>
  <si>
    <t>Capital final con rentabilidad simple</t>
  </si>
  <si>
    <t>Cf = 100x(1+30% x 2) = 160</t>
  </si>
  <si>
    <t>Cf = Cox(1+R)^n</t>
  </si>
  <si>
    <t>Cf = 100x(1+30%)^2= 169</t>
  </si>
  <si>
    <t>r = (Cf/Co-1)/n</t>
  </si>
  <si>
    <t>r=(130/100)-1/2 =0,15 = 15%</t>
  </si>
  <si>
    <t>r = (Cf/Co)^(1/n)-1</t>
  </si>
  <si>
    <t>rentabilidad promedio anual simple</t>
  </si>
  <si>
    <t>rentabilidad promedio anual compuesta (CAGR)</t>
  </si>
  <si>
    <t>n = 72/R</t>
  </si>
  <si>
    <t>Regla del 72 (tiempo para duplicar la inversión)</t>
  </si>
  <si>
    <t>Money-Weighted Return (MWR)</t>
  </si>
  <si>
    <t>En Excel =TIR(Rango flujos)</t>
  </si>
  <si>
    <t>Time-Weighted Return (TWR)</t>
  </si>
  <si>
    <t>Cálculo</t>
  </si>
  <si>
    <t>Rentabilidad_año1=(11.800.000-1.000.000)/10.000.000-1= 8% 
Media geométrica=[(1+8%)x(1-2%)x(1+9%)x(1+5%)x(1-10%)x(1+15%)x(1+8%)x(1-2%)x(1+7%)x(1+12%)]^(1/10)-1=4,75%</t>
  </si>
  <si>
    <t xml:space="preserve">Beneficio neto </t>
  </si>
  <si>
    <t xml:space="preserve">Total activos </t>
  </si>
  <si>
    <t>Industria</t>
  </si>
  <si>
    <t>Capital Empleado Apple</t>
  </si>
  <si>
    <t>V</t>
  </si>
  <si>
    <t>MA</t>
  </si>
  <si>
    <t>ICE</t>
  </si>
  <si>
    <t>Años vida útil</t>
  </si>
  <si>
    <t>Activación inicial</t>
  </si>
  <si>
    <t>Amortización</t>
  </si>
  <si>
    <t>ROC Greenblatt Apple</t>
  </si>
  <si>
    <t>Ajustes en los gastos</t>
  </si>
  <si>
    <t>Gastos en investigación y desarrollo</t>
  </si>
  <si>
    <t>Gastos amortización I+D</t>
  </si>
  <si>
    <t>Diferencia</t>
  </si>
  <si>
    <t>% impuestos</t>
  </si>
  <si>
    <t>Impacto impuestos</t>
  </si>
  <si>
    <t>Impuestos en 10-K</t>
  </si>
  <si>
    <t>Impuestos ajustados</t>
  </si>
  <si>
    <t>Estados Financieros "La Cuchilla" a 31 de diciembre de 2024</t>
  </si>
  <si>
    <t>(+) Flujos de deuda neta</t>
  </si>
  <si>
    <t>(+/-) Flujo de deuda (emisión-reembolso)</t>
  </si>
  <si>
    <t>Beneficio neto</t>
  </si>
  <si>
    <t>(+) amortización y depreciación</t>
  </si>
  <si>
    <t>(-) CapEx</t>
  </si>
  <si>
    <t>(+) Stock Options y otras partidas que no impliquen salida de caja</t>
  </si>
  <si>
    <t>(+/-) variacion del Net Working Capital</t>
  </si>
  <si>
    <t>(+/-) flujos de deuda (emisión  - amortización)</t>
  </si>
  <si>
    <t>(+) Stock options</t>
  </si>
  <si>
    <t>Remuneración al accionista</t>
  </si>
  <si>
    <t>Buybacks</t>
  </si>
  <si>
    <t>Free Cash Flow to The Equity</t>
  </si>
  <si>
    <t>Remuneración accionista/FCFE</t>
  </si>
  <si>
    <t>EBITDA</t>
  </si>
  <si>
    <t>Ratio de conversión FCFF/EBITDA</t>
  </si>
  <si>
    <t>CME</t>
  </si>
  <si>
    <t>PYPL</t>
  </si>
  <si>
    <t>WBD</t>
  </si>
  <si>
    <t>Free Cash Flow</t>
  </si>
  <si>
    <t>FCFROCE</t>
  </si>
  <si>
    <t>Capital employed</t>
  </si>
  <si>
    <t>Cuenta de resultados</t>
  </si>
  <si>
    <t>Dinero en banco en 2020</t>
  </si>
  <si>
    <t>Ingresos por trabajo 2020-2025</t>
  </si>
  <si>
    <t>Gastos casa 2020-2025</t>
  </si>
  <si>
    <t>Restaurantes 2020-2025</t>
  </si>
  <si>
    <t>Viajes 2020-2025</t>
  </si>
  <si>
    <t>Fútbol 2020-2025</t>
  </si>
  <si>
    <t>Caprichos 2020-2025</t>
  </si>
  <si>
    <t>Préstamos banco 2020-2025</t>
  </si>
  <si>
    <t>Dinero en banco en 2025</t>
  </si>
  <si>
    <t>Flujos de dinero 2020-2025</t>
  </si>
  <si>
    <t>Industry Name</t>
  </si>
  <si>
    <t>Total gastos I+D</t>
  </si>
  <si>
    <t>R&amp;D 2025</t>
  </si>
  <si>
    <t>Total gasto amortización 2025</t>
  </si>
  <si>
    <t>Balance 2025</t>
  </si>
  <si>
    <t>Ajuste balance 2025</t>
  </si>
  <si>
    <t>YoC</t>
  </si>
  <si>
    <t>Up/Down side acumulado</t>
  </si>
  <si>
    <t>"g" a perpetuidad</t>
  </si>
  <si>
    <t>Maldita "k"</t>
  </si>
  <si>
    <t>Coste financiación (Kd)</t>
  </si>
  <si>
    <t>(-) coste financiación</t>
  </si>
  <si>
    <t>Sin financiación</t>
  </si>
  <si>
    <t>Con financiación</t>
  </si>
  <si>
    <t>Computer</t>
  </si>
  <si>
    <t>Services</t>
  </si>
  <si>
    <t>% s/total ventas</t>
  </si>
  <si>
    <t>Computer (peripherals)</t>
  </si>
  <si>
    <t>Computer services</t>
  </si>
  <si>
    <t>sales to capital</t>
  </si>
  <si>
    <t>Segmento</t>
  </si>
  <si>
    <t>Spread riesgo entidad</t>
  </si>
  <si>
    <t>Spread riesgo país</t>
  </si>
  <si>
    <t>Cash Flow Terminal</t>
  </si>
  <si>
    <t>Múltiplos de salida</t>
  </si>
  <si>
    <t xml:space="preserve">VT descontado </t>
  </si>
  <si>
    <t>Valor terminal (VT))</t>
  </si>
  <si>
    <t>&gt; Proyección de acciones en circulación</t>
  </si>
  <si>
    <t>&gt; Proyección de dividendos pagados</t>
  </si>
  <si>
    <t>&gt; Proyección de dividendos pagados por acción</t>
  </si>
  <si>
    <t>&gt; Proyección de FCFF</t>
  </si>
  <si>
    <t>Beneficio neto 2025</t>
  </si>
  <si>
    <t>Market Cap actual</t>
  </si>
  <si>
    <t>Incorporando dilución/buybacks</t>
  </si>
  <si>
    <t>Nº acciones diluidas promedio 2025</t>
  </si>
  <si>
    <t>Ritmo dilución anual</t>
  </si>
  <si>
    <t>Precio por acción hoy</t>
  </si>
  <si>
    <t>Incorporando dividendos</t>
  </si>
  <si>
    <t>Beneficio por acción hoy</t>
  </si>
  <si>
    <t>Dividendo por acción 2028E</t>
  </si>
  <si>
    <t>Dividendo por acción 2026E</t>
  </si>
  <si>
    <t>Dividendo por acción 2027E</t>
  </si>
  <si>
    <t>Total dividendos cobrados por acción</t>
  </si>
  <si>
    <t>Up/down Sidecar acumulado</t>
  </si>
  <si>
    <t>Up/down side (acumulado)</t>
  </si>
  <si>
    <t>Flujo salida</t>
  </si>
  <si>
    <t>Flujos entrada</t>
  </si>
  <si>
    <t>Flujo final</t>
  </si>
  <si>
    <t>TIR.NO.PER</t>
  </si>
  <si>
    <t>FCFF hoy</t>
  </si>
  <si>
    <t>Deuda financiera</t>
  </si>
  <si>
    <t>Caja y tesorería</t>
  </si>
  <si>
    <t>Nº acciones en circulación</t>
  </si>
  <si>
    <t>Precio acciones hoy</t>
  </si>
  <si>
    <t>FCFF E</t>
  </si>
  <si>
    <t>Caja y Tesorería</t>
  </si>
  <si>
    <t>Múltiplo FCFF</t>
  </si>
  <si>
    <t>Valor de empresa (EV)</t>
  </si>
  <si>
    <t>Equity Value</t>
  </si>
  <si>
    <t>% dividendos s/FCFF</t>
  </si>
  <si>
    <t>Divídendo anual</t>
  </si>
  <si>
    <t>% Growth dividendos</t>
  </si>
  <si>
    <t>Divídendos acumulados 3Y</t>
  </si>
  <si>
    <t>Dividendo por acción</t>
  </si>
  <si>
    <t>Dividendo por acción (DPA)</t>
  </si>
  <si>
    <t>3Y Estimado</t>
  </si>
  <si>
    <t>HOY</t>
  </si>
  <si>
    <t>Hipótesis</t>
  </si>
  <si>
    <t>% dilución acciones</t>
  </si>
  <si>
    <t>Reducción deuda</t>
  </si>
  <si>
    <t>Aumento tesorería</t>
  </si>
  <si>
    <t>(+) Caja</t>
  </si>
  <si>
    <t>CAGR acción</t>
  </si>
  <si>
    <t>Up/Down Side precio acción</t>
  </si>
  <si>
    <t>Cálculo TIR</t>
  </si>
  <si>
    <t>Ejemplo con Apple</t>
  </si>
  <si>
    <t>Deuda financiera neta</t>
  </si>
  <si>
    <t>Aumento FCFF</t>
  </si>
  <si>
    <t>Diviendos por acción 2026</t>
  </si>
  <si>
    <t>Diviendos por acción 2028</t>
  </si>
  <si>
    <t>Diviendos por acción 2027</t>
  </si>
  <si>
    <t>Louis Vuitton</t>
  </si>
  <si>
    <t>Hermes</t>
  </si>
  <si>
    <t>kering</t>
  </si>
  <si>
    <t>Ferrari</t>
  </si>
  <si>
    <t>CME Group</t>
  </si>
  <si>
    <t>Internacional Exchange</t>
  </si>
  <si>
    <t>RMS.PA</t>
  </si>
  <si>
    <t>KER.PA</t>
  </si>
  <si>
    <t xml:space="preserve">Acushnet Holdings </t>
  </si>
  <si>
    <t>GOLF</t>
  </si>
  <si>
    <t>Berkshire Hataway</t>
  </si>
  <si>
    <t>Visa</t>
  </si>
  <si>
    <t>Master Card</t>
  </si>
  <si>
    <t>Paypal</t>
  </si>
  <si>
    <t>American Tower Coporation</t>
  </si>
  <si>
    <t xml:space="preserve">Crown Castle </t>
  </si>
  <si>
    <t xml:space="preserve"> Jungfraubahn </t>
  </si>
  <si>
    <t>JFN.SW</t>
  </si>
  <si>
    <t>Aena</t>
  </si>
  <si>
    <t>AENA.MC</t>
  </si>
  <si>
    <t xml:space="preserve">ASML Holding </t>
  </si>
  <si>
    <t>ASML</t>
  </si>
  <si>
    <t xml:space="preserve">Intuitive Surgical </t>
  </si>
  <si>
    <t>Novo Nordisk</t>
  </si>
  <si>
    <t>NVO</t>
  </si>
  <si>
    <t>Abbvie</t>
  </si>
  <si>
    <t xml:space="preserve">Warner Music </t>
  </si>
  <si>
    <t>Universal Music Group</t>
  </si>
  <si>
    <t>UMG.AS</t>
  </si>
  <si>
    <t>Comcast</t>
  </si>
  <si>
    <t>Warner Bros. Discovery, Inc.</t>
  </si>
  <si>
    <t>Diseney</t>
  </si>
  <si>
    <t>MOH.DE</t>
  </si>
  <si>
    <t>BRK-A</t>
  </si>
  <si>
    <t>Total Equity</t>
  </si>
  <si>
    <t>Net debt</t>
  </si>
  <si>
    <t>Capital invested</t>
  </si>
  <si>
    <t>Operating income</t>
  </si>
  <si>
    <t>Disney</t>
  </si>
  <si>
    <t>ROIC 5Y</t>
  </si>
  <si>
    <t>Rev. CAGR 5Y</t>
  </si>
  <si>
    <t>Adobe</t>
  </si>
  <si>
    <t>Microsotf</t>
  </si>
  <si>
    <t>Taiwan Semiconductor Manufacturing Co</t>
  </si>
  <si>
    <t>TSMC</t>
  </si>
  <si>
    <t>Autozone</t>
  </si>
  <si>
    <t>Posco</t>
  </si>
  <si>
    <t>005490</t>
  </si>
  <si>
    <t>Barrick Gold</t>
  </si>
  <si>
    <t>B</t>
  </si>
  <si>
    <t>TSM</t>
  </si>
  <si>
    <t>PKX</t>
  </si>
  <si>
    <t>Gestora</t>
  </si>
  <si>
    <t>Retorno anual (%)</t>
  </si>
  <si>
    <t>Diferencial (%)</t>
  </si>
  <si>
    <t>Buffett Partnership</t>
  </si>
  <si>
    <t>Berkshire Hathaway</t>
  </si>
  <si>
    <t>Década</t>
  </si>
  <si>
    <t>50s</t>
  </si>
  <si>
    <t>60s</t>
  </si>
  <si>
    <t>70s</t>
  </si>
  <si>
    <t>80s</t>
  </si>
  <si>
    <t>90s</t>
  </si>
  <si>
    <t>00s</t>
  </si>
  <si>
    <t>10s</t>
  </si>
  <si>
    <t>20s</t>
  </si>
  <si>
    <t>Capítulo 1. QUIÉN ES JOEL GREENBLATT Y CUÁL ES EL FUNDAMENTO DE “SU FÓRMULA MÁGICA”</t>
  </si>
  <si>
    <t>Retornos de Warren Buffett desde 1956 hasta 2024</t>
  </si>
  <si>
    <t>Retornos de Gotham Capital</t>
  </si>
  <si>
    <t>Retornos fondos basados en la Fórmula Mágica</t>
  </si>
  <si>
    <t>Retornos de Greenblatt al frente de Gotham Capital</t>
  </si>
  <si>
    <t>Lista de fondos gestionados por Greenblatt basados en la Fórmula Mágica</t>
  </si>
  <si>
    <t>Capítulo 2 HABLEMOS UN POCO DE RENTABILIDAD</t>
  </si>
  <si>
    <t>Ejemplos de cálculo de rentabilidad</t>
  </si>
  <si>
    <t>Inversión de 100 dólares al 10% durante 30 años (simple vs compuesta)</t>
  </si>
  <si>
    <t>Interés simple</t>
  </si>
  <si>
    <t>Interés compuesto</t>
  </si>
  <si>
    <t>TIR Bela</t>
  </si>
  <si>
    <t>Retornos obtenidos por el gestor de fondos Martín Echegaray</t>
  </si>
  <si>
    <t>1+ retorno</t>
  </si>
  <si>
    <t>_=+GEOMEAN(F149:F158)-1</t>
  </si>
  <si>
    <t>Backtesting de la Fórmula Mágica</t>
  </si>
  <si>
    <t>Ventas (Sales)</t>
  </si>
  <si>
    <t>(-) Gastos directos (Cost of Sales)</t>
  </si>
  <si>
    <t>(=) Beneficio Bruto (Gross profit)</t>
  </si>
  <si>
    <t>(-) Gastos Generales u Operativos (Operating Expenses)</t>
  </si>
  <si>
    <t>(=) Beneficio Operativo (Operating Income o EBIT)</t>
  </si>
  <si>
    <t>(+/-) Resultado financiero (Financial Result)</t>
  </si>
  <si>
    <t>(=) Beneficios antes de impuestos (Earnings Before Taxes o EBT)</t>
  </si>
  <si>
    <t>Gastos por la máquina</t>
  </si>
  <si>
    <t>(-850.000)</t>
  </si>
  <si>
    <t>Gasto depreciación</t>
  </si>
  <si>
    <t>Se genera el derecho o la obligación</t>
  </si>
  <si>
    <t>Se realiza el pago o el cobro del dinero</t>
  </si>
  <si>
    <t>Ingresos y gastos</t>
  </si>
  <si>
    <t>Cobros y pagos</t>
  </si>
  <si>
    <t>Se imputa en la Cuenta de Resultados</t>
  </si>
  <si>
    <t>Se registra en el Cuadro de Flujos de Efectivo</t>
  </si>
  <si>
    <t>Criterio de devengo</t>
  </si>
  <si>
    <t>Criterio de Caja</t>
  </si>
  <si>
    <t>(=) EBITDA</t>
  </si>
  <si>
    <t>(-) Depreciación y amortización</t>
  </si>
  <si>
    <t>Cálculo del Goodwill en el ejemplo de la adquisión de "The Best"</t>
  </si>
  <si>
    <t>PASIVO y NETO "LA CUCHILLA"</t>
  </si>
  <si>
    <t>Total Pasivo + neto</t>
  </si>
  <si>
    <t>PASIVO y NETO "THE BEST"</t>
  </si>
  <si>
    <t>Inventarios (palas)</t>
  </si>
  <si>
    <t>Inventarios (pelotas)</t>
  </si>
  <si>
    <t>PASIVO y NETO CONSOLIDADO</t>
  </si>
  <si>
    <t>Saldo clientes</t>
  </si>
  <si>
    <t>Saldo proveedores</t>
  </si>
  <si>
    <t>Periodo medio cobro (PMC)</t>
  </si>
  <si>
    <t>Periodo medio de pago (PMP)</t>
  </si>
  <si>
    <t>Saldo inventarios</t>
  </si>
  <si>
    <t>Periodo medio de rotación (PMR)</t>
  </si>
  <si>
    <t>ROC de Greenblatt</t>
  </si>
  <si>
    <t>Ratio R&amp;D to Sales</t>
  </si>
  <si>
    <t>2025 oficial</t>
  </si>
  <si>
    <t>2025 corregido</t>
  </si>
  <si>
    <t>(+) gastos I&amp;D oficial</t>
  </si>
  <si>
    <t>(-) gasto amortización I&amp;D</t>
  </si>
  <si>
    <t>Balance 2023</t>
  </si>
  <si>
    <t>Balance 2024</t>
  </si>
  <si>
    <t>Amortización acum 2024</t>
  </si>
  <si>
    <t>Amortización acum 2023</t>
  </si>
  <si>
    <t>(-) Impuesto oficial en 10-K</t>
  </si>
  <si>
    <t>(-) Corrección de los impuestos</t>
  </si>
  <si>
    <t>Año XX</t>
  </si>
  <si>
    <t>Ingresos nómina</t>
  </si>
  <si>
    <t>Otros gastos</t>
  </si>
  <si>
    <t>Gastos hogar</t>
  </si>
  <si>
    <t>Gastos vehículos</t>
  </si>
  <si>
    <t>Gastos niños</t>
  </si>
  <si>
    <t>Flujo de las actividades operativas</t>
  </si>
  <si>
    <t>Mantenimiento hogar y vehículo</t>
  </si>
  <si>
    <t>Inversión en formación (cursos)</t>
  </si>
  <si>
    <t>Inversión financiera</t>
  </si>
  <si>
    <t>Flujo de las actividades de inversión</t>
  </si>
  <si>
    <t>Devolución préstamo familiar</t>
  </si>
  <si>
    <t>Flujo de las actividades de financiación</t>
  </si>
  <si>
    <t>Dividendos (Regalos de reyes)</t>
  </si>
  <si>
    <t>Dividendos (Caprichos tecnológicos)</t>
  </si>
  <si>
    <t>Flujo de efectivo del ejercicio</t>
  </si>
  <si>
    <t>Caja acumulada banco año pasado</t>
  </si>
  <si>
    <t>Caja final de año</t>
  </si>
  <si>
    <t>Cash Flow Statement</t>
  </si>
  <si>
    <t>Gastos de capital </t>
  </si>
  <si>
    <t>Dividendos de acciones comunes y preferentes pagados</t>
  </si>
  <si>
    <t>Cambio neto en efectivo </t>
  </si>
  <si>
    <t>Efectivo y equivalentes de efectivo, comienzo del período</t>
  </si>
  <si>
    <t>Efectivo y equivalentes de efectivo, fin de período</t>
  </si>
  <si>
    <t>Gastos operativos</t>
  </si>
  <si>
    <t>Gastos de amortización y depreciación</t>
  </si>
  <si>
    <t>Cuadro de flujos de efectivo</t>
  </si>
  <si>
    <t>Corrección amortización y depreciación</t>
  </si>
  <si>
    <t>Flujo de caja</t>
  </si>
  <si>
    <t>Tipo de cuenta (Working Capital)</t>
  </si>
  <si>
    <t>Variación (ajuste en el estado de flujos)</t>
  </si>
  <si>
    <t>Significado contable</t>
  </si>
  <si>
    <t>Efecto en la caja</t>
  </si>
  <si>
    <t>Activo corriente(ej. cuentas por cobrar, inventarios, otros activos corrientes)</t>
  </si>
  <si>
    <t>Aumento (ajuste positivo)</t>
  </si>
  <si>
    <t>El saldo del activo corriente disminuyó respecto al periodo anterior (por ejemplo, se cobraron cuentas o se redujo inventario).</t>
  </si>
  <si>
    <t>Entrada de efectivo</t>
  </si>
  <si>
    <t>Activo corriente</t>
  </si>
  <si>
    <t>Disminución (ajuste negativo)</t>
  </si>
  <si>
    <t>El saldo del activo corriente aumentó (se invirtió más en inventarios o aumentaron cuentas por cobrar).</t>
  </si>
  <si>
    <t>Salida de efectivo</t>
  </si>
  <si>
    <t>Pasivo corriente(ej. cuentas por pagar, gastos acumulados, pasivos operativos)</t>
  </si>
  <si>
    <t>Aumentaron los pasivos corrientes (se difirieron pagos o se financiaron más gastos con proveedores).</t>
  </si>
  <si>
    <t>Pasivo corriente</t>
  </si>
  <si>
    <t>Se redujeron los pasivos corrientes (se pagaron deudas o pasivos acumulados).</t>
  </si>
  <si>
    <t>Net Cap Ex/Sales</t>
  </si>
  <si>
    <t>CapEx (US $ millions)</t>
  </si>
  <si>
    <t>Nº Firms</t>
  </si>
  <si>
    <t>Servicios Públicos (Agua)</t>
  </si>
  <si>
    <t>Energía Verde y Renovable</t>
  </si>
  <si>
    <t xml:space="preserve"> Servicios Públicos (General)</t>
  </si>
  <si>
    <t>Equipos de Telecomunicaciones</t>
  </si>
  <si>
    <t>Medicamentos (Biotecnología)</t>
  </si>
  <si>
    <t>Medicamentos (Farmacéuticos)</t>
  </si>
  <si>
    <t>Energía (o Electricidad)</t>
  </si>
  <si>
    <t>Software (Sistema y Aplicación)</t>
  </si>
  <si>
    <t>Petróleo/Gas (Producción y Exploración)</t>
  </si>
  <si>
    <t>Distribución de Petróleo/Gas</t>
  </si>
  <si>
    <t>Materiales de Construcción</t>
  </si>
  <si>
    <t>Semiconductores</t>
  </si>
  <si>
    <t>Software (Entretenimiento)</t>
  </si>
  <si>
    <t>Equipos Eléctricos</t>
  </si>
  <si>
    <t>Transporte (Ferrocarriles)</t>
  </si>
  <si>
    <t>Transporte por Carretera (o Camiones)</t>
  </si>
  <si>
    <t>Productos de Papel/Forestales</t>
  </si>
  <si>
    <t>Venta al por Menor (Distribuidores)</t>
  </si>
  <si>
    <t>Venta al por Menor (Suministros de Construcción)</t>
  </si>
  <si>
    <t>Servicios Medioambientales y de Residuos</t>
  </si>
  <si>
    <t>Ropa (o Vestimenta)</t>
  </si>
  <si>
    <t>Servicios Informáticos (o de Computación)</t>
  </si>
  <si>
    <t>Servicios de Telecomunicaciones</t>
  </si>
  <si>
    <t>Equipos para Yacimientos Petrolíferos</t>
  </si>
  <si>
    <t>Productos del Hogar</t>
  </si>
  <si>
    <t>Electrónica (Consumo y Oficina)</t>
  </si>
  <si>
    <t>Venta al por Menor (Comestibles y Alimentos)</t>
  </si>
  <si>
    <t>Química (Diversificada)</t>
  </si>
  <si>
    <t>Ordenadores/Periféricos</t>
  </si>
  <si>
    <t>Seguros (General)</t>
  </si>
  <si>
    <t>Seguros (Propiedad/Accidentes)</t>
  </si>
  <si>
    <t>Caucho y Neumáticos</t>
  </si>
  <si>
    <t>Publicidad</t>
  </si>
  <si>
    <t>Venta al por Menor (Líneas Especiales)</t>
  </si>
  <si>
    <t>Construcción de Viviendas</t>
  </si>
  <si>
    <t>Servicios de Apoyo a la Atención Sanitaria (o a la Salud)</t>
  </si>
  <si>
    <t>Aeroespacial/Defensa</t>
  </si>
  <si>
    <t>Educación</t>
  </si>
  <si>
    <t>Artículos de Decoración del Hogar</t>
  </si>
  <si>
    <t>Bienes Raíces (General/Diversificado)</t>
  </si>
  <si>
    <t>20 industrias que más CapEx s/ventas destinan</t>
  </si>
  <si>
    <t>20 industrias que menios CapEx s/ventas destinan</t>
  </si>
  <si>
    <t>Financiación neta de la compañía</t>
  </si>
  <si>
    <t>Total Remuneración al accionista</t>
  </si>
  <si>
    <t>Caja Apple (Inicios 2016)</t>
  </si>
  <si>
    <t>Efectivo de Operaciones (2016-2025)</t>
  </si>
  <si>
    <t>CapEx (2016-2025)</t>
  </si>
  <si>
    <t>Inversiones financieras neta (2016-2025)</t>
  </si>
  <si>
    <t>Deuda neta (2016-2025)</t>
  </si>
  <si>
    <t>Recompra acciones (2016-2025)</t>
  </si>
  <si>
    <t>Dividendos (2016-2025)</t>
  </si>
  <si>
    <t>Caja Apple (Finales 2025)</t>
  </si>
  <si>
    <t>Análisis flujos de efectivo Apple (2016-2025)</t>
  </si>
  <si>
    <t>Inversión en I+D (2016-2025)</t>
  </si>
  <si>
    <t>Valor empresa</t>
  </si>
  <si>
    <t>Escenario 1</t>
  </si>
  <si>
    <t>Escenario 2</t>
  </si>
  <si>
    <t>Crecimiento empresa</t>
  </si>
  <si>
    <t>Dividendo %</t>
  </si>
  <si>
    <t>Valor de mercado (x1,25)</t>
  </si>
  <si>
    <t>Escenario 1: la empresa reparte dividendos</t>
  </si>
  <si>
    <t>Escenario 2: la empresa NO reparte dividendos</t>
  </si>
  <si>
    <t>Venta masiva</t>
  </si>
  <si>
    <t>Revalorización renta</t>
  </si>
  <si>
    <t>Revalorización inmueble</t>
  </si>
  <si>
    <t>Dividend yield</t>
  </si>
  <si>
    <t>TIR 10Y</t>
  </si>
  <si>
    <t>Escenario 1: renta y activo se revalorizan</t>
  </si>
  <si>
    <t>Escenario 3: renta se revaloriza y activo se deprecia</t>
  </si>
  <si>
    <t>Escenario 2: renta se deprecia y activo se revaloriza</t>
  </si>
  <si>
    <t>Escenario 3</t>
  </si>
  <si>
    <t>(+) Amortización y depreciación</t>
  </si>
  <si>
    <t>(+) Stock Options</t>
  </si>
  <si>
    <t>(+/-) Variación Working Capital</t>
  </si>
  <si>
    <t>Free Cash Flow to The Firm (FCFF)</t>
  </si>
  <si>
    <t>Variación WC</t>
  </si>
  <si>
    <t>FCFF "de servilleta"</t>
  </si>
  <si>
    <t>FCFFROCE "de servilleta"</t>
  </si>
  <si>
    <t>FCFF académico</t>
  </si>
  <si>
    <t>FCFFROCE académico</t>
  </si>
  <si>
    <t>(=) Free Cash Flow to The Equity (FCFE)</t>
  </si>
  <si>
    <t xml:space="preserve">Dividendos </t>
  </si>
  <si>
    <t>Free Cash Flow to The Equity (FCFE)</t>
  </si>
  <si>
    <t>Free Cash Flow to The Equity (FCFE)*</t>
  </si>
  <si>
    <t>* Incluyendo stocks options como "salida de caja"</t>
  </si>
  <si>
    <t>FCFE</t>
  </si>
  <si>
    <t>Promedio ponderado de acciones básicas en circulación</t>
  </si>
  <si>
    <t>FCFE por acción</t>
  </si>
  <si>
    <t>FCFE Yield</t>
  </si>
  <si>
    <t>Precio cierre acciones</t>
  </si>
  <si>
    <t>FCFF rápido</t>
  </si>
  <si>
    <t>Benefio Neto</t>
  </si>
  <si>
    <t>% Impacto intereses deuda</t>
  </si>
  <si>
    <t>Beneficio neto 2030E</t>
  </si>
  <si>
    <t>Múltiplo PER actual</t>
  </si>
  <si>
    <t>Mútiplo 2030E</t>
  </si>
  <si>
    <t>Equity value 2030E</t>
  </si>
  <si>
    <t>2030E</t>
  </si>
  <si>
    <t>Precio por acción 2030E</t>
  </si>
  <si>
    <t>Nº acciones diluidas promedio 2030E</t>
  </si>
  <si>
    <t>Beneficio por acción 2030E</t>
  </si>
  <si>
    <t>Dividendo por acción 2029E</t>
  </si>
  <si>
    <t>Dividendo por acción 2030E</t>
  </si>
  <si>
    <t>Múltiplo 2030E</t>
  </si>
  <si>
    <t>2028E</t>
  </si>
  <si>
    <t>2029E</t>
  </si>
  <si>
    <t>(+) Market Cap.</t>
  </si>
  <si>
    <t>(+) Long Term debt[1]</t>
  </si>
  <si>
    <t>(+) Short Term debt</t>
  </si>
  <si>
    <t>(-) Cash &amp; eq.</t>
  </si>
  <si>
    <t>(-) Short term investments</t>
  </si>
  <si>
    <t>(-) Long Term Investment</t>
  </si>
  <si>
    <t>(=) ENTERPRISE VALUE</t>
  </si>
  <si>
    <t>EV/EBIT</t>
  </si>
  <si>
    <t>Estimación 3 años</t>
  </si>
  <si>
    <t>NOPAT Apple 2025</t>
  </si>
  <si>
    <t>EBIT 3Y</t>
  </si>
  <si>
    <t>Taxes</t>
  </si>
  <si>
    <t>NOPAT 3Y</t>
  </si>
  <si>
    <t>Enterise Value 3Y</t>
  </si>
  <si>
    <t>Net Debt 3Y</t>
  </si>
  <si>
    <t>Shares 3Y</t>
  </si>
  <si>
    <t>Precio 3Y</t>
  </si>
  <si>
    <t>Precio HOY</t>
  </si>
  <si>
    <t>CAGR 3Y</t>
  </si>
  <si>
    <t>Múltiplo EV/NOPAT</t>
  </si>
  <si>
    <t>Enterise Value 2025</t>
  </si>
  <si>
    <t>FCFF Yield</t>
  </si>
  <si>
    <t>FCFF (rápido)</t>
  </si>
  <si>
    <t>EBITDA 3Y</t>
  </si>
  <si>
    <t>n</t>
  </si>
  <si>
    <t>Múltiplo EV/EBITDA</t>
  </si>
  <si>
    <t>g terminal</t>
  </si>
  <si>
    <t>Tasa descuento (k)</t>
  </si>
  <si>
    <t>Sectores</t>
  </si>
  <si>
    <t>Wide Moat</t>
  </si>
  <si>
    <t>&gt; 0</t>
  </si>
  <si>
    <t>Return On Assets (ROA)</t>
  </si>
  <si>
    <t>Mati Díaz</t>
  </si>
  <si>
    <t>Godo Díaz</t>
  </si>
  <si>
    <t xml:space="preserve">Horizonte inversión </t>
  </si>
  <si>
    <t>20 años</t>
  </si>
  <si>
    <t>Ganas de complicarse</t>
  </si>
  <si>
    <t>Ninguna</t>
  </si>
  <si>
    <t>Todas</t>
  </si>
  <si>
    <t>Gastos formación</t>
  </si>
  <si>
    <t>1.000 el primer año</t>
  </si>
  <si>
    <t>300 anuales</t>
  </si>
  <si>
    <t>Rentabilidad potencial a capturar</t>
  </si>
  <si>
    <t>Suscripciones a herramientas</t>
  </si>
  <si>
    <t>Conocimientos financieros de partida</t>
  </si>
  <si>
    <t>Ninguno</t>
  </si>
  <si>
    <t>4.000 primer año + 300 anuales</t>
  </si>
  <si>
    <t>Estilo de inversión</t>
  </si>
  <si>
    <t>Pasiva (indexación)</t>
  </si>
  <si>
    <t>Activa</t>
  </si>
  <si>
    <t>Mati Díaz (gestión pasiva)</t>
  </si>
  <si>
    <t>Godo Díaz (gestión activa)</t>
  </si>
  <si>
    <t>Estilo inversión</t>
  </si>
  <si>
    <t>Capital final alcanzado 20 años</t>
  </si>
  <si>
    <t>Eficiencia</t>
  </si>
  <si>
    <t>Ganancias</t>
  </si>
  <si>
    <t>Volatilidad</t>
  </si>
  <si>
    <t>1930-1940</t>
  </si>
  <si>
    <t>1940-1949</t>
  </si>
  <si>
    <t>1950-1960</t>
  </si>
  <si>
    <t>1960-1970</t>
  </si>
  <si>
    <t>1970-1980</t>
  </si>
  <si>
    <t>1980-1990</t>
  </si>
  <si>
    <t>1990-2000</t>
  </si>
  <si>
    <t>2000-2009</t>
  </si>
  <si>
    <t>2010-2019</t>
  </si>
  <si>
    <t>Retorno real</t>
  </si>
  <si>
    <t>Rentabilidad bolsa</t>
  </si>
  <si>
    <t>r = (130/100)^(1/2)-1 =0,14 = 14%</t>
  </si>
  <si>
    <t>Bº = 130 - 100 = 30</t>
  </si>
  <si>
    <t>Rentabilidad acumulada s/ capital iniicial</t>
  </si>
  <si>
    <t>Rentabilidad acumulada s/ capital iniicial + aportaciones</t>
  </si>
  <si>
    <t>Patrimonio empresa a mercado</t>
  </si>
  <si>
    <t>Patrimonio a mercado /accionista</t>
  </si>
  <si>
    <t>Dividendo total</t>
  </si>
  <si>
    <t>Dividendo por accionista</t>
  </si>
  <si>
    <t>% Participación de cada accionista</t>
  </si>
  <si>
    <t>Increso total por venta masiva por accionista</t>
  </si>
  <si>
    <t>Patrimonio a mercado / accionista</t>
  </si>
  <si>
    <t>Payments for taxes related to net share settlement of equity awards</t>
  </si>
  <si>
    <t xml:space="preserve">o   Emisión de nuevas acciones. </t>
  </si>
  <si>
    <t>o   Deuda neta</t>
  </si>
  <si>
    <t xml:space="preserve">o   Reparto de dividendos. </t>
  </si>
  <si>
    <t>CAGR después comisiones</t>
  </si>
  <si>
    <t>Capital final partícipe</t>
  </si>
  <si>
    <t>R año = (Capital final año - aportaciones netas)/Capital inicio año - 1
Media geométrica=[(1+r1)x(1+r2)x(1+r3)..(1+rn)]^(1/n)-1</t>
  </si>
  <si>
    <t>n =72/8 = 9 años</t>
  </si>
  <si>
    <t>MC.PA</t>
  </si>
  <si>
    <t>Barrick Mining Corporation</t>
  </si>
  <si>
    <t>º</t>
  </si>
  <si>
    <t>100 anuales</t>
  </si>
  <si>
    <t>SIMULACIÓN: 100 $ invertidos con Buffett (1956–2024)</t>
  </si>
  <si>
    <t>Inversión →</t>
  </si>
  <si>
    <t>Inversión inicial ($)</t>
  </si>
  <si>
    <t>Retorno S&amp;P 500 (%)</t>
  </si>
  <si>
    <t>1+Retorno</t>
  </si>
  <si>
    <t>1+S&amp;P 500</t>
  </si>
  <si>
    <t>Valor de 100 $ ($)</t>
  </si>
  <si>
    <t>Transición BP→Berkshire</t>
  </si>
  <si>
    <t>Nº de años</t>
  </si>
  <si>
    <t>CAGR (media geométrica anual)</t>
  </si>
  <si>
    <t>Nº años:</t>
  </si>
  <si>
    <t>← valor final</t>
  </si>
  <si>
    <t>S&amp;P 500</t>
  </si>
  <si>
    <t>Total</t>
  </si>
  <si>
    <t>NOTAS DE LA CORRECCIÓN:</t>
  </si>
  <si>
    <t>1) 1965 se cuenta como UN único periodo anual (antes aparecía dos veces: partnership 36,9% y Berkshire 49,5%, encadenados).</t>
  </si>
  <si>
    <t xml:space="preserve">   Esto evita el doble cómputo de ese año. Celda amarilla = dato editable para 1965.</t>
  </si>
  <si>
    <t>2) Década 20s ahora incluye 2020 (antes el rango empezaba en 2021 y dejaba fuera ese año).</t>
  </si>
  <si>
    <t>3) CAGR = media geométrica de (1+retorno). Valor final encadenando los retornos año a año sobre 100 $.</t>
  </si>
  <si>
    <t>(Imagen 1)</t>
  </si>
  <si>
    <t>(Imagen 2)</t>
  </si>
  <si>
    <t>Imagen 1</t>
  </si>
  <si>
    <t>Imagen 2</t>
  </si>
  <si>
    <t>(Imagen 6)</t>
  </si>
  <si>
    <t>Imagen 6</t>
  </si>
  <si>
    <t>Imagen 7 hasta imagen 15</t>
  </si>
  <si>
    <t>(Imagen 16)</t>
  </si>
  <si>
    <t>Capítulo 3 ¿FUNCIONA, LA FÓRMULA MÁGICA?</t>
  </si>
  <si>
    <t>(Imagen 18)</t>
  </si>
  <si>
    <t>(Imagen 17)</t>
  </si>
  <si>
    <t>(Imagen 19)</t>
  </si>
  <si>
    <t>(Imagen 20)</t>
  </si>
  <si>
    <t>Imagen 16 hasta imagen 19</t>
  </si>
  <si>
    <t>Imagen 20</t>
  </si>
  <si>
    <t>Capítulo 4 ¿QUÉ DEFINE A UNA COMPAÑÍA MARAVILLOSA?</t>
  </si>
  <si>
    <t>(Imagen 25)</t>
  </si>
  <si>
    <t>Cuenta de resultados familia</t>
  </si>
  <si>
    <t>Sección 4.1. Cuenta de resultados</t>
  </si>
  <si>
    <t>(Imagen 28)</t>
  </si>
  <si>
    <t>(Imagen 29)</t>
  </si>
  <si>
    <t>(Imagen 26)</t>
  </si>
  <si>
    <t>(Imagen 30)</t>
  </si>
  <si>
    <t>(Imagen 31)</t>
  </si>
  <si>
    <t>(Imagen 32)</t>
  </si>
  <si>
    <t>Imagen 25 hasta imagen 31</t>
  </si>
  <si>
    <t>Imagen 32</t>
  </si>
  <si>
    <t>Cuenta de resultados Apple (2021 a 2025)</t>
  </si>
  <si>
    <t>(-) Gastos directos (Cost of Sales o Cost of Goods Sold)</t>
  </si>
  <si>
    <t>(Imagen 35)</t>
  </si>
  <si>
    <t>Sección 4.2. Balance de situación</t>
  </si>
  <si>
    <t>Imagen 35</t>
  </si>
  <si>
    <t>Balance de situación familia</t>
  </si>
  <si>
    <t>(Imagen 45)</t>
  </si>
  <si>
    <t>COGS</t>
  </si>
  <si>
    <t>Balance de situación Apple</t>
  </si>
  <si>
    <t>Imagen 37</t>
  </si>
  <si>
    <r>
      <t>o   Recompra de acciones (</t>
    </r>
    <r>
      <rPr>
        <i/>
        <sz val="11"/>
        <color theme="1"/>
        <rFont val="Garamond"/>
        <family val="1"/>
      </rPr>
      <t>buybacks</t>
    </r>
    <r>
      <rPr>
        <sz val="11"/>
        <color theme="1"/>
        <rFont val="Garamond"/>
        <family val="1"/>
      </rPr>
      <t xml:space="preserve">). </t>
    </r>
  </si>
  <si>
    <t>(Imagen 38)</t>
  </si>
  <si>
    <t>(Calculado con el total de activos promedio del año y el anterior)</t>
  </si>
  <si>
    <t>(Imagen 39)</t>
  </si>
  <si>
    <t>Imagen 38 hasta imagen 39</t>
  </si>
  <si>
    <t>(Imagen 43)</t>
  </si>
  <si>
    <t>(Imagen 41)</t>
  </si>
  <si>
    <t>(Imagen 42)</t>
  </si>
  <si>
    <t>Imagen 41 hasta imagen 43</t>
  </si>
  <si>
    <t>(Imagen 46 e Imagen 47)</t>
  </si>
  <si>
    <t>Cálculo Working Capital, PMC, PMP, PMR, PMM de Apple</t>
  </si>
  <si>
    <t>(Imagen 49)</t>
  </si>
  <si>
    <t>Cálculo ROC de Greenblatt en Apple</t>
  </si>
  <si>
    <t>Imagen 49 hasta imagen 50</t>
  </si>
  <si>
    <t>Gastos en Investigación y desarrollo de las 7 magníficas</t>
  </si>
  <si>
    <t>Imagen 51</t>
  </si>
  <si>
    <t>(Imagen 52)</t>
  </si>
  <si>
    <t>(Imagen 53)</t>
  </si>
  <si>
    <t>(Imagen 54)</t>
  </si>
  <si>
    <t>(Imagen 56)</t>
  </si>
  <si>
    <t>Ajustes I+D Apple para estimar el EBIT ajustado</t>
  </si>
  <si>
    <t>(Imagen 57)</t>
  </si>
  <si>
    <t>Imagen 52 hasta imagen 57</t>
  </si>
  <si>
    <t>(Imagen 58)</t>
  </si>
  <si>
    <t>Cálculo ROIC "La Cuchilla"</t>
  </si>
  <si>
    <t>(Imagen 60)</t>
  </si>
  <si>
    <t>(Imagen 61)</t>
  </si>
  <si>
    <t>(Imagen 62)</t>
  </si>
  <si>
    <t>(Imagen 63)</t>
  </si>
  <si>
    <t>(Imagen 64)</t>
  </si>
  <si>
    <t>Imagen 60 hasta imagen 64</t>
  </si>
  <si>
    <t>Cálculo ROCE Apple</t>
  </si>
  <si>
    <t>Imagen 58</t>
  </si>
  <si>
    <t>(Imagen 65)</t>
  </si>
  <si>
    <t>Comparativa ROCE vs ROIC Apple</t>
  </si>
  <si>
    <t>Imagen 65</t>
  </si>
  <si>
    <t>Sección 4.3. Cuadros de flujos de efectivo</t>
  </si>
  <si>
    <t>FCFE on Cost 10Y</t>
  </si>
  <si>
    <t>(Imagen 67)</t>
  </si>
  <si>
    <t>Cuadro de Flujos familia</t>
  </si>
  <si>
    <t>(Imagen 69)</t>
  </si>
  <si>
    <t>Imagen 67 hasta imagen 69</t>
  </si>
  <si>
    <t>Cuadro resumen de partidas que aumentan o disminuyen el flujo de caja</t>
  </si>
  <si>
    <t>Imagen 70</t>
  </si>
  <si>
    <t>Ratio CapEx/ventas por industria</t>
  </si>
  <si>
    <t>Imagen 71</t>
  </si>
  <si>
    <t>(Imagen 72)</t>
  </si>
  <si>
    <t>Flujo actividades de financiación Apple</t>
  </si>
  <si>
    <t>Imagen 72</t>
  </si>
  <si>
    <t>Capital allocation cuñado manirroto</t>
  </si>
  <si>
    <t>Imagen 73 hasta imagen 74</t>
  </si>
  <si>
    <t>(Imagen 73)</t>
  </si>
  <si>
    <t>(Imagen 74)</t>
  </si>
  <si>
    <t>(imagen 75)</t>
  </si>
  <si>
    <t>(imagen 76)</t>
  </si>
  <si>
    <t>(Imagen 77)</t>
  </si>
  <si>
    <t>Análisis flujos Apple</t>
  </si>
  <si>
    <t>Imagen 75 hasta imagen 77</t>
  </si>
  <si>
    <t>(Imagen 78)</t>
  </si>
  <si>
    <t>Imagen 78</t>
  </si>
  <si>
    <t>Buffett y los dividendos</t>
  </si>
  <si>
    <t>(imagen 80)</t>
  </si>
  <si>
    <t>(Imagen 81)</t>
  </si>
  <si>
    <t>Ejemplos Yield On Cost</t>
  </si>
  <si>
    <t>Imagen 80 hasta imagen 81</t>
  </si>
  <si>
    <t>Imagen 45 hasta imagen 47</t>
  </si>
  <si>
    <t>(Imagen 45 e imagen 82)</t>
  </si>
  <si>
    <t>(imagen 83)</t>
  </si>
  <si>
    <t>(Imagen 83)</t>
  </si>
  <si>
    <t>(Imagen 84)</t>
  </si>
  <si>
    <t>(Imagen 85)</t>
  </si>
  <si>
    <t>Cálculo FCFF académico Apple</t>
  </si>
  <si>
    <t>Imagen 82 hasta imagen 85</t>
  </si>
  <si>
    <t>(Imagen 87)</t>
  </si>
  <si>
    <t>Cálculo FCFE académico Apple</t>
  </si>
  <si>
    <t>Imagen 87</t>
  </si>
  <si>
    <t>(Imagen 88)</t>
  </si>
  <si>
    <t>Remuneración accionistas/FCFE Apple</t>
  </si>
  <si>
    <t>Imagen 88</t>
  </si>
  <si>
    <t>(Imagen 90)</t>
  </si>
  <si>
    <t>Imagen 90</t>
  </si>
  <si>
    <t>Flujo de caja para los accionistas Apple</t>
  </si>
  <si>
    <t>(Imagen 91)</t>
  </si>
  <si>
    <t>(Imagen 94)</t>
  </si>
  <si>
    <t>Cálculo ROE y análisis Dupont ROE Apple</t>
  </si>
  <si>
    <t>Imagen 91 hasta imagen 94</t>
  </si>
  <si>
    <t>(Imagen 92)</t>
  </si>
  <si>
    <t>(Imagen 93)</t>
  </si>
  <si>
    <t>Cálculo ROE Stuppazuck, S.L.</t>
  </si>
  <si>
    <t>Imagen 92 hasta imagen 93</t>
  </si>
  <si>
    <t>Capítulo 5 ¿QUÉ ES ESO DE «PRECIO RAZONABLE»?</t>
  </si>
  <si>
    <t>Precio acción (4/12/2025)</t>
  </si>
  <si>
    <t>Intercontinental Exchange</t>
  </si>
  <si>
    <t>Microsoft.</t>
  </si>
  <si>
    <t>Filtros iniciales en Morningstar.com</t>
  </si>
  <si>
    <r>
      <t xml:space="preserve">Excluir </t>
    </r>
    <r>
      <rPr>
        <i/>
        <sz val="12"/>
        <color theme="1"/>
        <rFont val="Garamond"/>
        <family val="1"/>
      </rPr>
      <t>Financial Services</t>
    </r>
    <r>
      <rPr>
        <sz val="12"/>
        <color theme="1"/>
        <rFont val="Garamond"/>
        <family val="1"/>
      </rPr>
      <t xml:space="preserve">, </t>
    </r>
    <r>
      <rPr>
        <i/>
        <sz val="12"/>
        <color theme="1"/>
        <rFont val="Garamond"/>
        <family val="1"/>
      </rPr>
      <t>Real Estate</t>
    </r>
    <r>
      <rPr>
        <sz val="12"/>
        <color theme="1"/>
        <rFont val="Garamond"/>
        <family val="1"/>
      </rPr>
      <t xml:space="preserve"> y </t>
    </r>
    <r>
      <rPr>
        <i/>
        <sz val="12"/>
        <color theme="1"/>
        <rFont val="Garamond"/>
        <family val="1"/>
      </rPr>
      <t>Utilities</t>
    </r>
  </si>
  <si>
    <t>Capital final con rentabilidad compuesta</t>
  </si>
  <si>
    <t>Lump-sum</t>
  </si>
  <si>
    <t>(-) Caja ociosa + inversiones financieras no operativas</t>
  </si>
  <si>
    <t>Sobrevaloración (premium)</t>
  </si>
  <si>
    <t>(Imagen 98)</t>
  </si>
  <si>
    <t>(Imagen 97)</t>
  </si>
  <si>
    <t>(Imagen 100)</t>
  </si>
  <si>
    <t>Valoración por múltiplos en Apple</t>
  </si>
  <si>
    <t>Imagen 97 hasta imagen 100</t>
  </si>
  <si>
    <t>Imagen 101</t>
  </si>
  <si>
    <t>Cálculo Enterprise Value Apple</t>
  </si>
  <si>
    <t>(Imagen 101)</t>
  </si>
  <si>
    <t>(Imagen 102)</t>
  </si>
  <si>
    <t>(Imagen 103)</t>
  </si>
  <si>
    <t>(Imagen 104)</t>
  </si>
  <si>
    <t>(Imagen 105)</t>
  </si>
  <si>
    <t>Imagen 102 hasta imagen 105</t>
  </si>
  <si>
    <t>Ejemplo valoración múltiplo EV/FCFF</t>
  </si>
  <si>
    <t>(Imagen 106)</t>
  </si>
  <si>
    <t>(Imagen 107)</t>
  </si>
  <si>
    <t>(Imagen 108)</t>
  </si>
  <si>
    <t>(Imagen 109)</t>
  </si>
  <si>
    <t>Imagen 106 hasta imagen 109</t>
  </si>
  <si>
    <t>Ejemplo valoración Apple con múltiplo EV/FCFF</t>
  </si>
  <si>
    <t>(Imagen 114)</t>
  </si>
  <si>
    <t>(Imagen 115)</t>
  </si>
  <si>
    <t>Imagen 114 hasta imagen 115</t>
  </si>
  <si>
    <t>Estimación múltiplo EV/EBITDA por método McKinsey y The foot notes analyst</t>
  </si>
  <si>
    <t>(Imagen 116)</t>
  </si>
  <si>
    <t>Imagen 116</t>
  </si>
  <si>
    <t>Ejemplo de valoración por descuento de flujos de caja (DFCF) empresa restauración torneo Premier Pádel</t>
  </si>
  <si>
    <t>(Imagen 117 imagen 118 imagen 119)</t>
  </si>
  <si>
    <t>Ejemplo de valoración por descuento de flujos de caja (DFCF) de un apartamento</t>
  </si>
  <si>
    <t>(Imagen 121)</t>
  </si>
  <si>
    <t>(Imagen 120)</t>
  </si>
  <si>
    <t>Imagen 117 hasta imagen 121</t>
  </si>
  <si>
    <t>Ejemplo valoración por descuento de flujos de caja (DFCF) Apple</t>
  </si>
  <si>
    <t>(Imagen 125)</t>
  </si>
  <si>
    <t>(Imagen 124 imagen 126 imagen 128 imagen 132 imagen 133)</t>
  </si>
  <si>
    <t>Imagen 124 hasta imagen 134)</t>
  </si>
  <si>
    <t>(Imagen 134)</t>
  </si>
  <si>
    <t>Capítulo 6 FORMAS PARA CONSTRUIR UNA CARTERA BASADA EN LA «FÓRMULA MÁGICA» DE GREENBLATT</t>
  </si>
  <si>
    <t>Imagen 141 hasta imagen 146</t>
  </si>
  <si>
    <t>Ranking Fórmula Mágica usando screener tikr.com (factores: ROIC y EBIT/EV)</t>
  </si>
  <si>
    <t>(Imagen 141 hasta imagen 146)</t>
  </si>
  <si>
    <t>(Imagen 148)</t>
  </si>
  <si>
    <t>Cartera Fórmula Mágica contruida con screener Tikr.com y Excel</t>
  </si>
  <si>
    <t>Imagen 148</t>
  </si>
  <si>
    <t>(Imagen 155)</t>
  </si>
  <si>
    <t>Capítulo 7 UNIVERSO DE ACCIONES DE EXTRAORDINARIA CALIDAD</t>
  </si>
  <si>
    <t>Imagen 155</t>
  </si>
  <si>
    <t>Empresas con moats (ventajas competitivas)</t>
  </si>
  <si>
    <t>Imagen 162</t>
  </si>
  <si>
    <t>Ejemplo de cálculo del ROE usando Wisesheets.io</t>
  </si>
  <si>
    <t>Dashboard ejemplo usando Wisesheets.io</t>
  </si>
  <si>
    <t>Imagen 163</t>
  </si>
  <si>
    <t>Todas las celdas calculadas con las funciones de Wisesheets no se mostrarán si no tienes el plugin contratado e instalado en Excel</t>
  </si>
  <si>
    <t>Imagen 164</t>
  </si>
  <si>
    <t>Filtros iniciales para el universo de acciones con wide moats de Morningstar.com</t>
  </si>
  <si>
    <t>Imagen 166 hasta imagen 171</t>
  </si>
  <si>
    <t>Cálculo ranking Fórmula Mágica usand empresas con wide moats</t>
  </si>
  <si>
    <t>(Imagen 172)</t>
  </si>
  <si>
    <t>Cartera Fórmula Mágica wide moats morningstar.com</t>
  </si>
  <si>
    <t>(Imagen 173)</t>
  </si>
  <si>
    <t>Imagen 172 hasta imagen 173</t>
  </si>
  <si>
    <t>Capítulo 8 REFLEXIONES FINALES SOBRE LA INVERSIÓN Y LOS MERCADOS</t>
  </si>
  <si>
    <t>(Imagen 180)</t>
  </si>
  <si>
    <t>Ejercicio para valorar el coste de oportunidad en la inversión</t>
  </si>
  <si>
    <t>(Imagen 181)</t>
  </si>
  <si>
    <t>Imagen 180 hasta imagen 181</t>
  </si>
  <si>
    <t>Imagen 183</t>
  </si>
  <si>
    <t>Rentabilidad de la bolsa norteamericana por décadas</t>
  </si>
  <si>
    <t>DCA Vs Lump Sum</t>
  </si>
  <si>
    <t>(Imagen 186)</t>
  </si>
  <si>
    <t>(Imagen 187)</t>
  </si>
  <si>
    <t>(Imagen 188)</t>
  </si>
  <si>
    <t>Imagen 186 hasta imagen 188</t>
  </si>
  <si>
    <t>La mayoría de las tablas anteriores las puedes encontrar en las siguientes dos hojas:</t>
  </si>
  <si>
    <t xml:space="preserve">Estados Financieros y cálculos de rentabilidad de Apple, working capital etc. </t>
  </si>
  <si>
    <t>Capital Allocation Apple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</si>
</sst>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5" formatCode="#,##0;\(#,##0\);\-"/>
    <numFmt numFmtId="166" formatCode="0.00&quot; días&quot;"/>
    <numFmt numFmtId="167" formatCode="0.00\x"/>
    <numFmt numFmtId="168" formatCode="_-* #,##0.0_-;\-* #,##0.0_-;_-* &quot;-&quot;??_-;_-@_-"/>
    <numFmt numFmtId="169" formatCode="_-* #,##0.0_-;\-* #,##0.0_-;_-* &quot;-&quot;?_-;_-@_-"/>
    <numFmt numFmtId="170" formatCode="0.0%"/>
    <numFmt numFmtId="171" formatCode="[$-C0A]mmm\-yy;@"/>
    <numFmt numFmtId="172" formatCode="0.0"/>
    <numFmt numFmtId="173" formatCode="0.0\x"/>
    <numFmt numFmtId="174" formatCode="0.000"/>
    <numFmt numFmtId="175" formatCode="#,##0.0;\(#,##0.0\);\-"/>
    <numFmt numFmtId="176" formatCode="#,##0.00;\(#,##0.00\);\-"/>
    <numFmt numFmtId="177" formatCode="#,##0.000;\(#,##0.000\);\-"/>
    <numFmt numFmtId="178" formatCode="[$-C0A]mmmm\-yy;@"/>
    <numFmt numFmtId="179" formatCode="dd\-mm\-yy;@"/>
    <numFmt numFmtId="180" formatCode="[$-C0A]d\-mmm;@"/>
    <numFmt numFmtId="181" formatCode="#,##0.0000;\(#,##0.0000\);\-"/>
    <numFmt numFmtId="182" formatCode="0.0000"/>
  </numFmts>
  <fonts count="6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Garamond"/>
      <family val="18"/>
    </font>
    <font>
      <sz val="10"/>
      <color theme="10"/>
      <name val="Garamond"/>
      <family val="18"/>
    </font>
    <font>
      <b/>
      <sz val="10"/>
      <color theme="1"/>
      <name val="Garamond"/>
      <family val="18"/>
    </font>
    <font>
      <sz val="10"/>
      <color theme="0"/>
      <name val="Garamond"/>
      <family val="18"/>
    </font>
    <font>
      <sz val="10"/>
      <color theme="1"/>
      <name val="Garamond"/>
      <family val="1"/>
    </font>
    <font>
      <b/>
      <sz val="10"/>
      <color theme="1"/>
      <name val="Garamond"/>
      <family val="1"/>
    </font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b/>
      <sz val="11"/>
      <color theme="1"/>
      <name val="Garamond"/>
      <family val="1"/>
    </font>
    <font>
      <b/>
      <sz val="10"/>
      <color theme="0"/>
      <name val="Garamond"/>
      <family val="1"/>
    </font>
    <font>
      <sz val="11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b/>
      <sz val="11"/>
      <color theme="0"/>
      <name val="Garamond"/>
      <family val="1"/>
    </font>
    <font>
      <sz val="11"/>
      <color theme="1"/>
      <name val="Garamond"/>
      <family val="18"/>
    </font>
    <font>
      <b/>
      <sz val="11"/>
      <color theme="1"/>
      <name val="Garamond"/>
      <family val="18"/>
    </font>
    <font>
      <u/>
      <sz val="11"/>
      <color theme="1"/>
      <name val="Calibri"/>
      <family val="2"/>
      <scheme val="minor"/>
    </font>
    <font>
      <sz val="10"/>
      <color theme="1"/>
      <name val="Garamond"/>
      <family val="1"/>
    </font>
    <font>
      <b/>
      <sz val="10"/>
      <color theme="1"/>
      <name val="Garamond"/>
      <family val="1"/>
    </font>
    <font>
      <i/>
      <sz val="11"/>
      <color theme="1"/>
      <name val="Garamond"/>
      <family val="18"/>
    </font>
    <font>
      <sz val="12"/>
      <color theme="1"/>
      <name val="Calibri"/>
      <family val="2"/>
      <scheme val="minor"/>
    </font>
    <font>
      <b/>
      <sz val="12"/>
      <color theme="1"/>
      <name val="Garamond"/>
      <family val="18"/>
    </font>
    <font>
      <i/>
      <sz val="9"/>
      <color theme="1"/>
      <name val="Garamond"/>
      <family val="1"/>
    </font>
    <font>
      <sz val="9"/>
      <name val="Helvetica"/>
      <family val="2"/>
    </font>
    <font>
      <i/>
      <sz val="12"/>
      <name val="Garamond"/>
      <family val="1"/>
    </font>
    <font>
      <sz val="12"/>
      <name val="Garamond"/>
      <family val="1"/>
    </font>
    <font>
      <i/>
      <sz val="12"/>
      <color theme="1"/>
      <name val="Garamond"/>
      <family val="1"/>
    </font>
    <font>
      <sz val="12"/>
      <color rgb="FFFFFFFF"/>
      <name val="Garamond"/>
      <family val="1"/>
    </font>
    <font>
      <i/>
      <sz val="9"/>
      <color theme="1"/>
      <name val="Garamond"/>
      <family val="18"/>
    </font>
    <font>
      <sz val="11"/>
      <color rgb="FF000000"/>
      <name val="Garamond"/>
      <family val="18"/>
    </font>
    <font>
      <b/>
      <sz val="11"/>
      <color rgb="FF000000"/>
      <name val="Garamond"/>
      <family val="18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Garamond"/>
      <family val="1"/>
    </font>
    <font>
      <sz val="12"/>
      <color theme="1"/>
      <name val="Garamond"/>
      <family val="18"/>
    </font>
    <font>
      <b/>
      <sz val="18"/>
      <color theme="1"/>
      <name val="Garamond"/>
      <family val="1"/>
    </font>
    <font>
      <b/>
      <sz val="12"/>
      <name val="Garamond"/>
      <family val="1"/>
    </font>
    <font>
      <b/>
      <sz val="12"/>
      <color rgb="FF000000"/>
      <name val="Garamond"/>
      <family val="1"/>
    </font>
    <font>
      <sz val="12"/>
      <color rgb="FFC00000"/>
      <name val="Garamond"/>
      <family val="1"/>
    </font>
    <font>
      <b/>
      <sz val="11"/>
      <color theme="1"/>
      <name val="Arial"/>
      <family val="2"/>
    </font>
    <font>
      <sz val="11"/>
      <color indexed="8"/>
      <name val="Calibri"/>
      <family val="2"/>
    </font>
    <font>
      <strike/>
      <sz val="11"/>
      <color theme="1"/>
      <name val="Garamond"/>
      <family val="1"/>
    </font>
    <font>
      <b/>
      <sz val="14"/>
      <color theme="1"/>
      <name val="Garamond"/>
      <family val="1"/>
    </font>
    <font>
      <b/>
      <sz val="13"/>
      <color rgb="FF1F4E78"/>
      <name val="Arial"/>
      <family val="2"/>
    </font>
    <font>
      <i/>
      <sz val="11"/>
      <name val="Arial"/>
      <family val="2"/>
    </font>
    <font>
      <b/>
      <sz val="11"/>
      <color rgb="FF0000FF"/>
      <name val="Arial"/>
      <family val="2"/>
    </font>
    <font>
      <b/>
      <sz val="11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i/>
      <sz val="11"/>
      <color rgb="FF1F4E78"/>
      <name val="Arial"/>
      <family val="2"/>
    </font>
    <font>
      <b/>
      <sz val="10"/>
      <color rgb="FFC00000"/>
      <name val="Arial"/>
      <family val="2"/>
    </font>
    <font>
      <sz val="10"/>
      <color rgb="FF404040"/>
      <name val="Arial"/>
      <family val="2"/>
    </font>
    <font>
      <sz val="10"/>
      <name val="Arial"/>
      <family val="2"/>
    </font>
    <font>
      <u/>
      <sz val="11"/>
      <color theme="10"/>
      <name val="Garamond"/>
      <family val="1"/>
    </font>
    <font>
      <i/>
      <sz val="11"/>
      <color theme="1"/>
      <name val="Garamond"/>
      <family val="1"/>
    </font>
    <font>
      <i/>
      <sz val="11"/>
      <name val="Garamond"/>
      <family val="1"/>
    </font>
    <font>
      <u/>
      <sz val="12"/>
      <color theme="10"/>
      <name val="Garamond"/>
      <family val="1"/>
    </font>
    <font>
      <b/>
      <i/>
      <sz val="12"/>
      <color theme="1"/>
      <name val="Garamond"/>
      <family val="1"/>
    </font>
  </fonts>
  <fills count="2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9.9978637043366805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1F4E78"/>
        <bgColor rgb="FF003366"/>
      </patternFill>
    </fill>
    <fill>
      <patternFill patternType="solid">
        <fgColor rgb="FFFFFF00"/>
        <bgColor rgb="FFFFFF00"/>
      </patternFill>
    </fill>
  </fills>
  <borders count="108">
    <border>
      <left/>
      <right/>
      <top/>
      <bottom/>
      <diagonal/>
    </border>
    <border>
      <left/>
      <right/>
      <top/>
      <bottom style="thin">
        <color rgb="FF50505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 style="medium">
        <color rgb="FF505050"/>
      </left>
      <right style="medium">
        <color rgb="FF505050"/>
      </right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/>
      <diagonal/>
    </border>
    <border>
      <left style="medium">
        <color rgb="FF505050"/>
      </left>
      <right/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 style="medium">
        <color rgb="FF505050"/>
      </left>
      <right/>
      <top style="medium">
        <color rgb="FF505050"/>
      </top>
      <bottom style="medium">
        <color rgb="FF505050"/>
      </bottom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 style="medium">
        <color rgb="FF505050"/>
      </left>
      <right/>
      <top style="thin">
        <color indexed="64"/>
      </top>
      <bottom style="medium">
        <color rgb="FF505050"/>
      </bottom>
      <diagonal/>
    </border>
    <border>
      <left/>
      <right style="medium">
        <color rgb="FF505050"/>
      </right>
      <top style="thin">
        <color indexed="64"/>
      </top>
      <bottom style="medium">
        <color rgb="FF505050"/>
      </bottom>
      <diagonal/>
    </border>
    <border>
      <left style="medium">
        <color rgb="FF505050"/>
      </left>
      <right/>
      <top/>
      <bottom style="thin">
        <color auto="1"/>
      </bottom>
      <diagonal/>
    </border>
    <border>
      <left/>
      <right style="medium">
        <color rgb="FF505050"/>
      </right>
      <top/>
      <bottom style="thin">
        <color auto="1"/>
      </bottom>
      <diagonal/>
    </border>
    <border>
      <left style="medium">
        <color rgb="FF50505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505050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505050"/>
      </left>
      <right/>
      <top/>
      <bottom style="thin">
        <color rgb="FF505050"/>
      </bottom>
      <diagonal/>
    </border>
    <border>
      <left/>
      <right style="medium">
        <color rgb="FF505050"/>
      </right>
      <top/>
      <bottom style="thin">
        <color rgb="FF50505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medium">
        <color rgb="FF505050"/>
      </left>
      <right style="thin">
        <color rgb="FF505050"/>
      </right>
      <top style="medium">
        <color rgb="FF505050"/>
      </top>
      <bottom style="medium">
        <color rgb="FF505050"/>
      </bottom>
      <diagonal/>
    </border>
    <border>
      <left style="thin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505050"/>
      </right>
      <top style="thin">
        <color rgb="FF505050"/>
      </top>
      <bottom/>
      <diagonal/>
    </border>
    <border>
      <left/>
      <right style="thin">
        <color rgb="FF505050"/>
      </right>
      <top/>
      <bottom/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505050"/>
      </left>
      <right/>
      <top/>
      <bottom style="thin">
        <color rgb="FF50505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/>
      <top style="thin">
        <color rgb="FF505050"/>
      </top>
      <bottom/>
      <diagonal/>
    </border>
    <border>
      <left/>
      <right/>
      <top style="medium">
        <color rgb="FF505050"/>
      </top>
      <bottom/>
      <diagonal/>
    </border>
    <border>
      <left style="thin">
        <color rgb="FF50505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505050"/>
      </bottom>
      <diagonal/>
    </border>
    <border>
      <left/>
      <right style="medium">
        <color indexed="64"/>
      </right>
      <top style="medium">
        <color indexed="64"/>
      </top>
      <bottom style="medium">
        <color rgb="FF50505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rgb="FF505050"/>
      </bottom>
      <diagonal/>
    </border>
    <border>
      <left/>
      <right style="thin">
        <color indexed="64"/>
      </right>
      <top/>
      <bottom style="medium">
        <color rgb="FF505050"/>
      </bottom>
      <diagonal/>
    </border>
    <border>
      <left style="thin">
        <color indexed="64"/>
      </left>
      <right/>
      <top style="medium">
        <color rgb="FF505050"/>
      </top>
      <bottom style="thin">
        <color indexed="64"/>
      </bottom>
      <diagonal/>
    </border>
    <border>
      <left/>
      <right/>
      <top style="medium">
        <color rgb="FF505050"/>
      </top>
      <bottom style="thin">
        <color indexed="64"/>
      </bottom>
      <diagonal/>
    </border>
    <border>
      <left/>
      <right style="thin">
        <color indexed="64"/>
      </right>
      <top style="medium">
        <color rgb="FF50505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505050"/>
      </right>
      <top/>
      <bottom/>
      <diagonal/>
    </border>
    <border>
      <left style="medium">
        <color indexed="64"/>
      </left>
      <right style="thin">
        <color rgb="FF505050"/>
      </right>
      <top/>
      <bottom style="medium">
        <color rgb="FF505050"/>
      </bottom>
      <diagonal/>
    </border>
    <border>
      <left/>
      <right style="medium">
        <color indexed="64"/>
      </right>
      <top/>
      <bottom style="medium">
        <color rgb="FF505050"/>
      </bottom>
      <diagonal/>
    </border>
    <border>
      <left style="medium">
        <color indexed="64"/>
      </left>
      <right style="thin">
        <color rgb="FF50505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indexed="64"/>
      </bottom>
      <diagonal/>
    </border>
    <border>
      <left style="thin">
        <color rgb="FF505050"/>
      </left>
      <right/>
      <top style="thin">
        <color rgb="FF505050"/>
      </top>
      <bottom style="thin">
        <color indexed="64"/>
      </bottom>
      <diagonal/>
    </border>
    <border>
      <left style="thin">
        <color rgb="FF505050"/>
      </left>
      <right style="thin">
        <color indexed="64"/>
      </right>
      <top style="thin">
        <color rgb="FF505050"/>
      </top>
      <bottom style="thin">
        <color indexed="64"/>
      </bottom>
      <diagonal/>
    </border>
    <border>
      <left/>
      <right style="thin">
        <color rgb="FF505050"/>
      </right>
      <top style="thin">
        <color rgb="FF50505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505050"/>
      </top>
      <bottom style="thin">
        <color indexed="64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/>
      <diagonal/>
    </border>
    <border>
      <left style="thin">
        <color rgb="FF505050"/>
      </left>
      <right style="thin">
        <color indexed="64"/>
      </right>
      <top/>
      <bottom/>
      <diagonal/>
    </border>
    <border>
      <left style="thin">
        <color rgb="FF505050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505050"/>
      </bottom>
      <diagonal/>
    </border>
    <border>
      <left style="medium">
        <color indexed="64"/>
      </left>
      <right style="medium">
        <color indexed="64"/>
      </right>
      <top style="medium">
        <color rgb="FF505050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4" fillId="0" borderId="0"/>
  </cellStyleXfs>
  <cellXfs count="997">
    <xf numFmtId="0" fontId="0" fillId="0" borderId="0" xfId="0"/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0" fontId="2" fillId="0" borderId="0" xfId="0" applyNumberFormat="1" applyFont="1" applyAlignment="1">
      <alignment horizontal="center" wrapText="1"/>
    </xf>
    <xf numFmtId="0" fontId="4" fillId="6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 wrapText="1"/>
    </xf>
    <xf numFmtId="10" fontId="2" fillId="8" borderId="0" xfId="0" applyNumberFormat="1" applyFont="1" applyFill="1" applyAlignment="1">
      <alignment horizontal="center" wrapText="1"/>
    </xf>
    <xf numFmtId="0" fontId="2" fillId="8" borderId="0" xfId="0" applyFont="1" applyFill="1" applyAlignment="1">
      <alignment horizontal="center"/>
    </xf>
    <xf numFmtId="0" fontId="2" fillId="4" borderId="0" xfId="0" applyFont="1" applyFill="1" applyAlignment="1">
      <alignment horizontal="center" wrapText="1"/>
    </xf>
    <xf numFmtId="10" fontId="2" fillId="4" borderId="0" xfId="0" applyNumberFormat="1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 wrapText="1"/>
    </xf>
    <xf numFmtId="0" fontId="6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9" fontId="10" fillId="0" borderId="0" xfId="4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9" fillId="0" borderId="0" xfId="0" applyFont="1"/>
    <xf numFmtId="9" fontId="9" fillId="0" borderId="0" xfId="4" applyFont="1"/>
    <xf numFmtId="10" fontId="9" fillId="0" borderId="0" xfId="4" applyNumberFormat="1" applyFont="1"/>
    <xf numFmtId="43" fontId="9" fillId="0" borderId="0" xfId="2" applyFont="1"/>
    <xf numFmtId="164" fontId="9" fillId="0" borderId="0" xfId="2" applyNumberFormat="1" applyFont="1"/>
    <xf numFmtId="0" fontId="13" fillId="9" borderId="0" xfId="0" applyFont="1" applyFill="1"/>
    <xf numFmtId="0" fontId="14" fillId="10" borderId="0" xfId="0" applyFont="1" applyFill="1" applyAlignment="1">
      <alignment horizontal="center"/>
    </xf>
    <xf numFmtId="0" fontId="14" fillId="0" borderId="0" xfId="0" applyFont="1"/>
    <xf numFmtId="0" fontId="13" fillId="11" borderId="0" xfId="0" applyFont="1" applyFill="1" applyAlignment="1">
      <alignment horizontal="center"/>
    </xf>
    <xf numFmtId="0" fontId="15" fillId="0" borderId="0" xfId="0" applyFont="1"/>
    <xf numFmtId="0" fontId="16" fillId="0" borderId="0" xfId="0" applyFont="1"/>
    <xf numFmtId="165" fontId="9" fillId="0" borderId="0" xfId="0" applyNumberFormat="1" applyFont="1"/>
    <xf numFmtId="44" fontId="9" fillId="0" borderId="0" xfId="3" applyFont="1"/>
    <xf numFmtId="0" fontId="9" fillId="0" borderId="0" xfId="0" applyFont="1" applyAlignment="1">
      <alignment wrapText="1"/>
    </xf>
    <xf numFmtId="0" fontId="15" fillId="0" borderId="2" xfId="0" applyFont="1" applyBorder="1" applyAlignment="1">
      <alignment wrapText="1"/>
    </xf>
    <xf numFmtId="0" fontId="15" fillId="0" borderId="0" xfId="0" applyFont="1" applyAlignment="1">
      <alignment wrapText="1"/>
    </xf>
    <xf numFmtId="9" fontId="15" fillId="0" borderId="0" xfId="4" applyFont="1"/>
    <xf numFmtId="0" fontId="13" fillId="0" borderId="0" xfId="0" applyFont="1"/>
    <xf numFmtId="10" fontId="9" fillId="0" borderId="0" xfId="4" applyNumberFormat="1" applyFont="1" applyBorder="1"/>
    <xf numFmtId="166" fontId="9" fillId="0" borderId="0" xfId="0" applyNumberFormat="1" applyFont="1"/>
    <xf numFmtId="2" fontId="9" fillId="0" borderId="0" xfId="0" applyNumberFormat="1" applyFont="1"/>
    <xf numFmtId="167" fontId="9" fillId="0" borderId="0" xfId="0" applyNumberFormat="1" applyFont="1"/>
    <xf numFmtId="0" fontId="11" fillId="0" borderId="0" xfId="0" applyFont="1"/>
    <xf numFmtId="10" fontId="9" fillId="0" borderId="0" xfId="4" applyNumberFormat="1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3" applyFont="1" applyAlignment="1">
      <alignment horizontal="right"/>
    </xf>
    <xf numFmtId="0" fontId="12" fillId="12" borderId="0" xfId="0" applyFont="1" applyFill="1"/>
    <xf numFmtId="43" fontId="12" fillId="2" borderId="0" xfId="2" applyFont="1" applyFill="1"/>
    <xf numFmtId="9" fontId="12" fillId="5" borderId="0" xfId="4" applyFont="1" applyFill="1"/>
    <xf numFmtId="9" fontId="12" fillId="6" borderId="0" xfId="4" applyFont="1" applyFill="1"/>
    <xf numFmtId="164" fontId="9" fillId="0" borderId="0" xfId="4" applyNumberFormat="1" applyFont="1"/>
    <xf numFmtId="164" fontId="9" fillId="0" borderId="4" xfId="2" applyNumberFormat="1" applyFont="1" applyBorder="1"/>
    <xf numFmtId="9" fontId="9" fillId="0" borderId="4" xfId="4" applyFont="1" applyBorder="1"/>
    <xf numFmtId="9" fontId="12" fillId="6" borderId="3" xfId="4" applyFont="1" applyFill="1" applyBorder="1"/>
    <xf numFmtId="9" fontId="12" fillId="6" borderId="0" xfId="4" applyFont="1" applyFill="1" applyBorder="1"/>
    <xf numFmtId="9" fontId="9" fillId="0" borderId="0" xfId="0" applyNumberFormat="1" applyFont="1"/>
    <xf numFmtId="0" fontId="6" fillId="0" borderId="0" xfId="0" applyFont="1" applyAlignment="1">
      <alignment horizontal="center" wrapText="1"/>
    </xf>
    <xf numFmtId="0" fontId="12" fillId="6" borderId="0" xfId="0" applyFont="1" applyFill="1"/>
    <xf numFmtId="43" fontId="12" fillId="6" borderId="0" xfId="2" applyFont="1" applyFill="1"/>
    <xf numFmtId="43" fontId="12" fillId="0" borderId="0" xfId="2" applyFont="1" applyFill="1"/>
    <xf numFmtId="9" fontId="12" fillId="5" borderId="0" xfId="4" applyFont="1" applyFill="1" applyAlignment="1">
      <alignment horizontal="center"/>
    </xf>
    <xf numFmtId="9" fontId="9" fillId="0" borderId="0" xfId="4" applyFont="1" applyAlignment="1">
      <alignment horizontal="center"/>
    </xf>
    <xf numFmtId="9" fontId="12" fillId="2" borderId="0" xfId="4" applyFont="1" applyFill="1"/>
    <xf numFmtId="9" fontId="12" fillId="2" borderId="0" xfId="4" applyFont="1" applyFill="1" applyAlignment="1">
      <alignment horizontal="center"/>
    </xf>
    <xf numFmtId="0" fontId="12" fillId="0" borderId="0" xfId="0" applyFont="1"/>
    <xf numFmtId="0" fontId="12" fillId="2" borderId="0" xfId="0" applyFont="1" applyFill="1"/>
    <xf numFmtId="43" fontId="12" fillId="2" borderId="0" xfId="2" applyFont="1" applyFill="1" applyAlignment="1">
      <alignment horizontal="center"/>
    </xf>
    <xf numFmtId="0" fontId="12" fillId="12" borderId="0" xfId="0" applyFont="1" applyFill="1" applyAlignment="1">
      <alignment horizontal="center"/>
    </xf>
    <xf numFmtId="0" fontId="12" fillId="3" borderId="5" xfId="0" applyFont="1" applyFill="1" applyBorder="1" applyAlignment="1">
      <alignment horizontal="center"/>
    </xf>
    <xf numFmtId="9" fontId="12" fillId="2" borderId="6" xfId="0" applyNumberFormat="1" applyFont="1" applyFill="1" applyBorder="1" applyAlignment="1">
      <alignment horizontal="center"/>
    </xf>
    <xf numFmtId="9" fontId="9" fillId="0" borderId="6" xfId="0" applyNumberFormat="1" applyFont="1" applyBorder="1" applyAlignment="1">
      <alignment horizontal="center"/>
    </xf>
    <xf numFmtId="9" fontId="9" fillId="0" borderId="7" xfId="0" applyNumberFormat="1" applyFont="1" applyBorder="1" applyAlignment="1">
      <alignment horizontal="center"/>
    </xf>
    <xf numFmtId="43" fontId="9" fillId="0" borderId="0" xfId="0" applyNumberFormat="1" applyFont="1"/>
    <xf numFmtId="168" fontId="9" fillId="0" borderId="0" xfId="0" applyNumberFormat="1" applyFont="1"/>
    <xf numFmtId="164" fontId="9" fillId="0" borderId="0" xfId="0" applyNumberFormat="1" applyFont="1"/>
    <xf numFmtId="3" fontId="9" fillId="0" borderId="0" xfId="0" applyNumberFormat="1" applyFont="1"/>
    <xf numFmtId="9" fontId="0" fillId="0" borderId="0" xfId="0" applyNumberFormat="1"/>
    <xf numFmtId="0" fontId="18" fillId="0" borderId="0" xfId="0" applyFont="1"/>
    <xf numFmtId="17" fontId="18" fillId="0" borderId="0" xfId="0" applyNumberFormat="1" applyFont="1"/>
    <xf numFmtId="43" fontId="18" fillId="0" borderId="0" xfId="0" applyNumberFormat="1" applyFont="1"/>
    <xf numFmtId="0" fontId="18" fillId="0" borderId="0" xfId="0" applyFont="1" applyAlignment="1">
      <alignment horizontal="center"/>
    </xf>
    <xf numFmtId="17" fontId="18" fillId="0" borderId="0" xfId="0" applyNumberFormat="1" applyFont="1" applyAlignment="1">
      <alignment horizontal="center"/>
    </xf>
    <xf numFmtId="43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9" fillId="5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10" fillId="0" borderId="0" xfId="0" applyFont="1"/>
    <xf numFmtId="165" fontId="10" fillId="0" borderId="0" xfId="0" applyNumberFormat="1" applyFont="1"/>
    <xf numFmtId="14" fontId="10" fillId="0" borderId="0" xfId="0" applyNumberFormat="1" applyFont="1"/>
    <xf numFmtId="0" fontId="11" fillId="14" borderId="0" xfId="0" applyFont="1" applyFill="1"/>
    <xf numFmtId="9" fontId="10" fillId="0" borderId="0" xfId="4" applyFont="1"/>
    <xf numFmtId="9" fontId="10" fillId="0" borderId="0" xfId="0" applyNumberFormat="1" applyFont="1"/>
    <xf numFmtId="165" fontId="10" fillId="5" borderId="0" xfId="0" applyNumberFormat="1" applyFont="1" applyFill="1"/>
    <xf numFmtId="9" fontId="10" fillId="0" borderId="0" xfId="4" applyFont="1" applyFill="1"/>
    <xf numFmtId="0" fontId="11" fillId="12" borderId="0" xfId="0" applyFont="1" applyFill="1"/>
    <xf numFmtId="9" fontId="10" fillId="5" borderId="0" xfId="4" applyFont="1" applyFill="1"/>
    <xf numFmtId="43" fontId="10" fillId="0" borderId="0" xfId="2" applyFont="1"/>
    <xf numFmtId="165" fontId="10" fillId="0" borderId="0" xfId="0" applyNumberFormat="1" applyFont="1" applyAlignment="1">
      <alignment horizontal="center"/>
    </xf>
    <xf numFmtId="9" fontId="10" fillId="0" borderId="0" xfId="0" applyNumberFormat="1" applyFont="1" applyAlignment="1">
      <alignment horizontal="center"/>
    </xf>
    <xf numFmtId="165" fontId="10" fillId="0" borderId="8" xfId="0" applyNumberFormat="1" applyFont="1" applyBorder="1" applyAlignment="1">
      <alignment horizontal="center"/>
    </xf>
    <xf numFmtId="165" fontId="11" fillId="0" borderId="0" xfId="0" applyNumberFormat="1" applyFont="1" applyAlignment="1">
      <alignment horizontal="center"/>
    </xf>
    <xf numFmtId="10" fontId="11" fillId="0" borderId="0" xfId="0" applyNumberFormat="1" applyFont="1" applyAlignment="1">
      <alignment horizontal="center"/>
    </xf>
    <xf numFmtId="169" fontId="9" fillId="0" borderId="0" xfId="0" applyNumberFormat="1" applyFont="1"/>
    <xf numFmtId="170" fontId="12" fillId="0" borderId="0" xfId="0" applyNumberFormat="1" applyFont="1"/>
    <xf numFmtId="170" fontId="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2" fillId="5" borderId="0" xfId="0" applyFont="1" applyFill="1" applyAlignment="1">
      <alignment horizontal="center"/>
    </xf>
    <xf numFmtId="0" fontId="12" fillId="15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170" fontId="9" fillId="4" borderId="0" xfId="0" applyNumberFormat="1" applyFont="1" applyFill="1" applyAlignment="1">
      <alignment horizontal="center"/>
    </xf>
    <xf numFmtId="170" fontId="12" fillId="4" borderId="0" xfId="0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1" fontId="9" fillId="0" borderId="0" xfId="0" applyNumberFormat="1" applyFont="1" applyAlignment="1">
      <alignment horizontal="center"/>
    </xf>
    <xf numFmtId="171" fontId="12" fillId="5" borderId="0" xfId="0" applyNumberFormat="1" applyFont="1" applyFill="1" applyAlignment="1">
      <alignment horizontal="center"/>
    </xf>
    <xf numFmtId="43" fontId="12" fillId="0" borderId="0" xfId="0" applyNumberFormat="1" applyFont="1"/>
    <xf numFmtId="43" fontId="9" fillId="0" borderId="11" xfId="0" applyNumberFormat="1" applyFont="1" applyBorder="1"/>
    <xf numFmtId="164" fontId="9" fillId="0" borderId="12" xfId="0" applyNumberFormat="1" applyFont="1" applyBorder="1"/>
    <xf numFmtId="43" fontId="12" fillId="0" borderId="9" xfId="0" applyNumberFormat="1" applyFont="1" applyBorder="1"/>
    <xf numFmtId="164" fontId="9" fillId="0" borderId="10" xfId="0" applyNumberFormat="1" applyFont="1" applyBorder="1"/>
    <xf numFmtId="43" fontId="12" fillId="0" borderId="11" xfId="0" applyNumberFormat="1" applyFont="1" applyBorder="1"/>
    <xf numFmtId="0" fontId="20" fillId="0" borderId="12" xfId="0" applyFont="1" applyBorder="1"/>
    <xf numFmtId="0" fontId="0" fillId="0" borderId="12" xfId="0" applyBorder="1"/>
    <xf numFmtId="43" fontId="12" fillId="12" borderId="13" xfId="0" applyNumberFormat="1" applyFont="1" applyFill="1" applyBorder="1"/>
    <xf numFmtId="164" fontId="12" fillId="12" borderId="8" xfId="0" applyNumberFormat="1" applyFont="1" applyFill="1" applyBorder="1"/>
    <xf numFmtId="43" fontId="12" fillId="3" borderId="13" xfId="0" applyNumberFormat="1" applyFont="1" applyFill="1" applyBorder="1"/>
    <xf numFmtId="164" fontId="12" fillId="3" borderId="14" xfId="0" applyNumberFormat="1" applyFont="1" applyFill="1" applyBorder="1"/>
    <xf numFmtId="0" fontId="2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165" fontId="12" fillId="0" borderId="0" xfId="0" applyNumberFormat="1" applyFont="1"/>
    <xf numFmtId="165" fontId="12" fillId="12" borderId="0" xfId="0" applyNumberFormat="1" applyFont="1" applyFill="1"/>
    <xf numFmtId="0" fontId="7" fillId="12" borderId="0" xfId="0" applyFont="1" applyFill="1" applyAlignment="1">
      <alignment horizontal="center" wrapText="1"/>
    </xf>
    <xf numFmtId="165" fontId="12" fillId="0" borderId="17" xfId="0" applyNumberFormat="1" applyFont="1" applyBorder="1"/>
    <xf numFmtId="0" fontId="22" fillId="0" borderId="0" xfId="0" applyFont="1" applyAlignment="1">
      <alignment horizontal="left" wrapText="1"/>
    </xf>
    <xf numFmtId="165" fontId="0" fillId="0" borderId="0" xfId="0" applyNumberFormat="1"/>
    <xf numFmtId="0" fontId="21" fillId="0" borderId="11" xfId="0" applyFont="1" applyBorder="1" applyAlignment="1">
      <alignment horizontal="left" wrapText="1"/>
    </xf>
    <xf numFmtId="165" fontId="9" fillId="0" borderId="12" xfId="0" applyNumberFormat="1" applyFont="1" applyBorder="1"/>
    <xf numFmtId="0" fontId="7" fillId="0" borderId="11" xfId="0" applyFont="1" applyBorder="1" applyAlignment="1">
      <alignment horizontal="left" wrapText="1"/>
    </xf>
    <xf numFmtId="165" fontId="12" fillId="0" borderId="12" xfId="0" applyNumberFormat="1" applyFont="1" applyBorder="1"/>
    <xf numFmtId="0" fontId="7" fillId="0" borderId="21" xfId="0" applyFont="1" applyBorder="1" applyAlignment="1">
      <alignment horizontal="left" wrapText="1"/>
    </xf>
    <xf numFmtId="165" fontId="12" fillId="0" borderId="22" xfId="0" applyNumberFormat="1" applyFont="1" applyBorder="1"/>
    <xf numFmtId="0" fontId="0" fillId="0" borderId="11" xfId="0" applyBorder="1"/>
    <xf numFmtId="0" fontId="22" fillId="0" borderId="11" xfId="0" applyFont="1" applyBorder="1" applyAlignment="1">
      <alignment horizontal="left" wrapText="1"/>
    </xf>
    <xf numFmtId="0" fontId="7" fillId="0" borderId="23" xfId="0" applyFont="1" applyBorder="1" applyAlignment="1">
      <alignment horizontal="left" wrapText="1"/>
    </xf>
    <xf numFmtId="165" fontId="12" fillId="0" borderId="24" xfId="0" applyNumberFormat="1" applyFont="1" applyBorder="1"/>
    <xf numFmtId="0" fontId="7" fillId="3" borderId="19" xfId="0" applyFont="1" applyFill="1" applyBorder="1" applyAlignment="1">
      <alignment horizontal="left" wrapText="1"/>
    </xf>
    <xf numFmtId="165" fontId="12" fillId="3" borderId="20" xfId="0" applyNumberFormat="1" applyFont="1" applyFill="1" applyBorder="1"/>
    <xf numFmtId="10" fontId="0" fillId="0" borderId="0" xfId="0" applyNumberFormat="1"/>
    <xf numFmtId="0" fontId="24" fillId="0" borderId="0" xfId="0" applyFont="1"/>
    <xf numFmtId="0" fontId="25" fillId="4" borderId="0" xfId="0" applyFont="1" applyFill="1"/>
    <xf numFmtId="0" fontId="24" fillId="4" borderId="0" xfId="0" applyFont="1" applyFill="1"/>
    <xf numFmtId="0" fontId="11" fillId="0" borderId="0" xfId="0" applyFont="1" applyAlignment="1">
      <alignment wrapText="1"/>
    </xf>
    <xf numFmtId="0" fontId="9" fillId="0" borderId="25" xfId="0" applyFont="1" applyBorder="1"/>
    <xf numFmtId="43" fontId="9" fillId="0" borderId="25" xfId="0" applyNumberFormat="1" applyFont="1" applyBorder="1"/>
    <xf numFmtId="9" fontId="9" fillId="0" borderId="25" xfId="0" applyNumberFormat="1" applyFont="1" applyBorder="1"/>
    <xf numFmtId="0" fontId="9" fillId="0" borderId="26" xfId="0" applyFont="1" applyBorder="1"/>
    <xf numFmtId="43" fontId="9" fillId="0" borderId="26" xfId="0" applyNumberFormat="1" applyFont="1" applyBorder="1"/>
    <xf numFmtId="0" fontId="12" fillId="3" borderId="25" xfId="0" applyFont="1" applyFill="1" applyBorder="1"/>
    <xf numFmtId="43" fontId="12" fillId="3" borderId="25" xfId="0" applyNumberFormat="1" applyFont="1" applyFill="1" applyBorder="1"/>
    <xf numFmtId="43" fontId="12" fillId="12" borderId="0" xfId="0" applyNumberFormat="1" applyFont="1" applyFill="1"/>
    <xf numFmtId="43" fontId="12" fillId="12" borderId="25" xfId="0" applyNumberFormat="1" applyFont="1" applyFill="1" applyBorder="1" applyAlignment="1">
      <alignment horizontal="center"/>
    </xf>
    <xf numFmtId="164" fontId="9" fillId="0" borderId="25" xfId="0" applyNumberFormat="1" applyFont="1" applyBorder="1"/>
    <xf numFmtId="170" fontId="9" fillId="0" borderId="25" xfId="0" applyNumberFormat="1" applyFont="1" applyBorder="1" applyAlignment="1">
      <alignment horizontal="center"/>
    </xf>
    <xf numFmtId="10" fontId="9" fillId="0" borderId="25" xfId="0" applyNumberFormat="1" applyFont="1" applyBorder="1" applyAlignment="1">
      <alignment horizontal="center"/>
    </xf>
    <xf numFmtId="43" fontId="12" fillId="12" borderId="26" xfId="0" applyNumberFormat="1" applyFont="1" applyFill="1" applyBorder="1" applyAlignment="1">
      <alignment horizontal="center"/>
    </xf>
    <xf numFmtId="170" fontId="12" fillId="0" borderId="25" xfId="0" applyNumberFormat="1" applyFont="1" applyBorder="1" applyAlignment="1">
      <alignment horizontal="center"/>
    </xf>
    <xf numFmtId="170" fontId="9" fillId="0" borderId="0" xfId="0" applyNumberFormat="1" applyFont="1" applyAlignment="1">
      <alignment horizontal="right"/>
    </xf>
    <xf numFmtId="170" fontId="9" fillId="0" borderId="1" xfId="0" applyNumberFormat="1" applyFont="1" applyBorder="1" applyAlignment="1">
      <alignment horizontal="left"/>
    </xf>
    <xf numFmtId="0" fontId="0" fillId="0" borderId="1" xfId="0" applyBorder="1"/>
    <xf numFmtId="43" fontId="12" fillId="0" borderId="25" xfId="0" applyNumberFormat="1" applyFont="1" applyBorder="1"/>
    <xf numFmtId="9" fontId="12" fillId="3" borderId="25" xfId="0" applyNumberFormat="1" applyFont="1" applyFill="1" applyBorder="1"/>
    <xf numFmtId="0" fontId="12" fillId="3" borderId="25" xfId="0" applyFont="1" applyFill="1" applyBorder="1" applyAlignment="1">
      <alignment horizontal="center"/>
    </xf>
    <xf numFmtId="0" fontId="12" fillId="16" borderId="25" xfId="0" applyFont="1" applyFill="1" applyBorder="1" applyAlignment="1">
      <alignment horizontal="center"/>
    </xf>
    <xf numFmtId="170" fontId="12" fillId="16" borderId="25" xfId="0" applyNumberFormat="1" applyFont="1" applyFill="1" applyBorder="1" applyAlignment="1">
      <alignment horizontal="center"/>
    </xf>
    <xf numFmtId="164" fontId="0" fillId="0" borderId="0" xfId="0" applyNumberFormat="1"/>
    <xf numFmtId="10" fontId="9" fillId="0" borderId="0" xfId="0" applyNumberFormat="1" applyFont="1" applyAlignment="1">
      <alignment horizontal="center"/>
    </xf>
    <xf numFmtId="0" fontId="12" fillId="4" borderId="0" xfId="0" applyFont="1" applyFill="1" applyAlignment="1">
      <alignment horizontal="right"/>
    </xf>
    <xf numFmtId="165" fontId="9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0" fontId="12" fillId="4" borderId="8" xfId="0" applyFont="1" applyFill="1" applyBorder="1" applyAlignment="1">
      <alignment horizontal="left" vertical="center"/>
    </xf>
    <xf numFmtId="172" fontId="9" fillId="0" borderId="0" xfId="0" applyNumberFormat="1" applyFont="1" applyAlignment="1">
      <alignment horizontal="center"/>
    </xf>
    <xf numFmtId="0" fontId="12" fillId="4" borderId="8" xfId="0" applyFont="1" applyFill="1" applyBorder="1" applyAlignment="1">
      <alignment horizontal="center"/>
    </xf>
    <xf numFmtId="0" fontId="26" fillId="0" borderId="0" xfId="0" applyFont="1" applyAlignment="1">
      <alignment horizontal="right" wrapText="1"/>
    </xf>
    <xf numFmtId="165" fontId="26" fillId="0" borderId="0" xfId="0" applyNumberFormat="1" applyFont="1"/>
    <xf numFmtId="0" fontId="7" fillId="0" borderId="0" xfId="0" applyFont="1" applyAlignment="1">
      <alignment horizontal="right" wrapText="1"/>
    </xf>
    <xf numFmtId="165" fontId="12" fillId="8" borderId="0" xfId="0" applyNumberFormat="1" applyFont="1" applyFill="1" applyAlignment="1">
      <alignment horizontal="center"/>
    </xf>
    <xf numFmtId="165" fontId="12" fillId="12" borderId="0" xfId="0" applyNumberFormat="1" applyFont="1" applyFill="1" applyAlignment="1">
      <alignment horizontal="center"/>
    </xf>
    <xf numFmtId="165" fontId="12" fillId="0" borderId="0" xfId="0" applyNumberFormat="1" applyFont="1" applyAlignment="1">
      <alignment horizontal="center"/>
    </xf>
    <xf numFmtId="0" fontId="12" fillId="3" borderId="17" xfId="0" applyFont="1" applyFill="1" applyBorder="1" applyAlignment="1">
      <alignment horizontal="left" wrapText="1"/>
    </xf>
    <xf numFmtId="0" fontId="12" fillId="3" borderId="17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right" wrapText="1"/>
    </xf>
    <xf numFmtId="10" fontId="2" fillId="17" borderId="0" xfId="0" applyNumberFormat="1" applyFont="1" applyFill="1" applyAlignment="1">
      <alignment horizontal="center" wrapText="1"/>
    </xf>
    <xf numFmtId="0" fontId="27" fillId="0" borderId="0" xfId="0" applyFont="1" applyAlignment="1">
      <alignment wrapText="1"/>
    </xf>
    <xf numFmtId="165" fontId="12" fillId="0" borderId="8" xfId="0" applyNumberFormat="1" applyFont="1" applyBorder="1" applyAlignment="1">
      <alignment horizontal="center"/>
    </xf>
    <xf numFmtId="0" fontId="0" fillId="0" borderId="30" xfId="0" applyBorder="1"/>
    <xf numFmtId="0" fontId="0" fillId="0" borderId="31" xfId="0" applyBorder="1"/>
    <xf numFmtId="0" fontId="4" fillId="0" borderId="0" xfId="0" applyFont="1" applyAlignment="1">
      <alignment horizontal="left" wrapText="1"/>
    </xf>
    <xf numFmtId="0" fontId="4" fillId="12" borderId="0" xfId="0" applyFont="1" applyFill="1" applyAlignment="1">
      <alignment horizontal="left" wrapText="1"/>
    </xf>
    <xf numFmtId="14" fontId="4" fillId="16" borderId="0" xfId="0" applyNumberFormat="1" applyFont="1" applyFill="1" applyAlignment="1">
      <alignment horizontal="center" wrapText="1"/>
    </xf>
    <xf numFmtId="10" fontId="12" fillId="0" borderId="0" xfId="0" applyNumberFormat="1" applyFont="1" applyAlignment="1">
      <alignment horizontal="center"/>
    </xf>
    <xf numFmtId="0" fontId="21" fillId="0" borderId="30" xfId="0" applyFont="1" applyBorder="1" applyAlignment="1">
      <alignment horizontal="left" wrapText="1"/>
    </xf>
    <xf numFmtId="165" fontId="9" fillId="0" borderId="31" xfId="0" applyNumberFormat="1" applyFont="1" applyBorder="1"/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left" wrapText="1"/>
    </xf>
    <xf numFmtId="165" fontId="18" fillId="0" borderId="25" xfId="0" applyNumberFormat="1" applyFont="1" applyBorder="1" applyAlignment="1">
      <alignment horizontal="center"/>
    </xf>
    <xf numFmtId="10" fontId="18" fillId="0" borderId="25" xfId="0" applyNumberFormat="1" applyFont="1" applyBorder="1" applyAlignment="1">
      <alignment horizontal="center"/>
    </xf>
    <xf numFmtId="0" fontId="19" fillId="0" borderId="35" xfId="0" applyFont="1" applyBorder="1" applyAlignment="1">
      <alignment wrapText="1"/>
    </xf>
    <xf numFmtId="0" fontId="18" fillId="0" borderId="32" xfId="0" applyFont="1" applyBorder="1" applyAlignment="1">
      <alignment wrapText="1"/>
    </xf>
    <xf numFmtId="0" fontId="18" fillId="0" borderId="0" xfId="0" applyFont="1" applyAlignment="1">
      <alignment wrapText="1" readingOrder="1"/>
    </xf>
    <xf numFmtId="0" fontId="18" fillId="20" borderId="0" xfId="0" applyFont="1" applyFill="1" applyAlignment="1">
      <alignment wrapText="1" readingOrder="1"/>
    </xf>
    <xf numFmtId="0" fontId="18" fillId="0" borderId="0" xfId="0" quotePrefix="1" applyFont="1" applyAlignment="1">
      <alignment wrapText="1" readingOrder="1"/>
    </xf>
    <xf numFmtId="9" fontId="18" fillId="0" borderId="0" xfId="0" applyNumberFormat="1" applyFont="1" applyAlignment="1">
      <alignment wrapText="1" readingOrder="1"/>
    </xf>
    <xf numFmtId="0" fontId="19" fillId="0" borderId="0" xfId="0" applyFont="1" applyAlignment="1">
      <alignment wrapText="1" readingOrder="1"/>
    </xf>
    <xf numFmtId="0" fontId="19" fillId="20" borderId="36" xfId="0" applyFont="1" applyFill="1" applyBorder="1" applyAlignment="1">
      <alignment wrapText="1" readingOrder="1"/>
    </xf>
    <xf numFmtId="165" fontId="12" fillId="0" borderId="36" xfId="0" applyNumberFormat="1" applyFont="1" applyBorder="1" applyAlignment="1">
      <alignment horizontal="center"/>
    </xf>
    <xf numFmtId="0" fontId="18" fillId="0" borderId="0" xfId="0" applyFont="1" applyAlignment="1">
      <alignment horizontal="center" wrapText="1" readingOrder="1"/>
    </xf>
    <xf numFmtId="165" fontId="12" fillId="3" borderId="0" xfId="0" applyNumberFormat="1" applyFont="1" applyFill="1" applyAlignment="1">
      <alignment horizontal="center"/>
    </xf>
    <xf numFmtId="0" fontId="19" fillId="3" borderId="0" xfId="0" applyFont="1" applyFill="1" applyAlignment="1">
      <alignment horizontal="center" wrapText="1" readingOrder="1"/>
    </xf>
    <xf numFmtId="9" fontId="18" fillId="0" borderId="0" xfId="0" applyNumberFormat="1" applyFont="1" applyAlignment="1">
      <alignment horizontal="center" wrapText="1" readingOrder="1"/>
    </xf>
    <xf numFmtId="9" fontId="23" fillId="0" borderId="0" xfId="0" applyNumberFormat="1" applyFont="1" applyAlignment="1">
      <alignment horizontal="center" wrapText="1" readingOrder="1"/>
    </xf>
    <xf numFmtId="174" fontId="18" fillId="0" borderId="0" xfId="0" applyNumberFormat="1" applyFont="1" applyAlignment="1">
      <alignment horizontal="center" wrapText="1" readingOrder="1"/>
    </xf>
    <xf numFmtId="9" fontId="18" fillId="0" borderId="0" xfId="0" applyNumberFormat="1" applyFont="1" applyAlignment="1">
      <alignment horizontal="right" wrapText="1" readingOrder="1"/>
    </xf>
    <xf numFmtId="165" fontId="18" fillId="0" borderId="0" xfId="0" applyNumberFormat="1" applyFont="1" applyAlignment="1">
      <alignment wrapText="1" readingOrder="1"/>
    </xf>
    <xf numFmtId="9" fontId="19" fillId="12" borderId="0" xfId="0" applyNumberFormat="1" applyFont="1" applyFill="1" applyAlignment="1">
      <alignment wrapText="1" readingOrder="1"/>
    </xf>
    <xf numFmtId="165" fontId="9" fillId="0" borderId="0" xfId="0" applyNumberFormat="1" applyFont="1" applyAlignment="1">
      <alignment horizontal="right"/>
    </xf>
    <xf numFmtId="9" fontId="23" fillId="0" borderId="0" xfId="0" applyNumberFormat="1" applyFont="1" applyAlignment="1">
      <alignment horizontal="right" wrapText="1" readingOrder="1"/>
    </xf>
    <xf numFmtId="165" fontId="9" fillId="0" borderId="25" xfId="0" applyNumberFormat="1" applyFont="1" applyBorder="1" applyAlignment="1">
      <alignment horizontal="center"/>
    </xf>
    <xf numFmtId="0" fontId="21" fillId="0" borderId="0" xfId="0" applyFont="1" applyAlignment="1">
      <alignment horizontal="right" wrapText="1"/>
    </xf>
    <xf numFmtId="165" fontId="12" fillId="0" borderId="25" xfId="0" applyNumberFormat="1" applyFont="1" applyBorder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/>
    <xf numFmtId="165" fontId="9" fillId="2" borderId="0" xfId="0" applyNumberFormat="1" applyFont="1" applyFill="1" applyAlignment="1">
      <alignment horizontal="center"/>
    </xf>
    <xf numFmtId="0" fontId="0" fillId="4" borderId="0" xfId="0" applyFill="1"/>
    <xf numFmtId="165" fontId="12" fillId="5" borderId="0" xfId="0" applyNumberFormat="1" applyFont="1" applyFill="1" applyAlignment="1">
      <alignment horizontal="center"/>
    </xf>
    <xf numFmtId="0" fontId="9" fillId="0" borderId="0" xfId="0" applyFont="1" applyAlignment="1">
      <alignment horizontal="left" wrapText="1"/>
    </xf>
    <xf numFmtId="0" fontId="28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11" fillId="12" borderId="25" xfId="0" applyFont="1" applyFill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12" borderId="25" xfId="0" applyFont="1" applyFill="1" applyBorder="1" applyAlignment="1">
      <alignment horizontal="right" wrapText="1"/>
    </xf>
    <xf numFmtId="165" fontId="10" fillId="0" borderId="37" xfId="0" applyNumberFormat="1" applyFont="1" applyBorder="1" applyAlignment="1">
      <alignment horizontal="center"/>
    </xf>
    <xf numFmtId="165" fontId="10" fillId="0" borderId="25" xfId="0" applyNumberFormat="1" applyFont="1" applyBorder="1" applyAlignment="1">
      <alignment horizontal="center"/>
    </xf>
    <xf numFmtId="9" fontId="30" fillId="0" borderId="25" xfId="0" applyNumberFormat="1" applyFont="1" applyBorder="1" applyAlignment="1">
      <alignment horizontal="center" wrapText="1" readingOrder="1"/>
    </xf>
    <xf numFmtId="9" fontId="30" fillId="0" borderId="0" xfId="0" applyNumberFormat="1" applyFont="1" applyAlignment="1">
      <alignment horizontal="center" wrapText="1" readingOrder="1"/>
    </xf>
    <xf numFmtId="0" fontId="31" fillId="0" borderId="0" xfId="0" applyFont="1" applyAlignment="1">
      <alignment wrapText="1"/>
    </xf>
    <xf numFmtId="0" fontId="11" fillId="0" borderId="0" xfId="0" applyFont="1" applyAlignment="1">
      <alignment horizontal="right" wrapText="1"/>
    </xf>
    <xf numFmtId="10" fontId="10" fillId="0" borderId="0" xfId="0" applyNumberFormat="1" applyFont="1" applyAlignment="1">
      <alignment horizontal="center"/>
    </xf>
    <xf numFmtId="176" fontId="10" fillId="0" borderId="0" xfId="0" applyNumberFormat="1" applyFont="1" applyAlignment="1">
      <alignment horizontal="center"/>
    </xf>
    <xf numFmtId="0" fontId="11" fillId="3" borderId="0" xfId="0" applyFont="1" applyFill="1" applyAlignment="1">
      <alignment horizontal="right" wrapText="1"/>
    </xf>
    <xf numFmtId="10" fontId="10" fillId="3" borderId="0" xfId="0" applyNumberFormat="1" applyFont="1" applyFill="1" applyAlignment="1">
      <alignment horizontal="center"/>
    </xf>
    <xf numFmtId="177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right" wrapText="1"/>
    </xf>
    <xf numFmtId="165" fontId="11" fillId="3" borderId="0" xfId="0" applyNumberFormat="1" applyFont="1" applyFill="1" applyAlignment="1">
      <alignment horizontal="center"/>
    </xf>
    <xf numFmtId="0" fontId="10" fillId="5" borderId="0" xfId="0" applyFont="1" applyFill="1" applyAlignment="1">
      <alignment horizontal="right" wrapText="1"/>
    </xf>
    <xf numFmtId="165" fontId="10" fillId="5" borderId="0" xfId="0" applyNumberFormat="1" applyFont="1" applyFill="1" applyAlignment="1">
      <alignment horizontal="center"/>
    </xf>
    <xf numFmtId="0" fontId="11" fillId="2" borderId="39" xfId="0" applyFont="1" applyFill="1" applyBorder="1" applyAlignment="1">
      <alignment horizontal="right" wrapText="1"/>
    </xf>
    <xf numFmtId="10" fontId="11" fillId="2" borderId="40" xfId="0" applyNumberFormat="1" applyFont="1" applyFill="1" applyBorder="1" applyAlignment="1">
      <alignment horizontal="center"/>
    </xf>
    <xf numFmtId="0" fontId="11" fillId="0" borderId="8" xfId="0" applyFont="1" applyBorder="1" applyAlignment="1">
      <alignment horizontal="right" wrapText="1"/>
    </xf>
    <xf numFmtId="9" fontId="19" fillId="0" borderId="0" xfId="0" applyNumberFormat="1" applyFont="1" applyAlignment="1">
      <alignment horizontal="right" readingOrder="1"/>
    </xf>
    <xf numFmtId="9" fontId="19" fillId="0" borderId="0" xfId="0" applyNumberFormat="1" applyFont="1" applyAlignment="1">
      <alignment horizontal="right" wrapText="1" readingOrder="1"/>
    </xf>
    <xf numFmtId="0" fontId="19" fillId="0" borderId="0" xfId="0" applyFont="1" applyAlignment="1">
      <alignment horizontal="center" wrapText="1" readingOrder="1"/>
    </xf>
    <xf numFmtId="0" fontId="10" fillId="0" borderId="0" xfId="0" applyFont="1" applyAlignment="1">
      <alignment horizontal="right"/>
    </xf>
    <xf numFmtId="0" fontId="10" fillId="0" borderId="2" xfId="0" applyFont="1" applyBorder="1" applyAlignment="1">
      <alignment horizontal="center"/>
    </xf>
    <xf numFmtId="10" fontId="10" fillId="0" borderId="0" xfId="4" applyNumberFormat="1" applyFont="1" applyAlignment="1">
      <alignment horizontal="center"/>
    </xf>
    <xf numFmtId="0" fontId="10" fillId="0" borderId="28" xfId="0" applyFont="1" applyBorder="1" applyAlignment="1">
      <alignment horizontal="right"/>
    </xf>
    <xf numFmtId="10" fontId="10" fillId="0" borderId="41" xfId="4" applyNumberFormat="1" applyFont="1" applyBorder="1" applyAlignment="1">
      <alignment horizontal="center"/>
    </xf>
    <xf numFmtId="176" fontId="10" fillId="0" borderId="2" xfId="0" applyNumberFormat="1" applyFont="1" applyBorder="1" applyAlignment="1">
      <alignment horizontal="center"/>
    </xf>
    <xf numFmtId="10" fontId="18" fillId="0" borderId="0" xfId="0" applyNumberFormat="1" applyFont="1" applyAlignment="1">
      <alignment horizontal="center"/>
    </xf>
    <xf numFmtId="0" fontId="19" fillId="12" borderId="15" xfId="0" applyFont="1" applyFill="1" applyBorder="1" applyAlignment="1">
      <alignment horizontal="right"/>
    </xf>
    <xf numFmtId="0" fontId="32" fillId="0" borderId="0" xfId="0" applyFont="1"/>
    <xf numFmtId="165" fontId="18" fillId="0" borderId="43" xfId="0" applyNumberFormat="1" applyFont="1" applyBorder="1" applyAlignment="1">
      <alignment horizontal="center"/>
    </xf>
    <xf numFmtId="10" fontId="18" fillId="0" borderId="1" xfId="0" applyNumberFormat="1" applyFont="1" applyBorder="1" applyAlignment="1">
      <alignment horizontal="center"/>
    </xf>
    <xf numFmtId="165" fontId="18" fillId="0" borderId="44" xfId="0" applyNumberFormat="1" applyFont="1" applyBorder="1" applyAlignment="1">
      <alignment horizontal="center"/>
    </xf>
    <xf numFmtId="0" fontId="19" fillId="12" borderId="34" xfId="0" applyFont="1" applyFill="1" applyBorder="1" applyAlignment="1">
      <alignment horizontal="right"/>
    </xf>
    <xf numFmtId="0" fontId="19" fillId="12" borderId="45" xfId="0" applyFont="1" applyFill="1" applyBorder="1"/>
    <xf numFmtId="0" fontId="19" fillId="12" borderId="26" xfId="0" applyFont="1" applyFill="1" applyBorder="1"/>
    <xf numFmtId="0" fontId="19" fillId="12" borderId="25" xfId="0" applyFont="1" applyFill="1" applyBorder="1"/>
    <xf numFmtId="0" fontId="19" fillId="12" borderId="38" xfId="0" applyFont="1" applyFill="1" applyBorder="1"/>
    <xf numFmtId="0" fontId="19" fillId="12" borderId="34" xfId="0" applyFont="1" applyFill="1" applyBorder="1"/>
    <xf numFmtId="165" fontId="18" fillId="21" borderId="25" xfId="0" applyNumberFormat="1" applyFont="1" applyFill="1" applyBorder="1" applyAlignment="1">
      <alignment horizontal="center"/>
    </xf>
    <xf numFmtId="0" fontId="33" fillId="0" borderId="25" xfId="0" applyFont="1" applyBorder="1" applyAlignment="1">
      <alignment wrapText="1"/>
    </xf>
    <xf numFmtId="10" fontId="33" fillId="0" borderId="25" xfId="0" applyNumberFormat="1" applyFont="1" applyBorder="1" applyAlignment="1">
      <alignment wrapText="1"/>
    </xf>
    <xf numFmtId="9" fontId="33" fillId="0" borderId="25" xfId="0" applyNumberFormat="1" applyFont="1" applyBorder="1" applyAlignment="1">
      <alignment wrapText="1"/>
    </xf>
    <xf numFmtId="0" fontId="19" fillId="12" borderId="25" xfId="0" applyFont="1" applyFill="1" applyBorder="1" applyAlignment="1">
      <alignment horizontal="center"/>
    </xf>
    <xf numFmtId="0" fontId="33" fillId="0" borderId="25" xfId="0" applyFont="1" applyBorder="1" applyAlignment="1">
      <alignment horizontal="center" wrapText="1"/>
    </xf>
    <xf numFmtId="10" fontId="33" fillId="0" borderId="25" xfId="0" applyNumberFormat="1" applyFont="1" applyBorder="1" applyAlignment="1">
      <alignment horizontal="center" wrapText="1"/>
    </xf>
    <xf numFmtId="9" fontId="33" fillId="0" borderId="25" xfId="0" applyNumberFormat="1" applyFont="1" applyBorder="1" applyAlignment="1">
      <alignment horizontal="center" wrapText="1"/>
    </xf>
    <xf numFmtId="0" fontId="19" fillId="12" borderId="26" xfId="0" applyFont="1" applyFill="1" applyBorder="1" applyAlignment="1">
      <alignment horizontal="center"/>
    </xf>
    <xf numFmtId="0" fontId="19" fillId="4" borderId="0" xfId="0" applyFont="1" applyFill="1"/>
    <xf numFmtId="10" fontId="33" fillId="0" borderId="37" xfId="0" applyNumberFormat="1" applyFont="1" applyBorder="1" applyAlignment="1">
      <alignment horizontal="center" wrapText="1"/>
    </xf>
    <xf numFmtId="0" fontId="19" fillId="12" borderId="37" xfId="0" applyFont="1" applyFill="1" applyBorder="1" applyAlignment="1">
      <alignment horizontal="center"/>
    </xf>
    <xf numFmtId="0" fontId="19" fillId="12" borderId="34" xfId="0" applyFont="1" applyFill="1" applyBorder="1" applyAlignment="1">
      <alignment horizontal="center"/>
    </xf>
    <xf numFmtId="10" fontId="33" fillId="0" borderId="42" xfId="0" applyNumberFormat="1" applyFont="1" applyBorder="1" applyAlignment="1">
      <alignment horizontal="center" wrapText="1"/>
    </xf>
    <xf numFmtId="10" fontId="33" fillId="0" borderId="44" xfId="0" applyNumberFormat="1" applyFont="1" applyBorder="1" applyAlignment="1">
      <alignment horizontal="center" wrapText="1"/>
    </xf>
    <xf numFmtId="10" fontId="33" fillId="0" borderId="43" xfId="0" applyNumberFormat="1" applyFont="1" applyBorder="1" applyAlignment="1">
      <alignment horizontal="center" wrapText="1"/>
    </xf>
    <xf numFmtId="10" fontId="34" fillId="0" borderId="25" xfId="0" applyNumberFormat="1" applyFont="1" applyBorder="1" applyAlignment="1">
      <alignment horizontal="center" wrapText="1"/>
    </xf>
    <xf numFmtId="9" fontId="33" fillId="4" borderId="0" xfId="0" applyNumberFormat="1" applyFont="1" applyFill="1" applyAlignment="1">
      <alignment wrapText="1"/>
    </xf>
    <xf numFmtId="10" fontId="33" fillId="4" borderId="0" xfId="0" applyNumberFormat="1" applyFont="1" applyFill="1" applyAlignment="1">
      <alignment wrapText="1"/>
    </xf>
    <xf numFmtId="0" fontId="18" fillId="0" borderId="25" xfId="0" applyFont="1" applyBorder="1"/>
    <xf numFmtId="0" fontId="33" fillId="0" borderId="37" xfId="0" applyFont="1" applyBorder="1" applyAlignment="1">
      <alignment wrapText="1"/>
    </xf>
    <xf numFmtId="0" fontId="9" fillId="0" borderId="27" xfId="0" applyFont="1" applyBorder="1" applyAlignment="1">
      <alignment vertical="center"/>
    </xf>
    <xf numFmtId="0" fontId="9" fillId="0" borderId="27" xfId="0" applyFont="1" applyBorder="1" applyAlignment="1">
      <alignment vertical="center" wrapText="1"/>
    </xf>
    <xf numFmtId="0" fontId="36" fillId="0" borderId="0" xfId="0" applyFont="1"/>
    <xf numFmtId="0" fontId="10" fillId="0" borderId="0" xfId="0" applyFont="1" applyAlignment="1">
      <alignment vertical="center" wrapText="1"/>
    </xf>
    <xf numFmtId="0" fontId="12" fillId="0" borderId="8" xfId="0" applyFont="1" applyBorder="1" applyAlignment="1">
      <alignment horizontal="left" wrapText="1"/>
    </xf>
    <xf numFmtId="0" fontId="10" fillId="0" borderId="0" xfId="0" applyFont="1" applyAlignment="1">
      <alignment horizontal="justify" vertical="center" wrapText="1"/>
    </xf>
    <xf numFmtId="3" fontId="10" fillId="0" borderId="0" xfId="0" applyNumberFormat="1" applyFont="1" applyAlignment="1">
      <alignment horizontal="justify" vertical="center" wrapText="1"/>
    </xf>
    <xf numFmtId="3" fontId="10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2" fillId="17" borderId="0" xfId="0" applyFont="1" applyFill="1" applyAlignment="1">
      <alignment horizontal="left" wrapText="1"/>
    </xf>
    <xf numFmtId="165" fontId="12" fillId="17" borderId="0" xfId="0" applyNumberFormat="1" applyFont="1" applyFill="1" applyAlignment="1">
      <alignment horizontal="center"/>
    </xf>
    <xf numFmtId="0" fontId="7" fillId="17" borderId="26" xfId="0" applyFont="1" applyFill="1" applyBorder="1" applyAlignment="1">
      <alignment horizontal="center" wrapText="1"/>
    </xf>
    <xf numFmtId="0" fontId="7" fillId="17" borderId="43" xfId="0" applyFont="1" applyFill="1" applyBorder="1" applyAlignment="1">
      <alignment horizontal="center" wrapText="1"/>
    </xf>
    <xf numFmtId="0" fontId="22" fillId="17" borderId="26" xfId="0" applyFont="1" applyFill="1" applyBorder="1" applyAlignment="1">
      <alignment horizontal="center" wrapText="1"/>
    </xf>
    <xf numFmtId="165" fontId="12" fillId="17" borderId="27" xfId="0" applyNumberFormat="1" applyFont="1" applyFill="1" applyBorder="1" applyAlignment="1">
      <alignment horizontal="center"/>
    </xf>
    <xf numFmtId="0" fontId="7" fillId="0" borderId="27" xfId="0" applyFont="1" applyBorder="1" applyAlignment="1">
      <alignment horizontal="right" wrapText="1"/>
    </xf>
    <xf numFmtId="0" fontId="7" fillId="17" borderId="44" xfId="0" applyFont="1" applyFill="1" applyBorder="1" applyAlignment="1">
      <alignment horizontal="center" wrapText="1"/>
    </xf>
    <xf numFmtId="165" fontId="9" fillId="17" borderId="44" xfId="0" applyNumberFormat="1" applyFont="1" applyFill="1" applyBorder="1" applyAlignment="1">
      <alignment horizontal="center"/>
    </xf>
    <xf numFmtId="165" fontId="12" fillId="17" borderId="41" xfId="0" applyNumberFormat="1" applyFont="1" applyFill="1" applyBorder="1" applyAlignment="1">
      <alignment horizontal="center"/>
    </xf>
    <xf numFmtId="0" fontId="7" fillId="0" borderId="27" xfId="0" applyFont="1" applyBorder="1" applyAlignment="1">
      <alignment horizontal="left" wrapText="1"/>
    </xf>
    <xf numFmtId="165" fontId="12" fillId="0" borderId="27" xfId="0" applyNumberFormat="1" applyFont="1" applyBorder="1" applyAlignment="1">
      <alignment horizontal="center"/>
    </xf>
    <xf numFmtId="0" fontId="4" fillId="12" borderId="27" xfId="0" applyFont="1" applyFill="1" applyBorder="1" applyAlignment="1">
      <alignment horizontal="left" wrapText="1"/>
    </xf>
    <xf numFmtId="0" fontId="7" fillId="12" borderId="27" xfId="0" applyFont="1" applyFill="1" applyBorder="1" applyAlignment="1">
      <alignment horizontal="center" wrapText="1"/>
    </xf>
    <xf numFmtId="0" fontId="2" fillId="0" borderId="27" xfId="0" applyFont="1" applyBorder="1" applyAlignment="1">
      <alignment horizontal="left" wrapText="1"/>
    </xf>
    <xf numFmtId="165" fontId="9" fillId="0" borderId="27" xfId="0" applyNumberFormat="1" applyFont="1" applyBorder="1" applyAlignment="1">
      <alignment horizontal="center"/>
    </xf>
    <xf numFmtId="0" fontId="2" fillId="17" borderId="27" xfId="0" applyFont="1" applyFill="1" applyBorder="1" applyAlignment="1">
      <alignment horizontal="left" wrapText="1"/>
    </xf>
    <xf numFmtId="165" fontId="9" fillId="17" borderId="27" xfId="0" applyNumberFormat="1" applyFont="1" applyFill="1" applyBorder="1" applyAlignment="1">
      <alignment horizontal="center"/>
    </xf>
    <xf numFmtId="0" fontId="25" fillId="12" borderId="0" xfId="0" applyFont="1" applyFill="1" applyAlignment="1">
      <alignment horizontal="left" wrapText="1"/>
    </xf>
    <xf numFmtId="14" fontId="25" fillId="16" borderId="0" xfId="0" applyNumberFormat="1" applyFont="1" applyFill="1" applyAlignment="1">
      <alignment horizontal="center" wrapText="1"/>
    </xf>
    <xf numFmtId="0" fontId="38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  <xf numFmtId="9" fontId="38" fillId="0" borderId="0" xfId="0" applyNumberFormat="1" applyFont="1" applyAlignment="1">
      <alignment horizontal="center" wrapText="1" readingOrder="1"/>
    </xf>
    <xf numFmtId="165" fontId="24" fillId="0" borderId="0" xfId="0" applyNumberFormat="1" applyFont="1"/>
    <xf numFmtId="165" fontId="11" fillId="12" borderId="0" xfId="0" applyNumberFormat="1" applyFont="1" applyFill="1" applyAlignment="1">
      <alignment horizontal="center"/>
    </xf>
    <xf numFmtId="0" fontId="25" fillId="8" borderId="0" xfId="0" applyFont="1" applyFill="1" applyAlignment="1">
      <alignment horizontal="left" wrapText="1"/>
    </xf>
    <xf numFmtId="165" fontId="11" fillId="8" borderId="0" xfId="0" applyNumberFormat="1" applyFont="1" applyFill="1" applyAlignment="1">
      <alignment horizontal="center"/>
    </xf>
    <xf numFmtId="0" fontId="24" fillId="0" borderId="0" xfId="0" applyFont="1" applyAlignment="1">
      <alignment horizontal="center"/>
    </xf>
    <xf numFmtId="0" fontId="25" fillId="18" borderId="0" xfId="0" applyFont="1" applyFill="1" applyAlignment="1">
      <alignment horizontal="left" wrapText="1"/>
    </xf>
    <xf numFmtId="165" fontId="11" fillId="18" borderId="0" xfId="0" applyNumberFormat="1" applyFont="1" applyFill="1" applyAlignment="1">
      <alignment horizontal="center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8" borderId="0" xfId="0" applyFont="1" applyFill="1" applyAlignment="1">
      <alignment horizontal="left" wrapText="1"/>
    </xf>
    <xf numFmtId="0" fontId="11" fillId="12" borderId="0" xfId="0" applyFont="1" applyFill="1" applyAlignment="1">
      <alignment horizontal="left" wrapText="1"/>
    </xf>
    <xf numFmtId="10" fontId="11" fillId="19" borderId="0" xfId="0" applyNumberFormat="1" applyFont="1" applyFill="1" applyAlignment="1">
      <alignment horizontal="center"/>
    </xf>
    <xf numFmtId="10" fontId="24" fillId="0" borderId="0" xfId="0" applyNumberFormat="1" applyFont="1"/>
    <xf numFmtId="14" fontId="11" fillId="16" borderId="0" xfId="0" applyNumberFormat="1" applyFont="1" applyFill="1" applyAlignment="1">
      <alignment horizontal="center" wrapText="1"/>
    </xf>
    <xf numFmtId="165" fontId="10" fillId="0" borderId="2" xfId="0" applyNumberFormat="1" applyFont="1" applyBorder="1" applyAlignment="1">
      <alignment horizontal="center"/>
    </xf>
    <xf numFmtId="10" fontId="11" fillId="0" borderId="0" xfId="4" applyNumberFormat="1" applyFont="1" applyAlignment="1">
      <alignment horizontal="center"/>
    </xf>
    <xf numFmtId="10" fontId="11" fillId="0" borderId="27" xfId="4" applyNumberFormat="1" applyFont="1" applyBorder="1" applyAlignment="1">
      <alignment horizontal="center"/>
    </xf>
    <xf numFmtId="0" fontId="11" fillId="17" borderId="0" xfId="0" applyFont="1" applyFill="1" applyAlignment="1">
      <alignment horizontal="left"/>
    </xf>
    <xf numFmtId="0" fontId="11" fillId="5" borderId="0" xfId="0" applyFont="1" applyFill="1" applyAlignment="1">
      <alignment horizontal="left"/>
    </xf>
    <xf numFmtId="0" fontId="11" fillId="0" borderId="2" xfId="0" applyFont="1" applyBorder="1" applyAlignment="1">
      <alignment horizontal="left" wrapText="1"/>
    </xf>
    <xf numFmtId="165" fontId="11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 wrapText="1"/>
    </xf>
    <xf numFmtId="165" fontId="10" fillId="0" borderId="43" xfId="0" applyNumberFormat="1" applyFont="1" applyBorder="1" applyAlignment="1">
      <alignment horizontal="center"/>
    </xf>
    <xf numFmtId="10" fontId="9" fillId="0" borderId="0" xfId="0" applyNumberFormat="1" applyFont="1"/>
    <xf numFmtId="170" fontId="9" fillId="0" borderId="25" xfId="0" applyNumberFormat="1" applyFont="1" applyBorder="1"/>
    <xf numFmtId="170" fontId="9" fillId="0" borderId="0" xfId="0" applyNumberFormat="1" applyFont="1"/>
    <xf numFmtId="3" fontId="0" fillId="0" borderId="0" xfId="0" applyNumberFormat="1"/>
    <xf numFmtId="3" fontId="10" fillId="0" borderId="45" xfId="0" applyNumberFormat="1" applyFont="1" applyBorder="1" applyAlignment="1">
      <alignment horizontal="center" vertical="center" wrapText="1"/>
    </xf>
    <xf numFmtId="3" fontId="11" fillId="4" borderId="0" xfId="0" applyNumberFormat="1" applyFont="1" applyFill="1" applyAlignment="1">
      <alignment horizontal="justify" vertical="center" wrapText="1"/>
    </xf>
    <xf numFmtId="3" fontId="11" fillId="4" borderId="0" xfId="0" applyNumberFormat="1" applyFont="1" applyFill="1" applyAlignment="1">
      <alignment horizontal="right" vertical="center"/>
    </xf>
    <xf numFmtId="3" fontId="11" fillId="4" borderId="0" xfId="0" applyNumberFormat="1" applyFont="1" applyFill="1" applyAlignment="1">
      <alignment horizontal="center" vertical="center" wrapText="1"/>
    </xf>
    <xf numFmtId="3" fontId="10" fillId="0" borderId="43" xfId="0" applyNumberFormat="1" applyFont="1" applyBorder="1" applyAlignment="1">
      <alignment horizontal="center" vertical="center" wrapText="1"/>
    </xf>
    <xf numFmtId="9" fontId="19" fillId="0" borderId="25" xfId="0" applyNumberFormat="1" applyFont="1" applyBorder="1" applyAlignment="1">
      <alignment horizontal="right" readingOrder="1"/>
    </xf>
    <xf numFmtId="9" fontId="19" fillId="0" borderId="25" xfId="0" applyNumberFormat="1" applyFont="1" applyBorder="1" applyAlignment="1">
      <alignment horizontal="right" wrapText="1" readingOrder="1"/>
    </xf>
    <xf numFmtId="165" fontId="18" fillId="0" borderId="25" xfId="0" applyNumberFormat="1" applyFont="1" applyBorder="1" applyAlignment="1">
      <alignment wrapText="1" readingOrder="1"/>
    </xf>
    <xf numFmtId="165" fontId="12" fillId="3" borderId="9" xfId="0" applyNumberFormat="1" applyFont="1" applyFill="1" applyBorder="1" applyAlignment="1">
      <alignment horizontal="center"/>
    </xf>
    <xf numFmtId="0" fontId="19" fillId="3" borderId="62" xfId="0" applyFont="1" applyFill="1" applyBorder="1" applyAlignment="1">
      <alignment horizontal="center" wrapText="1" readingOrder="1"/>
    </xf>
    <xf numFmtId="165" fontId="9" fillId="0" borderId="11" xfId="0" applyNumberFormat="1" applyFont="1" applyBorder="1" applyAlignment="1">
      <alignment horizontal="right"/>
    </xf>
    <xf numFmtId="9" fontId="23" fillId="0" borderId="11" xfId="0" applyNumberFormat="1" applyFont="1" applyBorder="1" applyAlignment="1">
      <alignment horizontal="right" wrapText="1" readingOrder="1"/>
    </xf>
    <xf numFmtId="9" fontId="18" fillId="0" borderId="11" xfId="0" applyNumberFormat="1" applyFont="1" applyBorder="1" applyAlignment="1">
      <alignment horizontal="right" wrapText="1" readingOrder="1"/>
    </xf>
    <xf numFmtId="9" fontId="19" fillId="12" borderId="13" xfId="0" applyNumberFormat="1" applyFont="1" applyFill="1" applyBorder="1" applyAlignment="1">
      <alignment wrapText="1" readingOrder="1"/>
    </xf>
    <xf numFmtId="165" fontId="12" fillId="12" borderId="8" xfId="0" applyNumberFormat="1" applyFont="1" applyFill="1" applyBorder="1" applyAlignment="1">
      <alignment horizontal="center"/>
    </xf>
    <xf numFmtId="0" fontId="19" fillId="3" borderId="5" xfId="0" applyFont="1" applyFill="1" applyBorder="1" applyAlignment="1">
      <alignment horizontal="center" wrapText="1" readingOrder="1"/>
    </xf>
    <xf numFmtId="165" fontId="9" fillId="0" borderId="6" xfId="0" applyNumberFormat="1" applyFont="1" applyBorder="1" applyAlignment="1">
      <alignment horizontal="center"/>
    </xf>
    <xf numFmtId="9" fontId="18" fillId="0" borderId="6" xfId="0" applyNumberFormat="1" applyFont="1" applyBorder="1" applyAlignment="1">
      <alignment horizontal="center" wrapText="1" readingOrder="1"/>
    </xf>
    <xf numFmtId="0" fontId="18" fillId="0" borderId="6" xfId="0" applyFont="1" applyBorder="1" applyAlignment="1">
      <alignment wrapText="1" readingOrder="1"/>
    </xf>
    <xf numFmtId="0" fontId="18" fillId="0" borderId="7" xfId="0" applyFont="1" applyBorder="1" applyAlignment="1">
      <alignment wrapText="1" readingOrder="1"/>
    </xf>
    <xf numFmtId="0" fontId="19" fillId="0" borderId="25" xfId="0" applyFont="1" applyBorder="1" applyAlignment="1">
      <alignment horizontal="right" wrapText="1" readingOrder="1"/>
    </xf>
    <xf numFmtId="9" fontId="18" fillId="0" borderId="25" xfId="0" applyNumberFormat="1" applyFont="1" applyBorder="1" applyAlignment="1">
      <alignment horizontal="center" wrapText="1" readingOrder="1"/>
    </xf>
    <xf numFmtId="165" fontId="9" fillId="0" borderId="25" xfId="0" applyNumberFormat="1" applyFont="1" applyBorder="1" applyAlignment="1">
      <alignment horizontal="right"/>
    </xf>
    <xf numFmtId="10" fontId="18" fillId="0" borderId="25" xfId="0" applyNumberFormat="1" applyFont="1" applyBorder="1" applyAlignment="1">
      <alignment horizontal="center" wrapText="1" readingOrder="1"/>
    </xf>
    <xf numFmtId="165" fontId="9" fillId="0" borderId="34" xfId="0" applyNumberFormat="1" applyFont="1" applyBorder="1" applyAlignment="1">
      <alignment horizontal="right"/>
    </xf>
    <xf numFmtId="9" fontId="18" fillId="0" borderId="34" xfId="0" applyNumberFormat="1" applyFont="1" applyBorder="1" applyAlignment="1">
      <alignment horizontal="center" wrapText="1" readingOrder="1"/>
    </xf>
    <xf numFmtId="165" fontId="18" fillId="0" borderId="25" xfId="0" applyNumberFormat="1" applyFont="1" applyBorder="1" applyAlignment="1">
      <alignment horizontal="center" wrapText="1" readingOrder="1"/>
    </xf>
    <xf numFmtId="0" fontId="11" fillId="0" borderId="0" xfId="0" applyFont="1" applyAlignment="1">
      <alignment horizontal="right"/>
    </xf>
    <xf numFmtId="0" fontId="11" fillId="12" borderId="25" xfId="0" applyFont="1" applyFill="1" applyBorder="1" applyAlignment="1">
      <alignment horizontal="center"/>
    </xf>
    <xf numFmtId="2" fontId="11" fillId="12" borderId="25" xfId="0" applyNumberFormat="1" applyFont="1" applyFill="1" applyBorder="1" applyAlignment="1">
      <alignment horizontal="center"/>
    </xf>
    <xf numFmtId="165" fontId="11" fillId="0" borderId="25" xfId="0" applyNumberFormat="1" applyFont="1" applyBorder="1" applyAlignment="1">
      <alignment horizontal="center"/>
    </xf>
    <xf numFmtId="10" fontId="11" fillId="0" borderId="25" xfId="0" applyNumberFormat="1" applyFont="1" applyBorder="1" applyAlignment="1">
      <alignment horizontal="center"/>
    </xf>
    <xf numFmtId="165" fontId="11" fillId="0" borderId="37" xfId="0" applyNumberFormat="1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176" fontId="10" fillId="0" borderId="43" xfId="0" applyNumberFormat="1" applyFont="1" applyBorder="1" applyAlignment="1">
      <alignment horizontal="center"/>
    </xf>
    <xf numFmtId="176" fontId="10" fillId="0" borderId="44" xfId="0" applyNumberFormat="1" applyFont="1" applyBorder="1" applyAlignment="1">
      <alignment horizontal="center"/>
    </xf>
    <xf numFmtId="176" fontId="10" fillId="0" borderId="45" xfId="0" applyNumberFormat="1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176" fontId="10" fillId="0" borderId="63" xfId="0" applyNumberFormat="1" applyFont="1" applyBorder="1" applyAlignment="1">
      <alignment horizontal="center"/>
    </xf>
    <xf numFmtId="0" fontId="10" fillId="0" borderId="63" xfId="0" applyFont="1" applyBorder="1" applyAlignment="1">
      <alignment horizontal="center"/>
    </xf>
    <xf numFmtId="0" fontId="10" fillId="0" borderId="57" xfId="0" applyFont="1" applyBorder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60" xfId="0" applyFont="1" applyBorder="1" applyAlignment="1">
      <alignment horizontal="right"/>
    </xf>
    <xf numFmtId="165" fontId="10" fillId="0" borderId="42" xfId="0" applyNumberFormat="1" applyFont="1" applyBorder="1" applyAlignment="1">
      <alignment horizontal="center"/>
    </xf>
    <xf numFmtId="0" fontId="11" fillId="0" borderId="63" xfId="0" applyFont="1" applyBorder="1" applyAlignment="1">
      <alignment horizontal="right"/>
    </xf>
    <xf numFmtId="0" fontId="11" fillId="0" borderId="57" xfId="0" applyFont="1" applyBorder="1" applyAlignment="1">
      <alignment horizontal="right"/>
    </xf>
    <xf numFmtId="165" fontId="10" fillId="0" borderId="44" xfId="0" applyNumberFormat="1" applyFont="1" applyBorder="1" applyAlignment="1">
      <alignment horizontal="center"/>
    </xf>
    <xf numFmtId="10" fontId="10" fillId="0" borderId="44" xfId="0" applyNumberFormat="1" applyFont="1" applyBorder="1" applyAlignment="1">
      <alignment horizontal="center"/>
    </xf>
    <xf numFmtId="10" fontId="10" fillId="0" borderId="43" xfId="0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176" fontId="10" fillId="0" borderId="42" xfId="0" applyNumberFormat="1" applyFont="1" applyBorder="1" applyAlignment="1">
      <alignment horizontal="center" vertical="center"/>
    </xf>
    <xf numFmtId="176" fontId="10" fillId="0" borderId="44" xfId="0" applyNumberFormat="1" applyFont="1" applyBorder="1" applyAlignment="1">
      <alignment horizontal="center" vertical="center"/>
    </xf>
    <xf numFmtId="165" fontId="10" fillId="0" borderId="0" xfId="0" applyNumberFormat="1" applyFont="1" applyAlignment="1">
      <alignment horizontal="center" vertical="center"/>
    </xf>
    <xf numFmtId="176" fontId="10" fillId="0" borderId="43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176" fontId="10" fillId="0" borderId="6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8" fontId="0" fillId="0" borderId="0" xfId="0" applyNumberFormat="1"/>
    <xf numFmtId="179" fontId="0" fillId="0" borderId="0" xfId="0" applyNumberFormat="1"/>
    <xf numFmtId="180" fontId="11" fillId="0" borderId="0" xfId="0" applyNumberFormat="1" applyFont="1" applyAlignment="1">
      <alignment horizontal="center"/>
    </xf>
    <xf numFmtId="180" fontId="11" fillId="0" borderId="63" xfId="0" applyNumberFormat="1" applyFont="1" applyBorder="1" applyAlignment="1">
      <alignment horizontal="center"/>
    </xf>
    <xf numFmtId="180" fontId="11" fillId="0" borderId="43" xfId="0" applyNumberFormat="1" applyFont="1" applyBorder="1" applyAlignment="1">
      <alignment horizontal="center"/>
    </xf>
    <xf numFmtId="176" fontId="10" fillId="0" borderId="60" xfId="0" applyNumberFormat="1" applyFont="1" applyBorder="1" applyAlignment="1">
      <alignment horizontal="center" vertical="center"/>
    </xf>
    <xf numFmtId="176" fontId="10" fillId="0" borderId="63" xfId="0" applyNumberFormat="1" applyFont="1" applyBorder="1" applyAlignment="1">
      <alignment horizontal="center" vertical="center"/>
    </xf>
    <xf numFmtId="176" fontId="10" fillId="0" borderId="57" xfId="0" applyNumberFormat="1" applyFont="1" applyBorder="1" applyAlignment="1">
      <alignment horizontal="center" vertical="center"/>
    </xf>
    <xf numFmtId="165" fontId="10" fillId="0" borderId="61" xfId="0" applyNumberFormat="1" applyFont="1" applyBorder="1" applyAlignment="1">
      <alignment horizontal="center"/>
    </xf>
    <xf numFmtId="176" fontId="10" fillId="0" borderId="1" xfId="0" applyNumberFormat="1" applyFont="1" applyBorder="1" applyAlignment="1">
      <alignment horizontal="center"/>
    </xf>
    <xf numFmtId="0" fontId="11" fillId="0" borderId="8" xfId="0" applyFont="1" applyBorder="1" applyAlignment="1">
      <alignment horizontal="right"/>
    </xf>
    <xf numFmtId="0" fontId="39" fillId="0" borderId="8" xfId="0" applyFont="1" applyBorder="1" applyAlignment="1">
      <alignment horizontal="right"/>
    </xf>
    <xf numFmtId="9" fontId="0" fillId="0" borderId="0" xfId="4" applyFont="1"/>
    <xf numFmtId="165" fontId="11" fillId="0" borderId="0" xfId="0" applyNumberFormat="1" applyFont="1" applyAlignment="1">
      <alignment horizontal="center" vertical="center"/>
    </xf>
    <xf numFmtId="165" fontId="11" fillId="0" borderId="17" xfId="0" applyNumberFormat="1" applyFont="1" applyBorder="1" applyAlignment="1">
      <alignment horizontal="center"/>
    </xf>
    <xf numFmtId="10" fontId="11" fillId="0" borderId="17" xfId="0" applyNumberFormat="1" applyFont="1" applyBorder="1" applyAlignment="1">
      <alignment horizontal="center"/>
    </xf>
    <xf numFmtId="0" fontId="36" fillId="0" borderId="17" xfId="0" applyFont="1" applyBorder="1"/>
    <xf numFmtId="167" fontId="10" fillId="0" borderId="0" xfId="0" applyNumberFormat="1" applyFont="1" applyAlignment="1">
      <alignment horizontal="center"/>
    </xf>
    <xf numFmtId="165" fontId="11" fillId="22" borderId="0" xfId="0" applyNumberFormat="1" applyFont="1" applyFill="1" applyAlignment="1">
      <alignment horizontal="center"/>
    </xf>
    <xf numFmtId="165" fontId="11" fillId="17" borderId="0" xfId="0" applyNumberFormat="1" applyFont="1" applyFill="1" applyAlignment="1">
      <alignment horizontal="center"/>
    </xf>
    <xf numFmtId="165" fontId="10" fillId="17" borderId="0" xfId="0" applyNumberFormat="1" applyFont="1" applyFill="1" applyAlignment="1">
      <alignment horizontal="center"/>
    </xf>
    <xf numFmtId="0" fontId="12" fillId="0" borderId="2" xfId="0" applyFont="1" applyBorder="1"/>
    <xf numFmtId="0" fontId="10" fillId="0" borderId="2" xfId="0" applyFont="1" applyBorder="1"/>
    <xf numFmtId="0" fontId="0" fillId="0" borderId="2" xfId="0" applyBorder="1"/>
    <xf numFmtId="0" fontId="0" fillId="4" borderId="2" xfId="0" applyFill="1" applyBorder="1"/>
    <xf numFmtId="164" fontId="9" fillId="0" borderId="25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70" fontId="9" fillId="0" borderId="34" xfId="0" applyNumberFormat="1" applyFont="1" applyBorder="1" applyAlignment="1">
      <alignment horizontal="center"/>
    </xf>
    <xf numFmtId="10" fontId="12" fillId="12" borderId="27" xfId="0" applyNumberFormat="1" applyFont="1" applyFill="1" applyBorder="1" applyAlignment="1">
      <alignment horizontal="center"/>
    </xf>
    <xf numFmtId="164" fontId="9" fillId="0" borderId="0" xfId="0" applyNumberFormat="1" applyFont="1" applyAlignment="1">
      <alignment horizontal="right"/>
    </xf>
    <xf numFmtId="181" fontId="9" fillId="0" borderId="25" xfId="0" applyNumberFormat="1" applyFont="1" applyBorder="1" applyAlignment="1">
      <alignment horizontal="center"/>
    </xf>
    <xf numFmtId="181" fontId="12" fillId="12" borderId="25" xfId="0" applyNumberFormat="1" applyFont="1" applyFill="1" applyBorder="1" applyAlignment="1">
      <alignment horizontal="center"/>
    </xf>
    <xf numFmtId="0" fontId="0" fillId="12" borderId="0" xfId="0" applyFill="1"/>
    <xf numFmtId="0" fontId="12" fillId="12" borderId="27" xfId="0" applyFont="1" applyFill="1" applyBorder="1" applyAlignment="1">
      <alignment horizontal="center" vertical="center"/>
    </xf>
    <xf numFmtId="0" fontId="1" fillId="2" borderId="0" xfId="1" applyFill="1" applyAlignment="1">
      <alignment horizontal="right" wrapText="1"/>
    </xf>
    <xf numFmtId="0" fontId="1" fillId="4" borderId="0" xfId="1" applyFill="1" applyAlignment="1">
      <alignment horizontal="right" wrapText="1"/>
    </xf>
    <xf numFmtId="0" fontId="12" fillId="16" borderId="27" xfId="0" applyFont="1" applyFill="1" applyBorder="1" applyAlignment="1">
      <alignment horizontal="center"/>
    </xf>
    <xf numFmtId="170" fontId="9" fillId="0" borderId="27" xfId="0" applyNumberFormat="1" applyFont="1" applyBorder="1" applyAlignment="1">
      <alignment horizontal="center"/>
    </xf>
    <xf numFmtId="0" fontId="12" fillId="12" borderId="27" xfId="0" applyFont="1" applyFill="1" applyBorder="1" applyAlignment="1">
      <alignment horizontal="right"/>
    </xf>
    <xf numFmtId="0" fontId="42" fillId="0" borderId="64" xfId="0" applyFont="1" applyBorder="1" applyAlignment="1">
      <alignment horizontal="justify" vertical="center" wrapText="1"/>
    </xf>
    <xf numFmtId="0" fontId="41" fillId="12" borderId="3" xfId="0" applyFont="1" applyFill="1" applyBorder="1" applyAlignment="1">
      <alignment horizontal="justify" vertical="center" wrapText="1"/>
    </xf>
    <xf numFmtId="0" fontId="37" fillId="17" borderId="64" xfId="0" applyFont="1" applyFill="1" applyBorder="1" applyAlignment="1">
      <alignment horizontal="justify" vertical="center" wrapText="1"/>
    </xf>
    <xf numFmtId="0" fontId="37" fillId="12" borderId="64" xfId="0" applyFont="1" applyFill="1" applyBorder="1" applyAlignment="1">
      <alignment horizontal="justify" vertical="center" wrapText="1"/>
    </xf>
    <xf numFmtId="0" fontId="10" fillId="0" borderId="27" xfId="0" applyFont="1" applyBorder="1" applyAlignment="1">
      <alignment horizontal="right" vertical="center" wrapText="1"/>
    </xf>
    <xf numFmtId="0" fontId="41" fillId="12" borderId="27" xfId="0" applyFont="1" applyFill="1" applyBorder="1" applyAlignment="1">
      <alignment horizontal="right" vertical="center" wrapText="1"/>
    </xf>
    <xf numFmtId="0" fontId="11" fillId="12" borderId="27" xfId="0" applyFont="1" applyFill="1" applyBorder="1" applyAlignment="1">
      <alignment horizontal="center" vertical="center" wrapText="1"/>
    </xf>
    <xf numFmtId="165" fontId="10" fillId="0" borderId="26" xfId="0" applyNumberFormat="1" applyFont="1" applyBorder="1" applyAlignment="1">
      <alignment horizontal="center"/>
    </xf>
    <xf numFmtId="165" fontId="11" fillId="12" borderId="37" xfId="0" applyNumberFormat="1" applyFont="1" applyFill="1" applyBorder="1" applyAlignment="1">
      <alignment horizontal="center"/>
    </xf>
    <xf numFmtId="165" fontId="11" fillId="12" borderId="25" xfId="0" applyNumberFormat="1" applyFont="1" applyFill="1" applyBorder="1" applyAlignment="1">
      <alignment horizontal="center"/>
    </xf>
    <xf numFmtId="0" fontId="10" fillId="0" borderId="27" xfId="0" applyFont="1" applyBorder="1" applyAlignment="1">
      <alignment horizontal="center" vertical="center" wrapText="1"/>
    </xf>
    <xf numFmtId="0" fontId="42" fillId="0" borderId="0" xfId="0" applyFont="1" applyAlignment="1">
      <alignment horizontal="justify" vertical="center" wrapText="1"/>
    </xf>
    <xf numFmtId="0" fontId="37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1" fillId="12" borderId="0" xfId="0" applyFont="1" applyFill="1" applyAlignment="1">
      <alignment horizontal="center" wrapText="1"/>
    </xf>
    <xf numFmtId="0" fontId="11" fillId="12" borderId="27" xfId="0" applyFont="1" applyFill="1" applyBorder="1" applyAlignment="1">
      <alignment horizontal="center" wrapText="1"/>
    </xf>
    <xf numFmtId="0" fontId="8" fillId="0" borderId="0" xfId="0" applyFont="1"/>
    <xf numFmtId="0" fontId="9" fillId="0" borderId="11" xfId="0" applyFont="1" applyBorder="1" applyAlignment="1">
      <alignment horizontal="left" wrapText="1"/>
    </xf>
    <xf numFmtId="0" fontId="8" fillId="0" borderId="0" xfId="0" applyFont="1" applyAlignment="1">
      <alignment horizontal="center"/>
    </xf>
    <xf numFmtId="0" fontId="12" fillId="0" borderId="11" xfId="0" applyFont="1" applyBorder="1" applyAlignment="1">
      <alignment horizontal="left" wrapText="1"/>
    </xf>
    <xf numFmtId="0" fontId="12" fillId="3" borderId="19" xfId="0" applyFont="1" applyFill="1" applyBorder="1" applyAlignment="1">
      <alignment horizontal="left" wrapText="1"/>
    </xf>
    <xf numFmtId="0" fontId="9" fillId="0" borderId="52" xfId="0" applyFont="1" applyBorder="1" applyAlignment="1">
      <alignment horizontal="left" wrapText="1"/>
    </xf>
    <xf numFmtId="165" fontId="9" fillId="0" borderId="53" xfId="0" applyNumberFormat="1" applyFont="1" applyBorder="1"/>
    <xf numFmtId="0" fontId="8" fillId="0" borderId="52" xfId="0" applyFont="1" applyBorder="1"/>
    <xf numFmtId="0" fontId="8" fillId="0" borderId="53" xfId="0" applyFont="1" applyBorder="1"/>
    <xf numFmtId="0" fontId="12" fillId="3" borderId="58" xfId="0" applyFont="1" applyFill="1" applyBorder="1" applyAlignment="1">
      <alignment horizontal="left" wrapText="1"/>
    </xf>
    <xf numFmtId="165" fontId="12" fillId="3" borderId="67" xfId="0" applyNumberFormat="1" applyFont="1" applyFill="1" applyBorder="1"/>
    <xf numFmtId="165" fontId="8" fillId="0" borderId="0" xfId="0" applyNumberFormat="1" applyFont="1"/>
    <xf numFmtId="175" fontId="12" fillId="0" borderId="17" xfId="0" applyNumberFormat="1" applyFont="1" applyBorder="1" applyAlignment="1">
      <alignment horizontal="center"/>
    </xf>
    <xf numFmtId="175" fontId="12" fillId="0" borderId="0" xfId="0" applyNumberFormat="1" applyFont="1" applyAlignment="1">
      <alignment horizontal="center"/>
    </xf>
    <xf numFmtId="0" fontId="12" fillId="12" borderId="46" xfId="0" applyFont="1" applyFill="1" applyBorder="1" applyAlignment="1">
      <alignment horizontal="left" wrapText="1"/>
    </xf>
    <xf numFmtId="0" fontId="12" fillId="12" borderId="71" xfId="0" applyFont="1" applyFill="1" applyBorder="1" applyAlignment="1">
      <alignment horizontal="left" wrapText="1"/>
    </xf>
    <xf numFmtId="0" fontId="12" fillId="12" borderId="28" xfId="0" applyFont="1" applyFill="1" applyBorder="1" applyAlignment="1">
      <alignment horizontal="left" wrapText="1"/>
    </xf>
    <xf numFmtId="0" fontId="12" fillId="12" borderId="27" xfId="0" applyFont="1" applyFill="1" applyBorder="1" applyAlignment="1">
      <alignment horizontal="center" wrapText="1"/>
    </xf>
    <xf numFmtId="170" fontId="9" fillId="0" borderId="0" xfId="4" applyNumberFormat="1" applyFont="1" applyAlignment="1">
      <alignment horizontal="center"/>
    </xf>
    <xf numFmtId="0" fontId="11" fillId="17" borderId="38" xfId="0" applyFont="1" applyFill="1" applyBorder="1" applyAlignment="1">
      <alignment horizontal="center" vertical="center" wrapText="1"/>
    </xf>
    <xf numFmtId="0" fontId="11" fillId="17" borderId="36" xfId="0" applyFont="1" applyFill="1" applyBorder="1" applyAlignment="1">
      <alignment horizontal="center" vertical="center" wrapText="1"/>
    </xf>
    <xf numFmtId="0" fontId="11" fillId="17" borderId="37" xfId="0" applyFont="1" applyFill="1" applyBorder="1" applyAlignment="1">
      <alignment horizontal="center" vertical="center" wrapText="1"/>
    </xf>
    <xf numFmtId="0" fontId="11" fillId="17" borderId="44" xfId="0" applyFont="1" applyFill="1" applyBorder="1" applyAlignment="1">
      <alignment horizontal="center" vertical="center" wrapText="1"/>
    </xf>
    <xf numFmtId="3" fontId="11" fillId="12" borderId="36" xfId="0" applyNumberFormat="1" applyFont="1" applyFill="1" applyBorder="1" applyAlignment="1">
      <alignment horizontal="justify" vertical="center" wrapText="1"/>
    </xf>
    <xf numFmtId="0" fontId="0" fillId="12" borderId="36" xfId="0" applyFill="1" applyBorder="1"/>
    <xf numFmtId="3" fontId="11" fillId="12" borderId="36" xfId="0" applyNumberFormat="1" applyFont="1" applyFill="1" applyBorder="1" applyAlignment="1">
      <alignment horizontal="right" vertical="center"/>
    </xf>
    <xf numFmtId="3" fontId="11" fillId="12" borderId="25" xfId="0" applyNumberFormat="1" applyFont="1" applyFill="1" applyBorder="1" applyAlignment="1">
      <alignment horizontal="center" vertical="center" wrapText="1"/>
    </xf>
    <xf numFmtId="0" fontId="11" fillId="5" borderId="34" xfId="0" applyFont="1" applyFill="1" applyBorder="1" applyAlignment="1">
      <alignment horizontal="right" vertical="center" wrapText="1"/>
    </xf>
    <xf numFmtId="0" fontId="11" fillId="5" borderId="45" xfId="0" applyFont="1" applyFill="1" applyBorder="1" applyAlignment="1">
      <alignment horizontal="right" vertical="center" wrapText="1"/>
    </xf>
    <xf numFmtId="0" fontId="11" fillId="17" borderId="27" xfId="0" applyFont="1" applyFill="1" applyBorder="1" applyAlignment="1">
      <alignment horizontal="right" vertical="center" wrapText="1"/>
    </xf>
    <xf numFmtId="3" fontId="10" fillId="17" borderId="27" xfId="0" applyNumberFormat="1" applyFont="1" applyFill="1" applyBorder="1" applyAlignment="1">
      <alignment horizontal="center" vertical="center" wrapText="1"/>
    </xf>
    <xf numFmtId="0" fontId="11" fillId="12" borderId="0" xfId="0" applyFont="1" applyFill="1" applyAlignment="1">
      <alignment horizontal="center" vertical="center" wrapText="1"/>
    </xf>
    <xf numFmtId="0" fontId="11" fillId="12" borderId="41" xfId="0" applyFont="1" applyFill="1" applyBorder="1" applyAlignment="1">
      <alignment horizontal="center" vertical="center" wrapText="1"/>
    </xf>
    <xf numFmtId="0" fontId="11" fillId="12" borderId="27" xfId="0" applyFont="1" applyFill="1" applyBorder="1" applyAlignment="1">
      <alignment horizontal="right" vertical="center" wrapText="1"/>
    </xf>
    <xf numFmtId="0" fontId="11" fillId="12" borderId="29" xfId="0" applyFont="1" applyFill="1" applyBorder="1" applyAlignment="1">
      <alignment horizontal="right" vertical="center" wrapText="1"/>
    </xf>
    <xf numFmtId="0" fontId="21" fillId="0" borderId="68" xfId="0" applyFont="1" applyBorder="1" applyAlignment="1">
      <alignment horizontal="left" wrapText="1"/>
    </xf>
    <xf numFmtId="0" fontId="21" fillId="0" borderId="74" xfId="0" applyFont="1" applyBorder="1" applyAlignment="1">
      <alignment horizontal="left" wrapText="1"/>
    </xf>
    <xf numFmtId="165" fontId="9" fillId="0" borderId="75" xfId="0" applyNumberFormat="1" applyFont="1" applyBorder="1" applyAlignment="1">
      <alignment horizontal="center"/>
    </xf>
    <xf numFmtId="0" fontId="7" fillId="0" borderId="74" xfId="0" applyFont="1" applyBorder="1" applyAlignment="1">
      <alignment horizontal="left" wrapText="1"/>
    </xf>
    <xf numFmtId="165" fontId="12" fillId="0" borderId="75" xfId="0" applyNumberFormat="1" applyFont="1" applyBorder="1" applyAlignment="1">
      <alignment horizontal="center"/>
    </xf>
    <xf numFmtId="0" fontId="7" fillId="0" borderId="28" xfId="0" applyFont="1" applyBorder="1" applyAlignment="1">
      <alignment horizontal="left" wrapText="1"/>
    </xf>
    <xf numFmtId="0" fontId="22" fillId="0" borderId="74" xfId="0" applyFont="1" applyBorder="1" applyAlignment="1">
      <alignment horizontal="left" wrapText="1"/>
    </xf>
    <xf numFmtId="0" fontId="7" fillId="12" borderId="29" xfId="0" applyFont="1" applyFill="1" applyBorder="1" applyAlignment="1">
      <alignment horizontal="center" wrapText="1"/>
    </xf>
    <xf numFmtId="165" fontId="9" fillId="0" borderId="29" xfId="0" applyNumberFormat="1" applyFont="1" applyBorder="1" applyAlignment="1">
      <alignment horizontal="center"/>
    </xf>
    <xf numFmtId="165" fontId="9" fillId="0" borderId="76" xfId="0" applyNumberFormat="1" applyFont="1" applyBorder="1" applyAlignment="1">
      <alignment horizontal="center"/>
    </xf>
    <xf numFmtId="165" fontId="12" fillId="0" borderId="76" xfId="0" applyNumberFormat="1" applyFont="1" applyBorder="1" applyAlignment="1">
      <alignment horizontal="center"/>
    </xf>
    <xf numFmtId="0" fontId="21" fillId="2" borderId="74" xfId="0" applyFont="1" applyFill="1" applyBorder="1" applyAlignment="1">
      <alignment wrapText="1"/>
    </xf>
    <xf numFmtId="165" fontId="9" fillId="2" borderId="76" xfId="0" applyNumberFormat="1" applyFont="1" applyFill="1" applyBorder="1" applyAlignment="1">
      <alignment horizontal="center"/>
    </xf>
    <xf numFmtId="0" fontId="12" fillId="12" borderId="15" xfId="0" applyFont="1" applyFill="1" applyBorder="1" applyAlignment="1">
      <alignment horizontal="left" wrapText="1"/>
    </xf>
    <xf numFmtId="0" fontId="12" fillId="12" borderId="17" xfId="0" applyFont="1" applyFill="1" applyBorder="1" applyAlignment="1">
      <alignment horizontal="center" wrapText="1"/>
    </xf>
    <xf numFmtId="0" fontId="12" fillId="12" borderId="41" xfId="0" applyFont="1" applyFill="1" applyBorder="1" applyAlignment="1">
      <alignment horizontal="center" wrapText="1"/>
    </xf>
    <xf numFmtId="165" fontId="12" fillId="0" borderId="78" xfId="0" applyNumberFormat="1" applyFont="1" applyBorder="1" applyAlignment="1">
      <alignment horizontal="center"/>
    </xf>
    <xf numFmtId="165" fontId="12" fillId="17" borderId="75" xfId="0" applyNumberFormat="1" applyFont="1" applyFill="1" applyBorder="1" applyAlignment="1">
      <alignment horizontal="center"/>
    </xf>
    <xf numFmtId="0" fontId="7" fillId="12" borderId="28" xfId="0" applyFont="1" applyFill="1" applyBorder="1" applyAlignment="1">
      <alignment horizontal="left" wrapText="1"/>
    </xf>
    <xf numFmtId="165" fontId="12" fillId="8" borderId="75" xfId="0" applyNumberFormat="1" applyFont="1" applyFill="1" applyBorder="1" applyAlignment="1">
      <alignment horizontal="center"/>
    </xf>
    <xf numFmtId="165" fontId="12" fillId="12" borderId="72" xfId="0" applyNumberFormat="1" applyFont="1" applyFill="1" applyBorder="1" applyAlignment="1">
      <alignment horizontal="center"/>
    </xf>
    <xf numFmtId="0" fontId="7" fillId="12" borderId="41" xfId="0" applyFont="1" applyFill="1" applyBorder="1" applyAlignment="1">
      <alignment horizontal="center" wrapText="1"/>
    </xf>
    <xf numFmtId="0" fontId="12" fillId="3" borderId="41" xfId="0" applyFont="1" applyFill="1" applyBorder="1" applyAlignment="1">
      <alignment horizontal="center" wrapText="1"/>
    </xf>
    <xf numFmtId="0" fontId="9" fillId="0" borderId="74" xfId="0" applyFont="1" applyBorder="1"/>
    <xf numFmtId="0" fontId="12" fillId="17" borderId="74" xfId="0" applyFont="1" applyFill="1" applyBorder="1"/>
    <xf numFmtId="165" fontId="9" fillId="0" borderId="75" xfId="0" applyNumberFormat="1" applyFont="1" applyBorder="1"/>
    <xf numFmtId="0" fontId="9" fillId="0" borderId="52" xfId="0" applyFont="1" applyBorder="1"/>
    <xf numFmtId="0" fontId="9" fillId="0" borderId="53" xfId="0" applyFont="1" applyBorder="1"/>
    <xf numFmtId="0" fontId="9" fillId="0" borderId="54" xfId="0" applyFont="1" applyBorder="1"/>
    <xf numFmtId="0" fontId="9" fillId="0" borderId="51" xfId="0" applyFont="1" applyBorder="1"/>
    <xf numFmtId="0" fontId="9" fillId="0" borderId="55" xfId="0" applyFont="1" applyBorder="1"/>
    <xf numFmtId="0" fontId="9" fillId="0" borderId="56" xfId="0" applyFont="1" applyBorder="1"/>
    <xf numFmtId="0" fontId="12" fillId="0" borderId="71" xfId="0" applyFont="1" applyBorder="1"/>
    <xf numFmtId="165" fontId="12" fillId="0" borderId="72" xfId="0" applyNumberFormat="1" applyFont="1" applyBorder="1"/>
    <xf numFmtId="0" fontId="9" fillId="0" borderId="68" xfId="0" applyFont="1" applyBorder="1"/>
    <xf numFmtId="165" fontId="9" fillId="0" borderId="70" xfId="0" applyNumberFormat="1" applyFont="1" applyBorder="1"/>
    <xf numFmtId="0" fontId="9" fillId="0" borderId="49" xfId="0" applyFont="1" applyBorder="1"/>
    <xf numFmtId="0" fontId="9" fillId="0" borderId="50" xfId="0" applyFont="1" applyBorder="1"/>
    <xf numFmtId="165" fontId="9" fillId="0" borderId="55" xfId="0" applyNumberFormat="1" applyFont="1" applyBorder="1"/>
    <xf numFmtId="0" fontId="12" fillId="12" borderId="68" xfId="0" applyFont="1" applyFill="1" applyBorder="1"/>
    <xf numFmtId="0" fontId="12" fillId="12" borderId="70" xfId="0" applyFont="1" applyFill="1" applyBorder="1"/>
    <xf numFmtId="165" fontId="12" fillId="17" borderId="75" xfId="0" applyNumberFormat="1" applyFont="1" applyFill="1" applyBorder="1"/>
    <xf numFmtId="0" fontId="12" fillId="17" borderId="71" xfId="0" applyFont="1" applyFill="1" applyBorder="1"/>
    <xf numFmtId="165" fontId="12" fillId="17" borderId="72" xfId="0" applyNumberFormat="1" applyFont="1" applyFill="1" applyBorder="1"/>
    <xf numFmtId="0" fontId="12" fillId="17" borderId="17" xfId="0" applyFont="1" applyFill="1" applyBorder="1"/>
    <xf numFmtId="165" fontId="12" fillId="17" borderId="17" xfId="0" applyNumberFormat="1" applyFont="1" applyFill="1" applyBorder="1" applyAlignment="1">
      <alignment horizontal="center"/>
    </xf>
    <xf numFmtId="0" fontId="12" fillId="12" borderId="29" xfId="0" applyFont="1" applyFill="1" applyBorder="1"/>
    <xf numFmtId="165" fontId="9" fillId="0" borderId="29" xfId="0" applyNumberFormat="1" applyFont="1" applyBorder="1"/>
    <xf numFmtId="165" fontId="9" fillId="0" borderId="76" xfId="0" applyNumberFormat="1" applyFont="1" applyBorder="1"/>
    <xf numFmtId="165" fontId="12" fillId="0" borderId="73" xfId="0" applyNumberFormat="1" applyFont="1" applyBorder="1"/>
    <xf numFmtId="0" fontId="12" fillId="12" borderId="87" xfId="0" applyFont="1" applyFill="1" applyBorder="1" applyAlignment="1">
      <alignment horizontal="left" vertical="center" wrapText="1"/>
    </xf>
    <xf numFmtId="0" fontId="12" fillId="12" borderId="88" xfId="0" applyFont="1" applyFill="1" applyBorder="1" applyAlignment="1">
      <alignment horizontal="left" vertical="center" wrapText="1"/>
    </xf>
    <xf numFmtId="0" fontId="12" fillId="12" borderId="89" xfId="0" applyFont="1" applyFill="1" applyBorder="1" applyAlignment="1">
      <alignment horizontal="left" vertical="center" wrapText="1"/>
    </xf>
    <xf numFmtId="0" fontId="9" fillId="5" borderId="83" xfId="0" applyFont="1" applyFill="1" applyBorder="1" applyAlignment="1">
      <alignment horizontal="left" vertical="center" wrapText="1"/>
    </xf>
    <xf numFmtId="0" fontId="9" fillId="5" borderId="84" xfId="0" applyFont="1" applyFill="1" applyBorder="1" applyAlignment="1">
      <alignment horizontal="left" vertical="center" wrapText="1"/>
    </xf>
    <xf numFmtId="0" fontId="9" fillId="6" borderId="59" xfId="0" applyFont="1" applyFill="1" applyBorder="1" applyAlignment="1">
      <alignment horizontal="left" vertical="center" wrapText="1"/>
    </xf>
    <xf numFmtId="0" fontId="9" fillId="6" borderId="86" xfId="0" applyFont="1" applyFill="1" applyBorder="1" applyAlignment="1">
      <alignment horizontal="left" vertical="center" wrapText="1"/>
    </xf>
    <xf numFmtId="0" fontId="9" fillId="6" borderId="85" xfId="0" applyFont="1" applyFill="1" applyBorder="1" applyAlignment="1">
      <alignment horizontal="left" vertical="center" wrapText="1"/>
    </xf>
    <xf numFmtId="0" fontId="9" fillId="5" borderId="82" xfId="0" applyFont="1" applyFill="1" applyBorder="1" applyAlignment="1">
      <alignment horizontal="left" vertical="center" wrapText="1"/>
    </xf>
    <xf numFmtId="170" fontId="10" fillId="0" borderId="0" xfId="4" applyNumberFormat="1" applyFont="1"/>
    <xf numFmtId="0" fontId="43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12" borderId="74" xfId="0" applyFont="1" applyFill="1" applyBorder="1"/>
    <xf numFmtId="0" fontId="10" fillId="12" borderId="0" xfId="0" applyFont="1" applyFill="1"/>
    <xf numFmtId="170" fontId="10" fillId="12" borderId="75" xfId="4" applyNumberFormat="1" applyFont="1" applyFill="1" applyBorder="1"/>
    <xf numFmtId="0" fontId="10" fillId="0" borderId="74" xfId="0" applyFont="1" applyBorder="1"/>
    <xf numFmtId="170" fontId="10" fillId="0" borderId="75" xfId="4" applyNumberFormat="1" applyFont="1" applyBorder="1"/>
    <xf numFmtId="0" fontId="10" fillId="0" borderId="71" xfId="0" applyFont="1" applyBorder="1"/>
    <xf numFmtId="170" fontId="10" fillId="0" borderId="72" xfId="4" applyNumberFormat="1" applyFont="1" applyBorder="1"/>
    <xf numFmtId="0" fontId="12" fillId="5" borderId="17" xfId="0" applyFont="1" applyFill="1" applyBorder="1"/>
    <xf numFmtId="165" fontId="12" fillId="5" borderId="17" xfId="0" applyNumberFormat="1" applyFont="1" applyFill="1" applyBorder="1" applyAlignment="1">
      <alignment horizontal="center"/>
    </xf>
    <xf numFmtId="0" fontId="10" fillId="0" borderId="90" xfId="0" applyFont="1" applyBorder="1" applyAlignment="1">
      <alignment horizontal="right" wrapText="1"/>
    </xf>
    <xf numFmtId="165" fontId="10" fillId="0" borderId="53" xfId="0" applyNumberFormat="1" applyFont="1" applyBorder="1" applyAlignment="1">
      <alignment horizontal="center"/>
    </xf>
    <xf numFmtId="0" fontId="10" fillId="0" borderId="91" xfId="0" applyFont="1" applyBorder="1" applyAlignment="1">
      <alignment horizontal="right" wrapText="1"/>
    </xf>
    <xf numFmtId="165" fontId="10" fillId="0" borderId="92" xfId="0" applyNumberFormat="1" applyFont="1" applyBorder="1" applyAlignment="1">
      <alignment horizontal="center"/>
    </xf>
    <xf numFmtId="0" fontId="11" fillId="12" borderId="93" xfId="0" applyFont="1" applyFill="1" applyBorder="1" applyAlignment="1">
      <alignment horizontal="right" wrapText="1"/>
    </xf>
    <xf numFmtId="165" fontId="11" fillId="12" borderId="56" xfId="0" applyNumberFormat="1" applyFont="1" applyFill="1" applyBorder="1" applyAlignment="1">
      <alignment horizontal="center"/>
    </xf>
    <xf numFmtId="0" fontId="38" fillId="0" borderId="74" xfId="0" applyFont="1" applyBorder="1" applyAlignment="1">
      <alignment horizontal="left" wrapText="1"/>
    </xf>
    <xf numFmtId="165" fontId="10" fillId="0" borderId="75" xfId="0" applyNumberFormat="1" applyFont="1" applyBorder="1" applyAlignment="1">
      <alignment horizontal="center"/>
    </xf>
    <xf numFmtId="0" fontId="10" fillId="17" borderId="68" xfId="0" applyFont="1" applyFill="1" applyBorder="1" applyAlignment="1">
      <alignment horizontal="left" wrapText="1"/>
    </xf>
    <xf numFmtId="165" fontId="10" fillId="17" borderId="70" xfId="0" applyNumberFormat="1" applyFont="1" applyFill="1" applyBorder="1" applyAlignment="1">
      <alignment horizontal="center"/>
    </xf>
    <xf numFmtId="0" fontId="40" fillId="5" borderId="71" xfId="0" applyFont="1" applyFill="1" applyBorder="1" applyAlignment="1">
      <alignment horizontal="left" wrapText="1"/>
    </xf>
    <xf numFmtId="165" fontId="40" fillId="5" borderId="72" xfId="0" applyNumberFormat="1" applyFont="1" applyFill="1" applyBorder="1" applyAlignment="1">
      <alignment horizontal="center"/>
    </xf>
    <xf numFmtId="170" fontId="10" fillId="0" borderId="0" xfId="4" applyNumberFormat="1" applyFont="1" applyBorder="1" applyAlignment="1">
      <alignment horizontal="center"/>
    </xf>
    <xf numFmtId="0" fontId="0" fillId="0" borderId="49" xfId="0" applyBorder="1"/>
    <xf numFmtId="165" fontId="10" fillId="0" borderId="27" xfId="0" applyNumberFormat="1" applyFont="1" applyBorder="1" applyAlignment="1">
      <alignment horizontal="center"/>
    </xf>
    <xf numFmtId="170" fontId="10" fillId="0" borderId="27" xfId="4" applyNumberFormat="1" applyFont="1" applyBorder="1" applyAlignment="1">
      <alignment horizontal="center"/>
    </xf>
    <xf numFmtId="9" fontId="10" fillId="0" borderId="27" xfId="4" applyFont="1" applyBorder="1" applyAlignment="1">
      <alignment horizontal="center"/>
    </xf>
    <xf numFmtId="165" fontId="10" fillId="0" borderId="95" xfId="0" applyNumberFormat="1" applyFont="1" applyBorder="1" applyAlignment="1">
      <alignment horizontal="center"/>
    </xf>
    <xf numFmtId="165" fontId="10" fillId="0" borderId="86" xfId="0" applyNumberFormat="1" applyFont="1" applyBorder="1" applyAlignment="1">
      <alignment horizontal="center"/>
    </xf>
    <xf numFmtId="170" fontId="10" fillId="0" borderId="86" xfId="4" applyNumberFormat="1" applyFont="1" applyBorder="1" applyAlignment="1">
      <alignment horizontal="center"/>
    </xf>
    <xf numFmtId="165" fontId="11" fillId="12" borderId="83" xfId="0" applyNumberFormat="1" applyFont="1" applyFill="1" applyBorder="1" applyAlignment="1">
      <alignment horizontal="center"/>
    </xf>
    <xf numFmtId="165" fontId="11" fillId="12" borderId="84" xfId="0" applyNumberFormat="1" applyFont="1" applyFill="1" applyBorder="1" applyAlignment="1">
      <alignment horizontal="center"/>
    </xf>
    <xf numFmtId="165" fontId="11" fillId="17" borderId="94" xfId="0" applyNumberFormat="1" applyFont="1" applyFill="1" applyBorder="1" applyAlignment="1">
      <alignment horizontal="center"/>
    </xf>
    <xf numFmtId="165" fontId="11" fillId="17" borderId="85" xfId="0" applyNumberFormat="1" applyFont="1" applyFill="1" applyBorder="1" applyAlignment="1">
      <alignment horizontal="center"/>
    </xf>
    <xf numFmtId="165" fontId="11" fillId="0" borderId="29" xfId="0" applyNumberFormat="1" applyFont="1" applyBorder="1" applyAlignment="1">
      <alignment horizontal="center"/>
    </xf>
    <xf numFmtId="0" fontId="12" fillId="0" borderId="17" xfId="0" applyFont="1" applyBorder="1"/>
    <xf numFmtId="170" fontId="12" fillId="0" borderId="17" xfId="4" applyNumberFormat="1" applyFont="1" applyBorder="1" applyAlignment="1">
      <alignment horizontal="center"/>
    </xf>
    <xf numFmtId="0" fontId="11" fillId="0" borderId="27" xfId="0" applyFont="1" applyBorder="1" applyAlignment="1">
      <alignment horizontal="right" wrapText="1"/>
    </xf>
    <xf numFmtId="0" fontId="10" fillId="0" borderId="27" xfId="0" applyFont="1" applyBorder="1" applyAlignment="1">
      <alignment horizontal="right"/>
    </xf>
    <xf numFmtId="176" fontId="10" fillId="0" borderId="27" xfId="0" applyNumberFormat="1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176" fontId="11" fillId="0" borderId="27" xfId="0" applyNumberFormat="1" applyFont="1" applyBorder="1" applyAlignment="1">
      <alignment horizontal="center"/>
    </xf>
    <xf numFmtId="0" fontId="11" fillId="0" borderId="27" xfId="0" applyFont="1" applyBorder="1" applyAlignment="1">
      <alignment horizontal="right"/>
    </xf>
    <xf numFmtId="0" fontId="9" fillId="12" borderId="27" xfId="0" applyFont="1" applyFill="1" applyBorder="1"/>
    <xf numFmtId="0" fontId="11" fillId="12" borderId="27" xfId="0" applyFont="1" applyFill="1" applyBorder="1" applyAlignment="1">
      <alignment horizontal="right" wrapText="1"/>
    </xf>
    <xf numFmtId="165" fontId="11" fillId="12" borderId="27" xfId="0" applyNumberFormat="1" applyFont="1" applyFill="1" applyBorder="1" applyAlignment="1">
      <alignment horizontal="center"/>
    </xf>
    <xf numFmtId="0" fontId="11" fillId="17" borderId="27" xfId="0" applyFont="1" applyFill="1" applyBorder="1" applyAlignment="1">
      <alignment horizontal="right"/>
    </xf>
    <xf numFmtId="0" fontId="12" fillId="17" borderId="27" xfId="0" applyFont="1" applyFill="1" applyBorder="1" applyAlignment="1">
      <alignment horizontal="right"/>
    </xf>
    <xf numFmtId="10" fontId="10" fillId="0" borderId="27" xfId="4" applyNumberFormat="1" applyFont="1" applyBorder="1" applyAlignment="1">
      <alignment horizontal="center"/>
    </xf>
    <xf numFmtId="0" fontId="12" fillId="12" borderId="27" xfId="0" applyFont="1" applyFill="1" applyBorder="1" applyAlignment="1">
      <alignment horizontal="center"/>
    </xf>
    <xf numFmtId="10" fontId="10" fillId="17" borderId="27" xfId="4" applyNumberFormat="1" applyFont="1" applyFill="1" applyBorder="1" applyAlignment="1">
      <alignment horizontal="center"/>
    </xf>
    <xf numFmtId="0" fontId="12" fillId="12" borderId="29" xfId="0" applyFont="1" applyFill="1" applyBorder="1" applyAlignment="1">
      <alignment horizontal="center" wrapText="1"/>
    </xf>
    <xf numFmtId="165" fontId="12" fillId="17" borderId="76" xfId="0" applyNumberFormat="1" applyFont="1" applyFill="1" applyBorder="1" applyAlignment="1">
      <alignment horizontal="center"/>
    </xf>
    <xf numFmtId="0" fontId="9" fillId="0" borderId="68" xfId="0" applyFont="1" applyBorder="1" applyAlignment="1">
      <alignment horizontal="left" wrapText="1"/>
    </xf>
    <xf numFmtId="0" fontId="9" fillId="0" borderId="74" xfId="0" applyFont="1" applyBorder="1" applyAlignment="1">
      <alignment horizontal="left" wrapText="1"/>
    </xf>
    <xf numFmtId="0" fontId="12" fillId="17" borderId="74" xfId="0" applyFont="1" applyFill="1" applyBorder="1" applyAlignment="1">
      <alignment horizontal="left" wrapText="1"/>
    </xf>
    <xf numFmtId="0" fontId="12" fillId="17" borderId="28" xfId="0" applyFont="1" applyFill="1" applyBorder="1" applyAlignment="1">
      <alignment horizontal="left" wrapText="1"/>
    </xf>
    <xf numFmtId="0" fontId="9" fillId="0" borderId="27" xfId="0" applyFont="1" applyBorder="1" applyAlignment="1">
      <alignment horizontal="left" wrapText="1"/>
    </xf>
    <xf numFmtId="0" fontId="12" fillId="17" borderId="27" xfId="0" applyFont="1" applyFill="1" applyBorder="1"/>
    <xf numFmtId="10" fontId="12" fillId="17" borderId="27" xfId="0" applyNumberFormat="1" applyFont="1" applyFill="1" applyBorder="1" applyAlignment="1">
      <alignment horizontal="center" wrapText="1"/>
    </xf>
    <xf numFmtId="0" fontId="45" fillId="0" borderId="74" xfId="0" applyFont="1" applyBorder="1" applyAlignment="1">
      <alignment horizontal="left" wrapText="1"/>
    </xf>
    <xf numFmtId="165" fontId="45" fillId="0" borderId="76" xfId="0" applyNumberFormat="1" applyFont="1" applyBorder="1" applyAlignment="1">
      <alignment horizontal="center"/>
    </xf>
    <xf numFmtId="0" fontId="12" fillId="12" borderId="68" xfId="0" applyFont="1" applyFill="1" applyBorder="1" applyAlignment="1">
      <alignment horizontal="center" wrapText="1"/>
    </xf>
    <xf numFmtId="0" fontId="12" fillId="12" borderId="70" xfId="0" applyFont="1" applyFill="1" applyBorder="1" applyAlignment="1">
      <alignment horizontal="center" wrapText="1"/>
    </xf>
    <xf numFmtId="165" fontId="10" fillId="0" borderId="76" xfId="0" applyNumberFormat="1" applyFont="1" applyBorder="1" applyAlignment="1">
      <alignment horizontal="center"/>
    </xf>
    <xf numFmtId="165" fontId="11" fillId="0" borderId="76" xfId="0" applyNumberFormat="1" applyFont="1" applyBorder="1" applyAlignment="1">
      <alignment horizontal="center"/>
    </xf>
    <xf numFmtId="165" fontId="11" fillId="17" borderId="72" xfId="0" applyNumberFormat="1" applyFont="1" applyFill="1" applyBorder="1" applyAlignment="1">
      <alignment horizontal="center"/>
    </xf>
    <xf numFmtId="165" fontId="10" fillId="0" borderId="29" xfId="0" applyNumberFormat="1" applyFont="1" applyBorder="1" applyAlignment="1">
      <alignment horizontal="center"/>
    </xf>
    <xf numFmtId="0" fontId="38" fillId="0" borderId="27" xfId="0" applyFont="1" applyBorder="1" applyAlignment="1">
      <alignment horizontal="right" wrapText="1"/>
    </xf>
    <xf numFmtId="0" fontId="12" fillId="3" borderId="27" xfId="0" applyFont="1" applyFill="1" applyBorder="1" applyAlignment="1">
      <alignment horizontal="center" wrapText="1"/>
    </xf>
    <xf numFmtId="165" fontId="12" fillId="0" borderId="75" xfId="0" applyNumberFormat="1" applyFont="1" applyBorder="1"/>
    <xf numFmtId="0" fontId="2" fillId="0" borderId="74" xfId="0" applyFont="1" applyBorder="1" applyAlignment="1">
      <alignment horizontal="left" wrapText="1"/>
    </xf>
    <xf numFmtId="0" fontId="7" fillId="17" borderId="71" xfId="0" applyFont="1" applyFill="1" applyBorder="1" applyAlignment="1">
      <alignment horizontal="left" wrapText="1"/>
    </xf>
    <xf numFmtId="0" fontId="12" fillId="3" borderId="27" xfId="0" applyFont="1" applyFill="1" applyBorder="1" applyAlignment="1">
      <alignment horizontal="left" wrapText="1"/>
    </xf>
    <xf numFmtId="167" fontId="10" fillId="0" borderId="73" xfId="0" applyNumberFormat="1" applyFont="1" applyBorder="1" applyAlignment="1">
      <alignment horizontal="center"/>
    </xf>
    <xf numFmtId="165" fontId="10" fillId="0" borderId="96" xfId="0" applyNumberFormat="1" applyFont="1" applyBorder="1" applyAlignment="1">
      <alignment horizontal="center" vertical="center"/>
    </xf>
    <xf numFmtId="167" fontId="10" fillId="0" borderId="76" xfId="0" applyNumberFormat="1" applyFont="1" applyBorder="1" applyAlignment="1">
      <alignment horizontal="center"/>
    </xf>
    <xf numFmtId="10" fontId="10" fillId="0" borderId="29" xfId="0" applyNumberFormat="1" applyFont="1" applyBorder="1" applyAlignment="1">
      <alignment horizontal="center"/>
    </xf>
    <xf numFmtId="10" fontId="10" fillId="0" borderId="73" xfId="0" applyNumberFormat="1" applyFont="1" applyBorder="1" applyAlignment="1">
      <alignment horizontal="center"/>
    </xf>
    <xf numFmtId="165" fontId="11" fillId="2" borderId="73" xfId="0" applyNumberFormat="1" applyFont="1" applyFill="1" applyBorder="1" applyAlignment="1">
      <alignment horizontal="center"/>
    </xf>
    <xf numFmtId="0" fontId="11" fillId="0" borderId="68" xfId="0" applyFont="1" applyBorder="1" applyAlignment="1">
      <alignment horizontal="right"/>
    </xf>
    <xf numFmtId="0" fontId="11" fillId="0" borderId="71" xfId="0" applyFont="1" applyBorder="1" applyAlignment="1">
      <alignment horizontal="right"/>
    </xf>
    <xf numFmtId="176" fontId="10" fillId="0" borderId="29" xfId="0" applyNumberFormat="1" applyFont="1" applyBorder="1" applyAlignment="1">
      <alignment horizontal="center" vertical="center"/>
    </xf>
    <xf numFmtId="176" fontId="10" fillId="0" borderId="73" xfId="0" applyNumberFormat="1" applyFont="1" applyBorder="1" applyAlignment="1">
      <alignment horizontal="center" vertical="center"/>
    </xf>
    <xf numFmtId="165" fontId="10" fillId="0" borderId="29" xfId="0" applyNumberFormat="1" applyFont="1" applyBorder="1" applyAlignment="1">
      <alignment horizontal="center" vertical="center"/>
    </xf>
    <xf numFmtId="10" fontId="10" fillId="0" borderId="76" xfId="0" applyNumberFormat="1" applyFont="1" applyBorder="1" applyAlignment="1">
      <alignment horizontal="center"/>
    </xf>
    <xf numFmtId="165" fontId="10" fillId="0" borderId="73" xfId="0" applyNumberFormat="1" applyFont="1" applyBorder="1" applyAlignment="1">
      <alignment horizontal="center" vertical="center"/>
    </xf>
    <xf numFmtId="165" fontId="10" fillId="0" borderId="72" xfId="0" applyNumberFormat="1" applyFont="1" applyBorder="1" applyAlignment="1">
      <alignment horizontal="center" vertical="center"/>
    </xf>
    <xf numFmtId="0" fontId="11" fillId="17" borderId="63" xfId="0" applyFont="1" applyFill="1" applyBorder="1" applyAlignment="1">
      <alignment horizontal="right"/>
    </xf>
    <xf numFmtId="176" fontId="11" fillId="17" borderId="43" xfId="0" applyNumberFormat="1" applyFont="1" applyFill="1" applyBorder="1" applyAlignment="1">
      <alignment horizontal="center" vertical="center"/>
    </xf>
    <xf numFmtId="0" fontId="11" fillId="12" borderId="29" xfId="0" applyFont="1" applyFill="1" applyBorder="1" applyAlignment="1">
      <alignment horizontal="center" wrapText="1"/>
    </xf>
    <xf numFmtId="176" fontId="10" fillId="0" borderId="27" xfId="0" applyNumberFormat="1" applyFont="1" applyBorder="1" applyAlignment="1">
      <alignment horizontal="center" vertical="center"/>
    </xf>
    <xf numFmtId="176" fontId="11" fillId="17" borderId="27" xfId="0" applyNumberFormat="1" applyFont="1" applyFill="1" applyBorder="1" applyAlignment="1">
      <alignment horizontal="center" vertical="center"/>
    </xf>
    <xf numFmtId="165" fontId="12" fillId="17" borderId="73" xfId="0" applyNumberFormat="1" applyFont="1" applyFill="1" applyBorder="1" applyAlignment="1">
      <alignment horizontal="center"/>
    </xf>
    <xf numFmtId="0" fontId="11" fillId="0" borderId="74" xfId="0" applyFont="1" applyBorder="1" applyAlignment="1">
      <alignment horizontal="right"/>
    </xf>
    <xf numFmtId="10" fontId="10" fillId="0" borderId="75" xfId="0" applyNumberFormat="1" applyFont="1" applyBorder="1" applyAlignment="1">
      <alignment horizontal="center"/>
    </xf>
    <xf numFmtId="176" fontId="10" fillId="0" borderId="72" xfId="0" applyNumberFormat="1" applyFont="1" applyBorder="1" applyAlignment="1">
      <alignment horizontal="center"/>
    </xf>
    <xf numFmtId="176" fontId="10" fillId="0" borderId="76" xfId="0" applyNumberFormat="1" applyFont="1" applyBorder="1" applyAlignment="1">
      <alignment horizontal="center"/>
    </xf>
    <xf numFmtId="176" fontId="10" fillId="0" borderId="73" xfId="0" applyNumberFormat="1" applyFont="1" applyBorder="1" applyAlignment="1">
      <alignment horizontal="center"/>
    </xf>
    <xf numFmtId="0" fontId="11" fillId="17" borderId="28" xfId="0" applyFont="1" applyFill="1" applyBorder="1" applyAlignment="1">
      <alignment horizontal="center"/>
    </xf>
    <xf numFmtId="165" fontId="10" fillId="0" borderId="75" xfId="0" applyNumberFormat="1" applyFont="1" applyBorder="1" applyAlignment="1">
      <alignment horizontal="center" vertical="center"/>
    </xf>
    <xf numFmtId="0" fontId="10" fillId="0" borderId="74" xfId="0" applyFont="1" applyBorder="1" applyAlignment="1">
      <alignment horizontal="right"/>
    </xf>
    <xf numFmtId="0" fontId="24" fillId="0" borderId="61" xfId="0" applyFont="1" applyBorder="1"/>
    <xf numFmtId="0" fontId="24" fillId="0" borderId="42" xfId="0" applyFont="1" applyBorder="1"/>
    <xf numFmtId="0" fontId="24" fillId="0" borderId="1" xfId="0" applyFont="1" applyBorder="1"/>
    <xf numFmtId="177" fontId="10" fillId="0" borderId="0" xfId="0" applyNumberFormat="1" applyFont="1" applyAlignment="1">
      <alignment horizontal="center" vertical="center"/>
    </xf>
    <xf numFmtId="177" fontId="24" fillId="0" borderId="0" xfId="0" applyNumberFormat="1" applyFont="1"/>
    <xf numFmtId="177" fontId="10" fillId="0" borderId="43" xfId="0" applyNumberFormat="1" applyFont="1" applyBorder="1" applyAlignment="1">
      <alignment horizontal="center" vertical="center"/>
    </xf>
    <xf numFmtId="0" fontId="11" fillId="12" borderId="41" xfId="0" applyFont="1" applyFill="1" applyBorder="1" applyAlignment="1">
      <alignment horizontal="center" wrapText="1"/>
    </xf>
    <xf numFmtId="10" fontId="10" fillId="0" borderId="70" xfId="0" applyNumberFormat="1" applyFont="1" applyBorder="1" applyAlignment="1">
      <alignment horizontal="center"/>
    </xf>
    <xf numFmtId="10" fontId="10" fillId="0" borderId="72" xfId="0" applyNumberFormat="1" applyFont="1" applyBorder="1" applyAlignment="1">
      <alignment horizontal="center"/>
    </xf>
    <xf numFmtId="165" fontId="10" fillId="0" borderId="76" xfId="0" applyNumberFormat="1" applyFont="1" applyBorder="1" applyAlignment="1">
      <alignment horizontal="center" vertical="center"/>
    </xf>
    <xf numFmtId="0" fontId="0" fillId="0" borderId="69" xfId="0" applyBorder="1"/>
    <xf numFmtId="0" fontId="0" fillId="0" borderId="70" xfId="0" applyBorder="1"/>
    <xf numFmtId="176" fontId="10" fillId="0" borderId="75" xfId="0" applyNumberFormat="1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 vertical="center"/>
    </xf>
    <xf numFmtId="176" fontId="10" fillId="0" borderId="72" xfId="0" applyNumberFormat="1" applyFont="1" applyBorder="1" applyAlignment="1">
      <alignment horizontal="center" vertical="center"/>
    </xf>
    <xf numFmtId="0" fontId="0" fillId="0" borderId="76" xfId="0" applyBorder="1"/>
    <xf numFmtId="0" fontId="11" fillId="12" borderId="17" xfId="0" applyFont="1" applyFill="1" applyBorder="1" applyAlignment="1">
      <alignment horizontal="center" wrapText="1"/>
    </xf>
    <xf numFmtId="0" fontId="0" fillId="0" borderId="29" xfId="0" applyBorder="1"/>
    <xf numFmtId="176" fontId="10" fillId="0" borderId="76" xfId="0" applyNumberFormat="1" applyFont="1" applyBorder="1" applyAlignment="1">
      <alignment horizontal="center" vertical="center"/>
    </xf>
    <xf numFmtId="0" fontId="0" fillId="0" borderId="73" xfId="0" applyBorder="1"/>
    <xf numFmtId="176" fontId="11" fillId="17" borderId="28" xfId="0" applyNumberFormat="1" applyFont="1" applyFill="1" applyBorder="1" applyAlignment="1">
      <alignment horizontal="center" vertical="center"/>
    </xf>
    <xf numFmtId="176" fontId="11" fillId="17" borderId="17" xfId="0" applyNumberFormat="1" applyFont="1" applyFill="1" applyBorder="1" applyAlignment="1">
      <alignment horizontal="center" vertical="center"/>
    </xf>
    <xf numFmtId="176" fontId="11" fillId="17" borderId="41" xfId="0" applyNumberFormat="1" applyFont="1" applyFill="1" applyBorder="1" applyAlignment="1">
      <alignment horizontal="center" vertical="center"/>
    </xf>
    <xf numFmtId="10" fontId="11" fillId="2" borderId="25" xfId="0" applyNumberFormat="1" applyFont="1" applyFill="1" applyBorder="1" applyAlignment="1">
      <alignment horizontal="center"/>
    </xf>
    <xf numFmtId="167" fontId="10" fillId="0" borderId="41" xfId="0" applyNumberFormat="1" applyFont="1" applyBorder="1" applyAlignment="1">
      <alignment horizontal="center" vertical="center"/>
    </xf>
    <xf numFmtId="165" fontId="10" fillId="0" borderId="70" xfId="0" applyNumberFormat="1" applyFont="1" applyBorder="1" applyAlignment="1">
      <alignment horizontal="center" vertical="center"/>
    </xf>
    <xf numFmtId="0" fontId="11" fillId="0" borderId="29" xfId="0" applyFont="1" applyBorder="1" applyAlignment="1">
      <alignment horizontal="right"/>
    </xf>
    <xf numFmtId="0" fontId="11" fillId="0" borderId="76" xfId="0" applyFont="1" applyBorder="1" applyAlignment="1">
      <alignment horizontal="right"/>
    </xf>
    <xf numFmtId="0" fontId="11" fillId="2" borderId="28" xfId="0" applyFont="1" applyFill="1" applyBorder="1" applyAlignment="1">
      <alignment horizontal="right"/>
    </xf>
    <xf numFmtId="165" fontId="10" fillId="2" borderId="27" xfId="0" applyNumberFormat="1" applyFont="1" applyFill="1" applyBorder="1" applyAlignment="1">
      <alignment horizontal="center" vertical="center"/>
    </xf>
    <xf numFmtId="0" fontId="11" fillId="2" borderId="71" xfId="0" applyFont="1" applyFill="1" applyBorder="1" applyAlignment="1">
      <alignment horizontal="right"/>
    </xf>
    <xf numFmtId="167" fontId="11" fillId="2" borderId="2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8" fillId="0" borderId="0" xfId="0" applyFont="1" applyAlignment="1">
      <alignment wrapText="1"/>
    </xf>
    <xf numFmtId="0" fontId="19" fillId="0" borderId="27" xfId="0" applyFont="1" applyBorder="1" applyAlignment="1">
      <alignment wrapText="1"/>
    </xf>
    <xf numFmtId="165" fontId="18" fillId="0" borderId="27" xfId="0" applyNumberFormat="1" applyFont="1" applyBorder="1" applyAlignment="1">
      <alignment horizontal="center"/>
    </xf>
    <xf numFmtId="0" fontId="19" fillId="12" borderId="27" xfId="0" applyFont="1" applyFill="1" applyBorder="1" applyAlignment="1">
      <alignment horizontal="center" wrapText="1"/>
    </xf>
    <xf numFmtId="165" fontId="12" fillId="3" borderId="68" xfId="0" applyNumberFormat="1" applyFont="1" applyFill="1" applyBorder="1" applyAlignment="1">
      <alignment horizontal="center"/>
    </xf>
    <xf numFmtId="0" fontId="19" fillId="3" borderId="69" xfId="0" applyFont="1" applyFill="1" applyBorder="1" applyAlignment="1">
      <alignment horizontal="center" wrapText="1" readingOrder="1"/>
    </xf>
    <xf numFmtId="0" fontId="19" fillId="3" borderId="70" xfId="0" applyFont="1" applyFill="1" applyBorder="1" applyAlignment="1">
      <alignment horizontal="center" wrapText="1" readingOrder="1"/>
    </xf>
    <xf numFmtId="165" fontId="9" fillId="0" borderId="74" xfId="0" applyNumberFormat="1" applyFont="1" applyBorder="1" applyAlignment="1">
      <alignment horizontal="right"/>
    </xf>
    <xf numFmtId="9" fontId="23" fillId="0" borderId="71" xfId="0" applyNumberFormat="1" applyFont="1" applyBorder="1" applyAlignment="1">
      <alignment horizontal="right" wrapText="1" readingOrder="1"/>
    </xf>
    <xf numFmtId="9" fontId="23" fillId="0" borderId="2" xfId="0" applyNumberFormat="1" applyFont="1" applyBorder="1" applyAlignment="1">
      <alignment horizontal="center" wrapText="1" readingOrder="1"/>
    </xf>
    <xf numFmtId="9" fontId="18" fillId="0" borderId="72" xfId="0" applyNumberFormat="1" applyFont="1" applyBorder="1" applyAlignment="1">
      <alignment horizontal="center" wrapText="1" readingOrder="1"/>
    </xf>
    <xf numFmtId="165" fontId="12" fillId="12" borderId="17" xfId="0" applyNumberFormat="1" applyFont="1" applyFill="1" applyBorder="1" applyAlignment="1">
      <alignment horizontal="center"/>
    </xf>
    <xf numFmtId="165" fontId="12" fillId="12" borderId="41" xfId="0" applyNumberFormat="1" applyFont="1" applyFill="1" applyBorder="1" applyAlignment="1">
      <alignment horizontal="center"/>
    </xf>
    <xf numFmtId="9" fontId="19" fillId="12" borderId="28" xfId="0" applyNumberFormat="1" applyFont="1" applyFill="1" applyBorder="1" applyAlignment="1">
      <alignment horizontal="center" wrapText="1" readingOrder="1"/>
    </xf>
    <xf numFmtId="0" fontId="19" fillId="0" borderId="25" xfId="0" applyFont="1" applyBorder="1" applyAlignment="1">
      <alignment horizontal="center" wrapText="1" readingOrder="1"/>
    </xf>
    <xf numFmtId="9" fontId="19" fillId="2" borderId="25" xfId="0" applyNumberFormat="1" applyFont="1" applyFill="1" applyBorder="1" applyAlignment="1">
      <alignment horizontal="right" wrapText="1" readingOrder="1"/>
    </xf>
    <xf numFmtId="165" fontId="9" fillId="2" borderId="25" xfId="0" applyNumberFormat="1" applyFont="1" applyFill="1" applyBorder="1" applyAlignment="1">
      <alignment horizontal="center"/>
    </xf>
    <xf numFmtId="9" fontId="30" fillId="17" borderId="37" xfId="0" applyNumberFormat="1" applyFont="1" applyFill="1" applyBorder="1" applyAlignment="1">
      <alignment horizontal="center" wrapText="1" readingOrder="1"/>
    </xf>
    <xf numFmtId="9" fontId="30" fillId="17" borderId="25" xfId="0" applyNumberFormat="1" applyFont="1" applyFill="1" applyBorder="1" applyAlignment="1">
      <alignment horizontal="center" wrapText="1" readingOrder="1"/>
    </xf>
    <xf numFmtId="165" fontId="11" fillId="17" borderId="37" xfId="0" applyNumberFormat="1" applyFont="1" applyFill="1" applyBorder="1" applyAlignment="1">
      <alignment horizontal="center"/>
    </xf>
    <xf numFmtId="0" fontId="12" fillId="0" borderId="68" xfId="0" applyFont="1" applyBorder="1" applyAlignment="1">
      <alignment horizontal="left" wrapText="1"/>
    </xf>
    <xf numFmtId="165" fontId="12" fillId="0" borderId="70" xfId="0" applyNumberFormat="1" applyFont="1" applyBorder="1" applyAlignment="1">
      <alignment horizontal="center"/>
    </xf>
    <xf numFmtId="0" fontId="9" fillId="4" borderId="74" xfId="0" applyFont="1" applyFill="1" applyBorder="1" applyAlignment="1">
      <alignment horizontal="left" wrapText="1"/>
    </xf>
    <xf numFmtId="0" fontId="12" fillId="0" borderId="74" xfId="0" applyFont="1" applyBorder="1" applyAlignment="1">
      <alignment horizontal="left" wrapText="1"/>
    </xf>
    <xf numFmtId="0" fontId="12" fillId="18" borderId="74" xfId="0" applyFont="1" applyFill="1" applyBorder="1" applyAlignment="1">
      <alignment horizontal="left" wrapText="1"/>
    </xf>
    <xf numFmtId="165" fontId="12" fillId="18" borderId="75" xfId="0" applyNumberFormat="1" applyFont="1" applyFill="1" applyBorder="1" applyAlignment="1">
      <alignment horizontal="center"/>
    </xf>
    <xf numFmtId="0" fontId="12" fillId="2" borderId="71" xfId="0" applyFont="1" applyFill="1" applyBorder="1" applyAlignment="1">
      <alignment horizontal="left" wrapText="1"/>
    </xf>
    <xf numFmtId="165" fontId="12" fillId="0" borderId="29" xfId="0" applyNumberFormat="1" applyFont="1" applyBorder="1" applyAlignment="1">
      <alignment horizontal="center"/>
    </xf>
    <xf numFmtId="165" fontId="12" fillId="18" borderId="76" xfId="0" applyNumberFormat="1" applyFont="1" applyFill="1" applyBorder="1" applyAlignment="1">
      <alignment horizontal="center"/>
    </xf>
    <xf numFmtId="173" fontId="12" fillId="2" borderId="73" xfId="0" applyNumberFormat="1" applyFont="1" applyFill="1" applyBorder="1" applyAlignment="1">
      <alignment horizontal="center"/>
    </xf>
    <xf numFmtId="173" fontId="12" fillId="2" borderId="72" xfId="0" applyNumberFormat="1" applyFont="1" applyFill="1" applyBorder="1" applyAlignment="1">
      <alignment horizontal="center"/>
    </xf>
    <xf numFmtId="173" fontId="10" fillId="0" borderId="0" xfId="0" applyNumberFormat="1" applyFont="1" applyAlignment="1">
      <alignment horizontal="center"/>
    </xf>
    <xf numFmtId="0" fontId="11" fillId="17" borderId="28" xfId="0" applyFont="1" applyFill="1" applyBorder="1" applyAlignment="1">
      <alignment horizontal="center" wrapText="1"/>
    </xf>
    <xf numFmtId="165" fontId="10" fillId="17" borderId="27" xfId="0" applyNumberFormat="1" applyFont="1" applyFill="1" applyBorder="1" applyAlignment="1">
      <alignment horizontal="center"/>
    </xf>
    <xf numFmtId="0" fontId="11" fillId="12" borderId="38" xfId="0" applyFont="1" applyFill="1" applyBorder="1" applyAlignment="1">
      <alignment horizontal="center" wrapText="1"/>
    </xf>
    <xf numFmtId="165" fontId="10" fillId="2" borderId="25" xfId="0" applyNumberFormat="1" applyFont="1" applyFill="1" applyBorder="1" applyAlignment="1">
      <alignment horizontal="center"/>
    </xf>
    <xf numFmtId="9" fontId="30" fillId="0" borderId="27" xfId="0" applyNumberFormat="1" applyFont="1" applyBorder="1" applyAlignment="1">
      <alignment horizontal="center" wrapText="1" readingOrder="1"/>
    </xf>
    <xf numFmtId="0" fontId="11" fillId="19" borderId="27" xfId="0" applyFont="1" applyFill="1" applyBorder="1" applyAlignment="1">
      <alignment horizontal="center" wrapText="1"/>
    </xf>
    <xf numFmtId="165" fontId="11" fillId="0" borderId="27" xfId="0" applyNumberFormat="1" applyFont="1" applyBorder="1" applyAlignment="1">
      <alignment horizontal="center"/>
    </xf>
    <xf numFmtId="0" fontId="11" fillId="0" borderId="68" xfId="0" applyFont="1" applyBorder="1" applyAlignment="1">
      <alignment horizontal="right" wrapText="1"/>
    </xf>
    <xf numFmtId="10" fontId="10" fillId="0" borderId="69" xfId="0" applyNumberFormat="1" applyFont="1" applyBorder="1" applyAlignment="1">
      <alignment horizontal="center"/>
    </xf>
    <xf numFmtId="0" fontId="11" fillId="0" borderId="74" xfId="0" applyFont="1" applyBorder="1" applyAlignment="1">
      <alignment horizontal="right" wrapText="1"/>
    </xf>
    <xf numFmtId="177" fontId="10" fillId="0" borderId="75" xfId="0" applyNumberFormat="1" applyFont="1" applyBorder="1" applyAlignment="1">
      <alignment horizontal="center"/>
    </xf>
    <xf numFmtId="0" fontId="11" fillId="0" borderId="29" xfId="0" applyFont="1" applyBorder="1" applyAlignment="1">
      <alignment horizontal="right" wrapText="1"/>
    </xf>
    <xf numFmtId="0" fontId="11" fillId="0" borderId="76" xfId="0" applyFont="1" applyBorder="1" applyAlignment="1">
      <alignment horizontal="right" wrapText="1"/>
    </xf>
    <xf numFmtId="0" fontId="11" fillId="12" borderId="101" xfId="0" applyFont="1" applyFill="1" applyBorder="1" applyAlignment="1">
      <alignment horizontal="right" wrapText="1"/>
    </xf>
    <xf numFmtId="165" fontId="11" fillId="2" borderId="100" xfId="0" applyNumberFormat="1" applyFont="1" applyFill="1" applyBorder="1" applyAlignment="1">
      <alignment horizontal="center"/>
    </xf>
    <xf numFmtId="165" fontId="11" fillId="2" borderId="97" xfId="0" applyNumberFormat="1" applyFont="1" applyFill="1" applyBorder="1" applyAlignment="1">
      <alignment horizontal="center"/>
    </xf>
    <xf numFmtId="165" fontId="11" fillId="2" borderId="98" xfId="0" applyNumberFormat="1" applyFont="1" applyFill="1" applyBorder="1" applyAlignment="1">
      <alignment horizontal="center"/>
    </xf>
    <xf numFmtId="165" fontId="11" fillId="2" borderId="99" xfId="0" applyNumberFormat="1" applyFont="1" applyFill="1" applyBorder="1" applyAlignment="1">
      <alignment horizontal="center"/>
    </xf>
    <xf numFmtId="0" fontId="10" fillId="0" borderId="74" xfId="0" applyFont="1" applyBorder="1" applyAlignment="1">
      <alignment horizontal="right" wrapText="1"/>
    </xf>
    <xf numFmtId="0" fontId="11" fillId="21" borderId="74" xfId="0" applyFont="1" applyFill="1" applyBorder="1" applyAlignment="1">
      <alignment horizontal="right" wrapText="1"/>
    </xf>
    <xf numFmtId="0" fontId="11" fillId="3" borderId="28" xfId="0" applyFont="1" applyFill="1" applyBorder="1" applyAlignment="1">
      <alignment horizontal="right" wrapText="1"/>
    </xf>
    <xf numFmtId="165" fontId="11" fillId="21" borderId="76" xfId="0" applyNumberFormat="1" applyFont="1" applyFill="1" applyBorder="1" applyAlignment="1">
      <alignment horizontal="center"/>
    </xf>
    <xf numFmtId="165" fontId="11" fillId="3" borderId="27" xfId="0" applyNumberFormat="1" applyFont="1" applyFill="1" applyBorder="1" applyAlignment="1">
      <alignment horizontal="center"/>
    </xf>
    <xf numFmtId="0" fontId="11" fillId="5" borderId="28" xfId="0" applyFont="1" applyFill="1" applyBorder="1" applyAlignment="1">
      <alignment horizontal="right" wrapText="1"/>
    </xf>
    <xf numFmtId="165" fontId="11" fillId="5" borderId="27" xfId="0" applyNumberFormat="1" applyFont="1" applyFill="1" applyBorder="1" applyAlignment="1">
      <alignment horizontal="center"/>
    </xf>
    <xf numFmtId="10" fontId="46" fillId="2" borderId="27" xfId="0" applyNumberFormat="1" applyFont="1" applyFill="1" applyBorder="1" applyAlignment="1">
      <alignment horizontal="center"/>
    </xf>
    <xf numFmtId="165" fontId="11" fillId="17" borderId="41" xfId="0" applyNumberFormat="1" applyFont="1" applyFill="1" applyBorder="1" applyAlignment="1">
      <alignment horizontal="center"/>
    </xf>
    <xf numFmtId="0" fontId="10" fillId="0" borderId="74" xfId="0" applyFont="1" applyBorder="1" applyAlignment="1">
      <alignment horizontal="center"/>
    </xf>
    <xf numFmtId="0" fontId="10" fillId="0" borderId="75" xfId="0" applyFont="1" applyBorder="1" applyAlignment="1">
      <alignment horizontal="center"/>
    </xf>
    <xf numFmtId="0" fontId="11" fillId="12" borderId="37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176" fontId="10" fillId="0" borderId="102" xfId="0" applyNumberFormat="1" applyFont="1" applyBorder="1" applyAlignment="1">
      <alignment horizontal="center"/>
    </xf>
    <xf numFmtId="0" fontId="10" fillId="0" borderId="103" xfId="0" applyFont="1" applyBorder="1" applyAlignment="1">
      <alignment horizontal="center"/>
    </xf>
    <xf numFmtId="0" fontId="10" fillId="0" borderId="104" xfId="0" applyFont="1" applyBorder="1" applyAlignment="1">
      <alignment horizontal="center"/>
    </xf>
    <xf numFmtId="0" fontId="11" fillId="2" borderId="27" xfId="0" applyFont="1" applyFill="1" applyBorder="1" applyAlignment="1">
      <alignment horizontal="center" wrapText="1"/>
    </xf>
    <xf numFmtId="10" fontId="11" fillId="2" borderId="3" xfId="4" applyNumberFormat="1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176" fontId="11" fillId="17" borderId="57" xfId="0" applyNumberFormat="1" applyFont="1" applyFill="1" applyBorder="1" applyAlignment="1">
      <alignment horizontal="center"/>
    </xf>
    <xf numFmtId="176" fontId="11" fillId="17" borderId="26" xfId="0" applyNumberFormat="1" applyFont="1" applyFill="1" applyBorder="1" applyAlignment="1">
      <alignment horizontal="center"/>
    </xf>
    <xf numFmtId="176" fontId="11" fillId="17" borderId="44" xfId="0" applyNumberFormat="1" applyFont="1" applyFill="1" applyBorder="1" applyAlignment="1">
      <alignment horizontal="center"/>
    </xf>
    <xf numFmtId="170" fontId="10" fillId="0" borderId="0" xfId="0" applyNumberFormat="1" applyFont="1" applyAlignment="1">
      <alignment horizontal="center"/>
    </xf>
    <xf numFmtId="0" fontId="11" fillId="12" borderId="68" xfId="0" applyFont="1" applyFill="1" applyBorder="1" applyAlignment="1">
      <alignment horizontal="center" wrapText="1"/>
    </xf>
    <xf numFmtId="0" fontId="11" fillId="12" borderId="69" xfId="0" applyFont="1" applyFill="1" applyBorder="1" applyAlignment="1">
      <alignment horizontal="center" wrapText="1"/>
    </xf>
    <xf numFmtId="0" fontId="11" fillId="12" borderId="70" xfId="0" applyFont="1" applyFill="1" applyBorder="1" applyAlignment="1">
      <alignment horizontal="center" wrapText="1"/>
    </xf>
    <xf numFmtId="165" fontId="11" fillId="17" borderId="71" xfId="0" applyNumberFormat="1" applyFont="1" applyFill="1" applyBorder="1" applyAlignment="1">
      <alignment horizontal="center"/>
    </xf>
    <xf numFmtId="165" fontId="11" fillId="17" borderId="2" xfId="0" applyNumberFormat="1" applyFont="1" applyFill="1" applyBorder="1" applyAlignment="1">
      <alignment horizontal="center"/>
    </xf>
    <xf numFmtId="165" fontId="11" fillId="17" borderId="28" xfId="0" applyNumberFormat="1" applyFont="1" applyFill="1" applyBorder="1" applyAlignment="1">
      <alignment horizontal="center"/>
    </xf>
    <xf numFmtId="165" fontId="11" fillId="17" borderId="17" xfId="0" applyNumberFormat="1" applyFont="1" applyFill="1" applyBorder="1" applyAlignment="1">
      <alignment horizontal="center"/>
    </xf>
    <xf numFmtId="165" fontId="11" fillId="17" borderId="69" xfId="0" applyNumberFormat="1" applyFont="1" applyFill="1" applyBorder="1" applyAlignment="1">
      <alignment horizontal="center"/>
    </xf>
    <xf numFmtId="165" fontId="11" fillId="17" borderId="70" xfId="0" applyNumberFormat="1" applyFont="1" applyFill="1" applyBorder="1" applyAlignment="1">
      <alignment horizontal="center"/>
    </xf>
    <xf numFmtId="176" fontId="11" fillId="17" borderId="2" xfId="0" applyNumberFormat="1" applyFont="1" applyFill="1" applyBorder="1" applyAlignment="1">
      <alignment horizontal="center"/>
    </xf>
    <xf numFmtId="176" fontId="11" fillId="17" borderId="72" xfId="0" applyNumberFormat="1" applyFont="1" applyFill="1" applyBorder="1" applyAlignment="1">
      <alignment horizontal="center"/>
    </xf>
    <xf numFmtId="0" fontId="11" fillId="17" borderId="29" xfId="0" applyFont="1" applyFill="1" applyBorder="1" applyAlignment="1">
      <alignment horizontal="right"/>
    </xf>
    <xf numFmtId="0" fontId="11" fillId="17" borderId="73" xfId="0" applyFont="1" applyFill="1" applyBorder="1" applyAlignment="1">
      <alignment horizontal="right"/>
    </xf>
    <xf numFmtId="0" fontId="9" fillId="0" borderId="0" xfId="0" applyFont="1" applyAlignment="1">
      <alignment horizontal="center" wrapText="1"/>
    </xf>
    <xf numFmtId="10" fontId="9" fillId="0" borderId="0" xfId="0" applyNumberFormat="1" applyFont="1" applyAlignment="1">
      <alignment horizontal="center" wrapText="1"/>
    </xf>
    <xf numFmtId="175" fontId="9" fillId="0" borderId="0" xfId="0" applyNumberFormat="1" applyFont="1" applyAlignment="1">
      <alignment horizontal="center"/>
    </xf>
    <xf numFmtId="175" fontId="12" fillId="3" borderId="0" xfId="0" applyNumberFormat="1" applyFont="1" applyFill="1" applyAlignment="1">
      <alignment horizontal="center"/>
    </xf>
    <xf numFmtId="175" fontId="9" fillId="0" borderId="27" xfId="0" applyNumberFormat="1" applyFont="1" applyBorder="1" applyAlignment="1">
      <alignment horizontal="center"/>
    </xf>
    <xf numFmtId="10" fontId="9" fillId="0" borderId="27" xfId="0" applyNumberFormat="1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19" fillId="3" borderId="27" xfId="0" applyFont="1" applyFill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2" fillId="17" borderId="27" xfId="0" applyFont="1" applyFill="1" applyBorder="1" applyAlignment="1">
      <alignment horizontal="center" wrapText="1"/>
    </xf>
    <xf numFmtId="175" fontId="12" fillId="17" borderId="27" xfId="0" applyNumberFormat="1" applyFont="1" applyFill="1" applyBorder="1" applyAlignment="1">
      <alignment horizontal="center"/>
    </xf>
    <xf numFmtId="9" fontId="12" fillId="17" borderId="27" xfId="4" applyFont="1" applyFill="1" applyBorder="1" applyAlignment="1">
      <alignment horizontal="center"/>
    </xf>
    <xf numFmtId="0" fontId="10" fillId="0" borderId="70" xfId="0" applyFont="1" applyBorder="1" applyAlignment="1">
      <alignment horizontal="justify" vertical="center" wrapText="1"/>
    </xf>
    <xf numFmtId="0" fontId="30" fillId="0" borderId="75" xfId="0" applyFont="1" applyBorder="1" applyAlignment="1">
      <alignment horizontal="justify" vertical="center" wrapText="1"/>
    </xf>
    <xf numFmtId="0" fontId="10" fillId="0" borderId="75" xfId="0" applyFont="1" applyBorder="1" applyAlignment="1">
      <alignment horizontal="justify" vertical="center" wrapText="1"/>
    </xf>
    <xf numFmtId="0" fontId="10" fillId="0" borderId="72" xfId="0" applyFont="1" applyBorder="1" applyAlignment="1">
      <alignment horizontal="justify" vertical="center" wrapText="1"/>
    </xf>
    <xf numFmtId="0" fontId="41" fillId="23" borderId="27" xfId="0" applyFont="1" applyFill="1" applyBorder="1" applyAlignment="1">
      <alignment horizontal="justify" vertical="center" wrapText="1"/>
    </xf>
    <xf numFmtId="0" fontId="11" fillId="0" borderId="29" xfId="0" applyFont="1" applyBorder="1" applyAlignment="1">
      <alignment horizontal="justify" vertical="center" wrapText="1"/>
    </xf>
    <xf numFmtId="0" fontId="11" fillId="0" borderId="76" xfId="0" applyFont="1" applyBorder="1" applyAlignment="1">
      <alignment horizontal="justify" vertical="center" wrapText="1"/>
    </xf>
    <xf numFmtId="0" fontId="11" fillId="0" borderId="73" xfId="0" applyFont="1" applyBorder="1" applyAlignment="1">
      <alignment horizontal="justify" vertical="center" wrapText="1"/>
    </xf>
    <xf numFmtId="3" fontId="10" fillId="0" borderId="76" xfId="0" applyNumberFormat="1" applyFont="1" applyBorder="1" applyAlignment="1">
      <alignment horizontal="center" vertical="center" wrapText="1"/>
    </xf>
    <xf numFmtId="0" fontId="10" fillId="0" borderId="76" xfId="0" applyFont="1" applyBorder="1" applyAlignment="1">
      <alignment horizontal="center" vertical="center" wrapText="1"/>
    </xf>
    <xf numFmtId="9" fontId="10" fillId="0" borderId="73" xfId="0" applyNumberFormat="1" applyFont="1" applyBorder="1" applyAlignment="1">
      <alignment horizontal="center" vertical="center" wrapText="1"/>
    </xf>
    <xf numFmtId="0" fontId="11" fillId="17" borderId="29" xfId="0" applyFont="1" applyFill="1" applyBorder="1" applyAlignment="1">
      <alignment horizontal="right" vertical="center" wrapText="1"/>
    </xf>
    <xf numFmtId="0" fontId="11" fillId="17" borderId="76" xfId="0" applyFont="1" applyFill="1" applyBorder="1" applyAlignment="1">
      <alignment horizontal="right" vertical="center" wrapText="1"/>
    </xf>
    <xf numFmtId="0" fontId="11" fillId="17" borderId="73" xfId="0" applyFont="1" applyFill="1" applyBorder="1" applyAlignment="1">
      <alignment horizontal="right" vertical="center" wrapText="1"/>
    </xf>
    <xf numFmtId="0" fontId="9" fillId="0" borderId="27" xfId="0" applyFont="1" applyBorder="1"/>
    <xf numFmtId="0" fontId="9" fillId="17" borderId="27" xfId="0" applyFont="1" applyFill="1" applyBorder="1"/>
    <xf numFmtId="0" fontId="12" fillId="2" borderId="27" xfId="0" applyFont="1" applyFill="1" applyBorder="1" applyAlignment="1">
      <alignment horizontal="center"/>
    </xf>
    <xf numFmtId="0" fontId="9" fillId="0" borderId="27" xfId="0" applyFont="1" applyBorder="1" applyAlignment="1">
      <alignment horizontal="center"/>
    </xf>
    <xf numFmtId="170" fontId="9" fillId="0" borderId="27" xfId="4" applyNumberFormat="1" applyFont="1" applyBorder="1" applyAlignment="1">
      <alignment horizontal="center"/>
    </xf>
    <xf numFmtId="165" fontId="12" fillId="2" borderId="27" xfId="0" applyNumberFormat="1" applyFont="1" applyFill="1" applyBorder="1" applyAlignment="1">
      <alignment horizontal="center"/>
    </xf>
    <xf numFmtId="10" fontId="12" fillId="2" borderId="27" xfId="4" applyNumberFormat="1" applyFont="1" applyFill="1" applyBorder="1" applyAlignment="1">
      <alignment horizontal="center"/>
    </xf>
    <xf numFmtId="0" fontId="11" fillId="17" borderId="27" xfId="0" applyFont="1" applyFill="1" applyBorder="1" applyAlignment="1">
      <alignment horizontal="center" vertical="center" wrapText="1"/>
    </xf>
    <xf numFmtId="0" fontId="9" fillId="17" borderId="27" xfId="0" applyFont="1" applyFill="1" applyBorder="1" applyAlignment="1">
      <alignment horizontal="center"/>
    </xf>
    <xf numFmtId="0" fontId="9" fillId="17" borderId="29" xfId="0" applyFont="1" applyFill="1" applyBorder="1" applyAlignment="1">
      <alignment horizontal="center"/>
    </xf>
    <xf numFmtId="0" fontId="12" fillId="10" borderId="27" xfId="0" applyFont="1" applyFill="1" applyBorder="1"/>
    <xf numFmtId="176" fontId="12" fillId="2" borderId="27" xfId="0" applyNumberFormat="1" applyFont="1" applyFill="1" applyBorder="1" applyAlignment="1">
      <alignment horizontal="center"/>
    </xf>
    <xf numFmtId="10" fontId="10" fillId="4" borderId="0" xfId="0" applyNumberFormat="1" applyFont="1" applyFill="1" applyAlignment="1">
      <alignment horizontal="center"/>
    </xf>
    <xf numFmtId="10" fontId="10" fillId="4" borderId="76" xfId="0" applyNumberFormat="1" applyFont="1" applyFill="1" applyBorder="1" applyAlignment="1">
      <alignment horizontal="center"/>
    </xf>
    <xf numFmtId="10" fontId="10" fillId="4" borderId="73" xfId="0" applyNumberFormat="1" applyFont="1" applyFill="1" applyBorder="1" applyAlignment="1">
      <alignment horizontal="center"/>
    </xf>
    <xf numFmtId="0" fontId="11" fillId="17" borderId="29" xfId="0" applyFont="1" applyFill="1" applyBorder="1" applyAlignment="1">
      <alignment horizontal="right" wrapText="1"/>
    </xf>
    <xf numFmtId="0" fontId="11" fillId="17" borderId="76" xfId="0" applyFont="1" applyFill="1" applyBorder="1" applyAlignment="1">
      <alignment horizontal="right" wrapText="1"/>
    </xf>
    <xf numFmtId="0" fontId="11" fillId="17" borderId="73" xfId="0" applyFont="1" applyFill="1" applyBorder="1" applyAlignment="1">
      <alignment horizontal="right" wrapText="1"/>
    </xf>
    <xf numFmtId="0" fontId="11" fillId="3" borderId="29" xfId="0" applyFont="1" applyFill="1" applyBorder="1" applyAlignment="1">
      <alignment horizontal="center" wrapText="1"/>
    </xf>
    <xf numFmtId="10" fontId="10" fillId="2" borderId="76" xfId="0" applyNumberFormat="1" applyFont="1" applyFill="1" applyBorder="1" applyAlignment="1">
      <alignment horizontal="center"/>
    </xf>
    <xf numFmtId="43" fontId="12" fillId="12" borderId="15" xfId="0" applyNumberFormat="1" applyFont="1" applyFill="1" applyBorder="1" applyAlignment="1">
      <alignment horizontal="center"/>
    </xf>
    <xf numFmtId="43" fontId="12" fillId="12" borderId="16" xfId="0" applyNumberFormat="1" applyFont="1" applyFill="1" applyBorder="1" applyAlignment="1">
      <alignment horizontal="center"/>
    </xf>
    <xf numFmtId="43" fontId="12" fillId="12" borderId="9" xfId="0" applyNumberFormat="1" applyFont="1" applyFill="1" applyBorder="1" applyAlignment="1">
      <alignment horizontal="center"/>
    </xf>
    <xf numFmtId="43" fontId="12" fillId="12" borderId="10" xfId="0" applyNumberFormat="1" applyFont="1" applyFill="1" applyBorder="1" applyAlignment="1">
      <alignment horizontal="center"/>
    </xf>
    <xf numFmtId="3" fontId="0" fillId="4" borderId="0" xfId="0" applyNumberFormat="1" applyFill="1" applyAlignment="1">
      <alignment horizontal="center"/>
    </xf>
    <xf numFmtId="164" fontId="0" fillId="0" borderId="0" xfId="2" applyNumberFormat="1" applyFont="1"/>
    <xf numFmtId="165" fontId="10" fillId="0" borderId="59" xfId="0" applyNumberFormat="1" applyFont="1" applyBorder="1" applyAlignment="1">
      <alignment horizontal="center"/>
    </xf>
    <xf numFmtId="10" fontId="11" fillId="0" borderId="0" xfId="4" applyNumberFormat="1" applyFont="1" applyFill="1" applyBorder="1" applyAlignment="1">
      <alignment horizontal="center"/>
    </xf>
    <xf numFmtId="10" fontId="10" fillId="0" borderId="86" xfId="4" applyNumberFormat="1" applyFont="1" applyBorder="1" applyAlignment="1">
      <alignment horizontal="center"/>
    </xf>
    <xf numFmtId="165" fontId="11" fillId="2" borderId="86" xfId="0" applyNumberFormat="1" applyFont="1" applyFill="1" applyBorder="1" applyAlignment="1">
      <alignment horizontal="center"/>
    </xf>
    <xf numFmtId="165" fontId="11" fillId="2" borderId="59" xfId="0" applyNumberFormat="1" applyFont="1" applyFill="1" applyBorder="1" applyAlignment="1">
      <alignment horizontal="center"/>
    </xf>
    <xf numFmtId="10" fontId="30" fillId="0" borderId="0" xfId="0" applyNumberFormat="1" applyFont="1" applyAlignment="1">
      <alignment horizontal="center" wrapText="1" readingOrder="1"/>
    </xf>
    <xf numFmtId="165" fontId="12" fillId="5" borderId="3" xfId="0" applyNumberFormat="1" applyFont="1" applyFill="1" applyBorder="1" applyAlignment="1">
      <alignment horizontal="center"/>
    </xf>
    <xf numFmtId="9" fontId="19" fillId="5" borderId="3" xfId="0" applyNumberFormat="1" applyFont="1" applyFill="1" applyBorder="1" applyAlignment="1">
      <alignment horizontal="center"/>
    </xf>
    <xf numFmtId="9" fontId="19" fillId="5" borderId="105" xfId="0" applyNumberFormat="1" applyFont="1" applyFill="1" applyBorder="1" applyAlignment="1">
      <alignment horizontal="center"/>
    </xf>
    <xf numFmtId="9" fontId="19" fillId="5" borderId="106" xfId="0" applyNumberFormat="1" applyFont="1" applyFill="1" applyBorder="1" applyAlignment="1">
      <alignment horizontal="center"/>
    </xf>
    <xf numFmtId="0" fontId="47" fillId="0" borderId="0" xfId="0" applyFont="1"/>
    <xf numFmtId="0" fontId="48" fillId="0" borderId="0" xfId="0" applyFont="1" applyAlignment="1">
      <alignment horizontal="right"/>
    </xf>
    <xf numFmtId="4" fontId="49" fillId="0" borderId="0" xfId="0" applyNumberFormat="1" applyFont="1"/>
    <xf numFmtId="0" fontId="50" fillId="0" borderId="0" xfId="0" applyFont="1"/>
    <xf numFmtId="0" fontId="51" fillId="24" borderId="107" xfId="0" applyFont="1" applyFill="1" applyBorder="1" applyAlignment="1">
      <alignment horizontal="center"/>
    </xf>
    <xf numFmtId="1" fontId="52" fillId="0" borderId="0" xfId="0" applyNumberFormat="1" applyFont="1" applyAlignment="1">
      <alignment horizontal="center"/>
    </xf>
    <xf numFmtId="0" fontId="52" fillId="0" borderId="0" xfId="0" applyFont="1"/>
    <xf numFmtId="170" fontId="52" fillId="0" borderId="0" xfId="0" applyNumberFormat="1" applyFont="1"/>
    <xf numFmtId="182" fontId="0" fillId="0" borderId="0" xfId="0" applyNumberFormat="1"/>
    <xf numFmtId="4" fontId="52" fillId="0" borderId="0" xfId="0" applyNumberFormat="1" applyFont="1"/>
    <xf numFmtId="0" fontId="53" fillId="0" borderId="0" xfId="0" applyFont="1"/>
    <xf numFmtId="170" fontId="49" fillId="25" borderId="0" xfId="0" applyNumberFormat="1" applyFont="1" applyFill="1"/>
    <xf numFmtId="0" fontId="48" fillId="0" borderId="0" xfId="0" applyFont="1"/>
    <xf numFmtId="10" fontId="50" fillId="0" borderId="0" xfId="0" applyNumberFormat="1" applyFont="1"/>
    <xf numFmtId="0" fontId="50" fillId="0" borderId="0" xfId="0" applyFont="1" applyAlignment="1">
      <alignment horizontal="center"/>
    </xf>
    <xf numFmtId="0" fontId="54" fillId="0" borderId="0" xfId="0" applyFont="1"/>
    <xf numFmtId="170" fontId="50" fillId="0" borderId="0" xfId="0" applyNumberFormat="1" applyFont="1"/>
    <xf numFmtId="0" fontId="55" fillId="0" borderId="0" xfId="0" applyFont="1"/>
    <xf numFmtId="0" fontId="56" fillId="0" borderId="0" xfId="0" applyFont="1"/>
    <xf numFmtId="164" fontId="12" fillId="0" borderId="25" xfId="0" applyNumberFormat="1" applyFont="1" applyBorder="1"/>
    <xf numFmtId="0" fontId="12" fillId="0" borderId="0" xfId="0" applyFont="1" applyAlignment="1">
      <alignment horizontal="center"/>
    </xf>
    <xf numFmtId="0" fontId="58" fillId="2" borderId="0" xfId="1" applyFont="1" applyFill="1" applyAlignment="1">
      <alignment horizontal="right" wrapText="1"/>
    </xf>
    <xf numFmtId="10" fontId="12" fillId="12" borderId="47" xfId="0" applyNumberFormat="1" applyFont="1" applyFill="1" applyBorder="1" applyAlignment="1">
      <alignment horizontal="center" wrapText="1"/>
    </xf>
    <xf numFmtId="10" fontId="12" fillId="12" borderId="48" xfId="0" applyNumberFormat="1" applyFont="1" applyFill="1" applyBorder="1" applyAlignment="1">
      <alignment horizontal="center" wrapText="1"/>
    </xf>
    <xf numFmtId="10" fontId="12" fillId="0" borderId="27" xfId="0" applyNumberFormat="1" applyFont="1" applyBorder="1" applyAlignment="1">
      <alignment horizontal="center" wrapText="1"/>
    </xf>
    <xf numFmtId="10" fontId="12" fillId="12" borderId="16" xfId="0" applyNumberFormat="1" applyFont="1" applyFill="1" applyBorder="1" applyAlignment="1">
      <alignment horizontal="center" wrapText="1"/>
    </xf>
    <xf numFmtId="0" fontId="12" fillId="0" borderId="77" xfId="0" applyFont="1" applyBorder="1" applyAlignment="1">
      <alignment horizontal="left" wrapText="1"/>
    </xf>
    <xf numFmtId="0" fontId="9" fillId="0" borderId="75" xfId="0" applyFont="1" applyBorder="1"/>
    <xf numFmtId="0" fontId="12" fillId="12" borderId="79" xfId="0" applyFont="1" applyFill="1" applyBorder="1" applyAlignment="1">
      <alignment horizontal="left" wrapText="1"/>
    </xf>
    <xf numFmtId="10" fontId="12" fillId="12" borderId="80" xfId="0" applyNumberFormat="1" applyFont="1" applyFill="1" applyBorder="1" applyAlignment="1">
      <alignment horizontal="center" wrapText="1"/>
    </xf>
    <xf numFmtId="10" fontId="12" fillId="12" borderId="81" xfId="0" applyNumberFormat="1" applyFont="1" applyFill="1" applyBorder="1" applyAlignment="1">
      <alignment horizontal="center" wrapText="1"/>
    </xf>
    <xf numFmtId="0" fontId="9" fillId="4" borderId="0" xfId="0" applyFont="1" applyFill="1"/>
    <xf numFmtId="0" fontId="12" fillId="12" borderId="0" xfId="0" applyFont="1" applyFill="1" applyAlignment="1">
      <alignment horizontal="center" wrapText="1"/>
    </xf>
    <xf numFmtId="0" fontId="12" fillId="12" borderId="0" xfId="0" applyFont="1" applyFill="1" applyAlignment="1">
      <alignment horizontal="left" wrapText="1"/>
    </xf>
    <xf numFmtId="0" fontId="12" fillId="0" borderId="17" xfId="0" applyFont="1" applyBorder="1" applyAlignment="1">
      <alignment horizontal="left" wrapText="1"/>
    </xf>
    <xf numFmtId="0" fontId="9" fillId="0" borderId="8" xfId="0" applyFont="1" applyBorder="1"/>
    <xf numFmtId="0" fontId="9" fillId="0" borderId="0" xfId="0" applyFont="1" applyAlignment="1">
      <alignment horizontal="justify" vertical="center"/>
    </xf>
    <xf numFmtId="0" fontId="12" fillId="8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12" fillId="0" borderId="27" xfId="0" applyFont="1" applyBorder="1" applyAlignment="1">
      <alignment horizontal="right" wrapText="1"/>
    </xf>
    <xf numFmtId="10" fontId="9" fillId="4" borderId="27" xfId="0" applyNumberFormat="1" applyFont="1" applyFill="1" applyBorder="1" applyAlignment="1">
      <alignment horizontal="center" wrapText="1"/>
    </xf>
    <xf numFmtId="0" fontId="9" fillId="0" borderId="27" xfId="0" applyFont="1" applyBorder="1" applyAlignment="1">
      <alignment horizontal="right" wrapText="1"/>
    </xf>
    <xf numFmtId="10" fontId="12" fillId="4" borderId="27" xfId="0" applyNumberFormat="1" applyFont="1" applyFill="1" applyBorder="1" applyAlignment="1">
      <alignment horizontal="center" wrapText="1"/>
    </xf>
    <xf numFmtId="10" fontId="12" fillId="12" borderId="27" xfId="0" applyNumberFormat="1" applyFont="1" applyFill="1" applyBorder="1" applyAlignment="1">
      <alignment horizontal="center" wrapText="1"/>
    </xf>
    <xf numFmtId="0" fontId="14" fillId="0" borderId="0" xfId="0" applyFont="1" applyAlignment="1">
      <alignment wrapText="1"/>
    </xf>
    <xf numFmtId="165" fontId="45" fillId="0" borderId="75" xfId="0" applyNumberFormat="1" applyFont="1" applyBorder="1" applyAlignment="1">
      <alignment horizontal="center"/>
    </xf>
    <xf numFmtId="0" fontId="12" fillId="17" borderId="71" xfId="0" applyFont="1" applyFill="1" applyBorder="1" applyAlignment="1">
      <alignment horizontal="left" wrapText="1"/>
    </xf>
    <xf numFmtId="165" fontId="12" fillId="17" borderId="72" xfId="0" applyNumberFormat="1" applyFont="1" applyFill="1" applyBorder="1" applyAlignment="1">
      <alignment horizontal="center"/>
    </xf>
    <xf numFmtId="165" fontId="9" fillId="0" borderId="70" xfId="0" applyNumberFormat="1" applyFont="1" applyBorder="1" applyAlignment="1">
      <alignment horizontal="center"/>
    </xf>
    <xf numFmtId="0" fontId="12" fillId="0" borderId="71" xfId="0" applyFont="1" applyBorder="1" applyAlignment="1">
      <alignment horizontal="left" wrapText="1"/>
    </xf>
    <xf numFmtId="10" fontId="12" fillId="0" borderId="73" xfId="0" applyNumberFormat="1" applyFont="1" applyBorder="1" applyAlignment="1">
      <alignment horizontal="center"/>
    </xf>
    <xf numFmtId="10" fontId="12" fillId="0" borderId="72" xfId="0" applyNumberFormat="1" applyFont="1" applyBorder="1" applyAlignment="1">
      <alignment horizontal="center"/>
    </xf>
    <xf numFmtId="0" fontId="9" fillId="17" borderId="74" xfId="0" applyFont="1" applyFill="1" applyBorder="1" applyAlignment="1">
      <alignment horizontal="left" wrapText="1"/>
    </xf>
    <xf numFmtId="165" fontId="9" fillId="17" borderId="76" xfId="0" applyNumberFormat="1" applyFont="1" applyFill="1" applyBorder="1" applyAlignment="1">
      <alignment horizontal="center"/>
    </xf>
    <xf numFmtId="165" fontId="9" fillId="17" borderId="75" xfId="0" applyNumberFormat="1" applyFont="1" applyFill="1" applyBorder="1" applyAlignment="1">
      <alignment horizontal="center"/>
    </xf>
    <xf numFmtId="0" fontId="60" fillId="0" borderId="0" xfId="0" applyFont="1" applyAlignment="1">
      <alignment wrapText="1"/>
    </xf>
    <xf numFmtId="0" fontId="12" fillId="17" borderId="27" xfId="0" applyFont="1" applyFill="1" applyBorder="1" applyAlignment="1">
      <alignment horizontal="left" wrapText="1"/>
    </xf>
    <xf numFmtId="10" fontId="12" fillId="17" borderId="27" xfId="0" applyNumberFormat="1" applyFont="1" applyFill="1" applyBorder="1" applyAlignment="1">
      <alignment horizontal="center"/>
    </xf>
    <xf numFmtId="0" fontId="12" fillId="0" borderId="27" xfId="0" applyFont="1" applyBorder="1" applyAlignment="1">
      <alignment horizontal="left" wrapText="1"/>
    </xf>
    <xf numFmtId="10" fontId="12" fillId="3" borderId="27" xfId="0" applyNumberFormat="1" applyFont="1" applyFill="1" applyBorder="1" applyAlignment="1">
      <alignment horizontal="center"/>
    </xf>
    <xf numFmtId="0" fontId="9" fillId="0" borderId="28" xfId="0" applyFont="1" applyBorder="1" applyAlignment="1">
      <alignment horizontal="left" wrapText="1"/>
    </xf>
    <xf numFmtId="0" fontId="9" fillId="0" borderId="17" xfId="0" applyFont="1" applyBorder="1"/>
    <xf numFmtId="0" fontId="12" fillId="17" borderId="17" xfId="0" applyFont="1" applyFill="1" applyBorder="1" applyAlignment="1">
      <alignment horizontal="left" wrapText="1"/>
    </xf>
    <xf numFmtId="0" fontId="9" fillId="17" borderId="17" xfId="0" applyFont="1" applyFill="1" applyBorder="1"/>
    <xf numFmtId="165" fontId="12" fillId="17" borderId="17" xfId="0" applyNumberFormat="1" applyFont="1" applyFill="1" applyBorder="1"/>
    <xf numFmtId="0" fontId="12" fillId="12" borderId="17" xfId="0" applyFont="1" applyFill="1" applyBorder="1" applyAlignment="1">
      <alignment horizontal="left" wrapText="1"/>
    </xf>
    <xf numFmtId="0" fontId="9" fillId="12" borderId="17" xfId="0" applyFont="1" applyFill="1" applyBorder="1"/>
    <xf numFmtId="165" fontId="12" fillId="12" borderId="17" xfId="0" applyNumberFormat="1" applyFont="1" applyFill="1" applyBorder="1"/>
    <xf numFmtId="0" fontId="12" fillId="12" borderId="17" xfId="0" applyFont="1" applyFill="1" applyBorder="1"/>
    <xf numFmtId="0" fontId="12" fillId="12" borderId="27" xfId="0" applyFont="1" applyFill="1" applyBorder="1" applyAlignment="1">
      <alignment horizontal="left" wrapText="1"/>
    </xf>
    <xf numFmtId="0" fontId="9" fillId="0" borderId="30" xfId="0" applyFont="1" applyBorder="1"/>
    <xf numFmtId="0" fontId="9" fillId="0" borderId="31" xfId="0" applyFont="1" applyBorder="1"/>
    <xf numFmtId="0" fontId="9" fillId="0" borderId="8" xfId="0" applyFont="1" applyBorder="1" applyAlignment="1">
      <alignment horizontal="left" wrapText="1"/>
    </xf>
    <xf numFmtId="0" fontId="12" fillId="0" borderId="23" xfId="0" applyFont="1" applyBorder="1" applyAlignment="1">
      <alignment horizontal="left" wrapText="1"/>
    </xf>
    <xf numFmtId="0" fontId="12" fillId="8" borderId="74" xfId="0" applyFont="1" applyFill="1" applyBorder="1" applyAlignment="1">
      <alignment horizontal="left" wrapText="1"/>
    </xf>
    <xf numFmtId="10" fontId="12" fillId="12" borderId="0" xfId="0" applyNumberFormat="1" applyFont="1" applyFill="1" applyAlignment="1">
      <alignment horizontal="center" wrapText="1"/>
    </xf>
    <xf numFmtId="176" fontId="9" fillId="0" borderId="27" xfId="0" applyNumberFormat="1" applyFont="1" applyBorder="1" applyAlignment="1">
      <alignment horizontal="center"/>
    </xf>
    <xf numFmtId="165" fontId="9" fillId="0" borderId="27" xfId="0" applyNumberFormat="1" applyFont="1" applyBorder="1" applyAlignment="1">
      <alignment horizontal="left" wrapText="1"/>
    </xf>
    <xf numFmtId="173" fontId="9" fillId="0" borderId="27" xfId="0" applyNumberFormat="1" applyFont="1" applyBorder="1" applyAlignment="1">
      <alignment horizontal="left" wrapText="1"/>
    </xf>
    <xf numFmtId="176" fontId="10" fillId="0" borderId="69" xfId="0" applyNumberFormat="1" applyFont="1" applyBorder="1" applyAlignment="1">
      <alignment horizontal="center" vertical="center"/>
    </xf>
    <xf numFmtId="165" fontId="19" fillId="12" borderId="37" xfId="0" applyNumberFormat="1" applyFont="1" applyFill="1" applyBorder="1" applyAlignment="1">
      <alignment horizontal="center"/>
    </xf>
    <xf numFmtId="0" fontId="19" fillId="0" borderId="33" xfId="0" applyFont="1" applyBorder="1" applyAlignment="1">
      <alignment wrapText="1"/>
    </xf>
    <xf numFmtId="0" fontId="19" fillId="12" borderId="27" xfId="0" applyFont="1" applyFill="1" applyBorder="1" applyAlignment="1">
      <alignment wrapText="1"/>
    </xf>
    <xf numFmtId="0" fontId="18" fillId="0" borderId="55" xfId="0" applyFont="1" applyBorder="1"/>
    <xf numFmtId="0" fontId="19" fillId="0" borderId="55" xfId="0" applyFont="1" applyBorder="1" applyAlignment="1">
      <alignment horizontal="center"/>
    </xf>
    <xf numFmtId="10" fontId="18" fillId="0" borderId="0" xfId="0" applyNumberFormat="1" applyFont="1" applyAlignment="1">
      <alignment horizontal="center" wrapText="1" readingOrder="1"/>
    </xf>
    <xf numFmtId="173" fontId="12" fillId="0" borderId="0" xfId="0" applyNumberFormat="1" applyFont="1" applyAlignment="1">
      <alignment horizontal="center"/>
    </xf>
    <xf numFmtId="0" fontId="12" fillId="0" borderId="28" xfId="0" applyFont="1" applyBorder="1" applyAlignment="1">
      <alignment horizontal="left" wrapText="1"/>
    </xf>
    <xf numFmtId="0" fontId="9" fillId="0" borderId="28" xfId="0" applyFont="1" applyBorder="1"/>
    <xf numFmtId="170" fontId="52" fillId="6" borderId="0" xfId="0" applyNumberFormat="1" applyFont="1" applyFill="1"/>
    <xf numFmtId="170" fontId="0" fillId="0" borderId="0" xfId="0" applyNumberFormat="1"/>
    <xf numFmtId="170" fontId="0" fillId="6" borderId="0" xfId="0" applyNumberFormat="1" applyFill="1"/>
    <xf numFmtId="0" fontId="4" fillId="0" borderId="0" xfId="0" applyFont="1" applyAlignment="1">
      <alignment horizontal="center"/>
    </xf>
    <xf numFmtId="0" fontId="11" fillId="5" borderId="55" xfId="0" applyFont="1" applyFill="1" applyBorder="1"/>
    <xf numFmtId="0" fontId="10" fillId="5" borderId="55" xfId="0" applyFont="1" applyFill="1" applyBorder="1"/>
    <xf numFmtId="0" fontId="61" fillId="0" borderId="0" xfId="1" applyFont="1"/>
    <xf numFmtId="0" fontId="11" fillId="0" borderId="2" xfId="0" applyFont="1" applyBorder="1"/>
    <xf numFmtId="0" fontId="62" fillId="0" borderId="2" xfId="0" applyFont="1" applyBorder="1"/>
    <xf numFmtId="0" fontId="7" fillId="3" borderId="15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 wrapText="1"/>
    </xf>
    <xf numFmtId="0" fontId="19" fillId="5" borderId="38" xfId="0" applyFont="1" applyFill="1" applyBorder="1" applyAlignment="1">
      <alignment horizontal="center"/>
    </xf>
    <xf numFmtId="0" fontId="19" fillId="5" borderId="37" xfId="0" applyFont="1" applyFill="1" applyBorder="1" applyAlignment="1">
      <alignment horizontal="center"/>
    </xf>
    <xf numFmtId="43" fontId="12" fillId="6" borderId="15" xfId="0" applyNumberFormat="1" applyFont="1" applyFill="1" applyBorder="1" applyAlignment="1">
      <alignment horizontal="left"/>
    </xf>
    <xf numFmtId="43" fontId="12" fillId="6" borderId="16" xfId="0" applyNumberFormat="1" applyFont="1" applyFill="1" applyBorder="1" applyAlignment="1">
      <alignment horizontal="left"/>
    </xf>
    <xf numFmtId="43" fontId="12" fillId="6" borderId="18" xfId="0" applyNumberFormat="1" applyFont="1" applyFill="1" applyBorder="1" applyAlignment="1">
      <alignment horizontal="left"/>
    </xf>
    <xf numFmtId="0" fontId="12" fillId="3" borderId="15" xfId="0" applyFont="1" applyFill="1" applyBorder="1" applyAlignment="1">
      <alignment horizontal="center" wrapText="1"/>
    </xf>
    <xf numFmtId="0" fontId="12" fillId="3" borderId="18" xfId="0" applyFont="1" applyFill="1" applyBorder="1" applyAlignment="1">
      <alignment horizontal="center" wrapText="1"/>
    </xf>
    <xf numFmtId="0" fontId="12" fillId="3" borderId="65" xfId="0" applyFont="1" applyFill="1" applyBorder="1" applyAlignment="1">
      <alignment horizontal="center" wrapText="1"/>
    </xf>
    <xf numFmtId="0" fontId="12" fillId="3" borderId="66" xfId="0" applyFont="1" applyFill="1" applyBorder="1" applyAlignment="1">
      <alignment horizontal="center" wrapText="1"/>
    </xf>
    <xf numFmtId="0" fontId="25" fillId="12" borderId="60" xfId="0" applyFont="1" applyFill="1" applyBorder="1" applyAlignment="1">
      <alignment horizontal="center"/>
    </xf>
    <xf numFmtId="0" fontId="25" fillId="12" borderId="61" xfId="0" applyFont="1" applyFill="1" applyBorder="1" applyAlignment="1">
      <alignment horizontal="center"/>
    </xf>
    <xf numFmtId="0" fontId="25" fillId="12" borderId="37" xfId="0" applyFont="1" applyFill="1" applyBorder="1" applyAlignment="1">
      <alignment horizontal="center"/>
    </xf>
    <xf numFmtId="0" fontId="11" fillId="12" borderId="38" xfId="0" applyFont="1" applyFill="1" applyBorder="1" applyAlignment="1">
      <alignment horizontal="center" vertical="center" wrapText="1"/>
    </xf>
    <xf numFmtId="0" fontId="11" fillId="12" borderId="36" xfId="0" applyFont="1" applyFill="1" applyBorder="1" applyAlignment="1">
      <alignment horizontal="center" vertical="center" wrapText="1"/>
    </xf>
    <xf numFmtId="0" fontId="11" fillId="12" borderId="37" xfId="0" applyFont="1" applyFill="1" applyBorder="1" applyAlignment="1">
      <alignment horizontal="center" vertical="center" wrapText="1"/>
    </xf>
    <xf numFmtId="0" fontId="10" fillId="19" borderId="68" xfId="0" applyFont="1" applyFill="1" applyBorder="1" applyAlignment="1">
      <alignment horizontal="center"/>
    </xf>
    <xf numFmtId="0" fontId="10" fillId="19" borderId="69" xfId="0" applyFont="1" applyFill="1" applyBorder="1" applyAlignment="1">
      <alignment horizontal="center"/>
    </xf>
    <xf numFmtId="0" fontId="10" fillId="19" borderId="70" xfId="0" applyFont="1" applyFill="1" applyBorder="1" applyAlignment="1">
      <alignment horizontal="center"/>
    </xf>
    <xf numFmtId="0" fontId="11" fillId="12" borderId="46" xfId="0" applyFont="1" applyFill="1" applyBorder="1" applyAlignment="1">
      <alignment horizontal="center" wrapText="1"/>
    </xf>
    <xf numFmtId="0" fontId="11" fillId="12" borderId="48" xfId="0" applyFont="1" applyFill="1" applyBorder="1" applyAlignment="1">
      <alignment horizontal="center" wrapText="1"/>
    </xf>
    <xf numFmtId="0" fontId="11" fillId="12" borderId="28" xfId="0" applyFont="1" applyFill="1" applyBorder="1" applyAlignment="1">
      <alignment horizontal="center"/>
    </xf>
    <xf numFmtId="0" fontId="11" fillId="12" borderId="41" xfId="0" applyFont="1" applyFill="1" applyBorder="1" applyAlignment="1">
      <alignment horizontal="center"/>
    </xf>
    <xf numFmtId="165" fontId="11" fillId="5" borderId="46" xfId="0" applyNumberFormat="1" applyFont="1" applyFill="1" applyBorder="1" applyAlignment="1">
      <alignment horizontal="center"/>
    </xf>
    <xf numFmtId="165" fontId="11" fillId="5" borderId="48" xfId="0" applyNumberFormat="1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/>
    </xf>
    <xf numFmtId="0" fontId="12" fillId="5" borderId="41" xfId="0" applyFont="1" applyFill="1" applyBorder="1" applyAlignment="1">
      <alignment horizontal="center"/>
    </xf>
    <xf numFmtId="0" fontId="11" fillId="0" borderId="60" xfId="0" applyFont="1" applyBorder="1" applyAlignment="1">
      <alignment horizontal="center"/>
    </xf>
    <xf numFmtId="0" fontId="11" fillId="0" borderId="61" xfId="0" applyFont="1" applyBorder="1" applyAlignment="1">
      <alignment horizontal="center"/>
    </xf>
    <xf numFmtId="0" fontId="11" fillId="0" borderId="42" xfId="0" applyFont="1" applyBorder="1" applyAlignment="1">
      <alignment horizontal="center"/>
    </xf>
    <xf numFmtId="0" fontId="11" fillId="17" borderId="28" xfId="0" applyFont="1" applyFill="1" applyBorder="1" applyAlignment="1">
      <alignment horizontal="center"/>
    </xf>
    <xf numFmtId="0" fontId="11" fillId="17" borderId="41" xfId="0" applyFont="1" applyFill="1" applyBorder="1" applyAlignment="1">
      <alignment horizontal="center"/>
    </xf>
    <xf numFmtId="0" fontId="11" fillId="12" borderId="28" xfId="0" applyFont="1" applyFill="1" applyBorder="1" applyAlignment="1">
      <alignment horizontal="center" wrapText="1"/>
    </xf>
    <xf numFmtId="0" fontId="11" fillId="12" borderId="41" xfId="0" applyFont="1" applyFill="1" applyBorder="1" applyAlignment="1">
      <alignment horizontal="center" wrapText="1"/>
    </xf>
    <xf numFmtId="0" fontId="40" fillId="12" borderId="28" xfId="0" applyFont="1" applyFill="1" applyBorder="1" applyAlignment="1">
      <alignment horizontal="center"/>
    </xf>
    <xf numFmtId="0" fontId="40" fillId="12" borderId="41" xfId="0" applyFont="1" applyFill="1" applyBorder="1" applyAlignment="1">
      <alignment horizontal="center"/>
    </xf>
    <xf numFmtId="0" fontId="46" fillId="2" borderId="27" xfId="0" applyFont="1" applyFill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7" fillId="13" borderId="0" xfId="0" applyFont="1" applyFill="1" applyAlignment="1">
      <alignment horizontal="center"/>
    </xf>
    <xf numFmtId="0" fontId="17" fillId="13" borderId="0" xfId="0" applyFont="1" applyFill="1" applyAlignment="1">
      <alignment horizontal="left"/>
    </xf>
  </cellXfs>
  <cellStyles count="6">
    <cellStyle name="Comma" xfId="2" builtinId="3"/>
    <cellStyle name="Currency" xfId="3" builtinId="4"/>
    <cellStyle name="Hyperlink" xfId="1" xr:uid="{00000000-000B-0000-0000-000008000000}"/>
    <cellStyle name="Normal" xfId="0" builtinId="0"/>
    <cellStyle name="Normal 2" xfId="5" xr:uid="{1BBAD105-7547-41F2-A39C-322F7DB46B57}"/>
    <cellStyle name="Percent" xfId="4" builtinId="5"/>
  </cellStyles>
  <dxfs count="9">
    <dxf>
      <font>
        <strike val="0"/>
        <outline val="0"/>
        <shadow val="0"/>
        <u val="none"/>
        <vertAlign val="baseline"/>
        <sz val="12"/>
        <color theme="1"/>
        <name val="Garamond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Garamond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Garamond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Garamond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Garamond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Garamond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Garamond"/>
        <family val="1"/>
        <scheme val="none"/>
      </font>
      <numFmt numFmtId="19" formatCode="dd/mm/yyyy"/>
    </dxf>
    <dxf>
      <font>
        <strike val="0"/>
        <outline val="0"/>
        <shadow val="0"/>
        <u val="none"/>
        <vertAlign val="baseline"/>
        <sz val="12"/>
        <color theme="1"/>
        <name val="Garamond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Garamond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calcChain" Target="calcChai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onnections" Target="connection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Rentabilidad exponencial Vs lineal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'Cap2. Rentabilidad'!$E$13</c:f>
              <c:strCache>
                <c:ptCount val="1"/>
                <c:pt idx="0">
                  <c:v> Crecimiento exponencial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'Cap2. Rentabilidad'!$E$14:$E$43</c:f>
              <c:numCache>
                <c:formatCode>_(* #,##0.00_);_(* \(#,##0.00\);_(* "-"??_);_(@_)</c:formatCode>
                <c:ptCount val="30"/>
                <c:pt idx="0">
                  <c:v>110.00000000000001</c:v>
                </c:pt>
                <c:pt idx="1">
                  <c:v>121.00000000000003</c:v>
                </c:pt>
                <c:pt idx="2">
                  <c:v>133.10000000000005</c:v>
                </c:pt>
                <c:pt idx="3">
                  <c:v>146.41000000000008</c:v>
                </c:pt>
                <c:pt idx="4">
                  <c:v>161.0510000000001</c:v>
                </c:pt>
                <c:pt idx="5">
                  <c:v>177.15610000000012</c:v>
                </c:pt>
                <c:pt idx="6">
                  <c:v>194.87171000000015</c:v>
                </c:pt>
                <c:pt idx="7">
                  <c:v>214.3588810000002</c:v>
                </c:pt>
                <c:pt idx="8">
                  <c:v>235.79476910000022</c:v>
                </c:pt>
                <c:pt idx="9">
                  <c:v>259.37424601000026</c:v>
                </c:pt>
                <c:pt idx="10">
                  <c:v>285.3116706110003</c:v>
                </c:pt>
                <c:pt idx="11">
                  <c:v>313.84283767210036</c:v>
                </c:pt>
                <c:pt idx="12">
                  <c:v>345.22712143931039</c:v>
                </c:pt>
                <c:pt idx="13">
                  <c:v>379.74983358324147</c:v>
                </c:pt>
                <c:pt idx="14">
                  <c:v>417.72481694156562</c:v>
                </c:pt>
                <c:pt idx="15">
                  <c:v>459.49729863572225</c:v>
                </c:pt>
                <c:pt idx="16">
                  <c:v>505.4470284992945</c:v>
                </c:pt>
                <c:pt idx="17">
                  <c:v>555.99173134922398</c:v>
                </c:pt>
                <c:pt idx="18">
                  <c:v>611.59090448414645</c:v>
                </c:pt>
                <c:pt idx="19">
                  <c:v>672.74999493256109</c:v>
                </c:pt>
                <c:pt idx="20">
                  <c:v>740.02499442581723</c:v>
                </c:pt>
                <c:pt idx="21">
                  <c:v>814.02749386839901</c:v>
                </c:pt>
                <c:pt idx="22">
                  <c:v>895.43024325523902</c:v>
                </c:pt>
                <c:pt idx="23">
                  <c:v>984.97326758076304</c:v>
                </c:pt>
                <c:pt idx="24">
                  <c:v>1083.4705943388394</c:v>
                </c:pt>
                <c:pt idx="25">
                  <c:v>1191.8176537727234</c:v>
                </c:pt>
                <c:pt idx="26">
                  <c:v>1310.9994191499959</c:v>
                </c:pt>
                <c:pt idx="27">
                  <c:v>1442.0993610649957</c:v>
                </c:pt>
                <c:pt idx="28">
                  <c:v>1586.3092971714955</c:v>
                </c:pt>
                <c:pt idx="29">
                  <c:v>1744.9402268886452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D8-EF4A-BDE8-7FBF80F4AF23}"/>
            </c:ext>
          </c:extLst>
        </c:ser>
        <c:ser>
          <c:idx val="1"/>
          <c:order val="1"/>
          <c:tx>
            <c:strRef>
              <c:f>'Cap2. Rentabilidad'!$F$13</c:f>
              <c:strCache>
                <c:ptCount val="1"/>
                <c:pt idx="0">
                  <c:v>Crecimiento lineal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'Cap2. Rentabilidad'!$F$14:$F$43</c:f>
              <c:numCache>
                <c:formatCode>General</c:formatCode>
                <c:ptCount val="30"/>
                <c:pt idx="0">
                  <c:v>110.00000000000001</c:v>
                </c:pt>
                <c:pt idx="1">
                  <c:v>120</c:v>
                </c:pt>
                <c:pt idx="2">
                  <c:v>130</c:v>
                </c:pt>
                <c:pt idx="3">
                  <c:v>140</c:v>
                </c:pt>
                <c:pt idx="4">
                  <c:v>150</c:v>
                </c:pt>
                <c:pt idx="5">
                  <c:v>160</c:v>
                </c:pt>
                <c:pt idx="6">
                  <c:v>170.00000000000003</c:v>
                </c:pt>
                <c:pt idx="7">
                  <c:v>180</c:v>
                </c:pt>
                <c:pt idx="8">
                  <c:v>190</c:v>
                </c:pt>
                <c:pt idx="9">
                  <c:v>200</c:v>
                </c:pt>
                <c:pt idx="10">
                  <c:v>210</c:v>
                </c:pt>
                <c:pt idx="11">
                  <c:v>220.00000000000003</c:v>
                </c:pt>
                <c:pt idx="12">
                  <c:v>229.99999999999997</c:v>
                </c:pt>
                <c:pt idx="13">
                  <c:v>240.00000000000003</c:v>
                </c:pt>
                <c:pt idx="14">
                  <c:v>250</c:v>
                </c:pt>
                <c:pt idx="15">
                  <c:v>260</c:v>
                </c:pt>
                <c:pt idx="16">
                  <c:v>270</c:v>
                </c:pt>
                <c:pt idx="17">
                  <c:v>280</c:v>
                </c:pt>
                <c:pt idx="18">
                  <c:v>290.00000000000006</c:v>
                </c:pt>
                <c:pt idx="19">
                  <c:v>300</c:v>
                </c:pt>
                <c:pt idx="20">
                  <c:v>310</c:v>
                </c:pt>
                <c:pt idx="21">
                  <c:v>320</c:v>
                </c:pt>
                <c:pt idx="22">
                  <c:v>330</c:v>
                </c:pt>
                <c:pt idx="23">
                  <c:v>340.00000000000006</c:v>
                </c:pt>
                <c:pt idx="24">
                  <c:v>350</c:v>
                </c:pt>
                <c:pt idx="25">
                  <c:v>360</c:v>
                </c:pt>
                <c:pt idx="26">
                  <c:v>370</c:v>
                </c:pt>
                <c:pt idx="27">
                  <c:v>380</c:v>
                </c:pt>
                <c:pt idx="28">
                  <c:v>390.00000000000006</c:v>
                </c:pt>
                <c:pt idx="29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D8-EF4A-BDE8-7FBF80F4AF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6517200"/>
        <c:axId val="256599104"/>
      </c:lineChart>
      <c:catAx>
        <c:axId val="2565172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56599104"/>
        <c:crosses val="autoZero"/>
        <c:auto val="1"/>
        <c:lblAlgn val="ctr"/>
        <c:lblOffset val="100"/>
        <c:noMultiLvlLbl val="0"/>
      </c:catAx>
      <c:valAx>
        <c:axId val="256599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56517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'Cap2. Rentabilidad'!$C$66</c:f>
              <c:strCache>
                <c:ptCount val="1"/>
                <c:pt idx="0">
                  <c:v>20%</c:v>
                </c:pt>
              </c:strCache>
            </c:strRef>
          </c:tx>
          <c:spPr>
            <a:ln w="19050" cap="rnd" cmpd="sng" algn="ctr">
              <a:solidFill>
                <a:schemeClr val="accent1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Garamond" panose="02020404030301010803" pitchFamily="18" charset="0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'Cap2. Rentabilidad'!$B$67:$B$86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'Cap2. Rentabilidad'!$C$67:$C$71</c:f>
              <c:numCache>
                <c:formatCode>#,##0</c:formatCode>
                <c:ptCount val="5"/>
                <c:pt idx="0">
                  <c:v>120</c:v>
                </c:pt>
                <c:pt idx="1">
                  <c:v>144</c:v>
                </c:pt>
                <c:pt idx="2">
                  <c:v>172.8</c:v>
                </c:pt>
                <c:pt idx="3">
                  <c:v>207.35999999999999</c:v>
                </c:pt>
                <c:pt idx="4">
                  <c:v>248.83199999999999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1D-784D-B5BC-2B30E22C5C22}"/>
            </c:ext>
          </c:extLst>
        </c:ser>
        <c:ser>
          <c:idx val="1"/>
          <c:order val="1"/>
          <c:tx>
            <c:strRef>
              <c:f>'Cap2. Rentabilidad'!$D$66</c:f>
              <c:strCache>
                <c:ptCount val="1"/>
                <c:pt idx="0">
                  <c:v>5%</c:v>
                </c:pt>
              </c:strCache>
            </c:strRef>
          </c:tx>
          <c:spPr>
            <a:ln w="19050" cap="rnd" cmpd="sng" algn="ctr">
              <a:solidFill>
                <a:schemeClr val="accent2">
                  <a:shade val="95000"/>
                  <a:satMod val="105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l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2"/>
                    </a:solidFill>
                    <a:latin typeface="Garamond" panose="02020404030301010803" pitchFamily="18" charset="0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'Cap2. Rentabilidad'!$B$67:$B$86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'Cap2. Rentabilidad'!$D$67:$D$86</c:f>
              <c:numCache>
                <c:formatCode>#,##0</c:formatCode>
                <c:ptCount val="20"/>
                <c:pt idx="0">
                  <c:v>105</c:v>
                </c:pt>
                <c:pt idx="1">
                  <c:v>110.25</c:v>
                </c:pt>
                <c:pt idx="2">
                  <c:v>115.76250000000002</c:v>
                </c:pt>
                <c:pt idx="3">
                  <c:v>121.550625</c:v>
                </c:pt>
                <c:pt idx="4">
                  <c:v>127.62815625000002</c:v>
                </c:pt>
                <c:pt idx="5">
                  <c:v>134.0095640625</c:v>
                </c:pt>
                <c:pt idx="6">
                  <c:v>140.71004226562502</c:v>
                </c:pt>
                <c:pt idx="7">
                  <c:v>147.74554437890626</c:v>
                </c:pt>
                <c:pt idx="8">
                  <c:v>155.13282159785157</c:v>
                </c:pt>
                <c:pt idx="9">
                  <c:v>162.88946267774415</c:v>
                </c:pt>
                <c:pt idx="10">
                  <c:v>171.03393581163138</c:v>
                </c:pt>
                <c:pt idx="11">
                  <c:v>179.58563260221291</c:v>
                </c:pt>
                <c:pt idx="12">
                  <c:v>188.56491423232359</c:v>
                </c:pt>
                <c:pt idx="13">
                  <c:v>197.99315994393973</c:v>
                </c:pt>
                <c:pt idx="14">
                  <c:v>207.8928179411368</c:v>
                </c:pt>
                <c:pt idx="15">
                  <c:v>218.2874588381936</c:v>
                </c:pt>
                <c:pt idx="16">
                  <c:v>229.2018317801033</c:v>
                </c:pt>
                <c:pt idx="17">
                  <c:v>240.66192336910848</c:v>
                </c:pt>
                <c:pt idx="18">
                  <c:v>252.69501953756389</c:v>
                </c:pt>
                <c:pt idx="19">
                  <c:v>265.32977051444209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1D-784D-B5BC-2B30E22C5C2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55619408"/>
        <c:axId val="255593376"/>
      </c:lineChart>
      <c:catAx>
        <c:axId val="25561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55593376"/>
        <c:crosses val="autoZero"/>
        <c:auto val="1"/>
        <c:lblAlgn val="ctr"/>
        <c:lblOffset val="100"/>
        <c:noMultiLvlLbl val="0"/>
      </c:catAx>
      <c:valAx>
        <c:axId val="255593376"/>
        <c:scaling>
          <c:orientation val="minMax"/>
          <c:min val="90"/>
        </c:scaling>
        <c:delete val="1"/>
        <c:axPos val="l"/>
        <c:numFmt formatCode="#,##0" sourceLinked="1"/>
        <c:majorTickMark val="none"/>
        <c:minorTickMark val="none"/>
        <c:tickLblPos val="nextTo"/>
        <c:crossAx val="255619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r>
              <a:rPr lang="en-US">
                <a:latin typeface="Garamond" panose="02020404030301010803" pitchFamily="18" charset="0"/>
              </a:rPr>
              <a:t>CAGR de las distintas cestas</a:t>
            </a:r>
            <a:r>
              <a:rPr lang="en-US" baseline="0">
                <a:latin typeface="Garamond" panose="02020404030301010803" pitchFamily="18" charset="0"/>
              </a:rPr>
              <a:t> de empresas</a:t>
            </a:r>
            <a:endParaRPr lang="en-US">
              <a:latin typeface="Garamond" panose="02020404030301010803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Garamond" panose="02020404030301010803" pitchFamily="18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'Cap3. Backtesting FM'!$D$57</c:f>
              <c:strCache>
                <c:ptCount val="1"/>
                <c:pt idx="0">
                  <c:v>CAGR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'Cap3. Backtesting FM'!$C$58:$C$67</c:f>
              <c:strCache>
                <c:ptCount val="10"/>
                <c:pt idx="0">
                  <c:v>Cartera A</c:v>
                </c:pt>
                <c:pt idx="1">
                  <c:v>Cartera B</c:v>
                </c:pt>
                <c:pt idx="2">
                  <c:v>Cartera C</c:v>
                </c:pt>
                <c:pt idx="3">
                  <c:v>Cartera D</c:v>
                </c:pt>
                <c:pt idx="4">
                  <c:v>Cartera E</c:v>
                </c:pt>
                <c:pt idx="5">
                  <c:v>Cartera F</c:v>
                </c:pt>
                <c:pt idx="6">
                  <c:v>Cartera G</c:v>
                </c:pt>
                <c:pt idx="7">
                  <c:v>Cartera H</c:v>
                </c:pt>
                <c:pt idx="8">
                  <c:v>Cartera I</c:v>
                </c:pt>
                <c:pt idx="9">
                  <c:v>Cartera J</c:v>
                </c:pt>
              </c:strCache>
            </c:strRef>
          </c:cat>
          <c:val>
            <c:numRef>
              <c:f>'Cap3. Backtesting FM'!$D$58:$D$67</c:f>
              <c:numCache>
                <c:formatCode>0.0%</c:formatCode>
                <c:ptCount val="10"/>
                <c:pt idx="0">
                  <c:v>0.17899999999999999</c:v>
                </c:pt>
                <c:pt idx="1">
                  <c:v>0.156</c:v>
                </c:pt>
                <c:pt idx="2">
                  <c:v>0.14799999999999999</c:v>
                </c:pt>
                <c:pt idx="3">
                  <c:v>0.14199999999999999</c:v>
                </c:pt>
                <c:pt idx="4">
                  <c:v>0.14099999999999999</c:v>
                </c:pt>
                <c:pt idx="5">
                  <c:v>0.127</c:v>
                </c:pt>
                <c:pt idx="6">
                  <c:v>0.113</c:v>
                </c:pt>
                <c:pt idx="7">
                  <c:v>0.10100000000000001</c:v>
                </c:pt>
                <c:pt idx="8">
                  <c:v>5.1999999999999998E-2</c:v>
                </c:pt>
                <c:pt idx="9">
                  <c:v>2.5000000000000001E-2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5C-4748-8B92-9732563FC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0785104"/>
        <c:axId val="350932496"/>
      </c:barChart>
      <c:catAx>
        <c:axId val="35078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endParaRPr lang="es-ES"/>
          </a:p>
        </c:txPr>
        <c:crossAx val="350932496"/>
        <c:crosses val="autoZero"/>
        <c:auto val="1"/>
        <c:lblAlgn val="ctr"/>
        <c:lblOffset val="100"/>
        <c:noMultiLvlLbl val="0"/>
      </c:catAx>
      <c:valAx>
        <c:axId val="350932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endParaRPr lang="es-ES"/>
          </a:p>
        </c:txPr>
        <c:crossAx val="350785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Garamond" panose="02020404030301010803" pitchFamily="18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r>
              <a:rPr lang="es-ES" sz="1800" b="1">
                <a:latin typeface="Garamond" panose="02020404030301010803" pitchFamily="18" charset="0"/>
              </a:rPr>
              <a:t>Evolución de una inversión de 100.000 dólares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Garamond" panose="02020404030301010803" pitchFamily="18" charset="0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'Cap3. Backtesting FM'!$D$25</c:f>
              <c:strCache>
                <c:ptCount val="1"/>
                <c:pt idx="0">
                  <c:v>FM All market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1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DFF-4DD8-A997-45FA0182DB74}"/>
                </c:ext>
              </c:extLst>
            </c:dLbl>
            <c:spPr>
              <a:solidFill>
                <a:schemeClr val="accent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bg1"/>
                    </a:solidFill>
                    <a:latin typeface="Garamond" panose="02020404030301010803" pitchFamily="18" charset="0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'Cap3. Backtesting FM'!$C$26:$C$43</c:f>
              <c:strCache>
                <c:ptCount val="18"/>
                <c:pt idx="0">
                  <c:v>Inversión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</c:strCache>
            </c:strRef>
          </c:cat>
          <c:val>
            <c:numRef>
              <c:f>'Cap3. Backtesting FM'!$D$26:$D$43</c:f>
              <c:numCache>
                <c:formatCode>#,##0;\(#,##0\);\-</c:formatCode>
                <c:ptCount val="18"/>
                <c:pt idx="0">
                  <c:v>100000</c:v>
                </c:pt>
                <c:pt idx="1">
                  <c:v>127099.99999999999</c:v>
                </c:pt>
                <c:pt idx="2">
                  <c:v>183786.59999999998</c:v>
                </c:pt>
                <c:pt idx="3">
                  <c:v>186910.97219999996</c:v>
                </c:pt>
                <c:pt idx="4">
                  <c:v>318870.1185731999</c:v>
                </c:pt>
                <c:pt idx="5">
                  <c:v>422184.03699091671</c:v>
                </c:pt>
                <c:pt idx="6">
                  <c:v>494799.69135335437</c:v>
                </c:pt>
                <c:pt idx="7">
                  <c:v>603655.62345109228</c:v>
                </c:pt>
                <c:pt idx="8">
                  <c:v>808898.53542446368</c:v>
                </c:pt>
                <c:pt idx="9">
                  <c:v>948837.98205289594</c:v>
                </c:pt>
                <c:pt idx="10">
                  <c:v>1332168.5268022658</c:v>
                </c:pt>
                <c:pt idx="11">
                  <c:v>1671871.5011368433</c:v>
                </c:pt>
                <c:pt idx="12">
                  <c:v>2557963.3967393702</c:v>
                </c:pt>
                <c:pt idx="13">
                  <c:v>2760042.5050817803</c:v>
                </c:pt>
                <c:pt idx="14">
                  <c:v>4681032.0886186995</c:v>
                </c:pt>
                <c:pt idx="15">
                  <c:v>4493790.8050739514</c:v>
                </c:pt>
                <c:pt idx="16">
                  <c:v>8084329.6583280386</c:v>
                </c:pt>
                <c:pt idx="17">
                  <c:v>9644605.2823853511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FF-4DD8-A997-45FA0182DB74}"/>
            </c:ext>
          </c:extLst>
        </c:ser>
        <c:ser>
          <c:idx val="1"/>
          <c:order val="1"/>
          <c:tx>
            <c:strRef>
              <c:f>'Cap3. Backtesting FM'!$E$25</c:f>
              <c:strCache>
                <c:ptCount val="1"/>
                <c:pt idx="0">
                  <c:v>FM "selecta"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1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DFF-4DD8-A997-45FA0182DB74}"/>
                </c:ext>
              </c:extLst>
            </c:dLbl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bg1"/>
                    </a:solidFill>
                    <a:latin typeface="Garamond" panose="02020404030301010803" pitchFamily="18" charset="0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'Cap3. Backtesting FM'!$C$26:$C$43</c:f>
              <c:strCache>
                <c:ptCount val="18"/>
                <c:pt idx="0">
                  <c:v>Inversión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</c:strCache>
            </c:strRef>
          </c:cat>
          <c:val>
            <c:numRef>
              <c:f>'Cap3. Backtesting FM'!$E$26:$E$43</c:f>
              <c:numCache>
                <c:formatCode>#,##0;\(#,##0\);\-</c:formatCode>
                <c:ptCount val="18"/>
                <c:pt idx="0">
                  <c:v>100000</c:v>
                </c:pt>
                <c:pt idx="1">
                  <c:v>129400</c:v>
                </c:pt>
                <c:pt idx="2">
                  <c:v>168220</c:v>
                </c:pt>
                <c:pt idx="3">
                  <c:v>158126.79999999999</c:v>
                </c:pt>
                <c:pt idx="4">
                  <c:v>239562.10200000001</c:v>
                </c:pt>
                <c:pt idx="5">
                  <c:v>278850.28672799998</c:v>
                </c:pt>
                <c:pt idx="6">
                  <c:v>280244.53816163994</c:v>
                </c:pt>
                <c:pt idx="7">
                  <c:v>323121.95250037085</c:v>
                </c:pt>
                <c:pt idx="8">
                  <c:v>503747.1239480782</c:v>
                </c:pt>
                <c:pt idx="9">
                  <c:v>692148.54830465955</c:v>
                </c:pt>
                <c:pt idx="10">
                  <c:v>975929.45310956996</c:v>
                </c:pt>
                <c:pt idx="11">
                  <c:v>1294082.4548232898</c:v>
                </c:pt>
                <c:pt idx="12">
                  <c:v>1480430.3283178434</c:v>
                </c:pt>
                <c:pt idx="13">
                  <c:v>1669925.4103425276</c:v>
                </c:pt>
                <c:pt idx="14">
                  <c:v>2307836.9170933734</c:v>
                </c:pt>
                <c:pt idx="15">
                  <c:v>1723954.1770687499</c:v>
                </c:pt>
                <c:pt idx="16">
                  <c:v>2594551.0364884683</c:v>
                </c:pt>
                <c:pt idx="17">
                  <c:v>3310647.1225592857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FF-4DD8-A997-45FA0182DB74}"/>
            </c:ext>
          </c:extLst>
        </c:ser>
        <c:ser>
          <c:idx val="2"/>
          <c:order val="2"/>
          <c:tx>
            <c:strRef>
              <c:f>'Cap3. Backtesting FM'!$F$25</c:f>
              <c:strCache>
                <c:ptCount val="1"/>
                <c:pt idx="0">
                  <c:v>Media mercado all market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'Cap3. Backtesting FM'!$C$26:$C$43</c:f>
              <c:strCache>
                <c:ptCount val="18"/>
                <c:pt idx="0">
                  <c:v>Inversión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</c:strCache>
            </c:strRef>
          </c:cat>
          <c:val>
            <c:numRef>
              <c:f>'Cap3. Backtesting FM'!$F$26:$F$43</c:f>
              <c:numCache>
                <c:formatCode>#,##0;\(#,##0\);\-</c:formatCode>
                <c:ptCount val="18"/>
                <c:pt idx="0">
                  <c:v>100000</c:v>
                </c:pt>
                <c:pt idx="1">
                  <c:v>124800</c:v>
                </c:pt>
                <c:pt idx="2">
                  <c:v>147264</c:v>
                </c:pt>
                <c:pt idx="3">
                  <c:v>123554.496</c:v>
                </c:pt>
                <c:pt idx="4">
                  <c:v>179895.34617599999</c:v>
                </c:pt>
                <c:pt idx="5">
                  <c:v>200403.41564006402</c:v>
                </c:pt>
                <c:pt idx="6">
                  <c:v>232267.55872683419</c:v>
                </c:pt>
                <c:pt idx="7">
                  <c:v>221815.51858412664</c:v>
                </c:pt>
                <c:pt idx="8">
                  <c:v>286363.83449210745</c:v>
                </c:pt>
                <c:pt idx="9">
                  <c:v>329032.04583143146</c:v>
                </c:pt>
                <c:pt idx="10">
                  <c:v>384309.42953111191</c:v>
                </c:pt>
                <c:pt idx="11">
                  <c:v>376623.24094048969</c:v>
                </c:pt>
                <c:pt idx="12">
                  <c:v>512584.23092000646</c:v>
                </c:pt>
                <c:pt idx="13">
                  <c:v>426470.08012544538</c:v>
                </c:pt>
                <c:pt idx="14">
                  <c:v>475514.13933987159</c:v>
                </c:pt>
                <c:pt idx="15">
                  <c:v>360439.71761962265</c:v>
                </c:pt>
                <c:pt idx="16">
                  <c:v>608422.24334192299</c:v>
                </c:pt>
                <c:pt idx="17">
                  <c:v>716721.40265678521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DFF-4DD8-A997-45FA0182DB74}"/>
            </c:ext>
          </c:extLst>
        </c:ser>
        <c:ser>
          <c:idx val="3"/>
          <c:order val="3"/>
          <c:tx>
            <c:strRef>
              <c:f>'Cap3. Backtesting FM'!$G$25</c:f>
              <c:strCache>
                <c:ptCount val="1"/>
                <c:pt idx="0">
                  <c:v>Media mercado "selecta"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'Cap3. Backtesting FM'!$C$26:$C$43</c:f>
              <c:strCache>
                <c:ptCount val="18"/>
                <c:pt idx="0">
                  <c:v>Inversión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</c:strCache>
            </c:strRef>
          </c:cat>
          <c:val>
            <c:numRef>
              <c:f>'Cap3. Backtesting FM'!$G$26:$G$43</c:f>
              <c:numCache>
                <c:formatCode>#,##0;\(#,##0\);\-</c:formatCode>
                <c:ptCount val="18"/>
                <c:pt idx="0">
                  <c:v>100000</c:v>
                </c:pt>
                <c:pt idx="1">
                  <c:v>119600</c:v>
                </c:pt>
                <c:pt idx="2">
                  <c:v>152609.60000000001</c:v>
                </c:pt>
                <c:pt idx="3">
                  <c:v>141774.31840000002</c:v>
                </c:pt>
                <c:pt idx="4">
                  <c:v>190544.6839296</c:v>
                </c:pt>
                <c:pt idx="5">
                  <c:v>210170.7863743488</c:v>
                </c:pt>
                <c:pt idx="6">
                  <c:v>240435.379612255</c:v>
                </c:pt>
                <c:pt idx="7">
                  <c:v>241637.55651031624</c:v>
                </c:pt>
                <c:pt idx="8">
                  <c:v>317511.74925455556</c:v>
                </c:pt>
                <c:pt idx="9">
                  <c:v>368948.65263379354</c:v>
                </c:pt>
                <c:pt idx="10">
                  <c:v>441262.58855001704</c:v>
                </c:pt>
                <c:pt idx="11">
                  <c:v>484947.5848164687</c:v>
                </c:pt>
                <c:pt idx="12">
                  <c:v>655164.18708704924</c:v>
                </c:pt>
                <c:pt idx="13">
                  <c:v>560165.37995942705</c:v>
                </c:pt>
                <c:pt idx="14">
                  <c:v>508630.16500315978</c:v>
                </c:pt>
                <c:pt idx="15">
                  <c:v>393171.1175474425</c:v>
                </c:pt>
                <c:pt idx="16">
                  <c:v>555943.96021208365</c:v>
                </c:pt>
                <c:pt idx="17">
                  <c:v>652122.26532877411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DFF-4DD8-A997-45FA0182DB74}"/>
            </c:ext>
          </c:extLst>
        </c:ser>
        <c:ser>
          <c:idx val="4"/>
          <c:order val="4"/>
          <c:tx>
            <c:strRef>
              <c:f>'Cap3. Backtesting FM'!$H$25</c:f>
              <c:strCache>
                <c:ptCount val="1"/>
                <c:pt idx="0">
                  <c:v>S&amp;P500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'Cap3. Backtesting FM'!$C$26:$C$43</c:f>
              <c:strCache>
                <c:ptCount val="18"/>
                <c:pt idx="0">
                  <c:v>Inversión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</c:strCache>
            </c:strRef>
          </c:cat>
          <c:val>
            <c:numRef>
              <c:f>'Cap3. Backtesting FM'!$H$26:$H$43</c:f>
              <c:numCache>
                <c:formatCode>#,##0;\(#,##0\);\-</c:formatCode>
                <c:ptCount val="18"/>
                <c:pt idx="0">
                  <c:v>100000</c:v>
                </c:pt>
                <c:pt idx="1">
                  <c:v>116599.99999999999</c:v>
                </c:pt>
                <c:pt idx="2">
                  <c:v>153562.19999999998</c:v>
                </c:pt>
                <c:pt idx="3">
                  <c:v>148801.77179999999</c:v>
                </c:pt>
                <c:pt idx="4">
                  <c:v>194186.31219899998</c:v>
                </c:pt>
                <c:pt idx="5">
                  <c:v>208944.47192612398</c:v>
                </c:pt>
                <c:pt idx="6">
                  <c:v>230047.86359066248</c:v>
                </c:pt>
                <c:pt idx="7">
                  <c:v>233038.48581734108</c:v>
                </c:pt>
                <c:pt idx="8">
                  <c:v>320660.95648466132</c:v>
                </c:pt>
                <c:pt idx="9">
                  <c:v>394412.97647613339</c:v>
                </c:pt>
                <c:pt idx="10">
                  <c:v>526146.91061916202</c:v>
                </c:pt>
                <c:pt idx="11">
                  <c:v>676624.92705624236</c:v>
                </c:pt>
                <c:pt idx="12">
                  <c:v>818716.1617380532</c:v>
                </c:pt>
                <c:pt idx="13">
                  <c:v>744212.99101989041</c:v>
                </c:pt>
                <c:pt idx="14">
                  <c:v>655651.64508852351</c:v>
                </c:pt>
                <c:pt idx="15">
                  <c:v>510752.6315239598</c:v>
                </c:pt>
                <c:pt idx="16">
                  <c:v>657338.6367713362</c:v>
                </c:pt>
                <c:pt idx="17">
                  <c:v>728988.54817941179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DFF-4DD8-A997-45FA0182D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7452512"/>
        <c:axId val="1967455392"/>
      </c:lineChart>
      <c:catAx>
        <c:axId val="196745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endParaRPr lang="es-ES"/>
          </a:p>
        </c:txPr>
        <c:crossAx val="1967455392"/>
        <c:crosses val="autoZero"/>
        <c:auto val="1"/>
        <c:lblAlgn val="ctr"/>
        <c:lblOffset val="100"/>
        <c:noMultiLvlLbl val="0"/>
      </c:catAx>
      <c:valAx>
        <c:axId val="1967455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\(#,##0\);\-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endParaRPr lang="es-ES"/>
          </a:p>
        </c:txPr>
        <c:crossAx val="1967452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Garamond" panose="02020404030301010803" pitchFamily="18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Evolución del capital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'Cap3. Volatilidad'!$C$4</c:f>
              <c:strCache>
                <c:ptCount val="1"/>
                <c:pt idx="0">
                  <c:v>MV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'Cap3. Volatilidad'!$B$5:$B$24</c:f>
              <c:numCache>
                <c:formatCode>General</c:formatCode>
                <c:ptCount val="2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</c:numCache>
            </c:numRef>
          </c:cat>
          <c:val>
            <c:numRef>
              <c:f>'Cap3. Volatilidad'!$C$5:$C$24</c:f>
              <c:numCache>
                <c:formatCode>#,##0;\(#,##0\);\-</c:formatCode>
                <c:ptCount val="20"/>
                <c:pt idx="0">
                  <c:v>100</c:v>
                </c:pt>
                <c:pt idx="1">
                  <c:v>150</c:v>
                </c:pt>
                <c:pt idx="2">
                  <c:v>50</c:v>
                </c:pt>
                <c:pt idx="3">
                  <c:v>180</c:v>
                </c:pt>
                <c:pt idx="4">
                  <c:v>75</c:v>
                </c:pt>
                <c:pt idx="5">
                  <c:v>190</c:v>
                </c:pt>
                <c:pt idx="6">
                  <c:v>100</c:v>
                </c:pt>
                <c:pt idx="7">
                  <c:v>50</c:v>
                </c:pt>
                <c:pt idx="8">
                  <c:v>250</c:v>
                </c:pt>
                <c:pt idx="9">
                  <c:v>100</c:v>
                </c:pt>
                <c:pt idx="10">
                  <c:v>200</c:v>
                </c:pt>
                <c:pt idx="11">
                  <c:v>200</c:v>
                </c:pt>
                <c:pt idx="12">
                  <c:v>100</c:v>
                </c:pt>
                <c:pt idx="13">
                  <c:v>300</c:v>
                </c:pt>
                <c:pt idx="14">
                  <c:v>80</c:v>
                </c:pt>
                <c:pt idx="15">
                  <c:v>80</c:v>
                </c:pt>
                <c:pt idx="16">
                  <c:v>125</c:v>
                </c:pt>
                <c:pt idx="17">
                  <c:v>175</c:v>
                </c:pt>
                <c:pt idx="18">
                  <c:v>100</c:v>
                </c:pt>
                <c:pt idx="19">
                  <c:v>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AE-344A-A7FF-0B4C70C414B2}"/>
            </c:ext>
          </c:extLst>
        </c:ser>
        <c:ser>
          <c:idx val="1"/>
          <c:order val="1"/>
          <c:tx>
            <c:strRef>
              <c:f>'Cap3. Volatilidad'!$D$4</c:f>
              <c:strCache>
                <c:ptCount val="1"/>
                <c:pt idx="0">
                  <c:v>PV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'Cap3. Volatilidad'!$B$5:$B$24</c:f>
              <c:numCache>
                <c:formatCode>General</c:formatCode>
                <c:ptCount val="2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</c:numCache>
            </c:numRef>
          </c:cat>
          <c:val>
            <c:numRef>
              <c:f>'Cap3. Volatilidad'!$D$5:$D$24</c:f>
              <c:numCache>
                <c:formatCode>#,##0;\(#,##0\);\-</c:formatCode>
                <c:ptCount val="20"/>
                <c:pt idx="0">
                  <c:v>100</c:v>
                </c:pt>
                <c:pt idx="1">
                  <c:v>110</c:v>
                </c:pt>
                <c:pt idx="2">
                  <c:v>105</c:v>
                </c:pt>
                <c:pt idx="3">
                  <c:v>115</c:v>
                </c:pt>
                <c:pt idx="4">
                  <c:v>110</c:v>
                </c:pt>
                <c:pt idx="5">
                  <c:v>120</c:v>
                </c:pt>
                <c:pt idx="6">
                  <c:v>140</c:v>
                </c:pt>
                <c:pt idx="7">
                  <c:v>150</c:v>
                </c:pt>
                <c:pt idx="8">
                  <c:v>130</c:v>
                </c:pt>
                <c:pt idx="9">
                  <c:v>160</c:v>
                </c:pt>
                <c:pt idx="10">
                  <c:v>145</c:v>
                </c:pt>
                <c:pt idx="11">
                  <c:v>175</c:v>
                </c:pt>
                <c:pt idx="12">
                  <c:v>160</c:v>
                </c:pt>
                <c:pt idx="13">
                  <c:v>180</c:v>
                </c:pt>
                <c:pt idx="14">
                  <c:v>175</c:v>
                </c:pt>
                <c:pt idx="15">
                  <c:v>190</c:v>
                </c:pt>
                <c:pt idx="16">
                  <c:v>180</c:v>
                </c:pt>
                <c:pt idx="17">
                  <c:v>200</c:v>
                </c:pt>
                <c:pt idx="18">
                  <c:v>205</c:v>
                </c:pt>
                <c:pt idx="19">
                  <c:v>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7AE-344A-A7FF-0B4C70C41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9203584"/>
        <c:axId val="729205376"/>
      </c:lineChart>
      <c:catAx>
        <c:axId val="729203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29205376"/>
        <c:crosses val="autoZero"/>
        <c:auto val="1"/>
        <c:lblAlgn val="ctr"/>
        <c:lblOffset val="100"/>
        <c:noMultiLvlLbl val="0"/>
      </c:catAx>
      <c:valAx>
        <c:axId val="729205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\(#,##0\);\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29203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r>
              <a:rPr lang="es-ES">
                <a:latin typeface="Garamond" panose="02020404030301010803" pitchFamily="18" charset="0"/>
              </a:rPr>
              <a:t>Evolución</a:t>
            </a:r>
            <a:r>
              <a:rPr lang="es-ES" baseline="0">
                <a:latin typeface="Garamond" panose="02020404030301010803" pitchFamily="18" charset="0"/>
              </a:rPr>
              <a:t> de los gastos de I+D en las siete magníficas</a:t>
            </a:r>
            <a:endParaRPr lang="es-ES">
              <a:latin typeface="Garamond" panose="02020404030301010803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Garamond" panose="02020404030301010803" pitchFamily="18" charset="0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'Cap4. Gastos en I+D (7 MAG)'!$B$43</c:f>
              <c:strCache>
                <c:ptCount val="1"/>
                <c:pt idx="0">
                  <c:v>AAPL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'Cap4. Gastos en I+D (7 MAG)'!$C$42:$L$42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'Cap4. Gastos en I+D (7 MAG)'!$C$43:$L$43</c:f>
              <c:numCache>
                <c:formatCode>#,##0;\(#,##0\);\-</c:formatCode>
                <c:ptCount val="10"/>
                <c:pt idx="0">
                  <c:v>8067000000</c:v>
                </c:pt>
                <c:pt idx="1">
                  <c:v>10045000000</c:v>
                </c:pt>
                <c:pt idx="2">
                  <c:v>11581000000</c:v>
                </c:pt>
                <c:pt idx="3">
                  <c:v>14236000000</c:v>
                </c:pt>
                <c:pt idx="4">
                  <c:v>16217000000</c:v>
                </c:pt>
                <c:pt idx="5">
                  <c:v>18752000000</c:v>
                </c:pt>
                <c:pt idx="6">
                  <c:v>21914000000</c:v>
                </c:pt>
                <c:pt idx="7">
                  <c:v>26251000000</c:v>
                </c:pt>
                <c:pt idx="8">
                  <c:v>29915000000</c:v>
                </c:pt>
                <c:pt idx="9" formatCode="General">
                  <c:v>31370000000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86-442F-8FD9-A25D87788E5D}"/>
            </c:ext>
          </c:extLst>
        </c:ser>
        <c:ser>
          <c:idx val="1"/>
          <c:order val="1"/>
          <c:tx>
            <c:strRef>
              <c:f>'Cap4. Gastos en I+D (7 MAG)'!$B$44</c:f>
              <c:strCache>
                <c:ptCount val="1"/>
                <c:pt idx="0">
                  <c:v>MSFT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'Cap4. Gastos en I+D (7 MAG)'!$C$42:$L$42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'Cap4. Gastos en I+D (7 MAG)'!$C$44:$L$44</c:f>
              <c:numCache>
                <c:formatCode>#,##0;\(#,##0\);\-</c:formatCode>
                <c:ptCount val="10"/>
                <c:pt idx="0">
                  <c:v>12046000000</c:v>
                </c:pt>
                <c:pt idx="1">
                  <c:v>11988000000</c:v>
                </c:pt>
                <c:pt idx="2">
                  <c:v>13037000000</c:v>
                </c:pt>
                <c:pt idx="3">
                  <c:v>14726000000</c:v>
                </c:pt>
                <c:pt idx="4">
                  <c:v>16876000000</c:v>
                </c:pt>
                <c:pt idx="5">
                  <c:v>19269000000</c:v>
                </c:pt>
                <c:pt idx="6">
                  <c:v>20716000000</c:v>
                </c:pt>
                <c:pt idx="7">
                  <c:v>24512000000</c:v>
                </c:pt>
                <c:pt idx="8">
                  <c:v>27195000000</c:v>
                </c:pt>
                <c:pt idx="9" formatCode="General">
                  <c:v>29510000000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86-442F-8FD9-A25D87788E5D}"/>
            </c:ext>
          </c:extLst>
        </c:ser>
        <c:ser>
          <c:idx val="2"/>
          <c:order val="2"/>
          <c:tx>
            <c:strRef>
              <c:f>'Cap4. Gastos en I+D (7 MAG)'!$B$45</c:f>
              <c:strCache>
                <c:ptCount val="1"/>
                <c:pt idx="0">
                  <c:v>META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'Cap4. Gastos en I+D (7 MAG)'!$C$42:$L$42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'Cap4. Gastos en I+D (7 MAG)'!$C$45:$L$45</c:f>
              <c:numCache>
                <c:formatCode>#,##0;\(#,##0\);\-</c:formatCode>
                <c:ptCount val="10"/>
                <c:pt idx="0">
                  <c:v>4816000000</c:v>
                </c:pt>
                <c:pt idx="1">
                  <c:v>5919000000</c:v>
                </c:pt>
                <c:pt idx="2">
                  <c:v>7754000000</c:v>
                </c:pt>
                <c:pt idx="3">
                  <c:v>10273000000</c:v>
                </c:pt>
                <c:pt idx="4">
                  <c:v>13600000000</c:v>
                </c:pt>
                <c:pt idx="5">
                  <c:v>18447000000</c:v>
                </c:pt>
                <c:pt idx="6">
                  <c:v>24655000000</c:v>
                </c:pt>
                <c:pt idx="7">
                  <c:v>35338000000</c:v>
                </c:pt>
                <c:pt idx="8">
                  <c:v>38483000000</c:v>
                </c:pt>
                <c:pt idx="9" formatCode="General">
                  <c:v>43873000000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86-442F-8FD9-A25D87788E5D}"/>
            </c:ext>
          </c:extLst>
        </c:ser>
        <c:ser>
          <c:idx val="3"/>
          <c:order val="3"/>
          <c:tx>
            <c:strRef>
              <c:f>'Cap4. Gastos en I+D (7 MAG)'!$B$46</c:f>
              <c:strCache>
                <c:ptCount val="1"/>
                <c:pt idx="0">
                  <c:v>AMZN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'Cap4. Gastos en I+D (7 MAG)'!$C$42:$L$42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'Cap4. Gastos en I+D (7 MAG)'!$C$46:$L$46</c:f>
              <c:numCache>
                <c:formatCode>#,##0;\(#,##0\);\-</c:formatCode>
                <c:ptCount val="10"/>
                <c:pt idx="0">
                  <c:v>12540000000</c:v>
                </c:pt>
                <c:pt idx="1">
                  <c:v>16085000000</c:v>
                </c:pt>
                <c:pt idx="2">
                  <c:v>22620000000</c:v>
                </c:pt>
                <c:pt idx="3">
                  <c:v>28837000000</c:v>
                </c:pt>
                <c:pt idx="4">
                  <c:v>35931000000</c:v>
                </c:pt>
                <c:pt idx="5">
                  <c:v>42740000000</c:v>
                </c:pt>
                <c:pt idx="6">
                  <c:v>56052000000</c:v>
                </c:pt>
                <c:pt idx="7">
                  <c:v>73213000000</c:v>
                </c:pt>
                <c:pt idx="8">
                  <c:v>85622000000</c:v>
                </c:pt>
                <c:pt idx="9" formatCode="General">
                  <c:v>88544000000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286-442F-8FD9-A25D87788E5D}"/>
            </c:ext>
          </c:extLst>
        </c:ser>
        <c:ser>
          <c:idx val="4"/>
          <c:order val="4"/>
          <c:tx>
            <c:strRef>
              <c:f>'Cap4. Gastos en I+D (7 MAG)'!$B$47</c:f>
              <c:strCache>
                <c:ptCount val="1"/>
                <c:pt idx="0">
                  <c:v>GOOG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'Cap4. Gastos en I+D (7 MAG)'!$C$42:$L$42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'Cap4. Gastos en I+D (7 MAG)'!$C$47:$L$47</c:f>
              <c:numCache>
                <c:formatCode>#,##0;\(#,##0\);\-</c:formatCode>
                <c:ptCount val="10"/>
                <c:pt idx="0">
                  <c:v>12282000000</c:v>
                </c:pt>
                <c:pt idx="1">
                  <c:v>13948000000</c:v>
                </c:pt>
                <c:pt idx="2">
                  <c:v>16625000000</c:v>
                </c:pt>
                <c:pt idx="3">
                  <c:v>21419000000</c:v>
                </c:pt>
                <c:pt idx="4">
                  <c:v>26018000000</c:v>
                </c:pt>
                <c:pt idx="5">
                  <c:v>27573000000</c:v>
                </c:pt>
                <c:pt idx="6">
                  <c:v>31562000000</c:v>
                </c:pt>
                <c:pt idx="7">
                  <c:v>39500000000</c:v>
                </c:pt>
                <c:pt idx="8">
                  <c:v>45427000000</c:v>
                </c:pt>
                <c:pt idx="9" formatCode="General">
                  <c:v>49326000000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86-442F-8FD9-A25D87788E5D}"/>
            </c:ext>
          </c:extLst>
        </c:ser>
        <c:ser>
          <c:idx val="5"/>
          <c:order val="5"/>
          <c:tx>
            <c:strRef>
              <c:f>'Cap4. Gastos en I+D (7 MAG)'!$B$48</c:f>
              <c:strCache>
                <c:ptCount val="1"/>
                <c:pt idx="0">
                  <c:v>NVDA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'Cap4. Gastos en I+D (7 MAG)'!$C$42:$L$42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'Cap4. Gastos en I+D (7 MAG)'!$C$48:$L$48</c:f>
              <c:numCache>
                <c:formatCode>#,##0;\(#,##0\);\-</c:formatCode>
                <c:ptCount val="10"/>
                <c:pt idx="0">
                  <c:v>1360000000</c:v>
                </c:pt>
                <c:pt idx="1">
                  <c:v>1331000000</c:v>
                </c:pt>
                <c:pt idx="2">
                  <c:v>1463000000</c:v>
                </c:pt>
                <c:pt idx="3">
                  <c:v>1797000000</c:v>
                </c:pt>
                <c:pt idx="4">
                  <c:v>2376000000</c:v>
                </c:pt>
                <c:pt idx="5">
                  <c:v>2829000000</c:v>
                </c:pt>
                <c:pt idx="6">
                  <c:v>3924000000</c:v>
                </c:pt>
                <c:pt idx="7">
                  <c:v>5268000000</c:v>
                </c:pt>
                <c:pt idx="8">
                  <c:v>7339000000</c:v>
                </c:pt>
                <c:pt idx="9" formatCode="General">
                  <c:v>8675000000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286-442F-8FD9-A25D87788E5D}"/>
            </c:ext>
          </c:extLst>
        </c:ser>
        <c:ser>
          <c:idx val="6"/>
          <c:order val="6"/>
          <c:tx>
            <c:strRef>
              <c:f>'Cap4. Gastos en I+D (7 MAG)'!$B$49</c:f>
              <c:strCache>
                <c:ptCount val="1"/>
                <c:pt idx="0">
                  <c:v>TSLA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'Cap4. Gastos en I+D (7 MAG)'!$C$42:$L$42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'Cap4. Gastos en I+D (7 MAG)'!$C$49:$L$49</c:f>
              <c:numCache>
                <c:formatCode>#,##0;\(#,##0\);\-</c:formatCode>
                <c:ptCount val="10"/>
                <c:pt idx="0">
                  <c:v>717900000</c:v>
                </c:pt>
                <c:pt idx="1">
                  <c:v>834408000</c:v>
                </c:pt>
                <c:pt idx="2">
                  <c:v>1378000000</c:v>
                </c:pt>
                <c:pt idx="3">
                  <c:v>1460000000</c:v>
                </c:pt>
                <c:pt idx="4">
                  <c:v>1343000000</c:v>
                </c:pt>
                <c:pt idx="5">
                  <c:v>1491000000</c:v>
                </c:pt>
                <c:pt idx="6">
                  <c:v>2593000000</c:v>
                </c:pt>
                <c:pt idx="7">
                  <c:v>3075000000</c:v>
                </c:pt>
                <c:pt idx="8">
                  <c:v>3969000000</c:v>
                </c:pt>
                <c:pt idx="9" formatCode="General">
                  <c:v>4540000000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286-442F-8FD9-A25D87788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25493824"/>
        <c:axId val="1925491904"/>
      </c:barChart>
      <c:lineChart>
        <c:grouping val="standard"/>
        <c:varyColors val="0"/>
        <c:ser>
          <c:idx val="7"/>
          <c:order val="7"/>
          <c:tx>
            <c:strRef>
              <c:f>'Cap4. Gastos en I+D (7 MAG)'!$B$50</c:f>
              <c:strCache>
                <c:ptCount val="1"/>
                <c:pt idx="0">
                  <c:v>Ratio R&amp;D to Sales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'Cap4. Gastos en I+D (7 MAG)'!$C$42:$L$42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'Cap4. Gastos en I+D (7 MAG)'!$C$50:$L$50</c:f>
              <c:numCache>
                <c:formatCode>0.0%</c:formatCode>
                <c:ptCount val="10"/>
                <c:pt idx="0">
                  <c:v>9.6705447157668531E-2</c:v>
                </c:pt>
                <c:pt idx="1">
                  <c:v>0.10502949910268224</c:v>
                </c:pt>
                <c:pt idx="2">
                  <c:v>0.1104967292327053</c:v>
                </c:pt>
                <c:pt idx="3">
                  <c:v>0.11138613688972553</c:v>
                </c:pt>
                <c:pt idx="4">
                  <c:v>0.12012247337198401</c:v>
                </c:pt>
                <c:pt idx="5">
                  <c:v>0.11762790029967521</c:v>
                </c:pt>
                <c:pt idx="6">
                  <c:v>0.11133742725675631</c:v>
                </c:pt>
                <c:pt idx="7">
                  <c:v>0.12831810168718819</c:v>
                </c:pt>
                <c:pt idx="8">
                  <c:v>0.1370657616121399</c:v>
                </c:pt>
                <c:pt idx="9">
                  <c:v>0.13138446226903933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C286-442F-8FD9-A25D87788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60256"/>
        <c:axId val="46156896"/>
      </c:lineChart>
      <c:catAx>
        <c:axId val="1925493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endParaRPr lang="es-ES"/>
          </a:p>
        </c:txPr>
        <c:crossAx val="1925491904"/>
        <c:crosses val="autoZero"/>
        <c:auto val="1"/>
        <c:lblAlgn val="ctr"/>
        <c:lblOffset val="100"/>
        <c:noMultiLvlLbl val="0"/>
      </c:catAx>
      <c:valAx>
        <c:axId val="192549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\(#,##0\);\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endParaRPr lang="es-ES"/>
          </a:p>
        </c:txPr>
        <c:crossAx val="1925493824"/>
        <c:crosses val="autoZero"/>
        <c:crossBetween val="between"/>
      </c:valAx>
      <c:valAx>
        <c:axId val="46156896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endParaRPr lang="es-ES"/>
          </a:p>
        </c:txPr>
        <c:crossAx val="46160256"/>
        <c:crosses val="max"/>
        <c:crossBetween val="between"/>
      </c:valAx>
      <c:catAx>
        <c:axId val="46160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568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Garamond" panose="02020404030301010803" pitchFamily="18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latin typeface="Garamond" panose="02020404030301010803" pitchFamily="18" charset="0"/>
              </a:rPr>
              <a:t>Análisis Dupont del ROE de Apple (2015-2023)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'Capital Allocation Apple'!$B$263</c:f>
              <c:strCache>
                <c:ptCount val="1"/>
                <c:pt idx="0">
                  <c:v>% Impacto de la fiscalidad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'Capital Allocation Apple'!$C$262:$K$262</c:f>
              <c:numCache>
                <c:formatCode>m/d/yyyy</c:formatCode>
                <c:ptCount val="9"/>
                <c:pt idx="0">
                  <c:v>42273</c:v>
                </c:pt>
                <c:pt idx="1">
                  <c:v>42637</c:v>
                </c:pt>
                <c:pt idx="2">
                  <c:v>43008</c:v>
                </c:pt>
                <c:pt idx="3">
                  <c:v>43372</c:v>
                </c:pt>
                <c:pt idx="4">
                  <c:v>43736</c:v>
                </c:pt>
                <c:pt idx="5">
                  <c:v>44100</c:v>
                </c:pt>
                <c:pt idx="6">
                  <c:v>44464</c:v>
                </c:pt>
                <c:pt idx="7">
                  <c:v>44828</c:v>
                </c:pt>
                <c:pt idx="8">
                  <c:v>45199</c:v>
                </c:pt>
              </c:numCache>
            </c:numRef>
          </c:cat>
          <c:val>
            <c:numRef>
              <c:f>'Capital Allocation Apple'!$C$263:$K$263</c:f>
              <c:numCache>
                <c:formatCode>0.00%</c:formatCode>
                <c:ptCount val="9"/>
                <c:pt idx="0">
                  <c:v>0.73631773237552611</c:v>
                </c:pt>
                <c:pt idx="1">
                  <c:v>0.74442858533779876</c:v>
                </c:pt>
                <c:pt idx="2">
                  <c:v>0.75443626385038498</c:v>
                </c:pt>
                <c:pt idx="3">
                  <c:v>0.81657886455271689</c:v>
                </c:pt>
                <c:pt idx="4">
                  <c:v>0.84056222792455937</c:v>
                </c:pt>
                <c:pt idx="5">
                  <c:v>0.85571887198010965</c:v>
                </c:pt>
                <c:pt idx="6">
                  <c:v>0.86697775433065094</c:v>
                </c:pt>
                <c:pt idx="7">
                  <c:v>0.83795579524575359</c:v>
                </c:pt>
                <c:pt idx="8">
                  <c:v>0.85280864365320741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AD-6C49-A5A4-4BD68E5648DD}"/>
            </c:ext>
          </c:extLst>
        </c:ser>
        <c:ser>
          <c:idx val="1"/>
          <c:order val="1"/>
          <c:tx>
            <c:strRef>
              <c:f>'Capital Allocation Apple'!$B$264</c:f>
              <c:strCache>
                <c:ptCount val="1"/>
                <c:pt idx="0">
                  <c:v>% Impacto de los intereses (financiación ajena)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'Capital Allocation Apple'!$C$262:$K$262</c:f>
              <c:numCache>
                <c:formatCode>m/d/yyyy</c:formatCode>
                <c:ptCount val="9"/>
                <c:pt idx="0">
                  <c:v>42273</c:v>
                </c:pt>
                <c:pt idx="1">
                  <c:v>42637</c:v>
                </c:pt>
                <c:pt idx="2">
                  <c:v>43008</c:v>
                </c:pt>
                <c:pt idx="3">
                  <c:v>43372</c:v>
                </c:pt>
                <c:pt idx="4">
                  <c:v>43736</c:v>
                </c:pt>
                <c:pt idx="5">
                  <c:v>44100</c:v>
                </c:pt>
                <c:pt idx="6">
                  <c:v>44464</c:v>
                </c:pt>
                <c:pt idx="7">
                  <c:v>44828</c:v>
                </c:pt>
                <c:pt idx="8">
                  <c:v>45199</c:v>
                </c:pt>
              </c:numCache>
            </c:numRef>
          </c:cat>
          <c:val>
            <c:numRef>
              <c:f>'Capital Allocation Apple'!$C$264:$K$264</c:f>
              <c:numCache>
                <c:formatCode>0.00%</c:formatCode>
                <c:ptCount val="9"/>
                <c:pt idx="0">
                  <c:v>1.0180444303370373</c:v>
                </c:pt>
                <c:pt idx="1">
                  <c:v>1.022462320973295</c:v>
                </c:pt>
                <c:pt idx="2">
                  <c:v>1.0447520149367842</c:v>
                </c:pt>
                <c:pt idx="3">
                  <c:v>1.028283829448873</c:v>
                </c:pt>
                <c:pt idx="4">
                  <c:v>1.028269133742717</c:v>
                </c:pt>
                <c:pt idx="5">
                  <c:v>1.0121174492086582</c:v>
                </c:pt>
                <c:pt idx="6">
                  <c:v>1.0023708140852625</c:v>
                </c:pt>
                <c:pt idx="7">
                  <c:v>0.99720608259956267</c:v>
                </c:pt>
                <c:pt idx="8">
                  <c:v>0.99505952016275145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6AD-6C49-A5A4-4BD68E5648DD}"/>
            </c:ext>
          </c:extLst>
        </c:ser>
        <c:ser>
          <c:idx val="2"/>
          <c:order val="2"/>
          <c:tx>
            <c:strRef>
              <c:f>'Capital Allocation Apple'!$B$265</c:f>
              <c:strCache>
                <c:ptCount val="1"/>
                <c:pt idx="0">
                  <c:v>% Margen Operativo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'Capital Allocation Apple'!$C$262:$K$262</c:f>
              <c:numCache>
                <c:formatCode>m/d/yyyy</c:formatCode>
                <c:ptCount val="9"/>
                <c:pt idx="0">
                  <c:v>42273</c:v>
                </c:pt>
                <c:pt idx="1">
                  <c:v>42637</c:v>
                </c:pt>
                <c:pt idx="2">
                  <c:v>43008</c:v>
                </c:pt>
                <c:pt idx="3">
                  <c:v>43372</c:v>
                </c:pt>
                <c:pt idx="4">
                  <c:v>43736</c:v>
                </c:pt>
                <c:pt idx="5">
                  <c:v>44100</c:v>
                </c:pt>
                <c:pt idx="6">
                  <c:v>44464</c:v>
                </c:pt>
                <c:pt idx="7">
                  <c:v>44828</c:v>
                </c:pt>
                <c:pt idx="8">
                  <c:v>45199</c:v>
                </c:pt>
              </c:numCache>
            </c:numRef>
          </c:cat>
          <c:val>
            <c:numRef>
              <c:f>'Capital Allocation Apple'!$C$265:$K$265</c:f>
              <c:numCache>
                <c:formatCode>0.00%</c:formatCode>
                <c:ptCount val="9"/>
                <c:pt idx="0">
                  <c:v>0.30477290717326661</c:v>
                </c:pt>
                <c:pt idx="1">
                  <c:v>0.27835410106706115</c:v>
                </c:pt>
                <c:pt idx="2">
                  <c:v>0.26760428208729942</c:v>
                </c:pt>
                <c:pt idx="3">
                  <c:v>0.26694026619477024</c:v>
                </c:pt>
                <c:pt idx="4">
                  <c:v>0.24572017188496928</c:v>
                </c:pt>
                <c:pt idx="5">
                  <c:v>0.24147314354406862</c:v>
                </c:pt>
                <c:pt idx="6">
                  <c:v>0.29782377527561593</c:v>
                </c:pt>
                <c:pt idx="7">
                  <c:v>0.30288744395528594</c:v>
                </c:pt>
                <c:pt idx="8">
                  <c:v>0.29821412265024722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6AD-6C49-A5A4-4BD68E5648DD}"/>
            </c:ext>
          </c:extLst>
        </c:ser>
        <c:ser>
          <c:idx val="3"/>
          <c:order val="3"/>
          <c:tx>
            <c:strRef>
              <c:f>'Capital Allocation Apple'!$B$266</c:f>
              <c:strCache>
                <c:ptCount val="1"/>
                <c:pt idx="0">
                  <c:v>% Eficiencia operativa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'Capital Allocation Apple'!$C$262:$K$262</c:f>
              <c:numCache>
                <c:formatCode>m/d/yyyy</c:formatCode>
                <c:ptCount val="9"/>
                <c:pt idx="0">
                  <c:v>42273</c:v>
                </c:pt>
                <c:pt idx="1">
                  <c:v>42637</c:v>
                </c:pt>
                <c:pt idx="2">
                  <c:v>43008</c:v>
                </c:pt>
                <c:pt idx="3">
                  <c:v>43372</c:v>
                </c:pt>
                <c:pt idx="4">
                  <c:v>43736</c:v>
                </c:pt>
                <c:pt idx="5">
                  <c:v>44100</c:v>
                </c:pt>
                <c:pt idx="6">
                  <c:v>44464</c:v>
                </c:pt>
                <c:pt idx="7">
                  <c:v>44828</c:v>
                </c:pt>
                <c:pt idx="8">
                  <c:v>45199</c:v>
                </c:pt>
              </c:numCache>
            </c:numRef>
          </c:cat>
          <c:val>
            <c:numRef>
              <c:f>'Capital Allocation Apple'!$C$266:$K$266</c:f>
              <c:numCache>
                <c:formatCode>0.00%</c:formatCode>
                <c:ptCount val="9"/>
                <c:pt idx="0">
                  <c:v>0.80495617282887599</c:v>
                </c:pt>
                <c:pt idx="1">
                  <c:v>0.67034002101428103</c:v>
                </c:pt>
                <c:pt idx="2">
                  <c:v>0.61077110404749024</c:v>
                </c:pt>
                <c:pt idx="3">
                  <c:v>0.7262150522933899</c:v>
                </c:pt>
                <c:pt idx="4">
                  <c:v>0.76857223883066084</c:v>
                </c:pt>
                <c:pt idx="5">
                  <c:v>0.84756150274168851</c:v>
                </c:pt>
                <c:pt idx="6">
                  <c:v>1.0422077367080529</c:v>
                </c:pt>
                <c:pt idx="7">
                  <c:v>1.1178523337727317</c:v>
                </c:pt>
                <c:pt idx="8">
                  <c:v>1.0870773690166571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6AD-6C49-A5A4-4BD68E5648DD}"/>
            </c:ext>
          </c:extLst>
        </c:ser>
        <c:ser>
          <c:idx val="4"/>
          <c:order val="4"/>
          <c:tx>
            <c:strRef>
              <c:f>'Capital Allocation Apple'!$B$267</c:f>
              <c:strCache>
                <c:ptCount val="1"/>
                <c:pt idx="0">
                  <c:v>% Apalancamiento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'Capital Allocation Apple'!$C$262:$K$262</c:f>
              <c:numCache>
                <c:formatCode>m/d/yyyy</c:formatCode>
                <c:ptCount val="9"/>
                <c:pt idx="0">
                  <c:v>42273</c:v>
                </c:pt>
                <c:pt idx="1">
                  <c:v>42637</c:v>
                </c:pt>
                <c:pt idx="2">
                  <c:v>43008</c:v>
                </c:pt>
                <c:pt idx="3">
                  <c:v>43372</c:v>
                </c:pt>
                <c:pt idx="4">
                  <c:v>43736</c:v>
                </c:pt>
                <c:pt idx="5">
                  <c:v>44100</c:v>
                </c:pt>
                <c:pt idx="6">
                  <c:v>44464</c:v>
                </c:pt>
                <c:pt idx="7">
                  <c:v>44828</c:v>
                </c:pt>
                <c:pt idx="8">
                  <c:v>45199</c:v>
                </c:pt>
              </c:numCache>
            </c:numRef>
          </c:cat>
          <c:val>
            <c:numRef>
              <c:f>'Capital Allocation Apple'!$C$267:$K$267</c:f>
              <c:numCache>
                <c:formatCode>0.00%</c:formatCode>
                <c:ptCount val="9"/>
                <c:pt idx="0">
                  <c:v>2.432616982950023</c:v>
                </c:pt>
                <c:pt idx="1">
                  <c:v>2.5082924623193943</c:v>
                </c:pt>
                <c:pt idx="2">
                  <c:v>2.7999060031183092</c:v>
                </c:pt>
                <c:pt idx="3">
                  <c:v>3.4133013523477094</c:v>
                </c:pt>
                <c:pt idx="4">
                  <c:v>3.7410043320661304</c:v>
                </c:pt>
                <c:pt idx="5">
                  <c:v>4.9570394404566951</c:v>
                </c:pt>
                <c:pt idx="6">
                  <c:v>5.5635124425423994</c:v>
                </c:pt>
                <c:pt idx="7">
                  <c:v>6.9615369434796337</c:v>
                </c:pt>
                <c:pt idx="8">
                  <c:v>5.6734624915521517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6AD-6C49-A5A4-4BD68E564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68595200"/>
        <c:axId val="1843465280"/>
      </c:lineChart>
      <c:dateAx>
        <c:axId val="106859520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843465280"/>
        <c:crosses val="autoZero"/>
        <c:auto val="1"/>
        <c:lblOffset val="100"/>
        <c:baseTimeUnit val="months"/>
      </c:dateAx>
      <c:valAx>
        <c:axId val="1843465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685952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ubbleChart>
        <c:varyColors val="0"/>
        <c:ser>
          <c:idx val="0"/>
          <c:order val="0"/>
          <c:tx>
            <c:strRef>
              <c:f>'Cap7. Empresas con moats'!$E$119</c:f>
              <c:strCache>
                <c:ptCount val="1"/>
                <c:pt idx="0">
                  <c:v>PE Ratio</c:v>
                </c:pt>
              </c:strCache>
            </c:strRef>
          </c:tx>
          <c:spPr>
            <a:pattFill prst="ltUpDiag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 w="9525" cap="flat" cmpd="sng" algn="ctr">
              <a:solidFill>
                <a:schemeClr val="accent1">
                  <a:alpha val="75000"/>
                </a:schemeClr>
              </a:solidFill>
            </a:ln>
            <a:effectLst>
              <a:innerShdw blurRad="114300">
                <a:schemeClr val="accent1">
                  <a:alpha val="70000"/>
                </a:schemeClr>
              </a:innerShdw>
            </a:effectLst>
          </c:spPr>
          <c:invertIfNegative val="0"/>
          <c:xVal>
            <c:numRef>
              <c:f>'Cap7. Empresas con moats'!$E$120:$E$145</c:f>
              <c:numCache>
                <c:formatCode>0.00\x</c:formatCode>
                <c:ptCount val="26"/>
                <c:pt idx="0">
                  <c:v>20.504128535091631</c:v>
                </c:pt>
                <c:pt idx="1">
                  <c:v>48.405721445882612</c:v>
                </c:pt>
                <c:pt idx="2">
                  <c:v>46.248115192043898</c:v>
                </c:pt>
                <c:pt idx="3">
                  <c:v>45.312055581648792</c:v>
                </c:pt>
                <c:pt idx="4">
                  <c:v>38.34701105519742</c:v>
                </c:pt>
                <c:pt idx="5">
                  <c:v>20.27213886099555</c:v>
                </c:pt>
                <c:pt idx="6">
                  <c:v>17.134502050287679</c:v>
                </c:pt>
                <c:pt idx="7">
                  <c:v>25.880616135044459</c:v>
                </c:pt>
                <c:pt idx="8">
                  <c:v>32.004425574425575</c:v>
                </c:pt>
                <c:pt idx="9">
                  <c:v>32.296486959175603</c:v>
                </c:pt>
                <c:pt idx="10">
                  <c:v>37.769618725158253</c:v>
                </c:pt>
                <c:pt idx="11">
                  <c:v>13.937529386621073</c:v>
                </c:pt>
                <c:pt idx="12">
                  <c:v>70.313027096225241</c:v>
                </c:pt>
                <c:pt idx="13">
                  <c:v>16.38940537219565</c:v>
                </c:pt>
                <c:pt idx="14">
                  <c:v>1.2931178607592178</c:v>
                </c:pt>
                <c:pt idx="15">
                  <c:v>33.465162141218457</c:v>
                </c:pt>
                <c:pt idx="16">
                  <c:v>60.646387482742753</c:v>
                </c:pt>
                <c:pt idx="17">
                  <c:v>14.180096555875746</c:v>
                </c:pt>
                <c:pt idx="18">
                  <c:v>103.720063677368</c:v>
                </c:pt>
                <c:pt idx="19">
                  <c:v>58.44407878787878</c:v>
                </c:pt>
                <c:pt idx="20">
                  <c:v>12.049355634768302</c:v>
                </c:pt>
                <c:pt idx="21">
                  <c:v>5.2017254628012575</c:v>
                </c:pt>
                <c:pt idx="22">
                  <c:v>62.924830729166672</c:v>
                </c:pt>
                <c:pt idx="23">
                  <c:v>17.67228205350186</c:v>
                </c:pt>
                <c:pt idx="24">
                  <c:v>25.858616458861498</c:v>
                </c:pt>
                <c:pt idx="25">
                  <c:v>33.102528354785271</c:v>
                </c:pt>
              </c:numCache>
            </c:numRef>
          </c:xVal>
          <c:yVal>
            <c:numRef>
              <c:f>'Cap7. Empresas con moats'!$D$120:$D$145</c:f>
              <c:numCache>
                <c:formatCode>0.00%</c:formatCode>
                <c:ptCount val="26"/>
                <c:pt idx="0">
                  <c:v>0.14516225332780042</c:v>
                </c:pt>
                <c:pt idx="1">
                  <c:v>0.54212945696232717</c:v>
                </c:pt>
                <c:pt idx="2">
                  <c:v>0.12518075603854581</c:v>
                </c:pt>
                <c:pt idx="3">
                  <c:v>0.26728430063434344</c:v>
                </c:pt>
                <c:pt idx="4">
                  <c:v>0.6049544961026444</c:v>
                </c:pt>
                <c:pt idx="5">
                  <c:v>0.12601729869962716</c:v>
                </c:pt>
                <c:pt idx="6">
                  <c:v>0.10507927606047845</c:v>
                </c:pt>
                <c:pt idx="7">
                  <c:v>8.6706699682168417E-2</c:v>
                </c:pt>
                <c:pt idx="8">
                  <c:v>8.0748033749557011E-2</c:v>
                </c:pt>
                <c:pt idx="9">
                  <c:v>0.3600477240757507</c:v>
                </c:pt>
                <c:pt idx="10">
                  <c:v>0.75791164575016901</c:v>
                </c:pt>
                <c:pt idx="11">
                  <c:v>0.15630619371727525</c:v>
                </c:pt>
                <c:pt idx="12">
                  <c:v>6.1480810868465179E-2</c:v>
                </c:pt>
                <c:pt idx="13">
                  <c:v>4.6175344912798955E-2</c:v>
                </c:pt>
                <c:pt idx="14">
                  <c:v>0.13402679512476781</c:v>
                </c:pt>
                <c:pt idx="15">
                  <c:v>0.64438579103033911</c:v>
                </c:pt>
                <c:pt idx="16">
                  <c:v>0.12894958380375637</c:v>
                </c:pt>
                <c:pt idx="17">
                  <c:v>0.57832540854014303</c:v>
                </c:pt>
                <c:pt idx="18">
                  <c:v>0.18148805662177489</c:v>
                </c:pt>
                <c:pt idx="19">
                  <c:v>0.10569441506697341</c:v>
                </c:pt>
                <c:pt idx="20">
                  <c:v>0.20066037568878922</c:v>
                </c:pt>
                <c:pt idx="21">
                  <c:v>9.5787678985855718E-2</c:v>
                </c:pt>
                <c:pt idx="22">
                  <c:v>-4.6943726129142563E-3</c:v>
                </c:pt>
                <c:pt idx="23">
                  <c:v>5.0725413393551404E-2</c:v>
                </c:pt>
                <c:pt idx="24">
                  <c:v>0.23820337549487594</c:v>
                </c:pt>
                <c:pt idx="25">
                  <c:v>0.12503701988109184</c:v>
                </c:pt>
              </c:numCache>
            </c:numRef>
          </c:yVal>
          <c:bubbleSize>
            <c:numRef>
              <c:f>'Cap7. Empresas con moats'!$F$120:$F$145</c:f>
              <c:numCache>
                <c:formatCode>0.00%</c:formatCode>
                <c:ptCount val="26"/>
                <c:pt idx="0">
                  <c:v>0.13150535098767779</c:v>
                </c:pt>
                <c:pt idx="1">
                  <c:v>0.19698281412592733</c:v>
                </c:pt>
                <c:pt idx="2">
                  <c:v>3.770089164053636E-2</c:v>
                </c:pt>
                <c:pt idx="3">
                  <c:v>0.14998048306661804</c:v>
                </c:pt>
                <c:pt idx="4">
                  <c:v>8.2808785222771242E-2</c:v>
                </c:pt>
                <c:pt idx="5">
                  <c:v>9.0789480418307145E-2</c:v>
                </c:pt>
                <c:pt idx="6">
                  <c:v>5.274906828422643E-2</c:v>
                </c:pt>
                <c:pt idx="7">
                  <c:v>5.7019719166171212E-2</c:v>
                </c:pt>
                <c:pt idx="8">
                  <c:v>8.7749339469204823E-2</c:v>
                </c:pt>
                <c:pt idx="9">
                  <c:v>0.1222765873207845</c:v>
                </c:pt>
                <c:pt idx="10">
                  <c:v>0.1459753251311704</c:v>
                </c:pt>
                <c:pt idx="11">
                  <c:v>8.5218861882811581E-2</c:v>
                </c:pt>
                <c:pt idx="12">
                  <c:v>4.9925956364516244E-2</c:v>
                </c:pt>
                <c:pt idx="13">
                  <c:v>0.23402078946870919</c:v>
                </c:pt>
                <c:pt idx="14">
                  <c:v>0.28562983974165301</c:v>
                </c:pt>
                <c:pt idx="15">
                  <c:v>0.18135386406948006</c:v>
                </c:pt>
                <c:pt idx="16">
                  <c:v>0.15976854247738648</c:v>
                </c:pt>
                <c:pt idx="17">
                  <c:v>0.19698815407934833</c:v>
                </c:pt>
                <c:pt idx="18">
                  <c:v>4.9529707055338212E-2</c:v>
                </c:pt>
                <c:pt idx="19">
                  <c:v>7.7065345843375876E-2</c:v>
                </c:pt>
                <c:pt idx="20">
                  <c:v>0.10400864764106021</c:v>
                </c:pt>
                <c:pt idx="21">
                  <c:v>3.6984022842744046E-2</c:v>
                </c:pt>
                <c:pt idx="22">
                  <c:v>0.29216481542050854</c:v>
                </c:pt>
                <c:pt idx="23">
                  <c:v>7.6343511183957879E-2</c:v>
                </c:pt>
                <c:pt idx="24">
                  <c:v>0.15266398237424195</c:v>
                </c:pt>
                <c:pt idx="25">
                  <c:v>0.11657532316572849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CE07-4B69-98CF-80205F738E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70"/>
        <c:showNegBubbles val="0"/>
        <c:sizeRepresents val="w"/>
        <c:axId val="1169219551"/>
        <c:axId val="1169216191"/>
      </c:bubbleChart>
      <c:valAx>
        <c:axId val="1169219551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69216191"/>
        <c:crosses val="autoZero"/>
        <c:crossBetween val="midCat"/>
      </c:valAx>
      <c:valAx>
        <c:axId val="1169216191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6921955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ubbleChart>
        <c:varyColors val="0"/>
        <c:ser>
          <c:idx val="0"/>
          <c:order val="0"/>
          <c:tx>
            <c:strRef>
              <c:f>'Cap7. Empresas con moats'!$E$119</c:f>
              <c:strCache>
                <c:ptCount val="1"/>
                <c:pt idx="0">
                  <c:v>PE Ratio</c:v>
                </c:pt>
              </c:strCache>
            </c:strRef>
          </c:tx>
          <c:spPr>
            <a:solidFill>
              <a:schemeClr val="accent1">
                <a:alpha val="75000"/>
              </a:schemeClr>
            </a:solidFill>
            <a:ln>
              <a:noFill/>
            </a:ln>
            <a:effectLst/>
          </c:spPr>
          <c:invertIfNegative val="0"/>
          <c:xVal>
            <c:numRef>
              <c:f>'Cap7. Empresas con moats'!$D$120:$D$145</c:f>
              <c:numCache>
                <c:formatCode>0.00%</c:formatCode>
                <c:ptCount val="26"/>
                <c:pt idx="0">
                  <c:v>0.14516225332780042</c:v>
                </c:pt>
                <c:pt idx="1">
                  <c:v>0.54212945696232717</c:v>
                </c:pt>
                <c:pt idx="2">
                  <c:v>0.12518075603854581</c:v>
                </c:pt>
                <c:pt idx="3">
                  <c:v>0.26728430063434344</c:v>
                </c:pt>
                <c:pt idx="4">
                  <c:v>0.6049544961026444</c:v>
                </c:pt>
                <c:pt idx="5">
                  <c:v>0.12601729869962716</c:v>
                </c:pt>
                <c:pt idx="6">
                  <c:v>0.10507927606047845</c:v>
                </c:pt>
                <c:pt idx="7">
                  <c:v>8.6706699682168417E-2</c:v>
                </c:pt>
                <c:pt idx="8">
                  <c:v>8.0748033749557011E-2</c:v>
                </c:pt>
                <c:pt idx="9">
                  <c:v>0.3600477240757507</c:v>
                </c:pt>
                <c:pt idx="10">
                  <c:v>0.75791164575016901</c:v>
                </c:pt>
                <c:pt idx="11">
                  <c:v>0.15630619371727525</c:v>
                </c:pt>
                <c:pt idx="12">
                  <c:v>6.1480810868465179E-2</c:v>
                </c:pt>
                <c:pt idx="13">
                  <c:v>4.6175344912798955E-2</c:v>
                </c:pt>
                <c:pt idx="14">
                  <c:v>0.13402679512476781</c:v>
                </c:pt>
                <c:pt idx="15">
                  <c:v>0.64438579103033911</c:v>
                </c:pt>
                <c:pt idx="16">
                  <c:v>0.12894958380375637</c:v>
                </c:pt>
                <c:pt idx="17">
                  <c:v>0.57832540854014303</c:v>
                </c:pt>
                <c:pt idx="18">
                  <c:v>0.18148805662177489</c:v>
                </c:pt>
                <c:pt idx="19">
                  <c:v>0.10569441506697341</c:v>
                </c:pt>
                <c:pt idx="20">
                  <c:v>0.20066037568878922</c:v>
                </c:pt>
                <c:pt idx="21">
                  <c:v>9.5787678985855718E-2</c:v>
                </c:pt>
                <c:pt idx="22">
                  <c:v>-4.6943726129142563E-3</c:v>
                </c:pt>
                <c:pt idx="23">
                  <c:v>5.0725413393551404E-2</c:v>
                </c:pt>
                <c:pt idx="24">
                  <c:v>0.23820337549487594</c:v>
                </c:pt>
                <c:pt idx="25">
                  <c:v>0.12503701988109184</c:v>
                </c:pt>
              </c:numCache>
            </c:numRef>
          </c:xVal>
          <c:yVal>
            <c:numRef>
              <c:f>'Cap7. Empresas con moats'!$E$120:$E$145</c:f>
              <c:numCache>
                <c:formatCode>0.00\x</c:formatCode>
                <c:ptCount val="26"/>
                <c:pt idx="0">
                  <c:v>20.504128535091631</c:v>
                </c:pt>
                <c:pt idx="1">
                  <c:v>48.405721445882612</c:v>
                </c:pt>
                <c:pt idx="2">
                  <c:v>46.248115192043898</c:v>
                </c:pt>
                <c:pt idx="3">
                  <c:v>45.312055581648792</c:v>
                </c:pt>
                <c:pt idx="4">
                  <c:v>38.34701105519742</c:v>
                </c:pt>
                <c:pt idx="5">
                  <c:v>20.27213886099555</c:v>
                </c:pt>
                <c:pt idx="6">
                  <c:v>17.134502050287679</c:v>
                </c:pt>
                <c:pt idx="7">
                  <c:v>25.880616135044459</c:v>
                </c:pt>
                <c:pt idx="8">
                  <c:v>32.004425574425575</c:v>
                </c:pt>
                <c:pt idx="9">
                  <c:v>32.296486959175603</c:v>
                </c:pt>
                <c:pt idx="10">
                  <c:v>37.769618725158253</c:v>
                </c:pt>
                <c:pt idx="11">
                  <c:v>13.937529386621073</c:v>
                </c:pt>
                <c:pt idx="12">
                  <c:v>70.313027096225241</c:v>
                </c:pt>
                <c:pt idx="13">
                  <c:v>16.38940537219565</c:v>
                </c:pt>
                <c:pt idx="14">
                  <c:v>1.2931178607592178</c:v>
                </c:pt>
                <c:pt idx="15">
                  <c:v>33.465162141218457</c:v>
                </c:pt>
                <c:pt idx="16">
                  <c:v>60.646387482742753</c:v>
                </c:pt>
                <c:pt idx="17">
                  <c:v>14.180096555875746</c:v>
                </c:pt>
                <c:pt idx="18">
                  <c:v>103.720063677368</c:v>
                </c:pt>
                <c:pt idx="19">
                  <c:v>58.44407878787878</c:v>
                </c:pt>
                <c:pt idx="20">
                  <c:v>12.049355634768302</c:v>
                </c:pt>
                <c:pt idx="21">
                  <c:v>5.2017254628012575</c:v>
                </c:pt>
                <c:pt idx="22">
                  <c:v>62.924830729166672</c:v>
                </c:pt>
                <c:pt idx="23">
                  <c:v>17.67228205350186</c:v>
                </c:pt>
                <c:pt idx="24">
                  <c:v>25.858616458861498</c:v>
                </c:pt>
                <c:pt idx="25">
                  <c:v>33.102528354785271</c:v>
                </c:pt>
              </c:numCache>
            </c:numRef>
          </c:yVal>
          <c:bubbleSize>
            <c:numRef>
              <c:f>'Cap7. Empresas con moats'!$F$120:$F$145</c:f>
              <c:numCache>
                <c:formatCode>0.00%</c:formatCode>
                <c:ptCount val="26"/>
                <c:pt idx="0">
                  <c:v>0.13150535098767779</c:v>
                </c:pt>
                <c:pt idx="1">
                  <c:v>0.19698281412592733</c:v>
                </c:pt>
                <c:pt idx="2">
                  <c:v>3.770089164053636E-2</c:v>
                </c:pt>
                <c:pt idx="3">
                  <c:v>0.14998048306661804</c:v>
                </c:pt>
                <c:pt idx="4">
                  <c:v>8.2808785222771242E-2</c:v>
                </c:pt>
                <c:pt idx="5">
                  <c:v>9.0789480418307145E-2</c:v>
                </c:pt>
                <c:pt idx="6">
                  <c:v>5.274906828422643E-2</c:v>
                </c:pt>
                <c:pt idx="7">
                  <c:v>5.7019719166171212E-2</c:v>
                </c:pt>
                <c:pt idx="8">
                  <c:v>8.7749339469204823E-2</c:v>
                </c:pt>
                <c:pt idx="9">
                  <c:v>0.1222765873207845</c:v>
                </c:pt>
                <c:pt idx="10">
                  <c:v>0.1459753251311704</c:v>
                </c:pt>
                <c:pt idx="11">
                  <c:v>8.5218861882811581E-2</c:v>
                </c:pt>
                <c:pt idx="12">
                  <c:v>4.9925956364516244E-2</c:v>
                </c:pt>
                <c:pt idx="13">
                  <c:v>0.23402078946870919</c:v>
                </c:pt>
                <c:pt idx="14">
                  <c:v>0.28562983974165301</c:v>
                </c:pt>
                <c:pt idx="15">
                  <c:v>0.18135386406948006</c:v>
                </c:pt>
                <c:pt idx="16">
                  <c:v>0.15976854247738648</c:v>
                </c:pt>
                <c:pt idx="17">
                  <c:v>0.19698815407934833</c:v>
                </c:pt>
                <c:pt idx="18">
                  <c:v>4.9529707055338212E-2</c:v>
                </c:pt>
                <c:pt idx="19">
                  <c:v>7.7065345843375876E-2</c:v>
                </c:pt>
                <c:pt idx="20">
                  <c:v>0.10400864764106021</c:v>
                </c:pt>
                <c:pt idx="21">
                  <c:v>3.6984022842744046E-2</c:v>
                </c:pt>
                <c:pt idx="22">
                  <c:v>0.29216481542050854</c:v>
                </c:pt>
                <c:pt idx="23">
                  <c:v>7.6343511183957879E-2</c:v>
                </c:pt>
                <c:pt idx="24">
                  <c:v>0.15266398237424195</c:v>
                </c:pt>
                <c:pt idx="25">
                  <c:v>0.11657532316572849</c:v>
                </c:pt>
              </c:numCache>
            </c:numRef>
          </c:bubbleSize>
          <c:bubble3D val="0"/>
          <c:extLst>
            <c:ext xmlns:c16="http://schemas.microsoft.com/office/drawing/2014/chart" uri="{C3380CC4-5D6E-409C-BE32-E72D297353CC}">
              <c16:uniqueId val="{00000000-5A6F-444C-A34A-2BE317A03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100"/>
        <c:showNegBubbles val="0"/>
        <c:axId val="1155585727"/>
        <c:axId val="1318152239"/>
      </c:bubbleChart>
      <c:valAx>
        <c:axId val="11555857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18152239"/>
        <c:crosses val="autoZero"/>
        <c:crossBetween val="midCat"/>
      </c:valAx>
      <c:valAx>
        <c:axId val="13181522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x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555857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[1]Análisis!$D$54</c:f>
              <c:strCache>
                <c:ptCount val="1"/>
                <c:pt idx="0">
                  <c:v>1,15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[1]Análisis!$B$55:$B$202</c:f>
              <c:strCache>
                <c:ptCount val="148"/>
                <c:pt idx="0">
                  <c:v>2025-01-22</c:v>
                </c:pt>
                <c:pt idx="1">
                  <c:v>2024-10-23</c:v>
                </c:pt>
                <c:pt idx="2">
                  <c:v>2024-07-24</c:v>
                </c:pt>
                <c:pt idx="3">
                  <c:v>2024-04-23</c:v>
                </c:pt>
                <c:pt idx="4">
                  <c:v>2024-01-23</c:v>
                </c:pt>
                <c:pt idx="5">
                  <c:v>2023-10-24</c:v>
                </c:pt>
                <c:pt idx="6">
                  <c:v>2023-07-25</c:v>
                </c:pt>
                <c:pt idx="7">
                  <c:v>2023-04-25</c:v>
                </c:pt>
                <c:pt idx="8">
                  <c:v>2023-01-24</c:v>
                </c:pt>
                <c:pt idx="9">
                  <c:v>2022-10-18</c:v>
                </c:pt>
                <c:pt idx="10">
                  <c:v>2022-07-19</c:v>
                </c:pt>
                <c:pt idx="11">
                  <c:v>2022-04-19</c:v>
                </c:pt>
                <c:pt idx="12">
                  <c:v>2022-01-18</c:v>
                </c:pt>
                <c:pt idx="13">
                  <c:v>2021-10-19</c:v>
                </c:pt>
                <c:pt idx="14">
                  <c:v>2021-07-20</c:v>
                </c:pt>
                <c:pt idx="15">
                  <c:v>2021-04-20</c:v>
                </c:pt>
                <c:pt idx="16">
                  <c:v>2021-01-19</c:v>
                </c:pt>
                <c:pt idx="17">
                  <c:v>2020-10-20</c:v>
                </c:pt>
                <c:pt idx="18">
                  <c:v>2020-07-21</c:v>
                </c:pt>
                <c:pt idx="19">
                  <c:v>2020-04-21</c:v>
                </c:pt>
                <c:pt idx="20">
                  <c:v>2020-01-21</c:v>
                </c:pt>
                <c:pt idx="21">
                  <c:v>2019-10-22</c:v>
                </c:pt>
                <c:pt idx="22">
                  <c:v>2019-07-23</c:v>
                </c:pt>
                <c:pt idx="23">
                  <c:v>2019-04-23</c:v>
                </c:pt>
                <c:pt idx="24">
                  <c:v>2019-01-22</c:v>
                </c:pt>
                <c:pt idx="25">
                  <c:v>2018-10-23</c:v>
                </c:pt>
                <c:pt idx="26">
                  <c:v>2018-07-24</c:v>
                </c:pt>
                <c:pt idx="27">
                  <c:v>2018-04-24</c:v>
                </c:pt>
                <c:pt idx="28">
                  <c:v>2018-01-23</c:v>
                </c:pt>
                <c:pt idx="29">
                  <c:v>2017-10-24</c:v>
                </c:pt>
                <c:pt idx="30">
                  <c:v>2017-07-24</c:v>
                </c:pt>
                <c:pt idx="31">
                  <c:v>2017-04-24</c:v>
                </c:pt>
                <c:pt idx="32">
                  <c:v>2017-01-23</c:v>
                </c:pt>
                <c:pt idx="33">
                  <c:v>2016-10-17</c:v>
                </c:pt>
                <c:pt idx="34">
                  <c:v>2016-07-18</c:v>
                </c:pt>
                <c:pt idx="35">
                  <c:v>2016-04-18</c:v>
                </c:pt>
                <c:pt idx="36">
                  <c:v>2016-01-15</c:v>
                </c:pt>
                <c:pt idx="37">
                  <c:v>2015-10-19</c:v>
                </c:pt>
                <c:pt idx="38">
                  <c:v>2015-07-20</c:v>
                </c:pt>
                <c:pt idx="39">
                  <c:v>2015-04-20</c:v>
                </c:pt>
                <c:pt idx="40">
                  <c:v>2015-01-16</c:v>
                </c:pt>
                <c:pt idx="41">
                  <c:v>2014-10-20</c:v>
                </c:pt>
                <c:pt idx="42">
                  <c:v>2014-07-21</c:v>
                </c:pt>
                <c:pt idx="43">
                  <c:v>2014-04-21</c:v>
                </c:pt>
                <c:pt idx="44">
                  <c:v>2014-01-17</c:v>
                </c:pt>
                <c:pt idx="45">
                  <c:v>2013-10-21</c:v>
                </c:pt>
                <c:pt idx="46">
                  <c:v>2013-07-22</c:v>
                </c:pt>
                <c:pt idx="47">
                  <c:v>2013-04-22</c:v>
                </c:pt>
                <c:pt idx="48">
                  <c:v>2013-01-18</c:v>
                </c:pt>
                <c:pt idx="49">
                  <c:v>2012-10-22</c:v>
                </c:pt>
                <c:pt idx="50">
                  <c:v>2012-07-23</c:v>
                </c:pt>
                <c:pt idx="51">
                  <c:v>2012-04-23</c:v>
                </c:pt>
                <c:pt idx="52">
                  <c:v>2012-01-23</c:v>
                </c:pt>
                <c:pt idx="53">
                  <c:v>2011-10-17</c:v>
                </c:pt>
                <c:pt idx="54">
                  <c:v>2011-07-18</c:v>
                </c:pt>
                <c:pt idx="55">
                  <c:v>2011-04-18</c:v>
                </c:pt>
                <c:pt idx="56">
                  <c:v>2011-01-14</c:v>
                </c:pt>
                <c:pt idx="57">
                  <c:v>2010-10-18</c:v>
                </c:pt>
                <c:pt idx="58">
                  <c:v>2010-07-19</c:v>
                </c:pt>
                <c:pt idx="59">
                  <c:v>2010-04-19</c:v>
                </c:pt>
                <c:pt idx="60">
                  <c:v>2010-01-15</c:v>
                </c:pt>
                <c:pt idx="61">
                  <c:v>2009-10-14</c:v>
                </c:pt>
                <c:pt idx="62">
                  <c:v>2009-07-15</c:v>
                </c:pt>
                <c:pt idx="63">
                  <c:v>2009-04-15</c:v>
                </c:pt>
                <c:pt idx="64">
                  <c:v>2009-01-14</c:v>
                </c:pt>
                <c:pt idx="65">
                  <c:v>2008-10-15</c:v>
                </c:pt>
                <c:pt idx="66">
                  <c:v>2008-07-16</c:v>
                </c:pt>
                <c:pt idx="67">
                  <c:v>2008-04-16</c:v>
                </c:pt>
                <c:pt idx="68">
                  <c:v>2008-01-16</c:v>
                </c:pt>
                <c:pt idx="69">
                  <c:v>2007-10-17</c:v>
                </c:pt>
                <c:pt idx="70">
                  <c:v>2007-07-18</c:v>
                </c:pt>
                <c:pt idx="71">
                  <c:v>2007-04-18</c:v>
                </c:pt>
                <c:pt idx="72">
                  <c:v>2007-01-17</c:v>
                </c:pt>
                <c:pt idx="73">
                  <c:v>2006-10-18</c:v>
                </c:pt>
                <c:pt idx="74">
                  <c:v>2006-07-19</c:v>
                </c:pt>
                <c:pt idx="75">
                  <c:v>2006-04-19</c:v>
                </c:pt>
                <c:pt idx="76">
                  <c:v>2006-01-18</c:v>
                </c:pt>
                <c:pt idx="77">
                  <c:v>2005-10-12</c:v>
                </c:pt>
                <c:pt idx="78">
                  <c:v>2005-07-13</c:v>
                </c:pt>
                <c:pt idx="79">
                  <c:v>2005-04-13</c:v>
                </c:pt>
                <c:pt idx="80">
                  <c:v>2005-01-12</c:v>
                </c:pt>
                <c:pt idx="81">
                  <c:v>2004-10-13</c:v>
                </c:pt>
                <c:pt idx="82">
                  <c:v>2004-07-14</c:v>
                </c:pt>
                <c:pt idx="83">
                  <c:v>2004-04-14</c:v>
                </c:pt>
                <c:pt idx="84">
                  <c:v>2004-01-14</c:v>
                </c:pt>
                <c:pt idx="85">
                  <c:v>2003-10-15</c:v>
                </c:pt>
                <c:pt idx="86">
                  <c:v>2003-07-16</c:v>
                </c:pt>
                <c:pt idx="87">
                  <c:v>2003-04-15</c:v>
                </c:pt>
                <c:pt idx="88">
                  <c:v>2003-01-15</c:v>
                </c:pt>
                <c:pt idx="89">
                  <c:v>2002-10-16</c:v>
                </c:pt>
                <c:pt idx="90">
                  <c:v>2002-07-17</c:v>
                </c:pt>
                <c:pt idx="91">
                  <c:v>2002-04-17</c:v>
                </c:pt>
                <c:pt idx="92">
                  <c:v>2002-01-16</c:v>
                </c:pt>
                <c:pt idx="93">
                  <c:v>2001-10-17</c:v>
                </c:pt>
                <c:pt idx="94">
                  <c:v>2001-07-18</c:v>
                </c:pt>
                <c:pt idx="95">
                  <c:v>2001-04-18</c:v>
                </c:pt>
                <c:pt idx="96">
                  <c:v>2001-01-17</c:v>
                </c:pt>
                <c:pt idx="97">
                  <c:v>2000-10-11</c:v>
                </c:pt>
                <c:pt idx="98">
                  <c:v>2000-07-12</c:v>
                </c:pt>
                <c:pt idx="99">
                  <c:v>2000-04-12</c:v>
                </c:pt>
                <c:pt idx="100">
                  <c:v>2000-01-12</c:v>
                </c:pt>
                <c:pt idx="101">
                  <c:v>1999-10-13</c:v>
                </c:pt>
                <c:pt idx="102">
                  <c:v>1999-07-14</c:v>
                </c:pt>
                <c:pt idx="103">
                  <c:v>1999-04-14</c:v>
                </c:pt>
                <c:pt idx="104">
                  <c:v>1999-01-13</c:v>
                </c:pt>
                <c:pt idx="105">
                  <c:v>1998-10-14</c:v>
                </c:pt>
                <c:pt idx="106">
                  <c:v>1998-07-15</c:v>
                </c:pt>
                <c:pt idx="107">
                  <c:v>1998-04-15</c:v>
                </c:pt>
                <c:pt idx="108">
                  <c:v>1998-01-14</c:v>
                </c:pt>
                <c:pt idx="109">
                  <c:v>1997-10-15</c:v>
                </c:pt>
                <c:pt idx="110">
                  <c:v>1997-07-15</c:v>
                </c:pt>
                <c:pt idx="111">
                  <c:v>1997-04-14</c:v>
                </c:pt>
                <c:pt idx="112">
                  <c:v>1997-01-15</c:v>
                </c:pt>
                <c:pt idx="113">
                  <c:v>1996-10-15</c:v>
                </c:pt>
                <c:pt idx="114">
                  <c:v>1996-07-15</c:v>
                </c:pt>
                <c:pt idx="115">
                  <c:v>1996-04-11</c:v>
                </c:pt>
                <c:pt idx="116">
                  <c:v>1996-01-12</c:v>
                </c:pt>
                <c:pt idx="117">
                  <c:v>1995-10-13</c:v>
                </c:pt>
                <c:pt idx="118">
                  <c:v>1995-07-13</c:v>
                </c:pt>
                <c:pt idx="119">
                  <c:v>1995-04-07</c:v>
                </c:pt>
                <c:pt idx="120">
                  <c:v>1995-01-10</c:v>
                </c:pt>
                <c:pt idx="121">
                  <c:v>1994-10-11</c:v>
                </c:pt>
                <c:pt idx="122">
                  <c:v>1994-07-11</c:v>
                </c:pt>
                <c:pt idx="123">
                  <c:v>1994-04-11</c:v>
                </c:pt>
                <c:pt idx="124">
                  <c:v>1994-01-10</c:v>
                </c:pt>
                <c:pt idx="125">
                  <c:v>1993-10-08</c:v>
                </c:pt>
                <c:pt idx="126">
                  <c:v>1993-07-12</c:v>
                </c:pt>
                <c:pt idx="127">
                  <c:v>1993-04-12</c:v>
                </c:pt>
                <c:pt idx="128">
                  <c:v>1993-01-11</c:v>
                </c:pt>
                <c:pt idx="129">
                  <c:v>1992-10-09</c:v>
                </c:pt>
                <c:pt idx="130">
                  <c:v>1992-07-13</c:v>
                </c:pt>
                <c:pt idx="131">
                  <c:v>1992-04-10</c:v>
                </c:pt>
                <c:pt idx="132">
                  <c:v>1992-01-13</c:v>
                </c:pt>
                <c:pt idx="133">
                  <c:v>1991-10-10</c:v>
                </c:pt>
                <c:pt idx="134">
                  <c:v>1991-07-11</c:v>
                </c:pt>
                <c:pt idx="135">
                  <c:v>1991-04-10</c:v>
                </c:pt>
                <c:pt idx="136">
                  <c:v>1991-01-14</c:v>
                </c:pt>
                <c:pt idx="137">
                  <c:v>1990-10-11</c:v>
                </c:pt>
                <c:pt idx="138">
                  <c:v>1990-07-11</c:v>
                </c:pt>
                <c:pt idx="139">
                  <c:v>1990-04-09</c:v>
                </c:pt>
                <c:pt idx="140">
                  <c:v>1990-01-10</c:v>
                </c:pt>
                <c:pt idx="141">
                  <c:v>1989-10-06</c:v>
                </c:pt>
                <c:pt idx="142">
                  <c:v>1989-07-10</c:v>
                </c:pt>
                <c:pt idx="143">
                  <c:v>1989-04-10</c:v>
                </c:pt>
                <c:pt idx="144">
                  <c:v>1989-01-09</c:v>
                </c:pt>
                <c:pt idx="145">
                  <c:v>1988-10-07</c:v>
                </c:pt>
                <c:pt idx="146">
                  <c:v>1988-07-11</c:v>
                </c:pt>
                <c:pt idx="147">
                  <c:v>1988-04-04</c:v>
                </c:pt>
              </c:strCache>
            </c:strRef>
          </c:cat>
          <c:val>
            <c:numRef>
              <c:f>[1]Análisis!$D$55:$D$146</c:f>
              <c:numCache>
                <c:formatCode>General</c:formatCode>
                <c:ptCount val="92"/>
                <c:pt idx="0">
                  <c:v>1.1499999999999999</c:v>
                </c:pt>
                <c:pt idx="1">
                  <c:v>1.1499999999999999</c:v>
                </c:pt>
                <c:pt idx="2">
                  <c:v>1.1499999999999999</c:v>
                </c:pt>
                <c:pt idx="3">
                  <c:v>1.1000000000000001</c:v>
                </c:pt>
                <c:pt idx="4">
                  <c:v>1.1000000000000001</c:v>
                </c:pt>
                <c:pt idx="5">
                  <c:v>1.1000000000000001</c:v>
                </c:pt>
                <c:pt idx="6">
                  <c:v>1.1000000000000001</c:v>
                </c:pt>
                <c:pt idx="7">
                  <c:v>1.05</c:v>
                </c:pt>
                <c:pt idx="8">
                  <c:v>1.05</c:v>
                </c:pt>
                <c:pt idx="9">
                  <c:v>1.05</c:v>
                </c:pt>
                <c:pt idx="10">
                  <c:v>1.05</c:v>
                </c:pt>
                <c:pt idx="11">
                  <c:v>0.8</c:v>
                </c:pt>
                <c:pt idx="12">
                  <c:v>0.8</c:v>
                </c:pt>
                <c:pt idx="13">
                  <c:v>0.8</c:v>
                </c:pt>
                <c:pt idx="14">
                  <c:v>0.8</c:v>
                </c:pt>
                <c:pt idx="15">
                  <c:v>0.6</c:v>
                </c:pt>
                <c:pt idx="16">
                  <c:v>0.6</c:v>
                </c:pt>
                <c:pt idx="17">
                  <c:v>0.6</c:v>
                </c:pt>
                <c:pt idx="18">
                  <c:v>0.55000000000000004</c:v>
                </c:pt>
                <c:pt idx="19">
                  <c:v>0.55000000000000004</c:v>
                </c:pt>
                <c:pt idx="20">
                  <c:v>0.55000000000000004</c:v>
                </c:pt>
                <c:pt idx="21">
                  <c:v>0.55000000000000004</c:v>
                </c:pt>
                <c:pt idx="22">
                  <c:v>0.55000000000000004</c:v>
                </c:pt>
                <c:pt idx="23">
                  <c:v>0.48</c:v>
                </c:pt>
                <c:pt idx="24">
                  <c:v>0.48</c:v>
                </c:pt>
                <c:pt idx="25">
                  <c:v>0.48</c:v>
                </c:pt>
                <c:pt idx="26">
                  <c:v>0.48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0.35</c:v>
                </c:pt>
                <c:pt idx="32">
                  <c:v>0.35</c:v>
                </c:pt>
                <c:pt idx="33">
                  <c:v>0.35</c:v>
                </c:pt>
                <c:pt idx="34">
                  <c:v>0.35</c:v>
                </c:pt>
                <c:pt idx="35">
                  <c:v>0.28000000000000003</c:v>
                </c:pt>
                <c:pt idx="36">
                  <c:v>0.28000000000000003</c:v>
                </c:pt>
                <c:pt idx="37">
                  <c:v>0.28000000000000003</c:v>
                </c:pt>
                <c:pt idx="38">
                  <c:v>0.28000000000000003</c:v>
                </c:pt>
                <c:pt idx="39">
                  <c:v>0.23</c:v>
                </c:pt>
                <c:pt idx="40">
                  <c:v>0.23</c:v>
                </c:pt>
                <c:pt idx="41">
                  <c:v>0.23</c:v>
                </c:pt>
                <c:pt idx="42">
                  <c:v>0.23</c:v>
                </c:pt>
                <c:pt idx="43">
                  <c:v>0.18</c:v>
                </c:pt>
                <c:pt idx="44">
                  <c:v>0.18</c:v>
                </c:pt>
                <c:pt idx="45">
                  <c:v>0.18</c:v>
                </c:pt>
                <c:pt idx="46">
                  <c:v>0.18</c:v>
                </c:pt>
                <c:pt idx="47">
                  <c:v>0.16</c:v>
                </c:pt>
                <c:pt idx="48">
                  <c:v>0.16</c:v>
                </c:pt>
                <c:pt idx="49">
                  <c:v>0.16</c:v>
                </c:pt>
                <c:pt idx="50">
                  <c:v>0.16</c:v>
                </c:pt>
                <c:pt idx="51">
                  <c:v>0.14000000000000001</c:v>
                </c:pt>
                <c:pt idx="52">
                  <c:v>0.14000000000000001</c:v>
                </c:pt>
                <c:pt idx="53">
                  <c:v>0.14000000000000001</c:v>
                </c:pt>
                <c:pt idx="54">
                  <c:v>0.14000000000000001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0.09</c:v>
                </c:pt>
                <c:pt idx="60">
                  <c:v>0.09</c:v>
                </c:pt>
                <c:pt idx="61">
                  <c:v>0.09</c:v>
                </c:pt>
                <c:pt idx="62">
                  <c:v>0.09</c:v>
                </c:pt>
                <c:pt idx="63">
                  <c:v>8.5000000000000006E-2</c:v>
                </c:pt>
                <c:pt idx="64">
                  <c:v>8.5000000000000006E-2</c:v>
                </c:pt>
                <c:pt idx="65">
                  <c:v>8.5000000000000006E-2</c:v>
                </c:pt>
                <c:pt idx="66">
                  <c:v>8.5000000000000006E-2</c:v>
                </c:pt>
                <c:pt idx="67">
                  <c:v>0.08</c:v>
                </c:pt>
                <c:pt idx="68">
                  <c:v>0.08</c:v>
                </c:pt>
                <c:pt idx="69">
                  <c:v>0.08</c:v>
                </c:pt>
                <c:pt idx="70">
                  <c:v>0.08</c:v>
                </c:pt>
                <c:pt idx="71">
                  <c:v>0.05</c:v>
                </c:pt>
                <c:pt idx="72">
                  <c:v>0.05</c:v>
                </c:pt>
                <c:pt idx="73">
                  <c:v>0.05</c:v>
                </c:pt>
                <c:pt idx="74">
                  <c:v>0.05</c:v>
                </c:pt>
                <c:pt idx="75">
                  <c:v>0.03</c:v>
                </c:pt>
                <c:pt idx="76">
                  <c:v>0.03</c:v>
                </c:pt>
                <c:pt idx="77">
                  <c:v>0.03</c:v>
                </c:pt>
                <c:pt idx="78">
                  <c:v>0.03</c:v>
                </c:pt>
                <c:pt idx="79">
                  <c:v>0.02</c:v>
                </c:pt>
                <c:pt idx="80">
                  <c:v>0.02</c:v>
                </c:pt>
                <c:pt idx="81">
                  <c:v>0.02</c:v>
                </c:pt>
                <c:pt idx="82">
                  <c:v>0.02</c:v>
                </c:pt>
                <c:pt idx="83">
                  <c:v>1.4999999999999999E-2</c:v>
                </c:pt>
                <c:pt idx="84">
                  <c:v>1.4999999999999999E-2</c:v>
                </c:pt>
                <c:pt idx="85">
                  <c:v>1.4999999999999999E-2</c:v>
                </c:pt>
                <c:pt idx="86">
                  <c:v>1.2500000000000001E-2</c:v>
                </c:pt>
                <c:pt idx="87">
                  <c:v>1.2500000000000001E-2</c:v>
                </c:pt>
                <c:pt idx="88">
                  <c:v>1.2500000000000001E-2</c:v>
                </c:pt>
                <c:pt idx="89">
                  <c:v>0.01</c:v>
                </c:pt>
                <c:pt idx="90">
                  <c:v>0.01</c:v>
                </c:pt>
                <c:pt idx="91">
                  <c:v>0.01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93-47F1-A1D4-52D511183F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27933304"/>
        <c:axId val="927933624"/>
      </c:lineChart>
      <c:catAx>
        <c:axId val="927933304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27933624"/>
        <c:crosses val="autoZero"/>
        <c:auto val="1"/>
        <c:lblAlgn val="ctr"/>
        <c:lblOffset val="100"/>
        <c:noMultiLvlLbl val="0"/>
      </c:catAx>
      <c:valAx>
        <c:axId val="927933624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27933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r>
              <a:rPr lang="en-US" sz="1600" b="1">
                <a:solidFill>
                  <a:schemeClr val="tx1"/>
                </a:solidFill>
                <a:latin typeface="Garamond" panose="02020404030301010803" pitchFamily="18" charset="0"/>
              </a:rPr>
              <a:t>DCA vs Lum</a:t>
            </a:r>
            <a:r>
              <a:rPr lang="en-US" sz="1600" b="1" baseline="0">
                <a:solidFill>
                  <a:schemeClr val="tx1"/>
                </a:solidFill>
                <a:latin typeface="Garamond" panose="02020404030301010803" pitchFamily="18" charset="0"/>
              </a:rPr>
              <a:t> Sum en crisis 2008</a:t>
            </a:r>
            <a:endParaRPr lang="en-US" sz="1600" b="1">
              <a:solidFill>
                <a:schemeClr val="tx1"/>
              </a:solidFill>
              <a:latin typeface="Garamond" panose="02020404030301010803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Garamond" panose="02020404030301010803" pitchFamily="18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322003499562556"/>
          <c:y val="0.18560185185185185"/>
          <c:w val="0.87733552055993003"/>
          <c:h val="0.6714577865266842"/>
        </c:manualLayout>
      </c:layout>
      <c:lineChart>
        <c:grouping val="standard"/>
        <c:varyColors val="0"/>
        <c:ser>
          <c:idx val="0"/>
          <c:order val="0"/>
          <c:tx>
            <c:strRef>
              <c:f>'Cap8. DCA Vs Lump Sum'!$P$2</c:f>
              <c:strCache>
                <c:ptCount val="1"/>
                <c:pt idx="0">
                  <c:v>R (Lum sum)</c:v>
                </c:pt>
              </c:strCache>
            </c:strRef>
          </c:tx>
          <c:spPr>
            <a:ln w="22225" cap="rnd">
              <a:solidFill>
                <a:schemeClr val="accent2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'Cap8. DCA Vs Lump Sum'!$B$3:$B$1244</c:f>
              <c:numCache>
                <c:formatCode>m/d/yyyy</c:formatCode>
                <c:ptCount val="1242"/>
                <c:pt idx="0">
                  <c:v>39356</c:v>
                </c:pt>
                <c:pt idx="1">
                  <c:v>39357</c:v>
                </c:pt>
                <c:pt idx="2">
                  <c:v>39358</c:v>
                </c:pt>
                <c:pt idx="3">
                  <c:v>39359</c:v>
                </c:pt>
                <c:pt idx="4">
                  <c:v>39360</c:v>
                </c:pt>
                <c:pt idx="5">
                  <c:v>39363</c:v>
                </c:pt>
                <c:pt idx="6">
                  <c:v>39364</c:v>
                </c:pt>
                <c:pt idx="7">
                  <c:v>39365</c:v>
                </c:pt>
                <c:pt idx="8">
                  <c:v>39366</c:v>
                </c:pt>
                <c:pt idx="9">
                  <c:v>39367</c:v>
                </c:pt>
                <c:pt idx="10">
                  <c:v>39370</c:v>
                </c:pt>
                <c:pt idx="11">
                  <c:v>39371</c:v>
                </c:pt>
                <c:pt idx="12">
                  <c:v>39372</c:v>
                </c:pt>
                <c:pt idx="13">
                  <c:v>39373</c:v>
                </c:pt>
                <c:pt idx="14">
                  <c:v>39374</c:v>
                </c:pt>
                <c:pt idx="15">
                  <c:v>39377</c:v>
                </c:pt>
                <c:pt idx="16">
                  <c:v>39378</c:v>
                </c:pt>
                <c:pt idx="17">
                  <c:v>39379</c:v>
                </c:pt>
                <c:pt idx="18">
                  <c:v>39380</c:v>
                </c:pt>
                <c:pt idx="19">
                  <c:v>39381</c:v>
                </c:pt>
                <c:pt idx="20">
                  <c:v>39384</c:v>
                </c:pt>
                <c:pt idx="21">
                  <c:v>39385</c:v>
                </c:pt>
                <c:pt idx="22">
                  <c:v>39386</c:v>
                </c:pt>
                <c:pt idx="23">
                  <c:v>39387</c:v>
                </c:pt>
                <c:pt idx="24">
                  <c:v>39388</c:v>
                </c:pt>
                <c:pt idx="25">
                  <c:v>39391</c:v>
                </c:pt>
                <c:pt idx="26">
                  <c:v>39392</c:v>
                </c:pt>
                <c:pt idx="27">
                  <c:v>39393</c:v>
                </c:pt>
                <c:pt idx="28">
                  <c:v>39394</c:v>
                </c:pt>
                <c:pt idx="29">
                  <c:v>39395</c:v>
                </c:pt>
                <c:pt idx="30">
                  <c:v>39398</c:v>
                </c:pt>
                <c:pt idx="31">
                  <c:v>39399</c:v>
                </c:pt>
                <c:pt idx="32">
                  <c:v>39400</c:v>
                </c:pt>
                <c:pt idx="33">
                  <c:v>39401</c:v>
                </c:pt>
                <c:pt idx="34">
                  <c:v>39402</c:v>
                </c:pt>
                <c:pt idx="35">
                  <c:v>39405</c:v>
                </c:pt>
                <c:pt idx="36">
                  <c:v>39406</c:v>
                </c:pt>
                <c:pt idx="37">
                  <c:v>39407</c:v>
                </c:pt>
                <c:pt idx="38">
                  <c:v>39409</c:v>
                </c:pt>
                <c:pt idx="39">
                  <c:v>39412</c:v>
                </c:pt>
                <c:pt idx="40">
                  <c:v>39413</c:v>
                </c:pt>
                <c:pt idx="41">
                  <c:v>39414</c:v>
                </c:pt>
                <c:pt idx="42">
                  <c:v>39415</c:v>
                </c:pt>
                <c:pt idx="43">
                  <c:v>39416</c:v>
                </c:pt>
                <c:pt idx="44">
                  <c:v>39419</c:v>
                </c:pt>
                <c:pt idx="45">
                  <c:v>39420</c:v>
                </c:pt>
                <c:pt idx="46">
                  <c:v>39421</c:v>
                </c:pt>
                <c:pt idx="47">
                  <c:v>39422</c:v>
                </c:pt>
                <c:pt idx="48">
                  <c:v>39423</c:v>
                </c:pt>
                <c:pt idx="49">
                  <c:v>39426</c:v>
                </c:pt>
                <c:pt idx="50">
                  <c:v>39427</c:v>
                </c:pt>
                <c:pt idx="51">
                  <c:v>39428</c:v>
                </c:pt>
                <c:pt idx="52">
                  <c:v>39429</c:v>
                </c:pt>
                <c:pt idx="53">
                  <c:v>39430</c:v>
                </c:pt>
                <c:pt idx="54">
                  <c:v>39433</c:v>
                </c:pt>
                <c:pt idx="55">
                  <c:v>39434</c:v>
                </c:pt>
                <c:pt idx="56">
                  <c:v>39435</c:v>
                </c:pt>
                <c:pt idx="57">
                  <c:v>39436</c:v>
                </c:pt>
                <c:pt idx="58">
                  <c:v>39437</c:v>
                </c:pt>
                <c:pt idx="59">
                  <c:v>39440</c:v>
                </c:pt>
                <c:pt idx="60">
                  <c:v>39442</c:v>
                </c:pt>
                <c:pt idx="61">
                  <c:v>39443</c:v>
                </c:pt>
                <c:pt idx="62">
                  <c:v>39444</c:v>
                </c:pt>
                <c:pt idx="63">
                  <c:v>39447</c:v>
                </c:pt>
                <c:pt idx="64">
                  <c:v>39449</c:v>
                </c:pt>
                <c:pt idx="65">
                  <c:v>39450</c:v>
                </c:pt>
                <c:pt idx="66">
                  <c:v>39451</c:v>
                </c:pt>
                <c:pt idx="67">
                  <c:v>39454</c:v>
                </c:pt>
                <c:pt idx="68">
                  <c:v>39455</c:v>
                </c:pt>
                <c:pt idx="69">
                  <c:v>39456</c:v>
                </c:pt>
                <c:pt idx="70">
                  <c:v>39457</c:v>
                </c:pt>
                <c:pt idx="71">
                  <c:v>39458</c:v>
                </c:pt>
                <c:pt idx="72">
                  <c:v>39461</c:v>
                </c:pt>
                <c:pt idx="73">
                  <c:v>39462</c:v>
                </c:pt>
                <c:pt idx="74">
                  <c:v>39463</c:v>
                </c:pt>
                <c:pt idx="75">
                  <c:v>39464</c:v>
                </c:pt>
                <c:pt idx="76">
                  <c:v>39465</c:v>
                </c:pt>
                <c:pt idx="77">
                  <c:v>39469</c:v>
                </c:pt>
                <c:pt idx="78">
                  <c:v>39470</c:v>
                </c:pt>
                <c:pt idx="79">
                  <c:v>39471</c:v>
                </c:pt>
                <c:pt idx="80">
                  <c:v>39472</c:v>
                </c:pt>
                <c:pt idx="81">
                  <c:v>39475</c:v>
                </c:pt>
                <c:pt idx="82">
                  <c:v>39476</c:v>
                </c:pt>
                <c:pt idx="83">
                  <c:v>39477</c:v>
                </c:pt>
                <c:pt idx="84">
                  <c:v>39478</c:v>
                </c:pt>
                <c:pt idx="85">
                  <c:v>39479</c:v>
                </c:pt>
                <c:pt idx="86">
                  <c:v>39482</c:v>
                </c:pt>
                <c:pt idx="87">
                  <c:v>39483</c:v>
                </c:pt>
                <c:pt idx="88">
                  <c:v>39484</c:v>
                </c:pt>
                <c:pt idx="89">
                  <c:v>39485</c:v>
                </c:pt>
                <c:pt idx="90">
                  <c:v>39486</c:v>
                </c:pt>
                <c:pt idx="91">
                  <c:v>39489</c:v>
                </c:pt>
                <c:pt idx="92">
                  <c:v>39490</c:v>
                </c:pt>
                <c:pt idx="93">
                  <c:v>39491</c:v>
                </c:pt>
                <c:pt idx="94">
                  <c:v>39492</c:v>
                </c:pt>
                <c:pt idx="95">
                  <c:v>39493</c:v>
                </c:pt>
                <c:pt idx="96">
                  <c:v>39497</c:v>
                </c:pt>
                <c:pt idx="97">
                  <c:v>39498</c:v>
                </c:pt>
                <c:pt idx="98">
                  <c:v>39499</c:v>
                </c:pt>
                <c:pt idx="99">
                  <c:v>39500</c:v>
                </c:pt>
                <c:pt idx="100">
                  <c:v>39503</c:v>
                </c:pt>
                <c:pt idx="101">
                  <c:v>39504</c:v>
                </c:pt>
                <c:pt idx="102">
                  <c:v>39505</c:v>
                </c:pt>
                <c:pt idx="103">
                  <c:v>39506</c:v>
                </c:pt>
                <c:pt idx="104">
                  <c:v>39507</c:v>
                </c:pt>
                <c:pt idx="105">
                  <c:v>39510</c:v>
                </c:pt>
                <c:pt idx="106">
                  <c:v>39511</c:v>
                </c:pt>
                <c:pt idx="107">
                  <c:v>39512</c:v>
                </c:pt>
                <c:pt idx="108">
                  <c:v>39513</c:v>
                </c:pt>
                <c:pt idx="109">
                  <c:v>39514</c:v>
                </c:pt>
                <c:pt idx="110">
                  <c:v>39517</c:v>
                </c:pt>
                <c:pt idx="111">
                  <c:v>39518</c:v>
                </c:pt>
                <c:pt idx="112">
                  <c:v>39519</c:v>
                </c:pt>
                <c:pt idx="113">
                  <c:v>39520</c:v>
                </c:pt>
                <c:pt idx="114">
                  <c:v>39521</c:v>
                </c:pt>
                <c:pt idx="115">
                  <c:v>39524</c:v>
                </c:pt>
                <c:pt idx="116">
                  <c:v>39525</c:v>
                </c:pt>
                <c:pt idx="117">
                  <c:v>39526</c:v>
                </c:pt>
                <c:pt idx="118">
                  <c:v>39527</c:v>
                </c:pt>
                <c:pt idx="119">
                  <c:v>39531</c:v>
                </c:pt>
                <c:pt idx="120">
                  <c:v>39532</c:v>
                </c:pt>
                <c:pt idx="121">
                  <c:v>39533</c:v>
                </c:pt>
                <c:pt idx="122">
                  <c:v>39534</c:v>
                </c:pt>
                <c:pt idx="123">
                  <c:v>39535</c:v>
                </c:pt>
                <c:pt idx="124">
                  <c:v>39538</c:v>
                </c:pt>
                <c:pt idx="125">
                  <c:v>39539</c:v>
                </c:pt>
                <c:pt idx="126">
                  <c:v>39540</c:v>
                </c:pt>
                <c:pt idx="127">
                  <c:v>39541</c:v>
                </c:pt>
                <c:pt idx="128">
                  <c:v>39542</c:v>
                </c:pt>
                <c:pt idx="129">
                  <c:v>39545</c:v>
                </c:pt>
                <c:pt idx="130">
                  <c:v>39546</c:v>
                </c:pt>
                <c:pt idx="131">
                  <c:v>39547</c:v>
                </c:pt>
                <c:pt idx="132">
                  <c:v>39548</c:v>
                </c:pt>
                <c:pt idx="133">
                  <c:v>39549</c:v>
                </c:pt>
                <c:pt idx="134">
                  <c:v>39552</c:v>
                </c:pt>
                <c:pt idx="135">
                  <c:v>39553</c:v>
                </c:pt>
                <c:pt idx="136">
                  <c:v>39554</c:v>
                </c:pt>
                <c:pt idx="137">
                  <c:v>39555</c:v>
                </c:pt>
                <c:pt idx="138">
                  <c:v>39556</c:v>
                </c:pt>
                <c:pt idx="139">
                  <c:v>39559</c:v>
                </c:pt>
                <c:pt idx="140">
                  <c:v>39560</c:v>
                </c:pt>
                <c:pt idx="141">
                  <c:v>39561</c:v>
                </c:pt>
                <c:pt idx="142">
                  <c:v>39562</c:v>
                </c:pt>
                <c:pt idx="143">
                  <c:v>39563</c:v>
                </c:pt>
                <c:pt idx="144">
                  <c:v>39566</c:v>
                </c:pt>
                <c:pt idx="145">
                  <c:v>39567</c:v>
                </c:pt>
                <c:pt idx="146">
                  <c:v>39568</c:v>
                </c:pt>
                <c:pt idx="147">
                  <c:v>39569</c:v>
                </c:pt>
                <c:pt idx="148">
                  <c:v>39570</c:v>
                </c:pt>
                <c:pt idx="149">
                  <c:v>39573</c:v>
                </c:pt>
                <c:pt idx="150">
                  <c:v>39574</c:v>
                </c:pt>
                <c:pt idx="151">
                  <c:v>39575</c:v>
                </c:pt>
                <c:pt idx="152">
                  <c:v>39576</c:v>
                </c:pt>
                <c:pt idx="153">
                  <c:v>39577</c:v>
                </c:pt>
                <c:pt idx="154">
                  <c:v>39580</c:v>
                </c:pt>
                <c:pt idx="155">
                  <c:v>39581</c:v>
                </c:pt>
                <c:pt idx="156">
                  <c:v>39582</c:v>
                </c:pt>
                <c:pt idx="157">
                  <c:v>39583</c:v>
                </c:pt>
                <c:pt idx="158">
                  <c:v>39584</c:v>
                </c:pt>
                <c:pt idx="159">
                  <c:v>39587</c:v>
                </c:pt>
                <c:pt idx="160">
                  <c:v>39588</c:v>
                </c:pt>
                <c:pt idx="161">
                  <c:v>39589</c:v>
                </c:pt>
                <c:pt idx="162">
                  <c:v>39590</c:v>
                </c:pt>
                <c:pt idx="163">
                  <c:v>39591</c:v>
                </c:pt>
                <c:pt idx="164">
                  <c:v>39595</c:v>
                </c:pt>
                <c:pt idx="165">
                  <c:v>39596</c:v>
                </c:pt>
                <c:pt idx="166">
                  <c:v>39597</c:v>
                </c:pt>
                <c:pt idx="167">
                  <c:v>39598</c:v>
                </c:pt>
                <c:pt idx="168">
                  <c:v>39601</c:v>
                </c:pt>
                <c:pt idx="169">
                  <c:v>39602</c:v>
                </c:pt>
                <c:pt idx="170">
                  <c:v>39603</c:v>
                </c:pt>
                <c:pt idx="171">
                  <c:v>39604</c:v>
                </c:pt>
                <c:pt idx="172">
                  <c:v>39605</c:v>
                </c:pt>
                <c:pt idx="173">
                  <c:v>39608</c:v>
                </c:pt>
                <c:pt idx="174">
                  <c:v>39609</c:v>
                </c:pt>
                <c:pt idx="175">
                  <c:v>39610</c:v>
                </c:pt>
                <c:pt idx="176">
                  <c:v>39611</c:v>
                </c:pt>
                <c:pt idx="177">
                  <c:v>39612</c:v>
                </c:pt>
                <c:pt idx="178">
                  <c:v>39615</c:v>
                </c:pt>
                <c:pt idx="179">
                  <c:v>39616</c:v>
                </c:pt>
                <c:pt idx="180">
                  <c:v>39617</c:v>
                </c:pt>
                <c:pt idx="181">
                  <c:v>39618</c:v>
                </c:pt>
                <c:pt idx="182">
                  <c:v>39619</c:v>
                </c:pt>
                <c:pt idx="183">
                  <c:v>39622</c:v>
                </c:pt>
                <c:pt idx="184">
                  <c:v>39623</c:v>
                </c:pt>
                <c:pt idx="185">
                  <c:v>39624</c:v>
                </c:pt>
                <c:pt idx="186">
                  <c:v>39625</c:v>
                </c:pt>
                <c:pt idx="187">
                  <c:v>39626</c:v>
                </c:pt>
                <c:pt idx="188">
                  <c:v>39629</c:v>
                </c:pt>
                <c:pt idx="189">
                  <c:v>39630</c:v>
                </c:pt>
                <c:pt idx="190">
                  <c:v>39631</c:v>
                </c:pt>
                <c:pt idx="191">
                  <c:v>39632</c:v>
                </c:pt>
                <c:pt idx="192">
                  <c:v>39636</c:v>
                </c:pt>
                <c:pt idx="193">
                  <c:v>39637</c:v>
                </c:pt>
                <c:pt idx="194">
                  <c:v>39638</c:v>
                </c:pt>
                <c:pt idx="195">
                  <c:v>39639</c:v>
                </c:pt>
                <c:pt idx="196">
                  <c:v>39640</c:v>
                </c:pt>
                <c:pt idx="197">
                  <c:v>39643</c:v>
                </c:pt>
                <c:pt idx="198">
                  <c:v>39644</c:v>
                </c:pt>
                <c:pt idx="199">
                  <c:v>39645</c:v>
                </c:pt>
                <c:pt idx="200">
                  <c:v>39646</c:v>
                </c:pt>
                <c:pt idx="201">
                  <c:v>39647</c:v>
                </c:pt>
                <c:pt idx="202">
                  <c:v>39650</c:v>
                </c:pt>
                <c:pt idx="203">
                  <c:v>39651</c:v>
                </c:pt>
                <c:pt idx="204">
                  <c:v>39652</c:v>
                </c:pt>
                <c:pt idx="205">
                  <c:v>39653</c:v>
                </c:pt>
                <c:pt idx="206">
                  <c:v>39654</c:v>
                </c:pt>
                <c:pt idx="207">
                  <c:v>39657</c:v>
                </c:pt>
                <c:pt idx="208">
                  <c:v>39658</c:v>
                </c:pt>
                <c:pt idx="209">
                  <c:v>39659</c:v>
                </c:pt>
                <c:pt idx="210">
                  <c:v>39660</c:v>
                </c:pt>
                <c:pt idx="211">
                  <c:v>39661</c:v>
                </c:pt>
                <c:pt idx="212">
                  <c:v>39664</c:v>
                </c:pt>
                <c:pt idx="213">
                  <c:v>39665</c:v>
                </c:pt>
                <c:pt idx="214">
                  <c:v>39666</c:v>
                </c:pt>
                <c:pt idx="215">
                  <c:v>39667</c:v>
                </c:pt>
                <c:pt idx="216">
                  <c:v>39668</c:v>
                </c:pt>
                <c:pt idx="217">
                  <c:v>39671</c:v>
                </c:pt>
                <c:pt idx="218">
                  <c:v>39672</c:v>
                </c:pt>
                <c:pt idx="219">
                  <c:v>39673</c:v>
                </c:pt>
                <c:pt idx="220">
                  <c:v>39674</c:v>
                </c:pt>
                <c:pt idx="221">
                  <c:v>39675</c:v>
                </c:pt>
                <c:pt idx="222">
                  <c:v>39678</c:v>
                </c:pt>
                <c:pt idx="223">
                  <c:v>39679</c:v>
                </c:pt>
                <c:pt idx="224">
                  <c:v>39680</c:v>
                </c:pt>
                <c:pt idx="225">
                  <c:v>39681</c:v>
                </c:pt>
                <c:pt idx="226">
                  <c:v>39682</c:v>
                </c:pt>
                <c:pt idx="227">
                  <c:v>39685</c:v>
                </c:pt>
                <c:pt idx="228">
                  <c:v>39686</c:v>
                </c:pt>
                <c:pt idx="229">
                  <c:v>39687</c:v>
                </c:pt>
                <c:pt idx="230">
                  <c:v>39688</c:v>
                </c:pt>
                <c:pt idx="231">
                  <c:v>39689</c:v>
                </c:pt>
                <c:pt idx="232">
                  <c:v>39693</c:v>
                </c:pt>
                <c:pt idx="233">
                  <c:v>39694</c:v>
                </c:pt>
                <c:pt idx="234">
                  <c:v>39695</c:v>
                </c:pt>
                <c:pt idx="235">
                  <c:v>39696</c:v>
                </c:pt>
                <c:pt idx="236">
                  <c:v>39699</c:v>
                </c:pt>
                <c:pt idx="237">
                  <c:v>39700</c:v>
                </c:pt>
                <c:pt idx="238">
                  <c:v>39701</c:v>
                </c:pt>
                <c:pt idx="239">
                  <c:v>39702</c:v>
                </c:pt>
                <c:pt idx="240">
                  <c:v>39703</c:v>
                </c:pt>
                <c:pt idx="241">
                  <c:v>39706</c:v>
                </c:pt>
                <c:pt idx="242">
                  <c:v>39707</c:v>
                </c:pt>
                <c:pt idx="243">
                  <c:v>39708</c:v>
                </c:pt>
                <c:pt idx="244">
                  <c:v>39709</c:v>
                </c:pt>
                <c:pt idx="245">
                  <c:v>39710</c:v>
                </c:pt>
                <c:pt idx="246">
                  <c:v>39713</c:v>
                </c:pt>
                <c:pt idx="247">
                  <c:v>39714</c:v>
                </c:pt>
                <c:pt idx="248">
                  <c:v>39715</c:v>
                </c:pt>
                <c:pt idx="249">
                  <c:v>39716</c:v>
                </c:pt>
                <c:pt idx="250">
                  <c:v>39717</c:v>
                </c:pt>
                <c:pt idx="251">
                  <c:v>39720</c:v>
                </c:pt>
                <c:pt idx="252">
                  <c:v>39721</c:v>
                </c:pt>
                <c:pt idx="253">
                  <c:v>39722</c:v>
                </c:pt>
                <c:pt idx="254">
                  <c:v>39723</c:v>
                </c:pt>
                <c:pt idx="255">
                  <c:v>39724</c:v>
                </c:pt>
                <c:pt idx="256">
                  <c:v>39727</c:v>
                </c:pt>
                <c:pt idx="257">
                  <c:v>39728</c:v>
                </c:pt>
                <c:pt idx="258">
                  <c:v>39729</c:v>
                </c:pt>
                <c:pt idx="259">
                  <c:v>39730</c:v>
                </c:pt>
                <c:pt idx="260">
                  <c:v>39731</c:v>
                </c:pt>
                <c:pt idx="261">
                  <c:v>39734</c:v>
                </c:pt>
                <c:pt idx="262">
                  <c:v>39735</c:v>
                </c:pt>
                <c:pt idx="263">
                  <c:v>39736</c:v>
                </c:pt>
                <c:pt idx="264">
                  <c:v>39737</c:v>
                </c:pt>
                <c:pt idx="265">
                  <c:v>39738</c:v>
                </c:pt>
                <c:pt idx="266">
                  <c:v>39741</c:v>
                </c:pt>
                <c:pt idx="267">
                  <c:v>39742</c:v>
                </c:pt>
                <c:pt idx="268">
                  <c:v>39743</c:v>
                </c:pt>
                <c:pt idx="269">
                  <c:v>39744</c:v>
                </c:pt>
                <c:pt idx="270">
                  <c:v>39745</c:v>
                </c:pt>
                <c:pt idx="271">
                  <c:v>39748</c:v>
                </c:pt>
                <c:pt idx="272">
                  <c:v>39749</c:v>
                </c:pt>
                <c:pt idx="273">
                  <c:v>39750</c:v>
                </c:pt>
                <c:pt idx="274">
                  <c:v>39751</c:v>
                </c:pt>
                <c:pt idx="275">
                  <c:v>39752</c:v>
                </c:pt>
                <c:pt idx="276">
                  <c:v>39755</c:v>
                </c:pt>
                <c:pt idx="277">
                  <c:v>39756</c:v>
                </c:pt>
                <c:pt idx="278">
                  <c:v>39757</c:v>
                </c:pt>
                <c:pt idx="279">
                  <c:v>39758</c:v>
                </c:pt>
                <c:pt idx="280">
                  <c:v>39759</c:v>
                </c:pt>
                <c:pt idx="281">
                  <c:v>39762</c:v>
                </c:pt>
                <c:pt idx="282">
                  <c:v>39763</c:v>
                </c:pt>
                <c:pt idx="283">
                  <c:v>39764</c:v>
                </c:pt>
                <c:pt idx="284">
                  <c:v>39765</c:v>
                </c:pt>
                <c:pt idx="285">
                  <c:v>39766</c:v>
                </c:pt>
                <c:pt idx="286">
                  <c:v>39769</c:v>
                </c:pt>
                <c:pt idx="287">
                  <c:v>39770</c:v>
                </c:pt>
                <c:pt idx="288">
                  <c:v>39771</c:v>
                </c:pt>
                <c:pt idx="289">
                  <c:v>39772</c:v>
                </c:pt>
                <c:pt idx="290">
                  <c:v>39773</c:v>
                </c:pt>
                <c:pt idx="291">
                  <c:v>39776</c:v>
                </c:pt>
                <c:pt idx="292">
                  <c:v>39777</c:v>
                </c:pt>
                <c:pt idx="293">
                  <c:v>39778</c:v>
                </c:pt>
                <c:pt idx="294">
                  <c:v>39780</c:v>
                </c:pt>
                <c:pt idx="295">
                  <c:v>39783</c:v>
                </c:pt>
                <c:pt idx="296">
                  <c:v>39784</c:v>
                </c:pt>
                <c:pt idx="297">
                  <c:v>39785</c:v>
                </c:pt>
                <c:pt idx="298">
                  <c:v>39786</c:v>
                </c:pt>
                <c:pt idx="299">
                  <c:v>39787</c:v>
                </c:pt>
                <c:pt idx="300">
                  <c:v>39790</c:v>
                </c:pt>
                <c:pt idx="301">
                  <c:v>39791</c:v>
                </c:pt>
                <c:pt idx="302">
                  <c:v>39792</c:v>
                </c:pt>
                <c:pt idx="303">
                  <c:v>39793</c:v>
                </c:pt>
                <c:pt idx="304">
                  <c:v>39794</c:v>
                </c:pt>
                <c:pt idx="305">
                  <c:v>39797</c:v>
                </c:pt>
                <c:pt idx="306">
                  <c:v>39798</c:v>
                </c:pt>
                <c:pt idx="307">
                  <c:v>39799</c:v>
                </c:pt>
                <c:pt idx="308">
                  <c:v>39800</c:v>
                </c:pt>
                <c:pt idx="309">
                  <c:v>39801</c:v>
                </c:pt>
                <c:pt idx="310">
                  <c:v>39804</c:v>
                </c:pt>
                <c:pt idx="311">
                  <c:v>39805</c:v>
                </c:pt>
                <c:pt idx="312">
                  <c:v>39806</c:v>
                </c:pt>
                <c:pt idx="313">
                  <c:v>39808</c:v>
                </c:pt>
                <c:pt idx="314">
                  <c:v>39811</c:v>
                </c:pt>
                <c:pt idx="315">
                  <c:v>39812</c:v>
                </c:pt>
                <c:pt idx="316">
                  <c:v>39813</c:v>
                </c:pt>
                <c:pt idx="317">
                  <c:v>39815</c:v>
                </c:pt>
                <c:pt idx="318">
                  <c:v>39818</c:v>
                </c:pt>
                <c:pt idx="319">
                  <c:v>39819</c:v>
                </c:pt>
                <c:pt idx="320">
                  <c:v>39820</c:v>
                </c:pt>
                <c:pt idx="321">
                  <c:v>39821</c:v>
                </c:pt>
                <c:pt idx="322">
                  <c:v>39822</c:v>
                </c:pt>
                <c:pt idx="323">
                  <c:v>39825</c:v>
                </c:pt>
                <c:pt idx="324">
                  <c:v>39826</c:v>
                </c:pt>
                <c:pt idx="325">
                  <c:v>39827</c:v>
                </c:pt>
                <c:pt idx="326">
                  <c:v>39828</c:v>
                </c:pt>
                <c:pt idx="327">
                  <c:v>39829</c:v>
                </c:pt>
                <c:pt idx="328">
                  <c:v>39833</c:v>
                </c:pt>
                <c:pt idx="329">
                  <c:v>39834</c:v>
                </c:pt>
                <c:pt idx="330">
                  <c:v>39835</c:v>
                </c:pt>
                <c:pt idx="331">
                  <c:v>39836</c:v>
                </c:pt>
                <c:pt idx="332">
                  <c:v>39839</c:v>
                </c:pt>
                <c:pt idx="333">
                  <c:v>39840</c:v>
                </c:pt>
                <c:pt idx="334">
                  <c:v>39841</c:v>
                </c:pt>
                <c:pt idx="335">
                  <c:v>39842</c:v>
                </c:pt>
                <c:pt idx="336">
                  <c:v>39843</c:v>
                </c:pt>
                <c:pt idx="337">
                  <c:v>39846</c:v>
                </c:pt>
                <c:pt idx="338">
                  <c:v>39847</c:v>
                </c:pt>
                <c:pt idx="339">
                  <c:v>39848</c:v>
                </c:pt>
                <c:pt idx="340">
                  <c:v>39849</c:v>
                </c:pt>
                <c:pt idx="341">
                  <c:v>39850</c:v>
                </c:pt>
                <c:pt idx="342">
                  <c:v>39853</c:v>
                </c:pt>
                <c:pt idx="343">
                  <c:v>39854</c:v>
                </c:pt>
                <c:pt idx="344">
                  <c:v>39855</c:v>
                </c:pt>
                <c:pt idx="345">
                  <c:v>39856</c:v>
                </c:pt>
                <c:pt idx="346">
                  <c:v>39857</c:v>
                </c:pt>
                <c:pt idx="347">
                  <c:v>39861</c:v>
                </c:pt>
                <c:pt idx="348">
                  <c:v>39862</c:v>
                </c:pt>
                <c:pt idx="349">
                  <c:v>39863</c:v>
                </c:pt>
                <c:pt idx="350">
                  <c:v>39864</c:v>
                </c:pt>
                <c:pt idx="351">
                  <c:v>39867</c:v>
                </c:pt>
                <c:pt idx="352">
                  <c:v>39868</c:v>
                </c:pt>
                <c:pt idx="353">
                  <c:v>39869</c:v>
                </c:pt>
                <c:pt idx="354">
                  <c:v>39870</c:v>
                </c:pt>
                <c:pt idx="355">
                  <c:v>39871</c:v>
                </c:pt>
                <c:pt idx="356">
                  <c:v>39874</c:v>
                </c:pt>
                <c:pt idx="357">
                  <c:v>39875</c:v>
                </c:pt>
                <c:pt idx="358">
                  <c:v>39876</c:v>
                </c:pt>
                <c:pt idx="359">
                  <c:v>39877</c:v>
                </c:pt>
                <c:pt idx="360">
                  <c:v>39878</c:v>
                </c:pt>
                <c:pt idx="361">
                  <c:v>39881</c:v>
                </c:pt>
                <c:pt idx="362">
                  <c:v>39882</c:v>
                </c:pt>
                <c:pt idx="363">
                  <c:v>39883</c:v>
                </c:pt>
                <c:pt idx="364">
                  <c:v>39884</c:v>
                </c:pt>
                <c:pt idx="365">
                  <c:v>39885</c:v>
                </c:pt>
                <c:pt idx="366">
                  <c:v>39888</c:v>
                </c:pt>
                <c:pt idx="367">
                  <c:v>39889</c:v>
                </c:pt>
                <c:pt idx="368">
                  <c:v>39890</c:v>
                </c:pt>
                <c:pt idx="369">
                  <c:v>39891</c:v>
                </c:pt>
                <c:pt idx="370">
                  <c:v>39892</c:v>
                </c:pt>
                <c:pt idx="371">
                  <c:v>39895</c:v>
                </c:pt>
                <c:pt idx="372">
                  <c:v>39896</c:v>
                </c:pt>
                <c:pt idx="373">
                  <c:v>39897</c:v>
                </c:pt>
                <c:pt idx="374">
                  <c:v>39898</c:v>
                </c:pt>
                <c:pt idx="375">
                  <c:v>39899</c:v>
                </c:pt>
                <c:pt idx="376">
                  <c:v>39902</c:v>
                </c:pt>
                <c:pt idx="377">
                  <c:v>39903</c:v>
                </c:pt>
                <c:pt idx="378">
                  <c:v>39904</c:v>
                </c:pt>
                <c:pt idx="379">
                  <c:v>39905</c:v>
                </c:pt>
                <c:pt idx="380">
                  <c:v>39906</c:v>
                </c:pt>
                <c:pt idx="381">
                  <c:v>39909</c:v>
                </c:pt>
                <c:pt idx="382">
                  <c:v>39910</c:v>
                </c:pt>
                <c:pt idx="383">
                  <c:v>39911</c:v>
                </c:pt>
                <c:pt idx="384">
                  <c:v>39912</c:v>
                </c:pt>
                <c:pt idx="385">
                  <c:v>39916</c:v>
                </c:pt>
                <c:pt idx="386">
                  <c:v>39917</c:v>
                </c:pt>
                <c:pt idx="387">
                  <c:v>39918</c:v>
                </c:pt>
                <c:pt idx="388">
                  <c:v>39919</c:v>
                </c:pt>
                <c:pt idx="389">
                  <c:v>39920</c:v>
                </c:pt>
                <c:pt idx="390">
                  <c:v>39923</c:v>
                </c:pt>
                <c:pt idx="391">
                  <c:v>39924</c:v>
                </c:pt>
                <c:pt idx="392">
                  <c:v>39925</c:v>
                </c:pt>
                <c:pt idx="393">
                  <c:v>39926</c:v>
                </c:pt>
                <c:pt idx="394">
                  <c:v>39927</c:v>
                </c:pt>
                <c:pt idx="395">
                  <c:v>39930</c:v>
                </c:pt>
                <c:pt idx="396">
                  <c:v>39931</c:v>
                </c:pt>
                <c:pt idx="397">
                  <c:v>39932</c:v>
                </c:pt>
                <c:pt idx="398">
                  <c:v>39933</c:v>
                </c:pt>
                <c:pt idx="399">
                  <c:v>39934</c:v>
                </c:pt>
                <c:pt idx="400">
                  <c:v>39937</c:v>
                </c:pt>
                <c:pt idx="401">
                  <c:v>39938</c:v>
                </c:pt>
                <c:pt idx="402">
                  <c:v>39939</c:v>
                </c:pt>
                <c:pt idx="403">
                  <c:v>39940</c:v>
                </c:pt>
                <c:pt idx="404">
                  <c:v>39941</c:v>
                </c:pt>
                <c:pt idx="405">
                  <c:v>39944</c:v>
                </c:pt>
                <c:pt idx="406">
                  <c:v>39945</c:v>
                </c:pt>
                <c:pt idx="407">
                  <c:v>39946</c:v>
                </c:pt>
                <c:pt idx="408">
                  <c:v>39947</c:v>
                </c:pt>
                <c:pt idx="409">
                  <c:v>39948</c:v>
                </c:pt>
                <c:pt idx="410">
                  <c:v>39951</c:v>
                </c:pt>
                <c:pt idx="411">
                  <c:v>39952</c:v>
                </c:pt>
                <c:pt idx="412">
                  <c:v>39953</c:v>
                </c:pt>
                <c:pt idx="413">
                  <c:v>39954</c:v>
                </c:pt>
                <c:pt idx="414">
                  <c:v>39955</c:v>
                </c:pt>
                <c:pt idx="415">
                  <c:v>39959</c:v>
                </c:pt>
                <c:pt idx="416">
                  <c:v>39960</c:v>
                </c:pt>
                <c:pt idx="417">
                  <c:v>39961</c:v>
                </c:pt>
                <c:pt idx="418">
                  <c:v>39962</c:v>
                </c:pt>
                <c:pt idx="419">
                  <c:v>39965</c:v>
                </c:pt>
                <c:pt idx="420">
                  <c:v>39966</c:v>
                </c:pt>
                <c:pt idx="421">
                  <c:v>39967</c:v>
                </c:pt>
                <c:pt idx="422">
                  <c:v>39968</c:v>
                </c:pt>
                <c:pt idx="423">
                  <c:v>39969</c:v>
                </c:pt>
                <c:pt idx="424">
                  <c:v>39972</c:v>
                </c:pt>
                <c:pt idx="425">
                  <c:v>39973</c:v>
                </c:pt>
                <c:pt idx="426">
                  <c:v>39974</c:v>
                </c:pt>
                <c:pt idx="427">
                  <c:v>39975</c:v>
                </c:pt>
                <c:pt idx="428">
                  <c:v>39976</c:v>
                </c:pt>
                <c:pt idx="429">
                  <c:v>39979</c:v>
                </c:pt>
                <c:pt idx="430">
                  <c:v>39980</c:v>
                </c:pt>
                <c:pt idx="431">
                  <c:v>39981</c:v>
                </c:pt>
                <c:pt idx="432">
                  <c:v>39982</c:v>
                </c:pt>
                <c:pt idx="433">
                  <c:v>39983</c:v>
                </c:pt>
                <c:pt idx="434">
                  <c:v>39986</c:v>
                </c:pt>
                <c:pt idx="435">
                  <c:v>39987</c:v>
                </c:pt>
                <c:pt idx="436">
                  <c:v>39988</c:v>
                </c:pt>
                <c:pt idx="437">
                  <c:v>39989</c:v>
                </c:pt>
                <c:pt idx="438">
                  <c:v>39990</c:v>
                </c:pt>
                <c:pt idx="439">
                  <c:v>39993</c:v>
                </c:pt>
                <c:pt idx="440">
                  <c:v>39994</c:v>
                </c:pt>
                <c:pt idx="441">
                  <c:v>39995</c:v>
                </c:pt>
                <c:pt idx="442">
                  <c:v>39996</c:v>
                </c:pt>
                <c:pt idx="443">
                  <c:v>40000</c:v>
                </c:pt>
                <c:pt idx="444">
                  <c:v>40001</c:v>
                </c:pt>
                <c:pt idx="445">
                  <c:v>40002</c:v>
                </c:pt>
                <c:pt idx="446">
                  <c:v>40003</c:v>
                </c:pt>
                <c:pt idx="447">
                  <c:v>40004</c:v>
                </c:pt>
                <c:pt idx="448">
                  <c:v>40007</c:v>
                </c:pt>
                <c:pt idx="449">
                  <c:v>40008</c:v>
                </c:pt>
                <c:pt idx="450">
                  <c:v>40009</c:v>
                </c:pt>
                <c:pt idx="451">
                  <c:v>40010</c:v>
                </c:pt>
                <c:pt idx="452">
                  <c:v>40011</c:v>
                </c:pt>
                <c:pt idx="453">
                  <c:v>40014</c:v>
                </c:pt>
                <c:pt idx="454">
                  <c:v>40015</c:v>
                </c:pt>
                <c:pt idx="455">
                  <c:v>40016</c:v>
                </c:pt>
                <c:pt idx="456">
                  <c:v>40017</c:v>
                </c:pt>
                <c:pt idx="457">
                  <c:v>40018</c:v>
                </c:pt>
                <c:pt idx="458">
                  <c:v>40021</c:v>
                </c:pt>
                <c:pt idx="459">
                  <c:v>40022</c:v>
                </c:pt>
                <c:pt idx="460">
                  <c:v>40023</c:v>
                </c:pt>
                <c:pt idx="461">
                  <c:v>40024</c:v>
                </c:pt>
                <c:pt idx="462">
                  <c:v>40025</c:v>
                </c:pt>
                <c:pt idx="463">
                  <c:v>40028</c:v>
                </c:pt>
                <c:pt idx="464">
                  <c:v>40029</c:v>
                </c:pt>
                <c:pt idx="465">
                  <c:v>40030</c:v>
                </c:pt>
                <c:pt idx="466">
                  <c:v>40031</c:v>
                </c:pt>
                <c:pt idx="467">
                  <c:v>40032</c:v>
                </c:pt>
                <c:pt idx="468">
                  <c:v>40035</c:v>
                </c:pt>
                <c:pt idx="469">
                  <c:v>40036</c:v>
                </c:pt>
                <c:pt idx="470">
                  <c:v>40037</c:v>
                </c:pt>
                <c:pt idx="471">
                  <c:v>40038</c:v>
                </c:pt>
                <c:pt idx="472">
                  <c:v>40039</c:v>
                </c:pt>
                <c:pt idx="473">
                  <c:v>40042</c:v>
                </c:pt>
                <c:pt idx="474">
                  <c:v>40043</c:v>
                </c:pt>
                <c:pt idx="475">
                  <c:v>40044</c:v>
                </c:pt>
                <c:pt idx="476">
                  <c:v>40045</c:v>
                </c:pt>
                <c:pt idx="477">
                  <c:v>40046</c:v>
                </c:pt>
                <c:pt idx="478">
                  <c:v>40049</c:v>
                </c:pt>
                <c:pt idx="479">
                  <c:v>40050</c:v>
                </c:pt>
                <c:pt idx="480">
                  <c:v>40051</c:v>
                </c:pt>
                <c:pt idx="481">
                  <c:v>40052</c:v>
                </c:pt>
                <c:pt idx="482">
                  <c:v>40053</c:v>
                </c:pt>
                <c:pt idx="483">
                  <c:v>40056</c:v>
                </c:pt>
                <c:pt idx="484">
                  <c:v>40057</c:v>
                </c:pt>
                <c:pt idx="485">
                  <c:v>40058</c:v>
                </c:pt>
                <c:pt idx="486">
                  <c:v>40059</c:v>
                </c:pt>
                <c:pt idx="487">
                  <c:v>40060</c:v>
                </c:pt>
                <c:pt idx="488">
                  <c:v>40064</c:v>
                </c:pt>
                <c:pt idx="489">
                  <c:v>40065</c:v>
                </c:pt>
                <c:pt idx="490">
                  <c:v>40066</c:v>
                </c:pt>
                <c:pt idx="491">
                  <c:v>40067</c:v>
                </c:pt>
                <c:pt idx="492">
                  <c:v>40070</c:v>
                </c:pt>
                <c:pt idx="493">
                  <c:v>40071</c:v>
                </c:pt>
                <c:pt idx="494">
                  <c:v>40072</c:v>
                </c:pt>
                <c:pt idx="495">
                  <c:v>40073</c:v>
                </c:pt>
                <c:pt idx="496">
                  <c:v>40074</c:v>
                </c:pt>
                <c:pt idx="497">
                  <c:v>40077</c:v>
                </c:pt>
                <c:pt idx="498">
                  <c:v>40078</c:v>
                </c:pt>
                <c:pt idx="499">
                  <c:v>40079</c:v>
                </c:pt>
                <c:pt idx="500">
                  <c:v>40080</c:v>
                </c:pt>
                <c:pt idx="501">
                  <c:v>40081</c:v>
                </c:pt>
                <c:pt idx="502">
                  <c:v>40084</c:v>
                </c:pt>
                <c:pt idx="503">
                  <c:v>40085</c:v>
                </c:pt>
                <c:pt idx="504">
                  <c:v>40086</c:v>
                </c:pt>
                <c:pt idx="505">
                  <c:v>40087</c:v>
                </c:pt>
                <c:pt idx="506">
                  <c:v>40088</c:v>
                </c:pt>
                <c:pt idx="507">
                  <c:v>40091</c:v>
                </c:pt>
                <c:pt idx="508">
                  <c:v>40092</c:v>
                </c:pt>
                <c:pt idx="509">
                  <c:v>40093</c:v>
                </c:pt>
                <c:pt idx="510">
                  <c:v>40094</c:v>
                </c:pt>
                <c:pt idx="511">
                  <c:v>40095</c:v>
                </c:pt>
                <c:pt idx="512">
                  <c:v>40098</c:v>
                </c:pt>
                <c:pt idx="513">
                  <c:v>40099</c:v>
                </c:pt>
                <c:pt idx="514">
                  <c:v>40100</c:v>
                </c:pt>
                <c:pt idx="515">
                  <c:v>40101</c:v>
                </c:pt>
                <c:pt idx="516">
                  <c:v>40102</c:v>
                </c:pt>
                <c:pt idx="517">
                  <c:v>40105</c:v>
                </c:pt>
                <c:pt idx="518">
                  <c:v>40106</c:v>
                </c:pt>
                <c:pt idx="519">
                  <c:v>40107</c:v>
                </c:pt>
                <c:pt idx="520">
                  <c:v>40108</c:v>
                </c:pt>
                <c:pt idx="521">
                  <c:v>40109</c:v>
                </c:pt>
                <c:pt idx="522">
                  <c:v>40112</c:v>
                </c:pt>
                <c:pt idx="523">
                  <c:v>40113</c:v>
                </c:pt>
                <c:pt idx="524">
                  <c:v>40114</c:v>
                </c:pt>
                <c:pt idx="525">
                  <c:v>40115</c:v>
                </c:pt>
                <c:pt idx="526">
                  <c:v>40116</c:v>
                </c:pt>
                <c:pt idx="527">
                  <c:v>40119</c:v>
                </c:pt>
                <c:pt idx="528">
                  <c:v>40120</c:v>
                </c:pt>
                <c:pt idx="529">
                  <c:v>40121</c:v>
                </c:pt>
                <c:pt idx="530">
                  <c:v>40122</c:v>
                </c:pt>
                <c:pt idx="531">
                  <c:v>40123</c:v>
                </c:pt>
                <c:pt idx="532">
                  <c:v>40126</c:v>
                </c:pt>
                <c:pt idx="533">
                  <c:v>40127</c:v>
                </c:pt>
                <c:pt idx="534">
                  <c:v>40128</c:v>
                </c:pt>
                <c:pt idx="535">
                  <c:v>40129</c:v>
                </c:pt>
                <c:pt idx="536">
                  <c:v>40130</c:v>
                </c:pt>
                <c:pt idx="537">
                  <c:v>40133</c:v>
                </c:pt>
                <c:pt idx="538">
                  <c:v>40134</c:v>
                </c:pt>
                <c:pt idx="539">
                  <c:v>40135</c:v>
                </c:pt>
                <c:pt idx="540">
                  <c:v>40136</c:v>
                </c:pt>
                <c:pt idx="541">
                  <c:v>40137</c:v>
                </c:pt>
                <c:pt idx="542">
                  <c:v>40140</c:v>
                </c:pt>
                <c:pt idx="543">
                  <c:v>40141</c:v>
                </c:pt>
                <c:pt idx="544">
                  <c:v>40142</c:v>
                </c:pt>
                <c:pt idx="545">
                  <c:v>40144</c:v>
                </c:pt>
                <c:pt idx="546">
                  <c:v>40147</c:v>
                </c:pt>
                <c:pt idx="547">
                  <c:v>40148</c:v>
                </c:pt>
                <c:pt idx="548">
                  <c:v>40149</c:v>
                </c:pt>
                <c:pt idx="549">
                  <c:v>40150</c:v>
                </c:pt>
                <c:pt idx="550">
                  <c:v>40151</c:v>
                </c:pt>
                <c:pt idx="551">
                  <c:v>40154</c:v>
                </c:pt>
                <c:pt idx="552">
                  <c:v>40155</c:v>
                </c:pt>
                <c:pt idx="553">
                  <c:v>40156</c:v>
                </c:pt>
                <c:pt idx="554">
                  <c:v>40157</c:v>
                </c:pt>
                <c:pt idx="555">
                  <c:v>40158</c:v>
                </c:pt>
                <c:pt idx="556">
                  <c:v>40161</c:v>
                </c:pt>
                <c:pt idx="557">
                  <c:v>40162</c:v>
                </c:pt>
                <c:pt idx="558">
                  <c:v>40163</c:v>
                </c:pt>
                <c:pt idx="559">
                  <c:v>40164</c:v>
                </c:pt>
                <c:pt idx="560">
                  <c:v>40165</c:v>
                </c:pt>
                <c:pt idx="561">
                  <c:v>40168</c:v>
                </c:pt>
                <c:pt idx="562">
                  <c:v>40169</c:v>
                </c:pt>
                <c:pt idx="563">
                  <c:v>40170</c:v>
                </c:pt>
                <c:pt idx="564">
                  <c:v>40171</c:v>
                </c:pt>
                <c:pt idx="565">
                  <c:v>40175</c:v>
                </c:pt>
                <c:pt idx="566">
                  <c:v>40176</c:v>
                </c:pt>
                <c:pt idx="567">
                  <c:v>40177</c:v>
                </c:pt>
                <c:pt idx="568">
                  <c:v>40178</c:v>
                </c:pt>
                <c:pt idx="569">
                  <c:v>40182</c:v>
                </c:pt>
                <c:pt idx="570">
                  <c:v>40183</c:v>
                </c:pt>
                <c:pt idx="571">
                  <c:v>40184</c:v>
                </c:pt>
                <c:pt idx="572">
                  <c:v>40185</c:v>
                </c:pt>
                <c:pt idx="573">
                  <c:v>40186</c:v>
                </c:pt>
                <c:pt idx="574">
                  <c:v>40189</c:v>
                </c:pt>
                <c:pt idx="575">
                  <c:v>40190</c:v>
                </c:pt>
                <c:pt idx="576">
                  <c:v>40191</c:v>
                </c:pt>
                <c:pt idx="577">
                  <c:v>40192</c:v>
                </c:pt>
                <c:pt idx="578">
                  <c:v>40193</c:v>
                </c:pt>
                <c:pt idx="579">
                  <c:v>40197</c:v>
                </c:pt>
                <c:pt idx="580">
                  <c:v>40198</c:v>
                </c:pt>
                <c:pt idx="581">
                  <c:v>40199</c:v>
                </c:pt>
                <c:pt idx="582">
                  <c:v>40200</c:v>
                </c:pt>
                <c:pt idx="583">
                  <c:v>40203</c:v>
                </c:pt>
                <c:pt idx="584">
                  <c:v>40204</c:v>
                </c:pt>
                <c:pt idx="585">
                  <c:v>40205</c:v>
                </c:pt>
                <c:pt idx="586">
                  <c:v>40206</c:v>
                </c:pt>
                <c:pt idx="587">
                  <c:v>40207</c:v>
                </c:pt>
                <c:pt idx="588">
                  <c:v>40210</c:v>
                </c:pt>
                <c:pt idx="589">
                  <c:v>40211</c:v>
                </c:pt>
                <c:pt idx="590">
                  <c:v>40212</c:v>
                </c:pt>
                <c:pt idx="591">
                  <c:v>40213</c:v>
                </c:pt>
                <c:pt idx="592">
                  <c:v>40214</c:v>
                </c:pt>
                <c:pt idx="593">
                  <c:v>40217</c:v>
                </c:pt>
                <c:pt idx="594">
                  <c:v>40218</c:v>
                </c:pt>
                <c:pt idx="595">
                  <c:v>40219</c:v>
                </c:pt>
                <c:pt idx="596">
                  <c:v>40220</c:v>
                </c:pt>
                <c:pt idx="597">
                  <c:v>40221</c:v>
                </c:pt>
                <c:pt idx="598">
                  <c:v>40225</c:v>
                </c:pt>
                <c:pt idx="599">
                  <c:v>40226</c:v>
                </c:pt>
                <c:pt idx="600">
                  <c:v>40227</c:v>
                </c:pt>
                <c:pt idx="601">
                  <c:v>40228</c:v>
                </c:pt>
                <c:pt idx="602">
                  <c:v>40231</c:v>
                </c:pt>
                <c:pt idx="603">
                  <c:v>40232</c:v>
                </c:pt>
                <c:pt idx="604">
                  <c:v>40233</c:v>
                </c:pt>
                <c:pt idx="605">
                  <c:v>40234</c:v>
                </c:pt>
                <c:pt idx="606">
                  <c:v>40235</c:v>
                </c:pt>
                <c:pt idx="607">
                  <c:v>40238</c:v>
                </c:pt>
                <c:pt idx="608">
                  <c:v>40239</c:v>
                </c:pt>
                <c:pt idx="609">
                  <c:v>40240</c:v>
                </c:pt>
                <c:pt idx="610">
                  <c:v>40241</c:v>
                </c:pt>
                <c:pt idx="611">
                  <c:v>40242</c:v>
                </c:pt>
                <c:pt idx="612">
                  <c:v>40245</c:v>
                </c:pt>
                <c:pt idx="613">
                  <c:v>40246</c:v>
                </c:pt>
                <c:pt idx="614">
                  <c:v>40247</c:v>
                </c:pt>
                <c:pt idx="615">
                  <c:v>40248</c:v>
                </c:pt>
                <c:pt idx="616">
                  <c:v>40249</c:v>
                </c:pt>
                <c:pt idx="617">
                  <c:v>40252</c:v>
                </c:pt>
                <c:pt idx="618">
                  <c:v>40253</c:v>
                </c:pt>
                <c:pt idx="619">
                  <c:v>40254</c:v>
                </c:pt>
                <c:pt idx="620">
                  <c:v>40255</c:v>
                </c:pt>
                <c:pt idx="621">
                  <c:v>40256</c:v>
                </c:pt>
                <c:pt idx="622">
                  <c:v>40259</c:v>
                </c:pt>
                <c:pt idx="623">
                  <c:v>40260</c:v>
                </c:pt>
                <c:pt idx="624">
                  <c:v>40261</c:v>
                </c:pt>
                <c:pt idx="625">
                  <c:v>40262</c:v>
                </c:pt>
                <c:pt idx="626">
                  <c:v>40263</c:v>
                </c:pt>
                <c:pt idx="627">
                  <c:v>40266</c:v>
                </c:pt>
                <c:pt idx="628">
                  <c:v>40267</c:v>
                </c:pt>
                <c:pt idx="629">
                  <c:v>40268</c:v>
                </c:pt>
                <c:pt idx="630">
                  <c:v>40269</c:v>
                </c:pt>
                <c:pt idx="631">
                  <c:v>40273</c:v>
                </c:pt>
                <c:pt idx="632">
                  <c:v>40274</c:v>
                </c:pt>
                <c:pt idx="633">
                  <c:v>40275</c:v>
                </c:pt>
                <c:pt idx="634">
                  <c:v>40276</c:v>
                </c:pt>
                <c:pt idx="635">
                  <c:v>40277</c:v>
                </c:pt>
                <c:pt idx="636">
                  <c:v>40280</c:v>
                </c:pt>
                <c:pt idx="637">
                  <c:v>40281</c:v>
                </c:pt>
                <c:pt idx="638">
                  <c:v>40282</c:v>
                </c:pt>
                <c:pt idx="639">
                  <c:v>40283</c:v>
                </c:pt>
                <c:pt idx="640">
                  <c:v>40284</c:v>
                </c:pt>
                <c:pt idx="641">
                  <c:v>40287</c:v>
                </c:pt>
                <c:pt idx="642">
                  <c:v>40288</c:v>
                </c:pt>
                <c:pt idx="643">
                  <c:v>40289</c:v>
                </c:pt>
                <c:pt idx="644">
                  <c:v>40290</c:v>
                </c:pt>
                <c:pt idx="645">
                  <c:v>40291</c:v>
                </c:pt>
                <c:pt idx="646">
                  <c:v>40294</c:v>
                </c:pt>
                <c:pt idx="647">
                  <c:v>40295</c:v>
                </c:pt>
                <c:pt idx="648">
                  <c:v>40296</c:v>
                </c:pt>
                <c:pt idx="649">
                  <c:v>40297</c:v>
                </c:pt>
                <c:pt idx="650">
                  <c:v>40298</c:v>
                </c:pt>
                <c:pt idx="651">
                  <c:v>40301</c:v>
                </c:pt>
                <c:pt idx="652">
                  <c:v>40302</c:v>
                </c:pt>
                <c:pt idx="653">
                  <c:v>40303</c:v>
                </c:pt>
                <c:pt idx="654">
                  <c:v>40304</c:v>
                </c:pt>
                <c:pt idx="655">
                  <c:v>40305</c:v>
                </c:pt>
                <c:pt idx="656">
                  <c:v>40308</c:v>
                </c:pt>
                <c:pt idx="657">
                  <c:v>40309</c:v>
                </c:pt>
                <c:pt idx="658">
                  <c:v>40310</c:v>
                </c:pt>
                <c:pt idx="659">
                  <c:v>40311</c:v>
                </c:pt>
                <c:pt idx="660">
                  <c:v>40312</c:v>
                </c:pt>
                <c:pt idx="661">
                  <c:v>40315</c:v>
                </c:pt>
                <c:pt idx="662">
                  <c:v>40316</c:v>
                </c:pt>
                <c:pt idx="663">
                  <c:v>40317</c:v>
                </c:pt>
                <c:pt idx="664">
                  <c:v>40318</c:v>
                </c:pt>
                <c:pt idx="665">
                  <c:v>40319</c:v>
                </c:pt>
                <c:pt idx="666">
                  <c:v>40322</c:v>
                </c:pt>
                <c:pt idx="667">
                  <c:v>40323</c:v>
                </c:pt>
                <c:pt idx="668">
                  <c:v>40324</c:v>
                </c:pt>
                <c:pt idx="669">
                  <c:v>40325</c:v>
                </c:pt>
                <c:pt idx="670">
                  <c:v>40326</c:v>
                </c:pt>
                <c:pt idx="671">
                  <c:v>40330</c:v>
                </c:pt>
                <c:pt idx="672">
                  <c:v>40331</c:v>
                </c:pt>
                <c:pt idx="673">
                  <c:v>40332</c:v>
                </c:pt>
                <c:pt idx="674">
                  <c:v>40333</c:v>
                </c:pt>
                <c:pt idx="675">
                  <c:v>40336</c:v>
                </c:pt>
                <c:pt idx="676">
                  <c:v>40337</c:v>
                </c:pt>
                <c:pt idx="677">
                  <c:v>40338</c:v>
                </c:pt>
                <c:pt idx="678">
                  <c:v>40339</c:v>
                </c:pt>
                <c:pt idx="679">
                  <c:v>40340</c:v>
                </c:pt>
                <c:pt idx="680">
                  <c:v>40343</c:v>
                </c:pt>
                <c:pt idx="681">
                  <c:v>40344</c:v>
                </c:pt>
                <c:pt idx="682">
                  <c:v>40345</c:v>
                </c:pt>
                <c:pt idx="683">
                  <c:v>40346</c:v>
                </c:pt>
                <c:pt idx="684">
                  <c:v>40347</c:v>
                </c:pt>
                <c:pt idx="685">
                  <c:v>40350</c:v>
                </c:pt>
                <c:pt idx="686">
                  <c:v>40351</c:v>
                </c:pt>
                <c:pt idx="687">
                  <c:v>40352</c:v>
                </c:pt>
                <c:pt idx="688">
                  <c:v>40353</c:v>
                </c:pt>
                <c:pt idx="689">
                  <c:v>40354</c:v>
                </c:pt>
                <c:pt idx="690">
                  <c:v>40357</c:v>
                </c:pt>
                <c:pt idx="691">
                  <c:v>40358</c:v>
                </c:pt>
                <c:pt idx="692">
                  <c:v>40359</c:v>
                </c:pt>
                <c:pt idx="693">
                  <c:v>40360</c:v>
                </c:pt>
                <c:pt idx="694">
                  <c:v>40361</c:v>
                </c:pt>
                <c:pt idx="695">
                  <c:v>40365</c:v>
                </c:pt>
                <c:pt idx="696">
                  <c:v>40366</c:v>
                </c:pt>
                <c:pt idx="697">
                  <c:v>40367</c:v>
                </c:pt>
                <c:pt idx="698">
                  <c:v>40368</c:v>
                </c:pt>
                <c:pt idx="699">
                  <c:v>40371</c:v>
                </c:pt>
                <c:pt idx="700">
                  <c:v>40372</c:v>
                </c:pt>
                <c:pt idx="701">
                  <c:v>40373</c:v>
                </c:pt>
                <c:pt idx="702">
                  <c:v>40374</c:v>
                </c:pt>
                <c:pt idx="703">
                  <c:v>40375</c:v>
                </c:pt>
                <c:pt idx="704">
                  <c:v>40378</c:v>
                </c:pt>
                <c:pt idx="705">
                  <c:v>40379</c:v>
                </c:pt>
                <c:pt idx="706">
                  <c:v>40380</c:v>
                </c:pt>
                <c:pt idx="707">
                  <c:v>40381</c:v>
                </c:pt>
                <c:pt idx="708">
                  <c:v>40382</c:v>
                </c:pt>
                <c:pt idx="709">
                  <c:v>40385</c:v>
                </c:pt>
                <c:pt idx="710">
                  <c:v>40386</c:v>
                </c:pt>
                <c:pt idx="711">
                  <c:v>40387</c:v>
                </c:pt>
                <c:pt idx="712">
                  <c:v>40388</c:v>
                </c:pt>
                <c:pt idx="713">
                  <c:v>40389</c:v>
                </c:pt>
                <c:pt idx="714">
                  <c:v>40392</c:v>
                </c:pt>
                <c:pt idx="715">
                  <c:v>40393</c:v>
                </c:pt>
                <c:pt idx="716">
                  <c:v>40394</c:v>
                </c:pt>
                <c:pt idx="717">
                  <c:v>40395</c:v>
                </c:pt>
                <c:pt idx="718">
                  <c:v>40396</c:v>
                </c:pt>
                <c:pt idx="719">
                  <c:v>40399</c:v>
                </c:pt>
                <c:pt idx="720">
                  <c:v>40400</c:v>
                </c:pt>
                <c:pt idx="721">
                  <c:v>40401</c:v>
                </c:pt>
                <c:pt idx="722">
                  <c:v>40402</c:v>
                </c:pt>
                <c:pt idx="723">
                  <c:v>40403</c:v>
                </c:pt>
                <c:pt idx="724">
                  <c:v>40406</c:v>
                </c:pt>
                <c:pt idx="725">
                  <c:v>40407</c:v>
                </c:pt>
                <c:pt idx="726">
                  <c:v>40408</c:v>
                </c:pt>
                <c:pt idx="727">
                  <c:v>40409</c:v>
                </c:pt>
                <c:pt idx="728">
                  <c:v>40410</c:v>
                </c:pt>
                <c:pt idx="729">
                  <c:v>40413</c:v>
                </c:pt>
                <c:pt idx="730">
                  <c:v>40414</c:v>
                </c:pt>
                <c:pt idx="731">
                  <c:v>40415</c:v>
                </c:pt>
                <c:pt idx="732">
                  <c:v>40416</c:v>
                </c:pt>
                <c:pt idx="733">
                  <c:v>40417</c:v>
                </c:pt>
                <c:pt idx="734">
                  <c:v>40420</c:v>
                </c:pt>
                <c:pt idx="735">
                  <c:v>40421</c:v>
                </c:pt>
                <c:pt idx="736">
                  <c:v>40422</c:v>
                </c:pt>
                <c:pt idx="737">
                  <c:v>40423</c:v>
                </c:pt>
                <c:pt idx="738">
                  <c:v>40424</c:v>
                </c:pt>
                <c:pt idx="739">
                  <c:v>40428</c:v>
                </c:pt>
                <c:pt idx="740">
                  <c:v>40429</c:v>
                </c:pt>
                <c:pt idx="741">
                  <c:v>40430</c:v>
                </c:pt>
                <c:pt idx="742">
                  <c:v>40431</c:v>
                </c:pt>
                <c:pt idx="743">
                  <c:v>40434</c:v>
                </c:pt>
                <c:pt idx="744">
                  <c:v>40435</c:v>
                </c:pt>
                <c:pt idx="745">
                  <c:v>40436</c:v>
                </c:pt>
                <c:pt idx="746">
                  <c:v>40437</c:v>
                </c:pt>
                <c:pt idx="747">
                  <c:v>40438</c:v>
                </c:pt>
                <c:pt idx="748">
                  <c:v>40441</c:v>
                </c:pt>
                <c:pt idx="749">
                  <c:v>40442</c:v>
                </c:pt>
                <c:pt idx="750">
                  <c:v>40443</c:v>
                </c:pt>
                <c:pt idx="751">
                  <c:v>40444</c:v>
                </c:pt>
                <c:pt idx="752">
                  <c:v>40445</c:v>
                </c:pt>
                <c:pt idx="753">
                  <c:v>40448</c:v>
                </c:pt>
                <c:pt idx="754">
                  <c:v>40449</c:v>
                </c:pt>
                <c:pt idx="755">
                  <c:v>40450</c:v>
                </c:pt>
                <c:pt idx="756">
                  <c:v>40451</c:v>
                </c:pt>
                <c:pt idx="757">
                  <c:v>40452</c:v>
                </c:pt>
                <c:pt idx="758">
                  <c:v>40455</c:v>
                </c:pt>
                <c:pt idx="759">
                  <c:v>40456</c:v>
                </c:pt>
                <c:pt idx="760">
                  <c:v>40457</c:v>
                </c:pt>
                <c:pt idx="761">
                  <c:v>40458</c:v>
                </c:pt>
                <c:pt idx="762">
                  <c:v>40459</c:v>
                </c:pt>
                <c:pt idx="763">
                  <c:v>40462</c:v>
                </c:pt>
                <c:pt idx="764">
                  <c:v>40463</c:v>
                </c:pt>
                <c:pt idx="765">
                  <c:v>40464</c:v>
                </c:pt>
                <c:pt idx="766">
                  <c:v>40465</c:v>
                </c:pt>
                <c:pt idx="767">
                  <c:v>40466</c:v>
                </c:pt>
                <c:pt idx="768">
                  <c:v>40469</c:v>
                </c:pt>
                <c:pt idx="769">
                  <c:v>40470</c:v>
                </c:pt>
                <c:pt idx="770">
                  <c:v>40471</c:v>
                </c:pt>
                <c:pt idx="771">
                  <c:v>40472</c:v>
                </c:pt>
                <c:pt idx="772">
                  <c:v>40473</c:v>
                </c:pt>
                <c:pt idx="773">
                  <c:v>40476</c:v>
                </c:pt>
                <c:pt idx="774">
                  <c:v>40477</c:v>
                </c:pt>
                <c:pt idx="775">
                  <c:v>40478</c:v>
                </c:pt>
                <c:pt idx="776">
                  <c:v>40479</c:v>
                </c:pt>
                <c:pt idx="777">
                  <c:v>40480</c:v>
                </c:pt>
                <c:pt idx="778">
                  <c:v>40483</c:v>
                </c:pt>
                <c:pt idx="779">
                  <c:v>40484</c:v>
                </c:pt>
                <c:pt idx="780">
                  <c:v>40485</c:v>
                </c:pt>
                <c:pt idx="781">
                  <c:v>40486</c:v>
                </c:pt>
                <c:pt idx="782">
                  <c:v>40487</c:v>
                </c:pt>
                <c:pt idx="783">
                  <c:v>40490</c:v>
                </c:pt>
                <c:pt idx="784">
                  <c:v>40491</c:v>
                </c:pt>
                <c:pt idx="785">
                  <c:v>40492</c:v>
                </c:pt>
                <c:pt idx="786">
                  <c:v>40493</c:v>
                </c:pt>
                <c:pt idx="787">
                  <c:v>40494</c:v>
                </c:pt>
                <c:pt idx="788">
                  <c:v>40497</c:v>
                </c:pt>
                <c:pt idx="789">
                  <c:v>40498</c:v>
                </c:pt>
                <c:pt idx="790">
                  <c:v>40499</c:v>
                </c:pt>
                <c:pt idx="791">
                  <c:v>40500</c:v>
                </c:pt>
                <c:pt idx="792">
                  <c:v>40501</c:v>
                </c:pt>
                <c:pt idx="793">
                  <c:v>40504</c:v>
                </c:pt>
                <c:pt idx="794">
                  <c:v>40505</c:v>
                </c:pt>
                <c:pt idx="795">
                  <c:v>40506</c:v>
                </c:pt>
                <c:pt idx="796">
                  <c:v>40508</c:v>
                </c:pt>
                <c:pt idx="797">
                  <c:v>40511</c:v>
                </c:pt>
                <c:pt idx="798">
                  <c:v>40512</c:v>
                </c:pt>
                <c:pt idx="799">
                  <c:v>40513</c:v>
                </c:pt>
                <c:pt idx="800">
                  <c:v>40514</c:v>
                </c:pt>
                <c:pt idx="801">
                  <c:v>40515</c:v>
                </c:pt>
                <c:pt idx="802">
                  <c:v>40518</c:v>
                </c:pt>
                <c:pt idx="803">
                  <c:v>40519</c:v>
                </c:pt>
                <c:pt idx="804">
                  <c:v>40520</c:v>
                </c:pt>
                <c:pt idx="805">
                  <c:v>40521</c:v>
                </c:pt>
                <c:pt idx="806">
                  <c:v>40522</c:v>
                </c:pt>
                <c:pt idx="807">
                  <c:v>40525</c:v>
                </c:pt>
                <c:pt idx="808">
                  <c:v>40526</c:v>
                </c:pt>
                <c:pt idx="809">
                  <c:v>40527</c:v>
                </c:pt>
                <c:pt idx="810">
                  <c:v>40528</c:v>
                </c:pt>
                <c:pt idx="811">
                  <c:v>40529</c:v>
                </c:pt>
                <c:pt idx="812">
                  <c:v>40532</c:v>
                </c:pt>
                <c:pt idx="813">
                  <c:v>40533</c:v>
                </c:pt>
                <c:pt idx="814">
                  <c:v>40534</c:v>
                </c:pt>
                <c:pt idx="815">
                  <c:v>40535</c:v>
                </c:pt>
                <c:pt idx="816">
                  <c:v>40539</c:v>
                </c:pt>
                <c:pt idx="817">
                  <c:v>40540</c:v>
                </c:pt>
                <c:pt idx="818">
                  <c:v>40541</c:v>
                </c:pt>
                <c:pt idx="819">
                  <c:v>40542</c:v>
                </c:pt>
                <c:pt idx="820">
                  <c:v>40543</c:v>
                </c:pt>
                <c:pt idx="821">
                  <c:v>40546</c:v>
                </c:pt>
                <c:pt idx="822">
                  <c:v>40547</c:v>
                </c:pt>
                <c:pt idx="823">
                  <c:v>40548</c:v>
                </c:pt>
                <c:pt idx="824">
                  <c:v>40549</c:v>
                </c:pt>
                <c:pt idx="825">
                  <c:v>40550</c:v>
                </c:pt>
                <c:pt idx="826">
                  <c:v>40553</c:v>
                </c:pt>
                <c:pt idx="827">
                  <c:v>40554</c:v>
                </c:pt>
                <c:pt idx="828">
                  <c:v>40555</c:v>
                </c:pt>
                <c:pt idx="829">
                  <c:v>40556</c:v>
                </c:pt>
                <c:pt idx="830">
                  <c:v>40557</c:v>
                </c:pt>
                <c:pt idx="831">
                  <c:v>40561</c:v>
                </c:pt>
                <c:pt idx="832">
                  <c:v>40562</c:v>
                </c:pt>
                <c:pt idx="833">
                  <c:v>40563</c:v>
                </c:pt>
                <c:pt idx="834">
                  <c:v>40564</c:v>
                </c:pt>
                <c:pt idx="835">
                  <c:v>40567</c:v>
                </c:pt>
                <c:pt idx="836">
                  <c:v>40568</c:v>
                </c:pt>
                <c:pt idx="837">
                  <c:v>40569</c:v>
                </c:pt>
                <c:pt idx="838">
                  <c:v>40570</c:v>
                </c:pt>
                <c:pt idx="839">
                  <c:v>40571</c:v>
                </c:pt>
                <c:pt idx="840">
                  <c:v>40574</c:v>
                </c:pt>
                <c:pt idx="841">
                  <c:v>40575</c:v>
                </c:pt>
                <c:pt idx="842">
                  <c:v>40576</c:v>
                </c:pt>
                <c:pt idx="843">
                  <c:v>40577</c:v>
                </c:pt>
                <c:pt idx="844">
                  <c:v>40578</c:v>
                </c:pt>
                <c:pt idx="845">
                  <c:v>40581</c:v>
                </c:pt>
                <c:pt idx="846">
                  <c:v>40582</c:v>
                </c:pt>
                <c:pt idx="847">
                  <c:v>40583</c:v>
                </c:pt>
                <c:pt idx="848">
                  <c:v>40584</c:v>
                </c:pt>
                <c:pt idx="849">
                  <c:v>40585</c:v>
                </c:pt>
                <c:pt idx="850">
                  <c:v>40588</c:v>
                </c:pt>
                <c:pt idx="851">
                  <c:v>40589</c:v>
                </c:pt>
                <c:pt idx="852">
                  <c:v>40590</c:v>
                </c:pt>
                <c:pt idx="853">
                  <c:v>40591</c:v>
                </c:pt>
                <c:pt idx="854">
                  <c:v>40592</c:v>
                </c:pt>
                <c:pt idx="855">
                  <c:v>40596</c:v>
                </c:pt>
                <c:pt idx="856">
                  <c:v>40597</c:v>
                </c:pt>
                <c:pt idx="857">
                  <c:v>40598</c:v>
                </c:pt>
                <c:pt idx="858">
                  <c:v>40599</c:v>
                </c:pt>
                <c:pt idx="859">
                  <c:v>40602</c:v>
                </c:pt>
                <c:pt idx="860">
                  <c:v>40603</c:v>
                </c:pt>
                <c:pt idx="861">
                  <c:v>40604</c:v>
                </c:pt>
                <c:pt idx="862">
                  <c:v>40605</c:v>
                </c:pt>
                <c:pt idx="863">
                  <c:v>40606</c:v>
                </c:pt>
                <c:pt idx="864">
                  <c:v>40609</c:v>
                </c:pt>
                <c:pt idx="865">
                  <c:v>40610</c:v>
                </c:pt>
                <c:pt idx="866">
                  <c:v>40611</c:v>
                </c:pt>
                <c:pt idx="867">
                  <c:v>40612</c:v>
                </c:pt>
                <c:pt idx="868">
                  <c:v>40613</c:v>
                </c:pt>
                <c:pt idx="869">
                  <c:v>40616</c:v>
                </c:pt>
                <c:pt idx="870">
                  <c:v>40617</c:v>
                </c:pt>
                <c:pt idx="871">
                  <c:v>40618</c:v>
                </c:pt>
                <c:pt idx="872">
                  <c:v>40619</c:v>
                </c:pt>
                <c:pt idx="873">
                  <c:v>40620</c:v>
                </c:pt>
                <c:pt idx="874">
                  <c:v>40623</c:v>
                </c:pt>
                <c:pt idx="875">
                  <c:v>40624</c:v>
                </c:pt>
                <c:pt idx="876">
                  <c:v>40625</c:v>
                </c:pt>
                <c:pt idx="877">
                  <c:v>40626</c:v>
                </c:pt>
                <c:pt idx="878">
                  <c:v>40627</c:v>
                </c:pt>
                <c:pt idx="879">
                  <c:v>40630</c:v>
                </c:pt>
                <c:pt idx="880">
                  <c:v>40631</c:v>
                </c:pt>
                <c:pt idx="881">
                  <c:v>40632</c:v>
                </c:pt>
                <c:pt idx="882">
                  <c:v>40633</c:v>
                </c:pt>
                <c:pt idx="883">
                  <c:v>40634</c:v>
                </c:pt>
                <c:pt idx="884">
                  <c:v>40637</c:v>
                </c:pt>
                <c:pt idx="885">
                  <c:v>40638</c:v>
                </c:pt>
                <c:pt idx="886">
                  <c:v>40639</c:v>
                </c:pt>
                <c:pt idx="887">
                  <c:v>40640</c:v>
                </c:pt>
                <c:pt idx="888">
                  <c:v>40641</c:v>
                </c:pt>
                <c:pt idx="889">
                  <c:v>40644</c:v>
                </c:pt>
                <c:pt idx="890">
                  <c:v>40645</c:v>
                </c:pt>
                <c:pt idx="891">
                  <c:v>40646</c:v>
                </c:pt>
                <c:pt idx="892">
                  <c:v>40647</c:v>
                </c:pt>
                <c:pt idx="893">
                  <c:v>40648</c:v>
                </c:pt>
                <c:pt idx="894">
                  <c:v>40651</c:v>
                </c:pt>
                <c:pt idx="895">
                  <c:v>40652</c:v>
                </c:pt>
                <c:pt idx="896">
                  <c:v>40653</c:v>
                </c:pt>
                <c:pt idx="897">
                  <c:v>40654</c:v>
                </c:pt>
                <c:pt idx="898">
                  <c:v>40658</c:v>
                </c:pt>
                <c:pt idx="899">
                  <c:v>40659</c:v>
                </c:pt>
                <c:pt idx="900">
                  <c:v>40660</c:v>
                </c:pt>
                <c:pt idx="901">
                  <c:v>40661</c:v>
                </c:pt>
                <c:pt idx="902">
                  <c:v>40662</c:v>
                </c:pt>
                <c:pt idx="903">
                  <c:v>40665</c:v>
                </c:pt>
                <c:pt idx="904">
                  <c:v>40666</c:v>
                </c:pt>
                <c:pt idx="905">
                  <c:v>40667</c:v>
                </c:pt>
                <c:pt idx="906">
                  <c:v>40668</c:v>
                </c:pt>
                <c:pt idx="907">
                  <c:v>40669</c:v>
                </c:pt>
                <c:pt idx="908">
                  <c:v>40672</c:v>
                </c:pt>
                <c:pt idx="909">
                  <c:v>40673</c:v>
                </c:pt>
                <c:pt idx="910">
                  <c:v>40674</c:v>
                </c:pt>
                <c:pt idx="911">
                  <c:v>40675</c:v>
                </c:pt>
                <c:pt idx="912">
                  <c:v>40676</c:v>
                </c:pt>
                <c:pt idx="913">
                  <c:v>40679</c:v>
                </c:pt>
                <c:pt idx="914">
                  <c:v>40680</c:v>
                </c:pt>
                <c:pt idx="915">
                  <c:v>40681</c:v>
                </c:pt>
                <c:pt idx="916">
                  <c:v>40682</c:v>
                </c:pt>
                <c:pt idx="917">
                  <c:v>40683</c:v>
                </c:pt>
                <c:pt idx="918">
                  <c:v>40686</c:v>
                </c:pt>
                <c:pt idx="919">
                  <c:v>40687</c:v>
                </c:pt>
                <c:pt idx="920">
                  <c:v>40688</c:v>
                </c:pt>
                <c:pt idx="921">
                  <c:v>40689</c:v>
                </c:pt>
                <c:pt idx="922">
                  <c:v>40690</c:v>
                </c:pt>
                <c:pt idx="923">
                  <c:v>40694</c:v>
                </c:pt>
                <c:pt idx="924">
                  <c:v>40695</c:v>
                </c:pt>
                <c:pt idx="925">
                  <c:v>40696</c:v>
                </c:pt>
                <c:pt idx="926">
                  <c:v>40697</c:v>
                </c:pt>
                <c:pt idx="927">
                  <c:v>40700</c:v>
                </c:pt>
                <c:pt idx="928">
                  <c:v>40701</c:v>
                </c:pt>
                <c:pt idx="929">
                  <c:v>40702</c:v>
                </c:pt>
                <c:pt idx="930">
                  <c:v>40703</c:v>
                </c:pt>
                <c:pt idx="931">
                  <c:v>40704</c:v>
                </c:pt>
                <c:pt idx="932">
                  <c:v>40707</c:v>
                </c:pt>
                <c:pt idx="933">
                  <c:v>40708</c:v>
                </c:pt>
                <c:pt idx="934">
                  <c:v>40709</c:v>
                </c:pt>
                <c:pt idx="935">
                  <c:v>40710</c:v>
                </c:pt>
                <c:pt idx="936">
                  <c:v>40711</c:v>
                </c:pt>
                <c:pt idx="937">
                  <c:v>40714</c:v>
                </c:pt>
                <c:pt idx="938">
                  <c:v>40715</c:v>
                </c:pt>
                <c:pt idx="939">
                  <c:v>40716</c:v>
                </c:pt>
                <c:pt idx="940">
                  <c:v>40717</c:v>
                </c:pt>
                <c:pt idx="941">
                  <c:v>40718</c:v>
                </c:pt>
                <c:pt idx="942">
                  <c:v>40721</c:v>
                </c:pt>
                <c:pt idx="943">
                  <c:v>40722</c:v>
                </c:pt>
                <c:pt idx="944">
                  <c:v>40723</c:v>
                </c:pt>
                <c:pt idx="945">
                  <c:v>40724</c:v>
                </c:pt>
                <c:pt idx="946">
                  <c:v>40725</c:v>
                </c:pt>
                <c:pt idx="947">
                  <c:v>40729</c:v>
                </c:pt>
                <c:pt idx="948">
                  <c:v>40730</c:v>
                </c:pt>
                <c:pt idx="949">
                  <c:v>40731</c:v>
                </c:pt>
                <c:pt idx="950">
                  <c:v>40732</c:v>
                </c:pt>
                <c:pt idx="951">
                  <c:v>40735</c:v>
                </c:pt>
                <c:pt idx="952">
                  <c:v>40736</c:v>
                </c:pt>
                <c:pt idx="953">
                  <c:v>40737</c:v>
                </c:pt>
                <c:pt idx="954">
                  <c:v>40738</c:v>
                </c:pt>
                <c:pt idx="955">
                  <c:v>40739</c:v>
                </c:pt>
                <c:pt idx="956">
                  <c:v>40742</c:v>
                </c:pt>
                <c:pt idx="957">
                  <c:v>40743</c:v>
                </c:pt>
                <c:pt idx="958">
                  <c:v>40744</c:v>
                </c:pt>
                <c:pt idx="959">
                  <c:v>40745</c:v>
                </c:pt>
                <c:pt idx="960">
                  <c:v>40746</c:v>
                </c:pt>
                <c:pt idx="961">
                  <c:v>40749</c:v>
                </c:pt>
                <c:pt idx="962">
                  <c:v>40750</c:v>
                </c:pt>
                <c:pt idx="963">
                  <c:v>40751</c:v>
                </c:pt>
                <c:pt idx="964">
                  <c:v>40752</c:v>
                </c:pt>
                <c:pt idx="965">
                  <c:v>40753</c:v>
                </c:pt>
                <c:pt idx="966">
                  <c:v>40756</c:v>
                </c:pt>
                <c:pt idx="967">
                  <c:v>40757</c:v>
                </c:pt>
                <c:pt idx="968">
                  <c:v>40758</c:v>
                </c:pt>
                <c:pt idx="969">
                  <c:v>40759</c:v>
                </c:pt>
                <c:pt idx="970">
                  <c:v>40760</c:v>
                </c:pt>
                <c:pt idx="971">
                  <c:v>40763</c:v>
                </c:pt>
                <c:pt idx="972">
                  <c:v>40764</c:v>
                </c:pt>
                <c:pt idx="973">
                  <c:v>40765</c:v>
                </c:pt>
                <c:pt idx="974">
                  <c:v>40766</c:v>
                </c:pt>
                <c:pt idx="975">
                  <c:v>40767</c:v>
                </c:pt>
                <c:pt idx="976">
                  <c:v>40770</c:v>
                </c:pt>
                <c:pt idx="977">
                  <c:v>40771</c:v>
                </c:pt>
                <c:pt idx="978">
                  <c:v>40772</c:v>
                </c:pt>
                <c:pt idx="979">
                  <c:v>40773</c:v>
                </c:pt>
                <c:pt idx="980">
                  <c:v>40774</c:v>
                </c:pt>
                <c:pt idx="981">
                  <c:v>40777</c:v>
                </c:pt>
                <c:pt idx="982">
                  <c:v>40778</c:v>
                </c:pt>
                <c:pt idx="983">
                  <c:v>40779</c:v>
                </c:pt>
                <c:pt idx="984">
                  <c:v>40780</c:v>
                </c:pt>
                <c:pt idx="985">
                  <c:v>40781</c:v>
                </c:pt>
                <c:pt idx="986">
                  <c:v>40784</c:v>
                </c:pt>
                <c:pt idx="987">
                  <c:v>40785</c:v>
                </c:pt>
                <c:pt idx="988">
                  <c:v>40786</c:v>
                </c:pt>
                <c:pt idx="989">
                  <c:v>40787</c:v>
                </c:pt>
                <c:pt idx="990">
                  <c:v>40788</c:v>
                </c:pt>
                <c:pt idx="991">
                  <c:v>40792</c:v>
                </c:pt>
                <c:pt idx="992">
                  <c:v>40793</c:v>
                </c:pt>
                <c:pt idx="993">
                  <c:v>40794</c:v>
                </c:pt>
                <c:pt idx="994">
                  <c:v>40795</c:v>
                </c:pt>
                <c:pt idx="995">
                  <c:v>40798</c:v>
                </c:pt>
                <c:pt idx="996">
                  <c:v>40799</c:v>
                </c:pt>
                <c:pt idx="997">
                  <c:v>40800</c:v>
                </c:pt>
                <c:pt idx="998">
                  <c:v>40801</c:v>
                </c:pt>
                <c:pt idx="999">
                  <c:v>40802</c:v>
                </c:pt>
                <c:pt idx="1000">
                  <c:v>40805</c:v>
                </c:pt>
                <c:pt idx="1001">
                  <c:v>40806</c:v>
                </c:pt>
                <c:pt idx="1002">
                  <c:v>40807</c:v>
                </c:pt>
                <c:pt idx="1003">
                  <c:v>40808</c:v>
                </c:pt>
                <c:pt idx="1004">
                  <c:v>40809</c:v>
                </c:pt>
                <c:pt idx="1005">
                  <c:v>40812</c:v>
                </c:pt>
                <c:pt idx="1006">
                  <c:v>40813</c:v>
                </c:pt>
                <c:pt idx="1007">
                  <c:v>40814</c:v>
                </c:pt>
                <c:pt idx="1008">
                  <c:v>40815</c:v>
                </c:pt>
                <c:pt idx="1009">
                  <c:v>40816</c:v>
                </c:pt>
                <c:pt idx="1010">
                  <c:v>40819</c:v>
                </c:pt>
                <c:pt idx="1011">
                  <c:v>40820</c:v>
                </c:pt>
                <c:pt idx="1012">
                  <c:v>40821</c:v>
                </c:pt>
                <c:pt idx="1013">
                  <c:v>40822</c:v>
                </c:pt>
                <c:pt idx="1014">
                  <c:v>40823</c:v>
                </c:pt>
                <c:pt idx="1015">
                  <c:v>40826</c:v>
                </c:pt>
                <c:pt idx="1016">
                  <c:v>40827</c:v>
                </c:pt>
                <c:pt idx="1017">
                  <c:v>40828</c:v>
                </c:pt>
                <c:pt idx="1018">
                  <c:v>40829</c:v>
                </c:pt>
                <c:pt idx="1019">
                  <c:v>40830</c:v>
                </c:pt>
                <c:pt idx="1020">
                  <c:v>40833</c:v>
                </c:pt>
                <c:pt idx="1021">
                  <c:v>40834</c:v>
                </c:pt>
                <c:pt idx="1022">
                  <c:v>40835</c:v>
                </c:pt>
                <c:pt idx="1023">
                  <c:v>40836</c:v>
                </c:pt>
                <c:pt idx="1024">
                  <c:v>40837</c:v>
                </c:pt>
                <c:pt idx="1025">
                  <c:v>40840</c:v>
                </c:pt>
                <c:pt idx="1026">
                  <c:v>40841</c:v>
                </c:pt>
                <c:pt idx="1027">
                  <c:v>40842</c:v>
                </c:pt>
                <c:pt idx="1028">
                  <c:v>40843</c:v>
                </c:pt>
                <c:pt idx="1029">
                  <c:v>40844</c:v>
                </c:pt>
                <c:pt idx="1030">
                  <c:v>40847</c:v>
                </c:pt>
                <c:pt idx="1031">
                  <c:v>40848</c:v>
                </c:pt>
                <c:pt idx="1032">
                  <c:v>40849</c:v>
                </c:pt>
                <c:pt idx="1033">
                  <c:v>40850</c:v>
                </c:pt>
                <c:pt idx="1034">
                  <c:v>40851</c:v>
                </c:pt>
                <c:pt idx="1035">
                  <c:v>40854</c:v>
                </c:pt>
                <c:pt idx="1036">
                  <c:v>40855</c:v>
                </c:pt>
                <c:pt idx="1037">
                  <c:v>40856</c:v>
                </c:pt>
                <c:pt idx="1038">
                  <c:v>40857</c:v>
                </c:pt>
                <c:pt idx="1039">
                  <c:v>40858</c:v>
                </c:pt>
                <c:pt idx="1040">
                  <c:v>40861</c:v>
                </c:pt>
                <c:pt idx="1041">
                  <c:v>40862</c:v>
                </c:pt>
                <c:pt idx="1042">
                  <c:v>40863</c:v>
                </c:pt>
                <c:pt idx="1043">
                  <c:v>40864</c:v>
                </c:pt>
                <c:pt idx="1044">
                  <c:v>40865</c:v>
                </c:pt>
                <c:pt idx="1045">
                  <c:v>40868</c:v>
                </c:pt>
                <c:pt idx="1046">
                  <c:v>40869</c:v>
                </c:pt>
                <c:pt idx="1047">
                  <c:v>40870</c:v>
                </c:pt>
                <c:pt idx="1048">
                  <c:v>40872</c:v>
                </c:pt>
                <c:pt idx="1049">
                  <c:v>40875</c:v>
                </c:pt>
                <c:pt idx="1050">
                  <c:v>40876</c:v>
                </c:pt>
                <c:pt idx="1051">
                  <c:v>40877</c:v>
                </c:pt>
                <c:pt idx="1052">
                  <c:v>40878</c:v>
                </c:pt>
                <c:pt idx="1053">
                  <c:v>40879</c:v>
                </c:pt>
                <c:pt idx="1054">
                  <c:v>40882</c:v>
                </c:pt>
                <c:pt idx="1055">
                  <c:v>40883</c:v>
                </c:pt>
                <c:pt idx="1056">
                  <c:v>40884</c:v>
                </c:pt>
                <c:pt idx="1057">
                  <c:v>40885</c:v>
                </c:pt>
                <c:pt idx="1058">
                  <c:v>40886</c:v>
                </c:pt>
                <c:pt idx="1059">
                  <c:v>40889</c:v>
                </c:pt>
                <c:pt idx="1060">
                  <c:v>40890</c:v>
                </c:pt>
                <c:pt idx="1061">
                  <c:v>40891</c:v>
                </c:pt>
                <c:pt idx="1062">
                  <c:v>40892</c:v>
                </c:pt>
                <c:pt idx="1063">
                  <c:v>40893</c:v>
                </c:pt>
                <c:pt idx="1064">
                  <c:v>40896</c:v>
                </c:pt>
                <c:pt idx="1065">
                  <c:v>40897</c:v>
                </c:pt>
                <c:pt idx="1066">
                  <c:v>40898</c:v>
                </c:pt>
                <c:pt idx="1067">
                  <c:v>40899</c:v>
                </c:pt>
                <c:pt idx="1068">
                  <c:v>40900</c:v>
                </c:pt>
                <c:pt idx="1069">
                  <c:v>40904</c:v>
                </c:pt>
                <c:pt idx="1070">
                  <c:v>40905</c:v>
                </c:pt>
                <c:pt idx="1071">
                  <c:v>40906</c:v>
                </c:pt>
                <c:pt idx="1072">
                  <c:v>40907</c:v>
                </c:pt>
                <c:pt idx="1073">
                  <c:v>40911</c:v>
                </c:pt>
                <c:pt idx="1074">
                  <c:v>40912</c:v>
                </c:pt>
                <c:pt idx="1075">
                  <c:v>40913</c:v>
                </c:pt>
                <c:pt idx="1076">
                  <c:v>40914</c:v>
                </c:pt>
                <c:pt idx="1077">
                  <c:v>40917</c:v>
                </c:pt>
                <c:pt idx="1078">
                  <c:v>40918</c:v>
                </c:pt>
                <c:pt idx="1079">
                  <c:v>40919</c:v>
                </c:pt>
                <c:pt idx="1080">
                  <c:v>40920</c:v>
                </c:pt>
                <c:pt idx="1081">
                  <c:v>40921</c:v>
                </c:pt>
                <c:pt idx="1082">
                  <c:v>40925</c:v>
                </c:pt>
                <c:pt idx="1083">
                  <c:v>40926</c:v>
                </c:pt>
                <c:pt idx="1084">
                  <c:v>40927</c:v>
                </c:pt>
                <c:pt idx="1085">
                  <c:v>40928</c:v>
                </c:pt>
                <c:pt idx="1086">
                  <c:v>40931</c:v>
                </c:pt>
                <c:pt idx="1087">
                  <c:v>40932</c:v>
                </c:pt>
                <c:pt idx="1088">
                  <c:v>40933</c:v>
                </c:pt>
                <c:pt idx="1089">
                  <c:v>40934</c:v>
                </c:pt>
                <c:pt idx="1090">
                  <c:v>40935</c:v>
                </c:pt>
                <c:pt idx="1091">
                  <c:v>40938</c:v>
                </c:pt>
                <c:pt idx="1092">
                  <c:v>40939</c:v>
                </c:pt>
                <c:pt idx="1093">
                  <c:v>40940</c:v>
                </c:pt>
                <c:pt idx="1094">
                  <c:v>40941</c:v>
                </c:pt>
                <c:pt idx="1095">
                  <c:v>40942</c:v>
                </c:pt>
                <c:pt idx="1096">
                  <c:v>40945</c:v>
                </c:pt>
                <c:pt idx="1097">
                  <c:v>40946</c:v>
                </c:pt>
                <c:pt idx="1098">
                  <c:v>40947</c:v>
                </c:pt>
                <c:pt idx="1099">
                  <c:v>40948</c:v>
                </c:pt>
                <c:pt idx="1100">
                  <c:v>40949</c:v>
                </c:pt>
                <c:pt idx="1101">
                  <c:v>40952</c:v>
                </c:pt>
                <c:pt idx="1102">
                  <c:v>40953</c:v>
                </c:pt>
                <c:pt idx="1103">
                  <c:v>40954</c:v>
                </c:pt>
                <c:pt idx="1104">
                  <c:v>40955</c:v>
                </c:pt>
                <c:pt idx="1105">
                  <c:v>40956</c:v>
                </c:pt>
                <c:pt idx="1106">
                  <c:v>40960</c:v>
                </c:pt>
                <c:pt idx="1107">
                  <c:v>40961</c:v>
                </c:pt>
                <c:pt idx="1108">
                  <c:v>40962</c:v>
                </c:pt>
                <c:pt idx="1109">
                  <c:v>40963</c:v>
                </c:pt>
                <c:pt idx="1110">
                  <c:v>40966</c:v>
                </c:pt>
                <c:pt idx="1111">
                  <c:v>40967</c:v>
                </c:pt>
                <c:pt idx="1112">
                  <c:v>40968</c:v>
                </c:pt>
                <c:pt idx="1113">
                  <c:v>40969</c:v>
                </c:pt>
                <c:pt idx="1114">
                  <c:v>40970</c:v>
                </c:pt>
                <c:pt idx="1115">
                  <c:v>40973</c:v>
                </c:pt>
                <c:pt idx="1116">
                  <c:v>40974</c:v>
                </c:pt>
                <c:pt idx="1117">
                  <c:v>40975</c:v>
                </c:pt>
                <c:pt idx="1118">
                  <c:v>40976</c:v>
                </c:pt>
                <c:pt idx="1119">
                  <c:v>40977</c:v>
                </c:pt>
                <c:pt idx="1120">
                  <c:v>40980</c:v>
                </c:pt>
                <c:pt idx="1121">
                  <c:v>40981</c:v>
                </c:pt>
                <c:pt idx="1122">
                  <c:v>40982</c:v>
                </c:pt>
                <c:pt idx="1123">
                  <c:v>40983</c:v>
                </c:pt>
                <c:pt idx="1124">
                  <c:v>40984</c:v>
                </c:pt>
                <c:pt idx="1125">
                  <c:v>40987</c:v>
                </c:pt>
                <c:pt idx="1126">
                  <c:v>40988</c:v>
                </c:pt>
                <c:pt idx="1127">
                  <c:v>40989</c:v>
                </c:pt>
                <c:pt idx="1128">
                  <c:v>40990</c:v>
                </c:pt>
                <c:pt idx="1129">
                  <c:v>40991</c:v>
                </c:pt>
                <c:pt idx="1130">
                  <c:v>40994</c:v>
                </c:pt>
                <c:pt idx="1131">
                  <c:v>40995</c:v>
                </c:pt>
                <c:pt idx="1132">
                  <c:v>40996</c:v>
                </c:pt>
                <c:pt idx="1133">
                  <c:v>40997</c:v>
                </c:pt>
                <c:pt idx="1134">
                  <c:v>40998</c:v>
                </c:pt>
                <c:pt idx="1135">
                  <c:v>41001</c:v>
                </c:pt>
                <c:pt idx="1136">
                  <c:v>41002</c:v>
                </c:pt>
                <c:pt idx="1137">
                  <c:v>41003</c:v>
                </c:pt>
                <c:pt idx="1138">
                  <c:v>41004</c:v>
                </c:pt>
                <c:pt idx="1139">
                  <c:v>41008</c:v>
                </c:pt>
                <c:pt idx="1140">
                  <c:v>41009</c:v>
                </c:pt>
                <c:pt idx="1141">
                  <c:v>41010</c:v>
                </c:pt>
                <c:pt idx="1142">
                  <c:v>41011</c:v>
                </c:pt>
                <c:pt idx="1143">
                  <c:v>41012</c:v>
                </c:pt>
                <c:pt idx="1144">
                  <c:v>41015</c:v>
                </c:pt>
                <c:pt idx="1145">
                  <c:v>41016</c:v>
                </c:pt>
                <c:pt idx="1146">
                  <c:v>41017</c:v>
                </c:pt>
                <c:pt idx="1147">
                  <c:v>41018</c:v>
                </c:pt>
                <c:pt idx="1148">
                  <c:v>41019</c:v>
                </c:pt>
                <c:pt idx="1149">
                  <c:v>41022</c:v>
                </c:pt>
                <c:pt idx="1150">
                  <c:v>41023</c:v>
                </c:pt>
                <c:pt idx="1151">
                  <c:v>41024</c:v>
                </c:pt>
                <c:pt idx="1152">
                  <c:v>41025</c:v>
                </c:pt>
                <c:pt idx="1153">
                  <c:v>41026</c:v>
                </c:pt>
                <c:pt idx="1154">
                  <c:v>41029</c:v>
                </c:pt>
                <c:pt idx="1155">
                  <c:v>41030</c:v>
                </c:pt>
                <c:pt idx="1156">
                  <c:v>41031</c:v>
                </c:pt>
                <c:pt idx="1157">
                  <c:v>41032</c:v>
                </c:pt>
                <c:pt idx="1158">
                  <c:v>41033</c:v>
                </c:pt>
                <c:pt idx="1159">
                  <c:v>41036</c:v>
                </c:pt>
                <c:pt idx="1160">
                  <c:v>41037</c:v>
                </c:pt>
                <c:pt idx="1161">
                  <c:v>41038</c:v>
                </c:pt>
                <c:pt idx="1162">
                  <c:v>41039</c:v>
                </c:pt>
                <c:pt idx="1163">
                  <c:v>41040</c:v>
                </c:pt>
                <c:pt idx="1164">
                  <c:v>41043</c:v>
                </c:pt>
                <c:pt idx="1165">
                  <c:v>41044</c:v>
                </c:pt>
                <c:pt idx="1166">
                  <c:v>41045</c:v>
                </c:pt>
                <c:pt idx="1167">
                  <c:v>41046</c:v>
                </c:pt>
                <c:pt idx="1168">
                  <c:v>41047</c:v>
                </c:pt>
                <c:pt idx="1169">
                  <c:v>41050</c:v>
                </c:pt>
                <c:pt idx="1170">
                  <c:v>41051</c:v>
                </c:pt>
                <c:pt idx="1171">
                  <c:v>41052</c:v>
                </c:pt>
                <c:pt idx="1172">
                  <c:v>41053</c:v>
                </c:pt>
                <c:pt idx="1173">
                  <c:v>41054</c:v>
                </c:pt>
                <c:pt idx="1174">
                  <c:v>41058</c:v>
                </c:pt>
                <c:pt idx="1175">
                  <c:v>41059</c:v>
                </c:pt>
                <c:pt idx="1176">
                  <c:v>41060</c:v>
                </c:pt>
                <c:pt idx="1177">
                  <c:v>41061</c:v>
                </c:pt>
                <c:pt idx="1178">
                  <c:v>41064</c:v>
                </c:pt>
                <c:pt idx="1179">
                  <c:v>41065</c:v>
                </c:pt>
                <c:pt idx="1180">
                  <c:v>41066</c:v>
                </c:pt>
                <c:pt idx="1181">
                  <c:v>41067</c:v>
                </c:pt>
                <c:pt idx="1182">
                  <c:v>41068</c:v>
                </c:pt>
                <c:pt idx="1183">
                  <c:v>41071</c:v>
                </c:pt>
                <c:pt idx="1184">
                  <c:v>41072</c:v>
                </c:pt>
                <c:pt idx="1185">
                  <c:v>41073</c:v>
                </c:pt>
                <c:pt idx="1186">
                  <c:v>41074</c:v>
                </c:pt>
                <c:pt idx="1187">
                  <c:v>41075</c:v>
                </c:pt>
                <c:pt idx="1188">
                  <c:v>41078</c:v>
                </c:pt>
                <c:pt idx="1189">
                  <c:v>41079</c:v>
                </c:pt>
                <c:pt idx="1190">
                  <c:v>41080</c:v>
                </c:pt>
                <c:pt idx="1191">
                  <c:v>41081</c:v>
                </c:pt>
                <c:pt idx="1192">
                  <c:v>41082</c:v>
                </c:pt>
                <c:pt idx="1193">
                  <c:v>41085</c:v>
                </c:pt>
                <c:pt idx="1194">
                  <c:v>41086</c:v>
                </c:pt>
                <c:pt idx="1195">
                  <c:v>41087</c:v>
                </c:pt>
                <c:pt idx="1196">
                  <c:v>41088</c:v>
                </c:pt>
                <c:pt idx="1197">
                  <c:v>41089</c:v>
                </c:pt>
                <c:pt idx="1198">
                  <c:v>41092</c:v>
                </c:pt>
                <c:pt idx="1199">
                  <c:v>41093</c:v>
                </c:pt>
                <c:pt idx="1200">
                  <c:v>41095</c:v>
                </c:pt>
                <c:pt idx="1201">
                  <c:v>41096</c:v>
                </c:pt>
                <c:pt idx="1202">
                  <c:v>41099</c:v>
                </c:pt>
                <c:pt idx="1203">
                  <c:v>41100</c:v>
                </c:pt>
                <c:pt idx="1204">
                  <c:v>41101</c:v>
                </c:pt>
                <c:pt idx="1205">
                  <c:v>41102</c:v>
                </c:pt>
                <c:pt idx="1206">
                  <c:v>41103</c:v>
                </c:pt>
                <c:pt idx="1207">
                  <c:v>41106</c:v>
                </c:pt>
                <c:pt idx="1208">
                  <c:v>41107</c:v>
                </c:pt>
                <c:pt idx="1209">
                  <c:v>41108</c:v>
                </c:pt>
                <c:pt idx="1210">
                  <c:v>41109</c:v>
                </c:pt>
                <c:pt idx="1211">
                  <c:v>41110</c:v>
                </c:pt>
                <c:pt idx="1212">
                  <c:v>41113</c:v>
                </c:pt>
                <c:pt idx="1213">
                  <c:v>41114</c:v>
                </c:pt>
                <c:pt idx="1214">
                  <c:v>41115</c:v>
                </c:pt>
                <c:pt idx="1215">
                  <c:v>41116</c:v>
                </c:pt>
                <c:pt idx="1216">
                  <c:v>41117</c:v>
                </c:pt>
                <c:pt idx="1217">
                  <c:v>41120</c:v>
                </c:pt>
                <c:pt idx="1218">
                  <c:v>41121</c:v>
                </c:pt>
                <c:pt idx="1219">
                  <c:v>41122</c:v>
                </c:pt>
                <c:pt idx="1220">
                  <c:v>41123</c:v>
                </c:pt>
                <c:pt idx="1221">
                  <c:v>41124</c:v>
                </c:pt>
                <c:pt idx="1222">
                  <c:v>41127</c:v>
                </c:pt>
                <c:pt idx="1223">
                  <c:v>41128</c:v>
                </c:pt>
                <c:pt idx="1224">
                  <c:v>41129</c:v>
                </c:pt>
                <c:pt idx="1225">
                  <c:v>41130</c:v>
                </c:pt>
                <c:pt idx="1226">
                  <c:v>41131</c:v>
                </c:pt>
                <c:pt idx="1227">
                  <c:v>41134</c:v>
                </c:pt>
                <c:pt idx="1228">
                  <c:v>41135</c:v>
                </c:pt>
                <c:pt idx="1229">
                  <c:v>41136</c:v>
                </c:pt>
                <c:pt idx="1230">
                  <c:v>41137</c:v>
                </c:pt>
                <c:pt idx="1231">
                  <c:v>41138</c:v>
                </c:pt>
                <c:pt idx="1232">
                  <c:v>41141</c:v>
                </c:pt>
                <c:pt idx="1233">
                  <c:v>41142</c:v>
                </c:pt>
                <c:pt idx="1234">
                  <c:v>41143</c:v>
                </c:pt>
                <c:pt idx="1235">
                  <c:v>41144</c:v>
                </c:pt>
                <c:pt idx="1236">
                  <c:v>41145</c:v>
                </c:pt>
                <c:pt idx="1237">
                  <c:v>41148</c:v>
                </c:pt>
                <c:pt idx="1238">
                  <c:v>41149</c:v>
                </c:pt>
                <c:pt idx="1239">
                  <c:v>41150</c:v>
                </c:pt>
                <c:pt idx="1240">
                  <c:v>41151</c:v>
                </c:pt>
                <c:pt idx="1241">
                  <c:v>41152</c:v>
                </c:pt>
              </c:numCache>
            </c:numRef>
          </c:cat>
          <c:val>
            <c:numRef>
              <c:f>'Cap8. DCA Vs Lump Sum'!$P$3:$P$1246</c:f>
              <c:numCache>
                <c:formatCode>0%</c:formatCode>
                <c:ptCount val="1244"/>
                <c:pt idx="0">
                  <c:v>0</c:v>
                </c:pt>
                <c:pt idx="1">
                  <c:v>-1.3611092800002167E-3</c:v>
                </c:pt>
                <c:pt idx="2">
                  <c:v>-3.3698487221466289E-3</c:v>
                </c:pt>
                <c:pt idx="3">
                  <c:v>-1.8146555055409408E-3</c:v>
                </c:pt>
                <c:pt idx="4">
                  <c:v>1.0045517469081666E-2</c:v>
                </c:pt>
                <c:pt idx="5">
                  <c:v>4.6663255117749269E-3</c:v>
                </c:pt>
                <c:pt idx="6">
                  <c:v>1.4128436860867399E-2</c:v>
                </c:pt>
                <c:pt idx="7">
                  <c:v>1.2443579094611801E-2</c:v>
                </c:pt>
                <c:pt idx="8">
                  <c:v>7.5828322324884567E-3</c:v>
                </c:pt>
                <c:pt idx="9">
                  <c:v>1.3156374505671087E-2</c:v>
                </c:pt>
                <c:pt idx="10">
                  <c:v>4.6017640558750905E-3</c:v>
                </c:pt>
                <c:pt idx="11">
                  <c:v>-3.3698487221466289E-3</c:v>
                </c:pt>
                <c:pt idx="12">
                  <c:v>-3.2381064141850935E-4</c:v>
                </c:pt>
                <c:pt idx="13">
                  <c:v>-3.9536632903508506E-3</c:v>
                </c:pt>
                <c:pt idx="14">
                  <c:v>-3.0006488288688682E-2</c:v>
                </c:pt>
                <c:pt idx="15">
                  <c:v>-2.4367905076918994E-2</c:v>
                </c:pt>
                <c:pt idx="16">
                  <c:v>-1.646152858228267E-2</c:v>
                </c:pt>
                <c:pt idx="17">
                  <c:v>-1.8275775639608582E-2</c:v>
                </c:pt>
                <c:pt idx="18">
                  <c:v>-1.5943154521571468E-2</c:v>
                </c:pt>
                <c:pt idx="19">
                  <c:v>-4.4071384814192704E-3</c:v>
                </c:pt>
                <c:pt idx="20">
                  <c:v>-1.1017801807002847E-3</c:v>
                </c:pt>
                <c:pt idx="21">
                  <c:v>-8.0362363890847943E-3</c:v>
                </c:pt>
                <c:pt idx="22">
                  <c:v>2.2684681103521953E-3</c:v>
                </c:pt>
                <c:pt idx="23">
                  <c:v>-2.1192273481013046E-2</c:v>
                </c:pt>
                <c:pt idx="24">
                  <c:v>-2.0090422265840457E-2</c:v>
                </c:pt>
                <c:pt idx="25">
                  <c:v>-2.7543660983151086E-2</c:v>
                </c:pt>
                <c:pt idx="26">
                  <c:v>-1.4452114312650588E-2</c:v>
                </c:pt>
                <c:pt idx="27">
                  <c:v>-4.1412635555083344E-2</c:v>
                </c:pt>
                <c:pt idx="28">
                  <c:v>-4.6273320262043338E-2</c:v>
                </c:pt>
                <c:pt idx="29">
                  <c:v>-5.9365204346286782E-2</c:v>
                </c:pt>
                <c:pt idx="30">
                  <c:v>-6.8697375887149414E-2</c:v>
                </c:pt>
                <c:pt idx="31">
                  <c:v>-4.0310988564018269E-2</c:v>
                </c:pt>
                <c:pt idx="32">
                  <c:v>-4.2968237219903949E-2</c:v>
                </c:pt>
                <c:pt idx="33">
                  <c:v>-5.677224188772112E-2</c:v>
                </c:pt>
                <c:pt idx="34">
                  <c:v>-5.5152354025580275E-2</c:v>
                </c:pt>
                <c:pt idx="35">
                  <c:v>-6.8308257927873317E-2</c:v>
                </c:pt>
                <c:pt idx="36">
                  <c:v>-6.26053885187835E-2</c:v>
                </c:pt>
                <c:pt idx="37">
                  <c:v>-8.17885851439073E-2</c:v>
                </c:pt>
                <c:pt idx="38">
                  <c:v>-6.591047156092289E-2</c:v>
                </c:pt>
                <c:pt idx="39">
                  <c:v>-8.6519880559797091E-2</c:v>
                </c:pt>
                <c:pt idx="40">
                  <c:v>-7.6020346261796656E-2</c:v>
                </c:pt>
                <c:pt idx="41">
                  <c:v>-4.6467608422756213E-2</c:v>
                </c:pt>
                <c:pt idx="42">
                  <c:v>-4.6143655712393317E-2</c:v>
                </c:pt>
                <c:pt idx="43">
                  <c:v>-3.6551817658487917E-2</c:v>
                </c:pt>
                <c:pt idx="44">
                  <c:v>-4.2903267315789084E-2</c:v>
                </c:pt>
                <c:pt idx="45">
                  <c:v>-5.1458357248272302E-2</c:v>
                </c:pt>
                <c:pt idx="46">
                  <c:v>-3.5579897372235991E-2</c:v>
                </c:pt>
                <c:pt idx="47">
                  <c:v>-2.1775688480311195E-2</c:v>
                </c:pt>
                <c:pt idx="48">
                  <c:v>-2.1970385089239208E-2</c:v>
                </c:pt>
                <c:pt idx="49">
                  <c:v>-1.438741966711532E-2</c:v>
                </c:pt>
                <c:pt idx="50">
                  <c:v>-4.1412635555083344E-2</c:v>
                </c:pt>
                <c:pt idx="51">
                  <c:v>-3.1950666274935147E-2</c:v>
                </c:pt>
                <c:pt idx="52">
                  <c:v>-3.3959938475622953E-2</c:v>
                </c:pt>
                <c:pt idx="53">
                  <c:v>-4.6208421392400667E-2</c:v>
                </c:pt>
                <c:pt idx="54">
                  <c:v>-5.9818679537355313E-2</c:v>
                </c:pt>
                <c:pt idx="55">
                  <c:v>-5.456887687111911E-2</c:v>
                </c:pt>
                <c:pt idx="56">
                  <c:v>-5.456887687111911E-2</c:v>
                </c:pt>
                <c:pt idx="57">
                  <c:v>-4.8606411983458608E-2</c:v>
                </c:pt>
                <c:pt idx="58">
                  <c:v>-3.4891626612695625E-2</c:v>
                </c:pt>
                <c:pt idx="59">
                  <c:v>-2.7725074145781958E-2</c:v>
                </c:pt>
                <c:pt idx="60">
                  <c:v>-2.5639990404663471E-2</c:v>
                </c:pt>
                <c:pt idx="61">
                  <c:v>-3.7888677545548699E-2</c:v>
                </c:pt>
                <c:pt idx="62">
                  <c:v>-4.0299401065744367E-2</c:v>
                </c:pt>
                <c:pt idx="63">
                  <c:v>-4.7401383197449132E-2</c:v>
                </c:pt>
                <c:pt idx="64">
                  <c:v>-5.5741052213746589E-2</c:v>
                </c:pt>
                <c:pt idx="65">
                  <c:v>-5.6196827145851946E-2</c:v>
                </c:pt>
                <c:pt idx="66">
                  <c:v>-7.9326104131421715E-2</c:v>
                </c:pt>
                <c:pt idx="67">
                  <c:v>-8.0107731946020611E-2</c:v>
                </c:pt>
                <c:pt idx="68">
                  <c:v>-9.4962780422785831E-2</c:v>
                </c:pt>
                <c:pt idx="69">
                  <c:v>-8.545047433979136E-2</c:v>
                </c:pt>
                <c:pt idx="70">
                  <c:v>-7.9456443508557406E-2</c:v>
                </c:pt>
                <c:pt idx="71">
                  <c:v>-8.6883665850433278E-2</c:v>
                </c:pt>
                <c:pt idx="72">
                  <c:v>-7.9521475567835287E-2</c:v>
                </c:pt>
                <c:pt idx="73">
                  <c:v>-9.9783703583944727E-2</c:v>
                </c:pt>
                <c:pt idx="74">
                  <c:v>-0.10753744475649096</c:v>
                </c:pt>
                <c:pt idx="75">
                  <c:v>-0.13066658855242541</c:v>
                </c:pt>
                <c:pt idx="76">
                  <c:v>-0.1395921676538564</c:v>
                </c:pt>
                <c:pt idx="77">
                  <c:v>-0.14832271273261655</c:v>
                </c:pt>
                <c:pt idx="78">
                  <c:v>-0.12786490905598602</c:v>
                </c:pt>
                <c:pt idx="79">
                  <c:v>-0.12050251454928051</c:v>
                </c:pt>
                <c:pt idx="80">
                  <c:v>-0.13320738507048602</c:v>
                </c:pt>
                <c:pt idx="81">
                  <c:v>-0.11887402263669733</c:v>
                </c:pt>
                <c:pt idx="82">
                  <c:v>-0.11450835052841113</c:v>
                </c:pt>
                <c:pt idx="83">
                  <c:v>-0.12102414731640276</c:v>
                </c:pt>
                <c:pt idx="84">
                  <c:v>-0.10499604444541677</c:v>
                </c:pt>
                <c:pt idx="85">
                  <c:v>-9.0597445728242576E-2</c:v>
                </c:pt>
                <c:pt idx="86">
                  <c:v>-0.10206456720969204</c:v>
                </c:pt>
                <c:pt idx="87">
                  <c:v>-0.12610560716288877</c:v>
                </c:pt>
                <c:pt idx="88">
                  <c:v>-0.13314214878710062</c:v>
                </c:pt>
                <c:pt idx="89">
                  <c:v>-0.12740892102046419</c:v>
                </c:pt>
                <c:pt idx="90">
                  <c:v>-0.13301194259960025</c:v>
                </c:pt>
                <c:pt idx="91">
                  <c:v>-0.12858177119057745</c:v>
                </c:pt>
                <c:pt idx="92">
                  <c:v>-0.12050251454928051</c:v>
                </c:pt>
                <c:pt idx="93">
                  <c:v>-0.11151136175072118</c:v>
                </c:pt>
                <c:pt idx="94">
                  <c:v>-0.11932980644811164</c:v>
                </c:pt>
                <c:pt idx="95">
                  <c:v>-0.11952531107416065</c:v>
                </c:pt>
                <c:pt idx="96">
                  <c:v>-0.11704961764985</c:v>
                </c:pt>
                <c:pt idx="97">
                  <c:v>-0.11444338062429638</c:v>
                </c:pt>
                <c:pt idx="98">
                  <c:v>-0.1218059083206372</c:v>
                </c:pt>
                <c:pt idx="99">
                  <c:v>-0.11639778757453645</c:v>
                </c:pt>
                <c:pt idx="100">
                  <c:v>-0.10525706061343099</c:v>
                </c:pt>
                <c:pt idx="101">
                  <c:v>-9.8546158768296421E-2</c:v>
                </c:pt>
                <c:pt idx="102">
                  <c:v>-9.9458054925558703E-2</c:v>
                </c:pt>
                <c:pt idx="103">
                  <c:v>-0.10825390732217655</c:v>
                </c:pt>
                <c:pt idx="104">
                  <c:v>-0.12812538358614967</c:v>
                </c:pt>
                <c:pt idx="105">
                  <c:v>-0.13021046732726826</c:v>
                </c:pt>
                <c:pt idx="106">
                  <c:v>-0.13353282062545568</c:v>
                </c:pt>
                <c:pt idx="107">
                  <c:v>-0.12806028049239959</c:v>
                </c:pt>
                <c:pt idx="108">
                  <c:v>-0.1461076270281052</c:v>
                </c:pt>
                <c:pt idx="109">
                  <c:v>-0.15490313313167114</c:v>
                </c:pt>
                <c:pt idx="110">
                  <c:v>-0.16604440173062707</c:v>
                </c:pt>
                <c:pt idx="111">
                  <c:v>-0.13607402559173132</c:v>
                </c:pt>
                <c:pt idx="112">
                  <c:v>-0.14415267844001478</c:v>
                </c:pt>
                <c:pt idx="113">
                  <c:v>-0.14226350777316021</c:v>
                </c:pt>
                <c:pt idx="114">
                  <c:v>-0.1555549632069847</c:v>
                </c:pt>
                <c:pt idx="115">
                  <c:v>-0.16408959521148103</c:v>
                </c:pt>
                <c:pt idx="116">
                  <c:v>-0.12936306159143363</c:v>
                </c:pt>
                <c:pt idx="117">
                  <c:v>-0.15092894975817028</c:v>
                </c:pt>
                <c:pt idx="118">
                  <c:v>-0.13520162460099927</c:v>
                </c:pt>
                <c:pt idx="119">
                  <c:v>-0.11791633588280792</c:v>
                </c:pt>
                <c:pt idx="120">
                  <c:v>-0.11706486342344102</c:v>
                </c:pt>
                <c:pt idx="121">
                  <c:v>-0.12786856733130303</c:v>
                </c:pt>
                <c:pt idx="122">
                  <c:v>-0.13061841830098042</c:v>
                </c:pt>
                <c:pt idx="123">
                  <c:v>-0.13893396223466492</c:v>
                </c:pt>
                <c:pt idx="124">
                  <c:v>-0.13592201182127261</c:v>
                </c:pt>
                <c:pt idx="125">
                  <c:v>-0.10554165134689886</c:v>
                </c:pt>
                <c:pt idx="126">
                  <c:v>-0.10495227833124676</c:v>
                </c:pt>
                <c:pt idx="127">
                  <c:v>-0.10272614676631187</c:v>
                </c:pt>
                <c:pt idx="128">
                  <c:v>-0.10370809179244977</c:v>
                </c:pt>
                <c:pt idx="129">
                  <c:v>-0.10324974186072811</c:v>
                </c:pt>
                <c:pt idx="130">
                  <c:v>-0.10416637956900821</c:v>
                </c:pt>
                <c:pt idx="131">
                  <c:v>-0.11064871024129563</c:v>
                </c:pt>
                <c:pt idx="132">
                  <c:v>-0.10940466577144292</c:v>
                </c:pt>
                <c:pt idx="133">
                  <c:v>-0.12668996336894334</c:v>
                </c:pt>
                <c:pt idx="134">
                  <c:v>-0.12963667749895014</c:v>
                </c:pt>
                <c:pt idx="135">
                  <c:v>-0.12760653004275135</c:v>
                </c:pt>
                <c:pt idx="136">
                  <c:v>-0.10397005804652926</c:v>
                </c:pt>
                <c:pt idx="137">
                  <c:v>-0.10266070625881896</c:v>
                </c:pt>
                <c:pt idx="138">
                  <c:v>-9.3297439377760694E-2</c:v>
                </c:pt>
                <c:pt idx="139">
                  <c:v>-9.2839089446039025E-2</c:v>
                </c:pt>
                <c:pt idx="140">
                  <c:v>-9.6833260144148836E-2</c:v>
                </c:pt>
                <c:pt idx="141">
                  <c:v>-9.8273892515751138E-2</c:v>
                </c:pt>
                <c:pt idx="142">
                  <c:v>-9.4344895945863816E-2</c:v>
                </c:pt>
                <c:pt idx="143">
                  <c:v>-8.5964586332171966E-2</c:v>
                </c:pt>
                <c:pt idx="144">
                  <c:v>-8.5767723171842558E-2</c:v>
                </c:pt>
                <c:pt idx="145">
                  <c:v>-8.9368913411251416E-2</c:v>
                </c:pt>
                <c:pt idx="146">
                  <c:v>-9.4738284852779686E-2</c:v>
                </c:pt>
                <c:pt idx="147">
                  <c:v>-7.6012212814732361E-2</c:v>
                </c:pt>
                <c:pt idx="148">
                  <c:v>-7.3458550177898707E-2</c:v>
                </c:pt>
                <c:pt idx="149">
                  <c:v>-7.7910662359515159E-2</c:v>
                </c:pt>
                <c:pt idx="150">
                  <c:v>-6.9922933635618079E-2</c:v>
                </c:pt>
                <c:pt idx="151">
                  <c:v>-8.6487977202480582E-2</c:v>
                </c:pt>
                <c:pt idx="152">
                  <c:v>-8.8845318316835287E-2</c:v>
                </c:pt>
                <c:pt idx="153">
                  <c:v>-9.0547925821826247E-2</c:v>
                </c:pt>
                <c:pt idx="154">
                  <c:v>-8.0333523895143921E-2</c:v>
                </c:pt>
                <c:pt idx="155">
                  <c:v>-8.0202500811213717E-2</c:v>
                </c:pt>
                <c:pt idx="156">
                  <c:v>-7.8303784887160277E-2</c:v>
                </c:pt>
                <c:pt idx="157">
                  <c:v>-6.6780368586510486E-2</c:v>
                </c:pt>
                <c:pt idx="158">
                  <c:v>-6.592889612714381E-2</c:v>
                </c:pt>
                <c:pt idx="159">
                  <c:v>-6.3375428835108494E-2</c:v>
                </c:pt>
                <c:pt idx="160">
                  <c:v>-7.0970523393356411E-2</c:v>
                </c:pt>
                <c:pt idx="161">
                  <c:v>-8.6684494069758089E-2</c:v>
                </c:pt>
                <c:pt idx="162">
                  <c:v>-8.6553959347824061E-2</c:v>
                </c:pt>
                <c:pt idx="163">
                  <c:v>-9.8797558644639571E-2</c:v>
                </c:pt>
                <c:pt idx="164">
                  <c:v>-9.2119039639508515E-2</c:v>
                </c:pt>
                <c:pt idx="165">
                  <c:v>-8.7928476384447674E-2</c:v>
                </c:pt>
                <c:pt idx="166">
                  <c:v>-8.3345270084428713E-2</c:v>
                </c:pt>
                <c:pt idx="167">
                  <c:v>-8.1053706891309862E-2</c:v>
                </c:pt>
                <c:pt idx="168">
                  <c:v>-9.0547925821826247E-2</c:v>
                </c:pt>
                <c:pt idx="169">
                  <c:v>-9.5851039859431331E-2</c:v>
                </c:pt>
                <c:pt idx="170">
                  <c:v>-9.6309256601517568E-2</c:v>
                </c:pt>
                <c:pt idx="171">
                  <c:v>-7.8238006965924534E-2</c:v>
                </c:pt>
                <c:pt idx="172">
                  <c:v>-0.10763655560379581</c:v>
                </c:pt>
                <c:pt idx="173">
                  <c:v>-0.10547593558082613</c:v>
                </c:pt>
                <c:pt idx="174">
                  <c:v>-0.10992826086585894</c:v>
                </c:pt>
                <c:pt idx="175">
                  <c:v>-0.12302353684614897</c:v>
                </c:pt>
                <c:pt idx="176">
                  <c:v>-0.11968410863671208</c:v>
                </c:pt>
                <c:pt idx="177">
                  <c:v>-0.10855326434654822</c:v>
                </c:pt>
                <c:pt idx="178">
                  <c:v>-0.10802966925213198</c:v>
                </c:pt>
                <c:pt idx="179">
                  <c:v>-0.11235084714290822</c:v>
                </c:pt>
                <c:pt idx="180">
                  <c:v>-0.12099365576922083</c:v>
                </c:pt>
                <c:pt idx="181">
                  <c:v>-0.11988049231435416</c:v>
                </c:pt>
                <c:pt idx="182">
                  <c:v>-0.13416629716902062</c:v>
                </c:pt>
                <c:pt idx="183">
                  <c:v>-0.13502176531744747</c:v>
                </c:pt>
                <c:pt idx="184">
                  <c:v>-0.13673270161430096</c:v>
                </c:pt>
                <c:pt idx="185">
                  <c:v>-0.13265276567034667</c:v>
                </c:pt>
                <c:pt idx="186">
                  <c:v>-0.15621024733350797</c:v>
                </c:pt>
                <c:pt idx="187">
                  <c:v>-0.16081669078523775</c:v>
                </c:pt>
                <c:pt idx="188">
                  <c:v>-0.15785540570912571</c:v>
                </c:pt>
                <c:pt idx="189">
                  <c:v>-0.15522335653224473</c:v>
                </c:pt>
                <c:pt idx="190">
                  <c:v>-0.16969979127230694</c:v>
                </c:pt>
                <c:pt idx="191">
                  <c:v>-0.16884445631351552</c:v>
                </c:pt>
                <c:pt idx="192">
                  <c:v>-0.17733288927316959</c:v>
                </c:pt>
                <c:pt idx="193">
                  <c:v>-0.16272462343205607</c:v>
                </c:pt>
                <c:pt idx="194">
                  <c:v>-0.17884655396147875</c:v>
                </c:pt>
                <c:pt idx="195">
                  <c:v>-0.17549045928900742</c:v>
                </c:pt>
                <c:pt idx="196">
                  <c:v>-0.18509780949577459</c:v>
                </c:pt>
                <c:pt idx="197">
                  <c:v>-0.19246765374274954</c:v>
                </c:pt>
                <c:pt idx="198">
                  <c:v>-0.20385138075386322</c:v>
                </c:pt>
                <c:pt idx="199">
                  <c:v>-0.1843081192685837</c:v>
                </c:pt>
                <c:pt idx="200">
                  <c:v>-0.17614865582888994</c:v>
                </c:pt>
                <c:pt idx="201">
                  <c:v>-0.17101625538654408</c:v>
                </c:pt>
                <c:pt idx="202">
                  <c:v>-0.17055518838626149</c:v>
                </c:pt>
                <c:pt idx="203">
                  <c:v>-0.16114524297767419</c:v>
                </c:pt>
                <c:pt idx="204">
                  <c:v>-0.15660519899881165</c:v>
                </c:pt>
                <c:pt idx="205">
                  <c:v>-0.17410862570174945</c:v>
                </c:pt>
                <c:pt idx="206">
                  <c:v>-0.17430603049992921</c:v>
                </c:pt>
                <c:pt idx="207">
                  <c:v>-0.18641393619626878</c:v>
                </c:pt>
                <c:pt idx="208">
                  <c:v>-0.16904186111169517</c:v>
                </c:pt>
                <c:pt idx="209">
                  <c:v>-0.15423619935171107</c:v>
                </c:pt>
                <c:pt idx="210">
                  <c:v>-0.16542258371980811</c:v>
                </c:pt>
                <c:pt idx="211">
                  <c:v>-0.16983168452852149</c:v>
                </c:pt>
                <c:pt idx="212">
                  <c:v>-0.17753063148509207</c:v>
                </c:pt>
                <c:pt idx="213">
                  <c:v>-0.15535477918508112</c:v>
                </c:pt>
                <c:pt idx="214">
                  <c:v>-0.15160381276108725</c:v>
                </c:pt>
                <c:pt idx="215">
                  <c:v>-0.16423815493073002</c:v>
                </c:pt>
                <c:pt idx="216">
                  <c:v>-0.14870891827853361</c:v>
                </c:pt>
                <c:pt idx="217">
                  <c:v>-0.13989111623001294</c:v>
                </c:pt>
                <c:pt idx="218">
                  <c:v>-0.14884026989689769</c:v>
                </c:pt>
                <c:pt idx="219">
                  <c:v>-0.15397294559782326</c:v>
                </c:pt>
                <c:pt idx="220">
                  <c:v>-0.14759026741069126</c:v>
                </c:pt>
                <c:pt idx="221">
                  <c:v>-0.14344461570066414</c:v>
                </c:pt>
                <c:pt idx="222">
                  <c:v>-0.15515757861100898</c:v>
                </c:pt>
                <c:pt idx="223">
                  <c:v>-0.16437004818694445</c:v>
                </c:pt>
                <c:pt idx="224">
                  <c:v>-0.16048725066189917</c:v>
                </c:pt>
                <c:pt idx="225">
                  <c:v>-0.15903983449820391</c:v>
                </c:pt>
                <c:pt idx="226">
                  <c:v>-0.14686607984615641</c:v>
                </c:pt>
                <c:pt idx="227">
                  <c:v>-0.16417243916465729</c:v>
                </c:pt>
                <c:pt idx="228">
                  <c:v>-0.16173773263079294</c:v>
                </c:pt>
                <c:pt idx="229">
                  <c:v>-0.15357819815662699</c:v>
                </c:pt>
                <c:pt idx="230">
                  <c:v>-0.14331305985819243</c:v>
                </c:pt>
                <c:pt idx="231">
                  <c:v>-0.15252532521002049</c:v>
                </c:pt>
                <c:pt idx="232">
                  <c:v>-0.15778962778788985</c:v>
                </c:pt>
                <c:pt idx="233">
                  <c:v>-0.15851319380079321</c:v>
                </c:pt>
                <c:pt idx="234">
                  <c:v>-0.18384760278546053</c:v>
                </c:pt>
                <c:pt idx="235">
                  <c:v>-0.18128119834018019</c:v>
                </c:pt>
                <c:pt idx="236">
                  <c:v>-0.16437004818694445</c:v>
                </c:pt>
                <c:pt idx="237">
                  <c:v>-0.18917767440525668</c:v>
                </c:pt>
                <c:pt idx="238">
                  <c:v>-0.18588742868849339</c:v>
                </c:pt>
                <c:pt idx="239">
                  <c:v>-0.17410862570174945</c:v>
                </c:pt>
                <c:pt idx="240">
                  <c:v>-0.17029248514953321</c:v>
                </c:pt>
                <c:pt idx="241">
                  <c:v>-0.20977374668197979</c:v>
                </c:pt>
                <c:pt idx="242">
                  <c:v>-0.19654745649706862</c:v>
                </c:pt>
                <c:pt idx="243">
                  <c:v>-0.23267303180525878</c:v>
                </c:pt>
                <c:pt idx="244">
                  <c:v>-0.20990550674855901</c:v>
                </c:pt>
                <c:pt idx="245">
                  <c:v>-0.178527822284821</c:v>
                </c:pt>
                <c:pt idx="246">
                  <c:v>-0.19712530416960994</c:v>
                </c:pt>
                <c:pt idx="247">
                  <c:v>-0.21539206731056104</c:v>
                </c:pt>
                <c:pt idx="248">
                  <c:v>-0.21287687871972005</c:v>
                </c:pt>
                <c:pt idx="249">
                  <c:v>-0.20056695986381845</c:v>
                </c:pt>
                <c:pt idx="250">
                  <c:v>-0.20016977949195014</c:v>
                </c:pt>
                <c:pt idx="251">
                  <c:v>-0.2628456874829872</c:v>
                </c:pt>
                <c:pt idx="252">
                  <c:v>-0.23233512082111296</c:v>
                </c:pt>
                <c:pt idx="253">
                  <c:v>-0.23187175407979388</c:v>
                </c:pt>
                <c:pt idx="254">
                  <c:v>-0.2597351678601405</c:v>
                </c:pt>
                <c:pt idx="255">
                  <c:v>-0.26972892783693203</c:v>
                </c:pt>
                <c:pt idx="256">
                  <c:v>-0.30692404255476335</c:v>
                </c:pt>
                <c:pt idx="257">
                  <c:v>-0.33796409129293536</c:v>
                </c:pt>
                <c:pt idx="258">
                  <c:v>-0.35464267458426357</c:v>
                </c:pt>
                <c:pt idx="259">
                  <c:v>-0.3997138784736568</c:v>
                </c:pt>
                <c:pt idx="260">
                  <c:v>-0.41427404509779742</c:v>
                </c:pt>
                <c:pt idx="261">
                  <c:v>-0.32922805880119943</c:v>
                </c:pt>
                <c:pt idx="262">
                  <c:v>-0.33915564128784925</c:v>
                </c:pt>
                <c:pt idx="263">
                  <c:v>-0.40421416090671813</c:v>
                </c:pt>
                <c:pt idx="264">
                  <c:v>-0.37939508925907639</c:v>
                </c:pt>
                <c:pt idx="265">
                  <c:v>-0.38310188999999428</c:v>
                </c:pt>
                <c:pt idx="266">
                  <c:v>-0.34603873957284981</c:v>
                </c:pt>
                <c:pt idx="267">
                  <c:v>-0.36556283062995065</c:v>
                </c:pt>
                <c:pt idx="268">
                  <c:v>-0.40011072143178217</c:v>
                </c:pt>
                <c:pt idx="269">
                  <c:v>-0.39316156996696616</c:v>
                </c:pt>
                <c:pt idx="270">
                  <c:v>-0.42393666900322724</c:v>
                </c:pt>
                <c:pt idx="271">
                  <c:v>-0.44438783095670931</c:v>
                </c:pt>
                <c:pt idx="272">
                  <c:v>-0.37946161304227011</c:v>
                </c:pt>
                <c:pt idx="273">
                  <c:v>-0.38396196650980352</c:v>
                </c:pt>
                <c:pt idx="274">
                  <c:v>-0.3626505948568769</c:v>
                </c:pt>
                <c:pt idx="275">
                  <c:v>-0.35914316124143253</c:v>
                </c:pt>
                <c:pt idx="276">
                  <c:v>-0.35728996065542651</c:v>
                </c:pt>
                <c:pt idx="277">
                  <c:v>-0.33544937330547264</c:v>
                </c:pt>
                <c:pt idx="278">
                  <c:v>-0.36337863604152731</c:v>
                </c:pt>
                <c:pt idx="279">
                  <c:v>-0.39865477225211665</c:v>
                </c:pt>
                <c:pt idx="280">
                  <c:v>-0.37879975822707046</c:v>
                </c:pt>
                <c:pt idx="281">
                  <c:v>-0.38694018442822087</c:v>
                </c:pt>
                <c:pt idx="282">
                  <c:v>-0.40586887341884359</c:v>
                </c:pt>
                <c:pt idx="283">
                  <c:v>-0.43201131728314168</c:v>
                </c:pt>
                <c:pt idx="284">
                  <c:v>-0.39660321678186561</c:v>
                </c:pt>
                <c:pt idx="285">
                  <c:v>-0.42671673626150686</c:v>
                </c:pt>
                <c:pt idx="286">
                  <c:v>-0.43432768038635938</c:v>
                </c:pt>
                <c:pt idx="287">
                  <c:v>-0.42367226981847561</c:v>
                </c:pt>
                <c:pt idx="288">
                  <c:v>-0.46060284328261092</c:v>
                </c:pt>
                <c:pt idx="289">
                  <c:v>-0.50064397188682896</c:v>
                </c:pt>
                <c:pt idx="290">
                  <c:v>-0.4737071583994853</c:v>
                </c:pt>
                <c:pt idx="291">
                  <c:v>-0.43724002271114148</c:v>
                </c:pt>
                <c:pt idx="292">
                  <c:v>-0.43307021928057421</c:v>
                </c:pt>
                <c:pt idx="293">
                  <c:v>-0.41116358763011385</c:v>
                </c:pt>
                <c:pt idx="294">
                  <c:v>-0.40375092735503426</c:v>
                </c:pt>
                <c:pt idx="295">
                  <c:v>-0.45656538595301832</c:v>
                </c:pt>
                <c:pt idx="296">
                  <c:v>-0.43565136337883137</c:v>
                </c:pt>
                <c:pt idx="297">
                  <c:v>-0.42208381471027301</c:v>
                </c:pt>
                <c:pt idx="298">
                  <c:v>-0.43545307952905854</c:v>
                </c:pt>
                <c:pt idx="299">
                  <c:v>-0.41804669479442347</c:v>
                </c:pt>
                <c:pt idx="300">
                  <c:v>-0.3977281719591137</c:v>
                </c:pt>
                <c:pt idx="301">
                  <c:v>-0.40765568341129121</c:v>
                </c:pt>
                <c:pt idx="302">
                  <c:v>-0.4036186256506048</c:v>
                </c:pt>
                <c:pt idx="303">
                  <c:v>-0.41798023316639288</c:v>
                </c:pt>
                <c:pt idx="304">
                  <c:v>-0.41103115273604895</c:v>
                </c:pt>
                <c:pt idx="305">
                  <c:v>-0.41923796953075765</c:v>
                </c:pt>
                <c:pt idx="306">
                  <c:v>-0.39190390463707359</c:v>
                </c:pt>
                <c:pt idx="307">
                  <c:v>-0.39779442936303677</c:v>
                </c:pt>
                <c:pt idx="308">
                  <c:v>-0.40904544622150596</c:v>
                </c:pt>
                <c:pt idx="309">
                  <c:v>-0.41158773446348229</c:v>
                </c:pt>
                <c:pt idx="310">
                  <c:v>-0.41912686273696387</c:v>
                </c:pt>
                <c:pt idx="311">
                  <c:v>-0.42513208149756576</c:v>
                </c:pt>
                <c:pt idx="312">
                  <c:v>-0.4217959652703942</c:v>
                </c:pt>
                <c:pt idx="313">
                  <c:v>-0.41845985792253149</c:v>
                </c:pt>
                <c:pt idx="314">
                  <c:v>-0.42012804922575264</c:v>
                </c:pt>
                <c:pt idx="315">
                  <c:v>-0.40638351816976559</c:v>
                </c:pt>
                <c:pt idx="316">
                  <c:v>-0.39790978934585208</c:v>
                </c:pt>
                <c:pt idx="317">
                  <c:v>-0.37976184911823485</c:v>
                </c:pt>
                <c:pt idx="318">
                  <c:v>-0.3804959193537113</c:v>
                </c:pt>
                <c:pt idx="319">
                  <c:v>-0.37635880953896361</c:v>
                </c:pt>
                <c:pt idx="320">
                  <c:v>-0.39504084908357007</c:v>
                </c:pt>
                <c:pt idx="321">
                  <c:v>-0.39257212591684199</c:v>
                </c:pt>
                <c:pt idx="322">
                  <c:v>-0.40558285311662334</c:v>
                </c:pt>
                <c:pt idx="323">
                  <c:v>-0.41986100400691251</c:v>
                </c:pt>
                <c:pt idx="324">
                  <c:v>-0.41879342692456534</c:v>
                </c:pt>
                <c:pt idx="325">
                  <c:v>-0.43707509842536463</c:v>
                </c:pt>
                <c:pt idx="326">
                  <c:v>-0.43687471017935353</c:v>
                </c:pt>
                <c:pt idx="327">
                  <c:v>-0.43247150523183087</c:v>
                </c:pt>
                <c:pt idx="328">
                  <c:v>-0.46242904188988065</c:v>
                </c:pt>
                <c:pt idx="329">
                  <c:v>-0.43921020819351386</c:v>
                </c:pt>
                <c:pt idx="330">
                  <c:v>-0.44788381914282416</c:v>
                </c:pt>
                <c:pt idx="331">
                  <c:v>-0.44548202820750471</c:v>
                </c:pt>
                <c:pt idx="332">
                  <c:v>-0.44167872713613443</c:v>
                </c:pt>
                <c:pt idx="333">
                  <c:v>-0.43600752134301746</c:v>
                </c:pt>
                <c:pt idx="334">
                  <c:v>-0.4169253978924925</c:v>
                </c:pt>
                <c:pt idx="335">
                  <c:v>-0.4358741363628873</c:v>
                </c:pt>
                <c:pt idx="336">
                  <c:v>-0.44735019930852205</c:v>
                </c:pt>
                <c:pt idx="337">
                  <c:v>-0.44901811535316349</c:v>
                </c:pt>
                <c:pt idx="338">
                  <c:v>-0.44127835909232715</c:v>
                </c:pt>
                <c:pt idx="339">
                  <c:v>-0.44401395877102412</c:v>
                </c:pt>
                <c:pt idx="340">
                  <c:v>-0.43574037845177815</c:v>
                </c:pt>
                <c:pt idx="341">
                  <c:v>-0.41966095317464425</c:v>
                </c:pt>
                <c:pt idx="342">
                  <c:v>-0.41886015493186657</c:v>
                </c:pt>
                <c:pt idx="343">
                  <c:v>-0.44548202820750471</c:v>
                </c:pt>
                <c:pt idx="344">
                  <c:v>-0.44221268438417938</c:v>
                </c:pt>
                <c:pt idx="345">
                  <c:v>-0.44181221866797293</c:v>
                </c:pt>
                <c:pt idx="346">
                  <c:v>-0.44781718880792221</c:v>
                </c:pt>
                <c:pt idx="347">
                  <c:v>-0.47143652373773159</c:v>
                </c:pt>
                <c:pt idx="348">
                  <c:v>-0.47270414277303807</c:v>
                </c:pt>
                <c:pt idx="349">
                  <c:v>-0.4783752420144467</c:v>
                </c:pt>
                <c:pt idx="350">
                  <c:v>-0.48344626867283169</c:v>
                </c:pt>
                <c:pt idx="351">
                  <c:v>-0.50192788445419101</c:v>
                </c:pt>
                <c:pt idx="352">
                  <c:v>-0.48304570528422597</c:v>
                </c:pt>
                <c:pt idx="353">
                  <c:v>-0.48711598941927337</c:v>
                </c:pt>
                <c:pt idx="354">
                  <c:v>-0.49545568507349791</c:v>
                </c:pt>
                <c:pt idx="355">
                  <c:v>-0.50673196356613504</c:v>
                </c:pt>
                <c:pt idx="356">
                  <c:v>-0.52894978835989359</c:v>
                </c:pt>
                <c:pt idx="357">
                  <c:v>-0.53248610636758698</c:v>
                </c:pt>
                <c:pt idx="358">
                  <c:v>-0.52141031379336011</c:v>
                </c:pt>
                <c:pt idx="359">
                  <c:v>-0.54095970200186505</c:v>
                </c:pt>
                <c:pt idx="360">
                  <c:v>-0.54015907246595884</c:v>
                </c:pt>
                <c:pt idx="361">
                  <c:v>-0.54556339286779798</c:v>
                </c:pt>
                <c:pt idx="362">
                  <c:v>-0.51847467216170395</c:v>
                </c:pt>
                <c:pt idx="363">
                  <c:v>-0.51533873995643598</c:v>
                </c:pt>
                <c:pt idx="364">
                  <c:v>-0.49625650995420267</c:v>
                </c:pt>
                <c:pt idx="365">
                  <c:v>-0.49232009028197277</c:v>
                </c:pt>
                <c:pt idx="366">
                  <c:v>-0.49385469238095614</c:v>
                </c:pt>
                <c:pt idx="367">
                  <c:v>-0.4783752420144467</c:v>
                </c:pt>
                <c:pt idx="368">
                  <c:v>-0.46669913711585265</c:v>
                </c:pt>
                <c:pt idx="369">
                  <c:v>-0.47330432190776994</c:v>
                </c:pt>
                <c:pt idx="370">
                  <c:v>-0.4845200790301124</c:v>
                </c:pt>
                <c:pt idx="371">
                  <c:v>-0.44749368006301038</c:v>
                </c:pt>
                <c:pt idx="372">
                  <c:v>-0.45837993490685114</c:v>
                </c:pt>
                <c:pt idx="373">
                  <c:v>-0.45266791093015946</c:v>
                </c:pt>
                <c:pt idx="374">
                  <c:v>-0.44151302147116367</c:v>
                </c:pt>
                <c:pt idx="375">
                  <c:v>-0.45159271540067136</c:v>
                </c:pt>
                <c:pt idx="376">
                  <c:v>-0.47054258154331197</c:v>
                </c:pt>
                <c:pt idx="377">
                  <c:v>-0.46563728718782482</c:v>
                </c:pt>
                <c:pt idx="378">
                  <c:v>-0.45528871890181843</c:v>
                </c:pt>
                <c:pt idx="379">
                  <c:v>-0.43936249722255216</c:v>
                </c:pt>
                <c:pt idx="380">
                  <c:v>-0.43378495038100051</c:v>
                </c:pt>
                <c:pt idx="381">
                  <c:v>-0.43822034282372824</c:v>
                </c:pt>
                <c:pt idx="382">
                  <c:v>-0.45132398311311694</c:v>
                </c:pt>
                <c:pt idx="383">
                  <c:v>-0.44541049649402265</c:v>
                </c:pt>
                <c:pt idx="384">
                  <c:v>-0.42336952089805757</c:v>
                </c:pt>
                <c:pt idx="385">
                  <c:v>-0.42323491057328222</c:v>
                </c:pt>
                <c:pt idx="386">
                  <c:v>-0.43318030495383042</c:v>
                </c:pt>
                <c:pt idx="387">
                  <c:v>-0.4271326164581758</c:v>
                </c:pt>
                <c:pt idx="388">
                  <c:v>-0.41873279900256244</c:v>
                </c:pt>
                <c:pt idx="389">
                  <c:v>-0.41483509311766886</c:v>
                </c:pt>
                <c:pt idx="390">
                  <c:v>-0.43936249722255216</c:v>
                </c:pt>
                <c:pt idx="391">
                  <c:v>-0.42840938118177496</c:v>
                </c:pt>
                <c:pt idx="392">
                  <c:v>-0.43190367341986657</c:v>
                </c:pt>
                <c:pt idx="393">
                  <c:v>-0.42632612657831492</c:v>
                </c:pt>
                <c:pt idx="394">
                  <c:v>-0.41765750580067496</c:v>
                </c:pt>
                <c:pt idx="395">
                  <c:v>-0.42316750773849543</c:v>
                </c:pt>
                <c:pt idx="396">
                  <c:v>-0.42498229643367169</c:v>
                </c:pt>
                <c:pt idx="397">
                  <c:v>-0.41275204273831634</c:v>
                </c:pt>
                <c:pt idx="398">
                  <c:v>-0.4125503048373339</c:v>
                </c:pt>
                <c:pt idx="399">
                  <c:v>-0.40939202341125713</c:v>
                </c:pt>
                <c:pt idx="400">
                  <c:v>-0.38929970097328592</c:v>
                </c:pt>
                <c:pt idx="401">
                  <c:v>-0.39138288454227377</c:v>
                </c:pt>
                <c:pt idx="402">
                  <c:v>-0.38083267602768411</c:v>
                </c:pt>
                <c:pt idx="403">
                  <c:v>-0.38943416922911678</c:v>
                </c:pt>
                <c:pt idx="404">
                  <c:v>-0.37518813479956059</c:v>
                </c:pt>
                <c:pt idx="405">
                  <c:v>-0.38688056874744636</c:v>
                </c:pt>
                <c:pt idx="406">
                  <c:v>-0.38869502002887979</c:v>
                </c:pt>
                <c:pt idx="407">
                  <c:v>-0.40408335092620418</c:v>
                </c:pt>
                <c:pt idx="408">
                  <c:v>-0.39897635418697075</c:v>
                </c:pt>
                <c:pt idx="409">
                  <c:v>-0.40388174621485706</c:v>
                </c:pt>
                <c:pt idx="410">
                  <c:v>-0.38694776735812564</c:v>
                </c:pt>
                <c:pt idx="411">
                  <c:v>-0.38768672121356429</c:v>
                </c:pt>
                <c:pt idx="412">
                  <c:v>-0.391786093964968</c:v>
                </c:pt>
                <c:pt idx="413">
                  <c:v>-0.4005217890429611</c:v>
                </c:pt>
                <c:pt idx="414">
                  <c:v>-0.40179875799066767</c:v>
                </c:pt>
                <c:pt idx="415">
                  <c:v>-0.38647715510064451</c:v>
                </c:pt>
                <c:pt idx="416">
                  <c:v>-0.39743064407240059</c:v>
                </c:pt>
                <c:pt idx="417">
                  <c:v>-0.38903102196158568</c:v>
                </c:pt>
                <c:pt idx="418">
                  <c:v>-0.37821201012496952</c:v>
                </c:pt>
                <c:pt idx="419">
                  <c:v>-0.36315961900518778</c:v>
                </c:pt>
                <c:pt idx="420">
                  <c:v>-0.36262194132666259</c:v>
                </c:pt>
                <c:pt idx="421">
                  <c:v>-0.37068561478062567</c:v>
                </c:pt>
                <c:pt idx="422">
                  <c:v>-0.36477259876490942</c:v>
                </c:pt>
                <c:pt idx="423">
                  <c:v>-0.36463792628497094</c:v>
                </c:pt>
                <c:pt idx="424">
                  <c:v>-0.36725845899805032</c:v>
                </c:pt>
                <c:pt idx="425">
                  <c:v>-0.3640332453405648</c:v>
                </c:pt>
                <c:pt idx="426">
                  <c:v>-0.36564561242796401</c:v>
                </c:pt>
                <c:pt idx="427">
                  <c:v>-0.36282327077943</c:v>
                </c:pt>
                <c:pt idx="428">
                  <c:v>-0.36107636440172786</c:v>
                </c:pt>
                <c:pt idx="429">
                  <c:v>-0.37572560825397838</c:v>
                </c:pt>
                <c:pt idx="430">
                  <c:v>-0.38419297061332291</c:v>
                </c:pt>
                <c:pt idx="431">
                  <c:v>-0.38479724310951413</c:v>
                </c:pt>
                <c:pt idx="432">
                  <c:v>-0.38029479412505141</c:v>
                </c:pt>
                <c:pt idx="433">
                  <c:v>-0.37801108024110797</c:v>
                </c:pt>
                <c:pt idx="434">
                  <c:v>-0.39666249504889728</c:v>
                </c:pt>
                <c:pt idx="435">
                  <c:v>-0.39618964520554245</c:v>
                </c:pt>
                <c:pt idx="436">
                  <c:v>-0.39098577520487765</c:v>
                </c:pt>
                <c:pt idx="437">
                  <c:v>-0.37774078519516574</c:v>
                </c:pt>
                <c:pt idx="438">
                  <c:v>-0.37936257322943734</c:v>
                </c:pt>
                <c:pt idx="439">
                  <c:v>-0.37355070142279212</c:v>
                </c:pt>
                <c:pt idx="440">
                  <c:v>-0.37861935730566809</c:v>
                </c:pt>
                <c:pt idx="441">
                  <c:v>-0.3760513279468366</c:v>
                </c:pt>
                <c:pt idx="442">
                  <c:v>-0.39308101687551744</c:v>
                </c:pt>
                <c:pt idx="443">
                  <c:v>-0.39314849074477654</c:v>
                </c:pt>
                <c:pt idx="444">
                  <c:v>-0.40490711106211308</c:v>
                </c:pt>
                <c:pt idx="445">
                  <c:v>-0.40531249591551788</c:v>
                </c:pt>
                <c:pt idx="446">
                  <c:v>-0.40416369091423643</c:v>
                </c:pt>
                <c:pt idx="447">
                  <c:v>-0.40558265777182478</c:v>
                </c:pt>
                <c:pt idx="448">
                  <c:v>-0.39112119354677399</c:v>
                </c:pt>
                <c:pt idx="449">
                  <c:v>-0.38767479630154755</c:v>
                </c:pt>
                <c:pt idx="450">
                  <c:v>-0.36976626000378476</c:v>
                </c:pt>
                <c:pt idx="451">
                  <c:v>-0.37078004623207583</c:v>
                </c:pt>
                <c:pt idx="452">
                  <c:v>-0.36388711855198774</c:v>
                </c:pt>
                <c:pt idx="453">
                  <c:v>-0.35712913861041806</c:v>
                </c:pt>
                <c:pt idx="454">
                  <c:v>-0.35415586646712605</c:v>
                </c:pt>
                <c:pt idx="455">
                  <c:v>-0.35429108058491499</c:v>
                </c:pt>
                <c:pt idx="456">
                  <c:v>-0.34003217115727646</c:v>
                </c:pt>
                <c:pt idx="457">
                  <c:v>-0.33732906087029157</c:v>
                </c:pt>
                <c:pt idx="458">
                  <c:v>-0.33536916650707582</c:v>
                </c:pt>
                <c:pt idx="459">
                  <c:v>-0.33847772380262875</c:v>
                </c:pt>
                <c:pt idx="460">
                  <c:v>-0.34009958287137243</c:v>
                </c:pt>
                <c:pt idx="461">
                  <c:v>-0.33320671734644758</c:v>
                </c:pt>
                <c:pt idx="462">
                  <c:v>-0.33226040498741549</c:v>
                </c:pt>
                <c:pt idx="463">
                  <c:v>-0.3212452048179556</c:v>
                </c:pt>
                <c:pt idx="464">
                  <c:v>-0.31948833585553071</c:v>
                </c:pt>
                <c:pt idx="465">
                  <c:v>-0.32144803487394791</c:v>
                </c:pt>
                <c:pt idx="466">
                  <c:v>-0.32496210133323178</c:v>
                </c:pt>
                <c:pt idx="467">
                  <c:v>-0.31610948351403556</c:v>
                </c:pt>
                <c:pt idx="468">
                  <c:v>-0.31752844149231496</c:v>
                </c:pt>
                <c:pt idx="469">
                  <c:v>-0.32604315720667443</c:v>
                </c:pt>
                <c:pt idx="470">
                  <c:v>-0.31881238957691305</c:v>
                </c:pt>
                <c:pt idx="471">
                  <c:v>-0.31360885698999097</c:v>
                </c:pt>
                <c:pt idx="472">
                  <c:v>-0.31888013870475174</c:v>
                </c:pt>
                <c:pt idx="473">
                  <c:v>-0.33563953258749024</c:v>
                </c:pt>
                <c:pt idx="474">
                  <c:v>-0.33036839294167386</c:v>
                </c:pt>
                <c:pt idx="475">
                  <c:v>-0.32448897623129724</c:v>
                </c:pt>
                <c:pt idx="476">
                  <c:v>-0.31752844149231496</c:v>
                </c:pt>
                <c:pt idx="477">
                  <c:v>-0.30414823736481422</c:v>
                </c:pt>
                <c:pt idx="478">
                  <c:v>-0.3042155070099658</c:v>
                </c:pt>
                <c:pt idx="479">
                  <c:v>-0.30286402290094561</c:v>
                </c:pt>
                <c:pt idx="480">
                  <c:v>-0.30279662006615871</c:v>
                </c:pt>
                <c:pt idx="481">
                  <c:v>-0.30124203064256649</c:v>
                </c:pt>
                <c:pt idx="482">
                  <c:v>-0.30137731579482741</c:v>
                </c:pt>
                <c:pt idx="483">
                  <c:v>-0.30759443038593304</c:v>
                </c:pt>
                <c:pt idx="484">
                  <c:v>-0.32286740130044234</c:v>
                </c:pt>
                <c:pt idx="485">
                  <c:v>-0.32543522643516631</c:v>
                </c:pt>
                <c:pt idx="486">
                  <c:v>-0.31982611365004099</c:v>
                </c:pt>
                <c:pt idx="487">
                  <c:v>-0.31029747851775491</c:v>
                </c:pt>
                <c:pt idx="488">
                  <c:v>-0.30435079216222682</c:v>
                </c:pt>
                <c:pt idx="489">
                  <c:v>-0.29901224968162343</c:v>
                </c:pt>
                <c:pt idx="490">
                  <c:v>-0.29184882273148571</c:v>
                </c:pt>
                <c:pt idx="491">
                  <c:v>-0.29198417003890975</c:v>
                </c:pt>
                <c:pt idx="492">
                  <c:v>-0.28853771063852041</c:v>
                </c:pt>
                <c:pt idx="493">
                  <c:v>-0.28556403004701347</c:v>
                </c:pt>
                <c:pt idx="494">
                  <c:v>-0.27475165105423682</c:v>
                </c:pt>
                <c:pt idx="495">
                  <c:v>-0.27583298218625918</c:v>
                </c:pt>
                <c:pt idx="496">
                  <c:v>-0.27537103613438363</c:v>
                </c:pt>
                <c:pt idx="497">
                  <c:v>-0.2772042493957807</c:v>
                </c:pt>
                <c:pt idx="498">
                  <c:v>-0.27299451571254107</c:v>
                </c:pt>
                <c:pt idx="499">
                  <c:v>-0.27903780007092072</c:v>
                </c:pt>
                <c:pt idx="500">
                  <c:v>-0.28698190474959206</c:v>
                </c:pt>
                <c:pt idx="501">
                  <c:v>-0.29078449547624063</c:v>
                </c:pt>
                <c:pt idx="502">
                  <c:v>-0.27808715460908595</c:v>
                </c:pt>
                <c:pt idx="503">
                  <c:v>-0.28025989488887082</c:v>
                </c:pt>
                <c:pt idx="504">
                  <c:v>-0.28304362042246756</c:v>
                </c:pt>
                <c:pt idx="505">
                  <c:v>-0.3008338132895837</c:v>
                </c:pt>
                <c:pt idx="506">
                  <c:v>-0.30409268840757198</c:v>
                </c:pt>
                <c:pt idx="507">
                  <c:v>-0.29370425202405626</c:v>
                </c:pt>
                <c:pt idx="508">
                  <c:v>-0.28358699861738501</c:v>
                </c:pt>
                <c:pt idx="509">
                  <c:v>-0.28161788753140438</c:v>
                </c:pt>
                <c:pt idx="510">
                  <c:v>-0.27611804352310532</c:v>
                </c:pt>
                <c:pt idx="511">
                  <c:v>-0.27170467176675239</c:v>
                </c:pt>
                <c:pt idx="512">
                  <c:v>-0.26885253115714025</c:v>
                </c:pt>
                <c:pt idx="513">
                  <c:v>-0.27034641274494808</c:v>
                </c:pt>
                <c:pt idx="514">
                  <c:v>-0.2577849608230679</c:v>
                </c:pt>
                <c:pt idx="515">
                  <c:v>-0.25506910872763611</c:v>
                </c:pt>
                <c:pt idx="516">
                  <c:v>-0.26063676401893721</c:v>
                </c:pt>
                <c:pt idx="517">
                  <c:v>-0.25452581044650002</c:v>
                </c:pt>
                <c:pt idx="518">
                  <c:v>-0.25846415692878766</c:v>
                </c:pt>
                <c:pt idx="519">
                  <c:v>-0.26511822231687177</c:v>
                </c:pt>
                <c:pt idx="520">
                  <c:v>-0.25764906299848434</c:v>
                </c:pt>
                <c:pt idx="521">
                  <c:v>-0.26613667906170846</c:v>
                </c:pt>
                <c:pt idx="522">
                  <c:v>-0.27408112115412253</c:v>
                </c:pt>
                <c:pt idx="523">
                  <c:v>-0.27740822488263683</c:v>
                </c:pt>
                <c:pt idx="524">
                  <c:v>-0.29105594483235586</c:v>
                </c:pt>
                <c:pt idx="525">
                  <c:v>-0.27584618571877506</c:v>
                </c:pt>
                <c:pt idx="526">
                  <c:v>-0.29682758448982194</c:v>
                </c:pt>
                <c:pt idx="527">
                  <c:v>-0.29166706327580294</c:v>
                </c:pt>
                <c:pt idx="528">
                  <c:v>-0.28942630748890874</c:v>
                </c:pt>
                <c:pt idx="529">
                  <c:v>-0.28759281896893185</c:v>
                </c:pt>
                <c:pt idx="530">
                  <c:v>-0.27448839730034902</c:v>
                </c:pt>
                <c:pt idx="531">
                  <c:v>-0.27258731060078678</c:v>
                </c:pt>
                <c:pt idx="532">
                  <c:v>-0.25601955884467265</c:v>
                </c:pt>
                <c:pt idx="533">
                  <c:v>-0.25588393627866879</c:v>
                </c:pt>
                <c:pt idx="534">
                  <c:v>-0.25208114132791271</c:v>
                </c:pt>
                <c:pt idx="535">
                  <c:v>-0.25968618959157452</c:v>
                </c:pt>
                <c:pt idx="536">
                  <c:v>-0.25568009398144809</c:v>
                </c:pt>
                <c:pt idx="537">
                  <c:v>-0.24488397300349096</c:v>
                </c:pt>
                <c:pt idx="538">
                  <c:v>-0.24400120985913021</c:v>
                </c:pt>
                <c:pt idx="539">
                  <c:v>-0.24447663470210124</c:v>
                </c:pt>
                <c:pt idx="540">
                  <c:v>-0.25432217237338672</c:v>
                </c:pt>
                <c:pt idx="541">
                  <c:v>-0.25697020430650752</c:v>
                </c:pt>
                <c:pt idx="542">
                  <c:v>-0.24753166752286893</c:v>
                </c:pt>
                <c:pt idx="543">
                  <c:v>-0.24637779243613578</c:v>
                </c:pt>
                <c:pt idx="544">
                  <c:v>-0.24372982265817811</c:v>
                </c:pt>
                <c:pt idx="545">
                  <c:v>-0.25601955884467265</c:v>
                </c:pt>
                <c:pt idx="546">
                  <c:v>-0.25350721163271883</c:v>
                </c:pt>
                <c:pt idx="547">
                  <c:v>-0.24427279240488065</c:v>
                </c:pt>
                <c:pt idx="548">
                  <c:v>-0.24461252364737573</c:v>
                </c:pt>
                <c:pt idx="549">
                  <c:v>-0.25051951061226607</c:v>
                </c:pt>
                <c:pt idx="550">
                  <c:v>-0.2462420366804966</c:v>
                </c:pt>
                <c:pt idx="551">
                  <c:v>-0.24739639124991686</c:v>
                </c:pt>
                <c:pt idx="552">
                  <c:v>-0.25574783422997782</c:v>
                </c:pt>
                <c:pt idx="553">
                  <c:v>-0.25296410869638108</c:v>
                </c:pt>
                <c:pt idx="554">
                  <c:v>-0.24875410863387071</c:v>
                </c:pt>
                <c:pt idx="555">
                  <c:v>-0.24556310695404748</c:v>
                </c:pt>
                <c:pt idx="556">
                  <c:v>-0.24040258574002848</c:v>
                </c:pt>
                <c:pt idx="557">
                  <c:v>-0.24393339857612828</c:v>
                </c:pt>
                <c:pt idx="558">
                  <c:v>-0.24277897297223572</c:v>
                </c:pt>
                <c:pt idx="559">
                  <c:v>-0.25187756540996264</c:v>
                </c:pt>
                <c:pt idx="560">
                  <c:v>-0.24764527828180682</c:v>
                </c:pt>
                <c:pt idx="561">
                  <c:v>-0.23999951838627864</c:v>
                </c:pt>
                <c:pt idx="562">
                  <c:v>-0.23726869577583565</c:v>
                </c:pt>
                <c:pt idx="563">
                  <c:v>-0.23576722237881376</c:v>
                </c:pt>
                <c:pt idx="564">
                  <c:v>-0.23214882403852</c:v>
                </c:pt>
                <c:pt idx="565">
                  <c:v>-0.23051064479979355</c:v>
                </c:pt>
                <c:pt idx="566">
                  <c:v>-0.23160287972329507</c:v>
                </c:pt>
                <c:pt idx="567">
                  <c:v>-0.23187595399296135</c:v>
                </c:pt>
                <c:pt idx="568">
                  <c:v>-0.23924850642918805</c:v>
                </c:pt>
                <c:pt idx="569">
                  <c:v>-0.22634650636838249</c:v>
                </c:pt>
                <c:pt idx="570">
                  <c:v>-0.22429834279417782</c:v>
                </c:pt>
                <c:pt idx="571">
                  <c:v>-0.22375232744448081</c:v>
                </c:pt>
                <c:pt idx="572">
                  <c:v>-0.22047535629470549</c:v>
                </c:pt>
                <c:pt idx="573">
                  <c:v>-0.21788124840527601</c:v>
                </c:pt>
                <c:pt idx="574">
                  <c:v>-0.21678908451624679</c:v>
                </c:pt>
                <c:pt idx="575">
                  <c:v>-0.22409348825572872</c:v>
                </c:pt>
                <c:pt idx="576">
                  <c:v>-0.21754008759402832</c:v>
                </c:pt>
                <c:pt idx="577">
                  <c:v>-0.21542364213344367</c:v>
                </c:pt>
                <c:pt idx="578">
                  <c:v>-0.22423012306296097</c:v>
                </c:pt>
                <c:pt idx="579">
                  <c:v>-0.21453633278286355</c:v>
                </c:pt>
                <c:pt idx="580">
                  <c:v>-0.22252351986891006</c:v>
                </c:pt>
                <c:pt idx="581">
                  <c:v>-0.23747369238322924</c:v>
                </c:pt>
                <c:pt idx="582">
                  <c:v>-0.25447174433386432</c:v>
                </c:pt>
                <c:pt idx="583">
                  <c:v>-0.25064882886886408</c:v>
                </c:pt>
                <c:pt idx="584">
                  <c:v>-0.25378916521140704</c:v>
                </c:pt>
                <c:pt idx="585">
                  <c:v>-0.25023932401607307</c:v>
                </c:pt>
                <c:pt idx="586">
                  <c:v>-0.25884074618303365</c:v>
                </c:pt>
                <c:pt idx="587">
                  <c:v>-0.26689635722440463</c:v>
                </c:pt>
                <c:pt idx="588">
                  <c:v>-0.25549575952614889</c:v>
                </c:pt>
                <c:pt idx="589">
                  <c:v>-0.2464846282822899</c:v>
                </c:pt>
                <c:pt idx="590">
                  <c:v>-0.25023932401607307</c:v>
                </c:pt>
                <c:pt idx="591">
                  <c:v>-0.27338120074114525</c:v>
                </c:pt>
                <c:pt idx="592">
                  <c:v>-0.27187952312001584</c:v>
                </c:pt>
                <c:pt idx="593">
                  <c:v>-0.27713595863009166</c:v>
                </c:pt>
                <c:pt idx="594">
                  <c:v>-0.26805666981017884</c:v>
                </c:pt>
                <c:pt idx="595">
                  <c:v>-0.26948993235529273</c:v>
                </c:pt>
                <c:pt idx="596">
                  <c:v>-0.26184416358045559</c:v>
                </c:pt>
                <c:pt idx="597">
                  <c:v>-0.26245901133369209</c:v>
                </c:pt>
                <c:pt idx="598">
                  <c:v>-0.25085375444178548</c:v>
                </c:pt>
                <c:pt idx="599">
                  <c:v>-0.24730364686718087</c:v>
                </c:pt>
                <c:pt idx="600">
                  <c:v>-0.24286670054537418</c:v>
                </c:pt>
                <c:pt idx="601">
                  <c:v>-0.2412964657792851</c:v>
                </c:pt>
                <c:pt idx="602">
                  <c:v>-0.24115989312721586</c:v>
                </c:pt>
                <c:pt idx="603">
                  <c:v>-0.25037595882330543</c:v>
                </c:pt>
                <c:pt idx="604">
                  <c:v>-0.24348099778145138</c:v>
                </c:pt>
                <c:pt idx="605">
                  <c:v>-0.24450487978410063</c:v>
                </c:pt>
                <c:pt idx="606">
                  <c:v>-0.24402728838972798</c:v>
                </c:pt>
                <c:pt idx="607">
                  <c:v>-0.23617666507644164</c:v>
                </c:pt>
                <c:pt idx="608">
                  <c:v>-0.2340604238399645</c:v>
                </c:pt>
                <c:pt idx="609">
                  <c:v>-0.23337770264856283</c:v>
                </c:pt>
                <c:pt idx="610">
                  <c:v>-0.23105659799432743</c:v>
                </c:pt>
                <c:pt idx="611">
                  <c:v>-0.22006591359707772</c:v>
                </c:pt>
                <c:pt idx="612">
                  <c:v>-0.219929545169116</c:v>
                </c:pt>
                <c:pt idx="613">
                  <c:v>-0.21863259777610955</c:v>
                </c:pt>
                <c:pt idx="614">
                  <c:v>-0.21515090527752034</c:v>
                </c:pt>
                <c:pt idx="615">
                  <c:v>-0.21187420938632462</c:v>
                </c:pt>
                <c:pt idx="616">
                  <c:v>-0.21180571439652796</c:v>
                </c:pt>
                <c:pt idx="617">
                  <c:v>-0.21160093089255094</c:v>
                </c:pt>
                <c:pt idx="618">
                  <c:v>-0.20532026708677409</c:v>
                </c:pt>
                <c:pt idx="619">
                  <c:v>-0.20061024649530124</c:v>
                </c:pt>
                <c:pt idx="620">
                  <c:v>-0.20101996445150871</c:v>
                </c:pt>
                <c:pt idx="621">
                  <c:v>-0.20506406350424977</c:v>
                </c:pt>
                <c:pt idx="622">
                  <c:v>-0.20081422198215726</c:v>
                </c:pt>
                <c:pt idx="623">
                  <c:v>-0.19519338850912271</c:v>
                </c:pt>
                <c:pt idx="624">
                  <c:v>-0.1991004443064166</c:v>
                </c:pt>
                <c:pt idx="625">
                  <c:v>-0.20040281695723561</c:v>
                </c:pt>
                <c:pt idx="626">
                  <c:v>-0.20088264593748162</c:v>
                </c:pt>
                <c:pt idx="627">
                  <c:v>-0.19581033177928853</c:v>
                </c:pt>
                <c:pt idx="628">
                  <c:v>-0.19526181246444718</c:v>
                </c:pt>
                <c:pt idx="629">
                  <c:v>-0.19800380524563999</c:v>
                </c:pt>
                <c:pt idx="630">
                  <c:v>-0.19252015709699721</c:v>
                </c:pt>
                <c:pt idx="631">
                  <c:v>-0.18593952359452615</c:v>
                </c:pt>
                <c:pt idx="632">
                  <c:v>-0.18402014551837842</c:v>
                </c:pt>
                <c:pt idx="633">
                  <c:v>-0.18868118784128507</c:v>
                </c:pt>
                <c:pt idx="634">
                  <c:v>-0.18587110851851074</c:v>
                </c:pt>
                <c:pt idx="635">
                  <c:v>-0.18052443259084316</c:v>
                </c:pt>
                <c:pt idx="636">
                  <c:v>-0.17922191787107977</c:v>
                </c:pt>
                <c:pt idx="637">
                  <c:v>-0.17860491244575094</c:v>
                </c:pt>
                <c:pt idx="638">
                  <c:v>-0.16928282779993731</c:v>
                </c:pt>
                <c:pt idx="639">
                  <c:v>-0.16859719419517649</c:v>
                </c:pt>
                <c:pt idx="640">
                  <c:v>-0.18182673420718987</c:v>
                </c:pt>
                <c:pt idx="641">
                  <c:v>-0.17874215992530584</c:v>
                </c:pt>
                <c:pt idx="642">
                  <c:v>-0.17140734455242312</c:v>
                </c:pt>
                <c:pt idx="643">
                  <c:v>-0.17291558398291984</c:v>
                </c:pt>
                <c:pt idx="644">
                  <c:v>-0.17044808616083673</c:v>
                </c:pt>
                <c:pt idx="645">
                  <c:v>-0.16503285308820947</c:v>
                </c:pt>
                <c:pt idx="646">
                  <c:v>-0.16818592235989016</c:v>
                </c:pt>
                <c:pt idx="647">
                  <c:v>-0.18785883951551074</c:v>
                </c:pt>
                <c:pt idx="648">
                  <c:v>-0.1816898951758501</c:v>
                </c:pt>
                <c:pt idx="649">
                  <c:v>-0.17154452099750583</c:v>
                </c:pt>
                <c:pt idx="650">
                  <c:v>-0.18559687993867169</c:v>
                </c:pt>
                <c:pt idx="651">
                  <c:v>-0.17504064237325601</c:v>
                </c:pt>
                <c:pt idx="652">
                  <c:v>-0.19443919775940222</c:v>
                </c:pt>
                <c:pt idx="653">
                  <c:v>-0.1992376207514992</c:v>
                </c:pt>
                <c:pt idx="654">
                  <c:v>-0.22583375291028229</c:v>
                </c:pt>
                <c:pt idx="655">
                  <c:v>-0.2373495862810272</c:v>
                </c:pt>
                <c:pt idx="656">
                  <c:v>-0.2037615487844866</c:v>
                </c:pt>
                <c:pt idx="657">
                  <c:v>-0.20602372146474213</c:v>
                </c:pt>
                <c:pt idx="658">
                  <c:v>-0.19491923096375596</c:v>
                </c:pt>
                <c:pt idx="659">
                  <c:v>-0.20492687817985811</c:v>
                </c:pt>
                <c:pt idx="660">
                  <c:v>-0.21932181862171518</c:v>
                </c:pt>
                <c:pt idx="661">
                  <c:v>-0.21891020937268613</c:v>
                </c:pt>
                <c:pt idx="662">
                  <c:v>-0.2295351372726967</c:v>
                </c:pt>
                <c:pt idx="663">
                  <c:v>-0.2339220220502366</c:v>
                </c:pt>
                <c:pt idx="664">
                  <c:v>-0.26284880412045408</c:v>
                </c:pt>
                <c:pt idx="665">
                  <c:v>-0.25208702830979446</c:v>
                </c:pt>
                <c:pt idx="666">
                  <c:v>-0.26168374998366206</c:v>
                </c:pt>
                <c:pt idx="667">
                  <c:v>-0.2609298256132121</c:v>
                </c:pt>
                <c:pt idx="668">
                  <c:v>-0.26538506331160439</c:v>
                </c:pt>
                <c:pt idx="669">
                  <c:v>-0.24077680421876568</c:v>
                </c:pt>
                <c:pt idx="670">
                  <c:v>-0.25030489771320152</c:v>
                </c:pt>
                <c:pt idx="671">
                  <c:v>-0.26291743229988596</c:v>
                </c:pt>
                <c:pt idx="672">
                  <c:v>-0.24372446843483775</c:v>
                </c:pt>
                <c:pt idx="673">
                  <c:v>-0.24111951890909233</c:v>
                </c:pt>
                <c:pt idx="674">
                  <c:v>-0.26778407502319979</c:v>
                </c:pt>
                <c:pt idx="675">
                  <c:v>-0.27690116306161983</c:v>
                </c:pt>
                <c:pt idx="676">
                  <c:v>-0.26915506697414171</c:v>
                </c:pt>
                <c:pt idx="677">
                  <c:v>-0.27306260225412271</c:v>
                </c:pt>
                <c:pt idx="678">
                  <c:v>-0.25181287076442749</c:v>
                </c:pt>
                <c:pt idx="679">
                  <c:v>-0.24817983932286536</c:v>
                </c:pt>
                <c:pt idx="680">
                  <c:v>-0.24934537294234449</c:v>
                </c:pt>
                <c:pt idx="681">
                  <c:v>-0.2322771300538895</c:v>
                </c:pt>
                <c:pt idx="682">
                  <c:v>-0.23255115440962115</c:v>
                </c:pt>
                <c:pt idx="683">
                  <c:v>-0.23131740993823402</c:v>
                </c:pt>
                <c:pt idx="684">
                  <c:v>-0.23048389144171</c:v>
                </c:pt>
                <c:pt idx="685">
                  <c:v>-0.23268779809616247</c:v>
                </c:pt>
                <c:pt idx="686">
                  <c:v>-0.2453604811221628</c:v>
                </c:pt>
                <c:pt idx="687">
                  <c:v>-0.2477020437043852</c:v>
                </c:pt>
                <c:pt idx="688">
                  <c:v>-0.26016818512322215</c:v>
                </c:pt>
                <c:pt idx="689">
                  <c:v>-0.25706883567112526</c:v>
                </c:pt>
                <c:pt idx="690">
                  <c:v>-0.25941067351192726</c:v>
                </c:pt>
                <c:pt idx="691">
                  <c:v>-0.28227642148502963</c:v>
                </c:pt>
                <c:pt idx="692">
                  <c:v>-0.28909470081416877</c:v>
                </c:pt>
                <c:pt idx="693">
                  <c:v>-0.2922630069801313</c:v>
                </c:pt>
                <c:pt idx="694">
                  <c:v>-0.29611979700905089</c:v>
                </c:pt>
                <c:pt idx="695">
                  <c:v>-0.29150522898956588</c:v>
                </c:pt>
                <c:pt idx="696">
                  <c:v>-0.26919050429644897</c:v>
                </c:pt>
                <c:pt idx="697">
                  <c:v>-0.2619587865806221</c:v>
                </c:pt>
                <c:pt idx="698">
                  <c:v>-0.2564491842117077</c:v>
                </c:pt>
                <c:pt idx="699">
                  <c:v>-0.25596698445595267</c:v>
                </c:pt>
                <c:pt idx="700">
                  <c:v>-0.24474090069721754</c:v>
                </c:pt>
                <c:pt idx="701">
                  <c:v>-0.24480972422144798</c:v>
                </c:pt>
                <c:pt idx="702">
                  <c:v>-0.24460296951086802</c:v>
                </c:pt>
                <c:pt idx="703">
                  <c:v>-0.2654026798607042</c:v>
                </c:pt>
                <c:pt idx="704">
                  <c:v>-0.26106382326566491</c:v>
                </c:pt>
                <c:pt idx="705">
                  <c:v>-0.25286771491763693</c:v>
                </c:pt>
                <c:pt idx="706">
                  <c:v>-0.26257843804003955</c:v>
                </c:pt>
                <c:pt idx="707">
                  <c:v>-0.24611826799203729</c:v>
                </c:pt>
                <c:pt idx="708">
                  <c:v>-0.2395753715529102</c:v>
                </c:pt>
                <c:pt idx="709">
                  <c:v>-0.23165470825005718</c:v>
                </c:pt>
                <c:pt idx="710">
                  <c:v>-0.23172379815355837</c:v>
                </c:pt>
                <c:pt idx="711">
                  <c:v>-0.23668258146659482</c:v>
                </c:pt>
                <c:pt idx="712">
                  <c:v>-0.2404018487573798</c:v>
                </c:pt>
                <c:pt idx="713">
                  <c:v>-0.24053984209889245</c:v>
                </c:pt>
                <c:pt idx="714">
                  <c:v>-0.22339023810186787</c:v>
                </c:pt>
                <c:pt idx="715">
                  <c:v>-0.22710930116854544</c:v>
                </c:pt>
                <c:pt idx="716">
                  <c:v>-0.22194410943798093</c:v>
                </c:pt>
                <c:pt idx="717">
                  <c:v>-0.22277031138387082</c:v>
                </c:pt>
                <c:pt idx="718">
                  <c:v>-0.22593868858430566</c:v>
                </c:pt>
                <c:pt idx="719">
                  <c:v>-0.2218062492861036</c:v>
                </c:pt>
                <c:pt idx="720">
                  <c:v>-0.22600717469479326</c:v>
                </c:pt>
                <c:pt idx="721">
                  <c:v>-0.24722038558648041</c:v>
                </c:pt>
                <c:pt idx="722">
                  <c:v>-0.25183468722669489</c:v>
                </c:pt>
                <c:pt idx="723">
                  <c:v>-0.25403859388114736</c:v>
                </c:pt>
                <c:pt idx="724">
                  <c:v>-0.25438280029538973</c:v>
                </c:pt>
                <c:pt idx="725">
                  <c:v>-0.24522302941850049</c:v>
                </c:pt>
                <c:pt idx="726">
                  <c:v>-0.24384552893404543</c:v>
                </c:pt>
                <c:pt idx="727">
                  <c:v>-0.25700014533653004</c:v>
                </c:pt>
                <c:pt idx="728">
                  <c:v>-0.25941067351192726</c:v>
                </c:pt>
                <c:pt idx="729">
                  <c:v>-0.2622343648154325</c:v>
                </c:pt>
                <c:pt idx="730">
                  <c:v>-0.27318507456346475</c:v>
                </c:pt>
                <c:pt idx="731">
                  <c:v>-0.27036145429443159</c:v>
                </c:pt>
                <c:pt idx="732">
                  <c:v>-0.27525139632461959</c:v>
                </c:pt>
                <c:pt idx="733">
                  <c:v>-0.26402517937624903</c:v>
                </c:pt>
                <c:pt idx="734">
                  <c:v>-0.27470057726874164</c:v>
                </c:pt>
                <c:pt idx="735">
                  <c:v>-0.27470057726874164</c:v>
                </c:pt>
                <c:pt idx="736">
                  <c:v>-0.2530056372246775</c:v>
                </c:pt>
                <c:pt idx="737">
                  <c:v>-0.24604923136439039</c:v>
                </c:pt>
                <c:pt idx="738">
                  <c:v>-0.23626933842470543</c:v>
                </c:pt>
                <c:pt idx="739">
                  <c:v>-0.24487848559051528</c:v>
                </c:pt>
                <c:pt idx="740">
                  <c:v>-0.2395753715529102</c:v>
                </c:pt>
                <c:pt idx="741">
                  <c:v>-0.23606265474859767</c:v>
                </c:pt>
                <c:pt idx="742">
                  <c:v>-0.23220580256451495</c:v>
                </c:pt>
                <c:pt idx="743">
                  <c:v>-0.22366575418151524</c:v>
                </c:pt>
                <c:pt idx="744">
                  <c:v>-0.22414788290279808</c:v>
                </c:pt>
                <c:pt idx="745">
                  <c:v>-0.22118619825778008</c:v>
                </c:pt>
                <c:pt idx="746">
                  <c:v>-0.22139301512352316</c:v>
                </c:pt>
                <c:pt idx="747">
                  <c:v>-0.22110198689101435</c:v>
                </c:pt>
                <c:pt idx="748">
                  <c:v>-0.20919249823408304</c:v>
                </c:pt>
                <c:pt idx="749">
                  <c:v>-0.21078509110028987</c:v>
                </c:pt>
                <c:pt idx="750">
                  <c:v>-0.21466260543646698</c:v>
                </c:pt>
                <c:pt idx="751">
                  <c:v>-0.2210326838840968</c:v>
                </c:pt>
                <c:pt idx="752">
                  <c:v>-0.20496868196673423</c:v>
                </c:pt>
                <c:pt idx="753">
                  <c:v>-0.20877709752010143</c:v>
                </c:pt>
                <c:pt idx="754">
                  <c:v>-0.206007188191343</c:v>
                </c:pt>
                <c:pt idx="755">
                  <c:v>-0.20739200522643242</c:v>
                </c:pt>
                <c:pt idx="756">
                  <c:v>-0.20974657599637214</c:v>
                </c:pt>
                <c:pt idx="757">
                  <c:v>-0.20642293519837662</c:v>
                </c:pt>
                <c:pt idx="758">
                  <c:v>-0.21237761293202451</c:v>
                </c:pt>
                <c:pt idx="759">
                  <c:v>-0.19652136908716156</c:v>
                </c:pt>
                <c:pt idx="760">
                  <c:v>-0.19659060993891597</c:v>
                </c:pt>
                <c:pt idx="761">
                  <c:v>-0.19756001738071471</c:v>
                </c:pt>
                <c:pt idx="762">
                  <c:v>-0.19305932649943824</c:v>
                </c:pt>
                <c:pt idx="763">
                  <c:v>-0.19229768600944819</c:v>
                </c:pt>
                <c:pt idx="764">
                  <c:v>-0.18980478448425275</c:v>
                </c:pt>
                <c:pt idx="765">
                  <c:v>-0.18350407119870393</c:v>
                </c:pt>
                <c:pt idx="766">
                  <c:v>-0.1866889106380657</c:v>
                </c:pt>
                <c:pt idx="767">
                  <c:v>-0.18502701476494121</c:v>
                </c:pt>
                <c:pt idx="768">
                  <c:v>-0.18101109863903631</c:v>
                </c:pt>
                <c:pt idx="769">
                  <c:v>-0.19174367928163127</c:v>
                </c:pt>
                <c:pt idx="770">
                  <c:v>-0.18384997356096944</c:v>
                </c:pt>
                <c:pt idx="771">
                  <c:v>-0.18204995115669687</c:v>
                </c:pt>
                <c:pt idx="772">
                  <c:v>-0.18052659914224456</c:v>
                </c:pt>
                <c:pt idx="773">
                  <c:v>-0.17810320484807429</c:v>
                </c:pt>
                <c:pt idx="774">
                  <c:v>-0.1779645277997669</c:v>
                </c:pt>
                <c:pt idx="775">
                  <c:v>-0.18031896538007142</c:v>
                </c:pt>
                <c:pt idx="776">
                  <c:v>-0.18018028833176392</c:v>
                </c:pt>
                <c:pt idx="777">
                  <c:v>-0.17955712066597374</c:v>
                </c:pt>
                <c:pt idx="778">
                  <c:v>-0.17928024605204607</c:v>
                </c:pt>
                <c:pt idx="779">
                  <c:v>-0.17277142840094584</c:v>
                </c:pt>
                <c:pt idx="780">
                  <c:v>-0.16944771656847801</c:v>
                </c:pt>
                <c:pt idx="781">
                  <c:v>-0.15345321300283166</c:v>
                </c:pt>
                <c:pt idx="782">
                  <c:v>-0.15026790296009174</c:v>
                </c:pt>
                <c:pt idx="783">
                  <c:v>-0.15186035375735418</c:v>
                </c:pt>
                <c:pt idx="784">
                  <c:v>-0.15795369966000061</c:v>
                </c:pt>
                <c:pt idx="785">
                  <c:v>-0.15456082688955952</c:v>
                </c:pt>
                <c:pt idx="786">
                  <c:v>-0.15774593270819204</c:v>
                </c:pt>
                <c:pt idx="787">
                  <c:v>-0.16771693501595997</c:v>
                </c:pt>
                <c:pt idx="788">
                  <c:v>-0.16889397621993185</c:v>
                </c:pt>
                <c:pt idx="789">
                  <c:v>-0.18184204213594402</c:v>
                </c:pt>
                <c:pt idx="790">
                  <c:v>-0.18142650823232698</c:v>
                </c:pt>
                <c:pt idx="791">
                  <c:v>-0.16937861778566798</c:v>
                </c:pt>
                <c:pt idx="792">
                  <c:v>-0.16709375847086072</c:v>
                </c:pt>
                <c:pt idx="793">
                  <c:v>-0.16778596276429802</c:v>
                </c:pt>
                <c:pt idx="794">
                  <c:v>-0.17983419062469985</c:v>
                </c:pt>
                <c:pt idx="795">
                  <c:v>-0.16771693501595997</c:v>
                </c:pt>
                <c:pt idx="796">
                  <c:v>-0.17741065426158531</c:v>
                </c:pt>
                <c:pt idx="797">
                  <c:v>-0.17491788592602531</c:v>
                </c:pt>
                <c:pt idx="798">
                  <c:v>-0.17955712066597374</c:v>
                </c:pt>
                <c:pt idx="799">
                  <c:v>-0.16210822179974071</c:v>
                </c:pt>
                <c:pt idx="800">
                  <c:v>-0.15137598745019765</c:v>
                </c:pt>
                <c:pt idx="801">
                  <c:v>-0.14909079072164766</c:v>
                </c:pt>
                <c:pt idx="802">
                  <c:v>-0.14999109938063615</c:v>
                </c:pt>
                <c:pt idx="803">
                  <c:v>-0.14950626247010157</c:v>
                </c:pt>
                <c:pt idx="804">
                  <c:v>-0.14639059284802203</c:v>
                </c:pt>
                <c:pt idx="805">
                  <c:v>-0.14306680998108212</c:v>
                </c:pt>
                <c:pt idx="806">
                  <c:v>-0.13808141537890639</c:v>
                </c:pt>
                <c:pt idx="807">
                  <c:v>-0.13752787925446763</c:v>
                </c:pt>
                <c:pt idx="808">
                  <c:v>-0.13676575928179036</c:v>
                </c:pt>
                <c:pt idx="809">
                  <c:v>-0.14071251446972188</c:v>
                </c:pt>
                <c:pt idx="810">
                  <c:v>-0.13572711098823731</c:v>
                </c:pt>
                <c:pt idx="811">
                  <c:v>-0.1348013275916643</c:v>
                </c:pt>
                <c:pt idx="812">
                  <c:v>-0.13271312721307904</c:v>
                </c:pt>
                <c:pt idx="813">
                  <c:v>-0.12721442863564369</c:v>
                </c:pt>
                <c:pt idx="814">
                  <c:v>-0.1244998018848571</c:v>
                </c:pt>
                <c:pt idx="815">
                  <c:v>-0.12575292988783948</c:v>
                </c:pt>
                <c:pt idx="816">
                  <c:v>-0.12540459459490183</c:v>
                </c:pt>
                <c:pt idx="817">
                  <c:v>-0.12415167081602696</c:v>
                </c:pt>
                <c:pt idx="818">
                  <c:v>-0.12352544866793314</c:v>
                </c:pt>
                <c:pt idx="819">
                  <c:v>-0.12491758225365668</c:v>
                </c:pt>
                <c:pt idx="820">
                  <c:v>-0.12470858995720313</c:v>
                </c:pt>
                <c:pt idx="821">
                  <c:v>-0.11565998802927069</c:v>
                </c:pt>
                <c:pt idx="822">
                  <c:v>-0.11614720459462335</c:v>
                </c:pt>
                <c:pt idx="823">
                  <c:v>-0.11155336088239587</c:v>
                </c:pt>
                <c:pt idx="824">
                  <c:v>-0.11329335915767891</c:v>
                </c:pt>
                <c:pt idx="825">
                  <c:v>-0.11503356165706935</c:v>
                </c:pt>
                <c:pt idx="826">
                  <c:v>-0.11614720459462335</c:v>
                </c:pt>
                <c:pt idx="827">
                  <c:v>-0.11301479747503707</c:v>
                </c:pt>
                <c:pt idx="828">
                  <c:v>-0.10501040228810554</c:v>
                </c:pt>
                <c:pt idx="829">
                  <c:v>-0.10647217629448968</c:v>
                </c:pt>
                <c:pt idx="830">
                  <c:v>-9.9998582862280028E-2</c:v>
                </c:pt>
                <c:pt idx="831">
                  <c:v>-9.8467505848978454E-2</c:v>
                </c:pt>
                <c:pt idx="832">
                  <c:v>-0.10730711548045735</c:v>
                </c:pt>
                <c:pt idx="833">
                  <c:v>-0.10849032780419943</c:v>
                </c:pt>
                <c:pt idx="834">
                  <c:v>-0.10647217629448968</c:v>
                </c:pt>
                <c:pt idx="835">
                  <c:v>-0.10139065429284055</c:v>
                </c:pt>
                <c:pt idx="836">
                  <c:v>-0.10090323350338037</c:v>
                </c:pt>
                <c:pt idx="837">
                  <c:v>-9.7423307987286489E-2</c:v>
                </c:pt>
                <c:pt idx="838">
                  <c:v>-9.5195622543272851E-2</c:v>
                </c:pt>
                <c:pt idx="839">
                  <c:v>-0.11099637958605646</c:v>
                </c:pt>
                <c:pt idx="840">
                  <c:v>-0.10431426446077152</c:v>
                </c:pt>
                <c:pt idx="841">
                  <c:v>-8.9975352458844027E-2</c:v>
                </c:pt>
                <c:pt idx="842">
                  <c:v>-9.171555495823458E-2</c:v>
                </c:pt>
                <c:pt idx="843">
                  <c:v>-8.9697066034781781E-2</c:v>
                </c:pt>
                <c:pt idx="844">
                  <c:v>-8.712172012531616E-2</c:v>
                </c:pt>
                <c:pt idx="845">
                  <c:v>-8.1413833906628819E-2</c:v>
                </c:pt>
                <c:pt idx="846">
                  <c:v>-7.7237566339093511E-2</c:v>
                </c:pt>
                <c:pt idx="847">
                  <c:v>-7.932563352804356E-2</c:v>
                </c:pt>
                <c:pt idx="848">
                  <c:v>-7.8977626769539788E-2</c:v>
                </c:pt>
                <c:pt idx="849">
                  <c:v>-7.3478866036941315E-2</c:v>
                </c:pt>
                <c:pt idx="850">
                  <c:v>-7.1251384817035079E-2</c:v>
                </c:pt>
                <c:pt idx="851">
                  <c:v>-7.4175003864275224E-2</c:v>
                </c:pt>
                <c:pt idx="852">
                  <c:v>-6.8328041028374642E-2</c:v>
                </c:pt>
                <c:pt idx="853">
                  <c:v>-6.5543773856927445E-2</c:v>
                </c:pt>
                <c:pt idx="854">
                  <c:v>-6.3595191733405887E-2</c:v>
                </c:pt>
                <c:pt idx="855">
                  <c:v>-8.2388124968389542E-2</c:v>
                </c:pt>
                <c:pt idx="856">
                  <c:v>-8.8026503956051716E-2</c:v>
                </c:pt>
                <c:pt idx="857">
                  <c:v>-8.8652655069673458E-2</c:v>
                </c:pt>
                <c:pt idx="858">
                  <c:v>-7.8908128417823575E-2</c:v>
                </c:pt>
                <c:pt idx="859">
                  <c:v>-7.3200641768042307E-2</c:v>
                </c:pt>
                <c:pt idx="860">
                  <c:v>-8.8652655069673458E-2</c:v>
                </c:pt>
                <c:pt idx="861">
                  <c:v>-8.6704215015096175E-2</c:v>
                </c:pt>
                <c:pt idx="862">
                  <c:v>-7.0972956324028558E-2</c:v>
                </c:pt>
                <c:pt idx="863">
                  <c:v>-7.7933766321590658E-2</c:v>
                </c:pt>
                <c:pt idx="864">
                  <c:v>-8.5172596363944253E-2</c:v>
                </c:pt>
                <c:pt idx="865">
                  <c:v>-7.7168130142540647E-2</c:v>
                </c:pt>
                <c:pt idx="866">
                  <c:v>-7.8490552273131509E-2</c:v>
                </c:pt>
                <c:pt idx="867">
                  <c:v>-9.5544028870682585E-2</c:v>
                </c:pt>
                <c:pt idx="868">
                  <c:v>-8.92792856659822E-2</c:v>
                </c:pt>
                <c:pt idx="869">
                  <c:v>-9.4778179588215994E-2</c:v>
                </c:pt>
                <c:pt idx="870">
                  <c:v>-0.10514940787084681</c:v>
                </c:pt>
                <c:pt idx="871">
                  <c:v>-0.1217155347134099</c:v>
                </c:pt>
                <c:pt idx="872">
                  <c:v>-0.11009138265190432</c:v>
                </c:pt>
                <c:pt idx="873">
                  <c:v>-0.106854519340982</c:v>
                </c:pt>
                <c:pt idx="874">
                  <c:v>-9.3012848644292823E-2</c:v>
                </c:pt>
                <c:pt idx="875">
                  <c:v>-9.6158867744610022E-2</c:v>
                </c:pt>
                <c:pt idx="876">
                  <c:v>-9.3572076405814775E-2</c:v>
                </c:pt>
                <c:pt idx="877">
                  <c:v>-8.4903722007445448E-2</c:v>
                </c:pt>
                <c:pt idx="878">
                  <c:v>-8.2107254665402141E-2</c:v>
                </c:pt>
                <c:pt idx="879">
                  <c:v>-8.4344290021816093E-2</c:v>
                </c:pt>
                <c:pt idx="880">
                  <c:v>-7.8192482748568048E-2</c:v>
                </c:pt>
                <c:pt idx="881">
                  <c:v>-7.1830795247964208E-2</c:v>
                </c:pt>
                <c:pt idx="882">
                  <c:v>-7.3089206439814758E-2</c:v>
                </c:pt>
                <c:pt idx="883">
                  <c:v>-6.9174496678143904E-2</c:v>
                </c:pt>
                <c:pt idx="884">
                  <c:v>-6.8404997999669259E-2</c:v>
                </c:pt>
                <c:pt idx="885">
                  <c:v>-6.8544953668475905E-2</c:v>
                </c:pt>
                <c:pt idx="886">
                  <c:v>-6.5609081174785033E-2</c:v>
                </c:pt>
                <c:pt idx="887">
                  <c:v>-6.7985734786262908E-2</c:v>
                </c:pt>
                <c:pt idx="888">
                  <c:v>-7.120173172098343E-2</c:v>
                </c:pt>
                <c:pt idx="889">
                  <c:v>-7.399779061481182E-2</c:v>
                </c:pt>
                <c:pt idx="890">
                  <c:v>-8.0918759152791675E-2</c:v>
                </c:pt>
                <c:pt idx="891">
                  <c:v>-8.0988470607924357E-2</c:v>
                </c:pt>
                <c:pt idx="892">
                  <c:v>-8.0289757780974025E-2</c:v>
                </c:pt>
                <c:pt idx="893">
                  <c:v>-7.6934142591189802E-2</c:v>
                </c:pt>
                <c:pt idx="894">
                  <c:v>-8.7280570963721771E-2</c:v>
                </c:pt>
                <c:pt idx="895">
                  <c:v>-8.2037614244741541E-2</c:v>
                </c:pt>
                <c:pt idx="896">
                  <c:v>-6.9523648867511612E-2</c:v>
                </c:pt>
                <c:pt idx="897">
                  <c:v>-6.4770075265285332E-2</c:v>
                </c:pt>
                <c:pt idx="898">
                  <c:v>-6.5748628395376763E-2</c:v>
                </c:pt>
                <c:pt idx="899">
                  <c:v>-5.770934640329739E-2</c:v>
                </c:pt>
                <c:pt idx="900">
                  <c:v>-5.155739706110507E-2</c:v>
                </c:pt>
                <c:pt idx="901">
                  <c:v>-4.8481355795191083E-2</c:v>
                </c:pt>
                <c:pt idx="902">
                  <c:v>-4.6244595697356727E-2</c:v>
                </c:pt>
                <c:pt idx="903">
                  <c:v>-4.7712265564931466E-2</c:v>
                </c:pt>
                <c:pt idx="904">
                  <c:v>-5.1138196002861847E-2</c:v>
                </c:pt>
                <c:pt idx="905">
                  <c:v>-5.7429630410482657E-2</c:v>
                </c:pt>
                <c:pt idx="906">
                  <c:v>-6.5958295519315979E-2</c:v>
                </c:pt>
                <c:pt idx="907">
                  <c:v>-6.1834193892285616E-2</c:v>
                </c:pt>
                <c:pt idx="908">
                  <c:v>-5.8198862709686661E-2</c:v>
                </c:pt>
                <c:pt idx="909">
                  <c:v>-5.0159163390083306E-2</c:v>
                </c:pt>
                <c:pt idx="910">
                  <c:v>-6.0156111038813798E-2</c:v>
                </c:pt>
                <c:pt idx="911">
                  <c:v>-5.5682182394930169E-2</c:v>
                </c:pt>
                <c:pt idx="912">
                  <c:v>-6.2952507346385134E-2</c:v>
                </c:pt>
                <c:pt idx="913">
                  <c:v>-6.889451430605853E-2</c:v>
                </c:pt>
                <c:pt idx="914">
                  <c:v>-6.9034612043809451E-2</c:v>
                </c:pt>
                <c:pt idx="915">
                  <c:v>-6.0715471989970959E-2</c:v>
                </c:pt>
                <c:pt idx="916">
                  <c:v>-5.8478303443921575E-2</c:v>
                </c:pt>
                <c:pt idx="917">
                  <c:v>-6.5958295519315979E-2</c:v>
                </c:pt>
                <c:pt idx="918">
                  <c:v>-7.6794453301653798E-2</c:v>
                </c:pt>
                <c:pt idx="919">
                  <c:v>-7.7563206118170691E-2</c:v>
                </c:pt>
                <c:pt idx="920">
                  <c:v>-7.4487644334944036E-2</c:v>
                </c:pt>
                <c:pt idx="921">
                  <c:v>-7.0223107556419806E-2</c:v>
                </c:pt>
                <c:pt idx="922">
                  <c:v>-6.6657416794481339E-2</c:v>
                </c:pt>
                <c:pt idx="923">
                  <c:v>-5.6940726776415818E-2</c:v>
                </c:pt>
                <c:pt idx="924">
                  <c:v>-7.8122504914164836E-2</c:v>
                </c:pt>
                <c:pt idx="925">
                  <c:v>-7.9101058044256156E-2</c:v>
                </c:pt>
                <c:pt idx="926">
                  <c:v>-8.8259132973122267E-2</c:v>
                </c:pt>
                <c:pt idx="927">
                  <c:v>-9.7906457829106897E-2</c:v>
                </c:pt>
                <c:pt idx="928">
                  <c:v>-9.8465676711319783E-2</c:v>
                </c:pt>
                <c:pt idx="929">
                  <c:v>-0.10224103459719769</c:v>
                </c:pt>
                <c:pt idx="930">
                  <c:v>-9.5389910703985725E-2</c:v>
                </c:pt>
                <c:pt idx="931">
                  <c:v>-0.10797331227776863</c:v>
                </c:pt>
                <c:pt idx="932">
                  <c:v>-0.10727419100260327</c:v>
                </c:pt>
                <c:pt idx="933">
                  <c:v>-9.5949067431035484E-2</c:v>
                </c:pt>
                <c:pt idx="934">
                  <c:v>-0.1120277734841385</c:v>
                </c:pt>
                <c:pt idx="935">
                  <c:v>-0.11007045412053929</c:v>
                </c:pt>
                <c:pt idx="936">
                  <c:v>-0.10741475934373235</c:v>
                </c:pt>
                <c:pt idx="937">
                  <c:v>-0.10284836157569222</c:v>
                </c:pt>
                <c:pt idx="938">
                  <c:v>-9.0553546424437137E-2</c:v>
                </c:pt>
                <c:pt idx="939">
                  <c:v>-9.6033607332235094E-2</c:v>
                </c:pt>
                <c:pt idx="940">
                  <c:v>-9.8633140479477022E-2</c:v>
                </c:pt>
                <c:pt idx="941">
                  <c:v>-0.10910103779943159</c:v>
                </c:pt>
                <c:pt idx="942">
                  <c:v>-0.10116208311999308</c:v>
                </c:pt>
                <c:pt idx="943">
                  <c:v>-8.9429674522889857E-2</c:v>
                </c:pt>
                <c:pt idx="944">
                  <c:v>-8.1631288184580542E-2</c:v>
                </c:pt>
                <c:pt idx="945">
                  <c:v>-7.2849527251380719E-2</c:v>
                </c:pt>
                <c:pt idx="946">
                  <c:v>-5.9149978774899692E-2</c:v>
                </c:pt>
                <c:pt idx="947">
                  <c:v>-5.9922665125313301E-2</c:v>
                </c:pt>
                <c:pt idx="948">
                  <c:v>-5.879866003413059E-2</c:v>
                </c:pt>
                <c:pt idx="949">
                  <c:v>-4.9033267006078796E-2</c:v>
                </c:pt>
                <c:pt idx="950">
                  <c:v>-5.5777697122081027E-2</c:v>
                </c:pt>
                <c:pt idx="951">
                  <c:v>-7.2849527251380719E-2</c:v>
                </c:pt>
                <c:pt idx="952">
                  <c:v>-7.685413113759143E-2</c:v>
                </c:pt>
                <c:pt idx="953">
                  <c:v>-7.3762852977395599E-2</c:v>
                </c:pt>
                <c:pt idx="954">
                  <c:v>-8.0155893318156535E-2</c:v>
                </c:pt>
                <c:pt idx="955">
                  <c:v>-7.4816676010067584E-2</c:v>
                </c:pt>
                <c:pt idx="956">
                  <c:v>-8.2403974534994151E-2</c:v>
                </c:pt>
                <c:pt idx="957">
                  <c:v>-6.7510034684712061E-2</c:v>
                </c:pt>
                <c:pt idx="958">
                  <c:v>-6.8072512273336105E-2</c:v>
                </c:pt>
                <c:pt idx="959">
                  <c:v>-5.5145516957633256E-2</c:v>
                </c:pt>
                <c:pt idx="960">
                  <c:v>-5.4513123689769127E-2</c:v>
                </c:pt>
                <c:pt idx="961">
                  <c:v>-5.9782238853128611E-2</c:v>
                </c:pt>
                <c:pt idx="962">
                  <c:v>-6.3295151002239591E-2</c:v>
                </c:pt>
                <c:pt idx="963">
                  <c:v>-8.247442297277563E-2</c:v>
                </c:pt>
                <c:pt idx="964">
                  <c:v>-8.5144280247472781E-2</c:v>
                </c:pt>
                <c:pt idx="965">
                  <c:v>-9.1396619057469097E-2</c:v>
                </c:pt>
                <c:pt idx="966">
                  <c:v>-9.5260787792186052E-2</c:v>
                </c:pt>
                <c:pt idx="967">
                  <c:v>-0.11837475684900167</c:v>
                </c:pt>
                <c:pt idx="968">
                  <c:v>-0.11359733342274203</c:v>
                </c:pt>
                <c:pt idx="969">
                  <c:v>-0.15511787922037112</c:v>
                </c:pt>
                <c:pt idx="970">
                  <c:v>-0.1563824526526828</c:v>
                </c:pt>
                <c:pt idx="971">
                  <c:v>-0.21132148127900696</c:v>
                </c:pt>
                <c:pt idx="972">
                  <c:v>-0.17464833674204083</c:v>
                </c:pt>
                <c:pt idx="973">
                  <c:v>-0.21111087294831143</c:v>
                </c:pt>
                <c:pt idx="974">
                  <c:v>-0.17570229296434814</c:v>
                </c:pt>
                <c:pt idx="975">
                  <c:v>-0.1701523163773101</c:v>
                </c:pt>
                <c:pt idx="976">
                  <c:v>-0.15258846597647668</c:v>
                </c:pt>
                <c:pt idx="977">
                  <c:v>-0.15982485420884929</c:v>
                </c:pt>
                <c:pt idx="978">
                  <c:v>-0.15926284722360351</c:v>
                </c:pt>
                <c:pt idx="979">
                  <c:v>-0.19551409139238363</c:v>
                </c:pt>
                <c:pt idx="980">
                  <c:v>-0.20865183710772628</c:v>
                </c:pt>
                <c:pt idx="981">
                  <c:v>-0.20801931952953578</c:v>
                </c:pt>
                <c:pt idx="982">
                  <c:v>-0.18195490703292427</c:v>
                </c:pt>
                <c:pt idx="983">
                  <c:v>-0.17043339090440512</c:v>
                </c:pt>
                <c:pt idx="984">
                  <c:v>-0.18307904531374219</c:v>
                </c:pt>
                <c:pt idx="985">
                  <c:v>-0.17120607725481884</c:v>
                </c:pt>
                <c:pt idx="986">
                  <c:v>-0.14738987916468005</c:v>
                </c:pt>
                <c:pt idx="987">
                  <c:v>-0.14514159372373503</c:v>
                </c:pt>
                <c:pt idx="988">
                  <c:v>-0.14134794446127175</c:v>
                </c:pt>
                <c:pt idx="989">
                  <c:v>-0.15034032260447605</c:v>
                </c:pt>
                <c:pt idx="990">
                  <c:v>-0.17204921204301393</c:v>
                </c:pt>
                <c:pt idx="991">
                  <c:v>-0.17809100467747796</c:v>
                </c:pt>
                <c:pt idx="992">
                  <c:v>-0.15490686244146046</c:v>
                </c:pt>
                <c:pt idx="993">
                  <c:v>-0.16368888975393081</c:v>
                </c:pt>
                <c:pt idx="994">
                  <c:v>-0.18560819217836577</c:v>
                </c:pt>
                <c:pt idx="995">
                  <c:v>-0.18033914804947859</c:v>
                </c:pt>
                <c:pt idx="996">
                  <c:v>-0.17282196942789974</c:v>
                </c:pt>
                <c:pt idx="997">
                  <c:v>-0.16137042225447507</c:v>
                </c:pt>
                <c:pt idx="998">
                  <c:v>-0.14689819630688938</c:v>
                </c:pt>
                <c:pt idx="999">
                  <c:v>-0.1418488440418274</c:v>
                </c:pt>
                <c:pt idx="1000">
                  <c:v>-0.15039383819995245</c:v>
                </c:pt>
                <c:pt idx="1001">
                  <c:v>-0.15138222072513119</c:v>
                </c:pt>
                <c:pt idx="1002">
                  <c:v>-0.17638108950116171</c:v>
                </c:pt>
                <c:pt idx="1003">
                  <c:v>-0.20300404605250078</c:v>
                </c:pt>
                <c:pt idx="1004">
                  <c:v>-0.19820216012988512</c:v>
                </c:pt>
                <c:pt idx="1005">
                  <c:v>-0.17913514038400669</c:v>
                </c:pt>
                <c:pt idx="1006">
                  <c:v>-0.16995457416538762</c:v>
                </c:pt>
                <c:pt idx="1007">
                  <c:v>-0.18690304405444313</c:v>
                </c:pt>
                <c:pt idx="1008">
                  <c:v>-0.18047680397724852</c:v>
                </c:pt>
                <c:pt idx="1009">
                  <c:v>-0.20095607782309466</c:v>
                </c:pt>
                <c:pt idx="1010">
                  <c:v>-0.22369508253921533</c:v>
                </c:pt>
                <c:pt idx="1011">
                  <c:v>-0.20667629740201354</c:v>
                </c:pt>
                <c:pt idx="1012">
                  <c:v>-0.19198748734876048</c:v>
                </c:pt>
                <c:pt idx="1013">
                  <c:v>-0.177369605215976</c:v>
                </c:pt>
                <c:pt idx="1014">
                  <c:v>-0.18287791120577324</c:v>
                </c:pt>
                <c:pt idx="1015">
                  <c:v>-0.15554852570794375</c:v>
                </c:pt>
                <c:pt idx="1016">
                  <c:v>-0.15470132419621652</c:v>
                </c:pt>
                <c:pt idx="1017">
                  <c:v>-0.14728636418010022</c:v>
                </c:pt>
                <c:pt idx="1018">
                  <c:v>-0.14898117565176971</c:v>
                </c:pt>
                <c:pt idx="1019">
                  <c:v>-0.13443375083607567</c:v>
                </c:pt>
                <c:pt idx="1020">
                  <c:v>-0.15095841130550558</c:v>
                </c:pt>
                <c:pt idx="1021">
                  <c:v>-0.13436323136382211</c:v>
                </c:pt>
                <c:pt idx="1022">
                  <c:v>-0.14460296595914435</c:v>
                </c:pt>
                <c:pt idx="1023">
                  <c:v>-0.14086025729254104</c:v>
                </c:pt>
                <c:pt idx="1024">
                  <c:v>-0.12454715523987214</c:v>
                </c:pt>
                <c:pt idx="1025">
                  <c:v>-0.11381350020088543</c:v>
                </c:pt>
                <c:pt idx="1026">
                  <c:v>-0.13104392366862927</c:v>
                </c:pt>
                <c:pt idx="1027">
                  <c:v>-0.12221704696628821</c:v>
                </c:pt>
                <c:pt idx="1028">
                  <c:v>-9.1639272814425521E-2</c:v>
                </c:pt>
                <c:pt idx="1029">
                  <c:v>-9.1851106489766243E-2</c:v>
                </c:pt>
                <c:pt idx="1030">
                  <c:v>-0.11374270547005216</c:v>
                </c:pt>
                <c:pt idx="1031">
                  <c:v>-0.13845928325365153</c:v>
                </c:pt>
                <c:pt idx="1032">
                  <c:v>-0.12440611629536469</c:v>
                </c:pt>
                <c:pt idx="1033">
                  <c:v>-0.1084464285003941</c:v>
                </c:pt>
                <c:pt idx="1034">
                  <c:v>-0.1138840196731391</c:v>
                </c:pt>
                <c:pt idx="1035">
                  <c:v>-0.10837590902814043</c:v>
                </c:pt>
                <c:pt idx="1036">
                  <c:v>-9.69357540081911E-2</c:v>
                </c:pt>
                <c:pt idx="1037">
                  <c:v>-0.13026750800842646</c:v>
                </c:pt>
                <c:pt idx="1038">
                  <c:v>-0.12207559069425689</c:v>
                </c:pt>
                <c:pt idx="1039">
                  <c:v>-0.10555119660409762</c:v>
                </c:pt>
                <c:pt idx="1040">
                  <c:v>-0.11402533387622615</c:v>
                </c:pt>
                <c:pt idx="1041">
                  <c:v>-0.10964671573538576</c:v>
                </c:pt>
                <c:pt idx="1042">
                  <c:v>-0.12377054423487055</c:v>
                </c:pt>
                <c:pt idx="1043">
                  <c:v>-0.13768233483490733</c:v>
                </c:pt>
                <c:pt idx="1044">
                  <c:v>-0.13860026004299575</c:v>
                </c:pt>
                <c:pt idx="1045">
                  <c:v>-0.15498388156791831</c:v>
                </c:pt>
                <c:pt idx="1046">
                  <c:v>-0.15830278969420508</c:v>
                </c:pt>
                <c:pt idx="1047">
                  <c:v>-0.17687534735856891</c:v>
                </c:pt>
                <c:pt idx="1048">
                  <c:v>-0.17842877359267917</c:v>
                </c:pt>
                <c:pt idx="1049">
                  <c:v>-0.15463080472396284</c:v>
                </c:pt>
                <c:pt idx="1050">
                  <c:v>-0.15222983068507356</c:v>
                </c:pt>
                <c:pt idx="1051">
                  <c:v>-0.11734437519214824</c:v>
                </c:pt>
                <c:pt idx="1052">
                  <c:v>-0.11748520991254807</c:v>
                </c:pt>
                <c:pt idx="1053">
                  <c:v>-0.11826243358987198</c:v>
                </c:pt>
                <c:pt idx="1054">
                  <c:v>-0.10865827105504378</c:v>
                </c:pt>
                <c:pt idx="1055">
                  <c:v>-0.10837590902814043</c:v>
                </c:pt>
                <c:pt idx="1056">
                  <c:v>-0.10505673452258291</c:v>
                </c:pt>
                <c:pt idx="1057">
                  <c:v>-0.12468867366706649</c:v>
                </c:pt>
                <c:pt idx="1058">
                  <c:v>-0.10985862044519856</c:v>
                </c:pt>
                <c:pt idx="1059">
                  <c:v>-0.12285241480267473</c:v>
                </c:pt>
                <c:pt idx="1060">
                  <c:v>-0.13104392366862927</c:v>
                </c:pt>
                <c:pt idx="1061">
                  <c:v>-0.14029507151466525</c:v>
                </c:pt>
                <c:pt idx="1062">
                  <c:v>-0.13718793490855585</c:v>
                </c:pt>
                <c:pt idx="1063">
                  <c:v>-0.13590887044391997</c:v>
                </c:pt>
                <c:pt idx="1064">
                  <c:v>-0.14514735639529031</c:v>
                </c:pt>
                <c:pt idx="1065">
                  <c:v>-0.11927926542115774</c:v>
                </c:pt>
                <c:pt idx="1066">
                  <c:v>-0.11757355015800908</c:v>
                </c:pt>
                <c:pt idx="1067">
                  <c:v>-0.10975632192595475</c:v>
                </c:pt>
                <c:pt idx="1068">
                  <c:v>-0.10179677612889404</c:v>
                </c:pt>
                <c:pt idx="1069">
                  <c:v>-0.10108648468297876</c:v>
                </c:pt>
                <c:pt idx="1070">
                  <c:v>-0.11288365008078038</c:v>
                </c:pt>
                <c:pt idx="1071">
                  <c:v>-0.1037157546361358</c:v>
                </c:pt>
                <c:pt idx="1072">
                  <c:v>-0.10812200518665305</c:v>
                </c:pt>
                <c:pt idx="1073">
                  <c:v>-9.3908762045315397E-2</c:v>
                </c:pt>
                <c:pt idx="1074">
                  <c:v>-9.248756648116252E-2</c:v>
                </c:pt>
                <c:pt idx="1075">
                  <c:v>-9.0071142444574592E-2</c:v>
                </c:pt>
                <c:pt idx="1076">
                  <c:v>-9.2416567526221627E-2</c:v>
                </c:pt>
                <c:pt idx="1077">
                  <c:v>-9.0213335699254826E-2</c:v>
                </c:pt>
                <c:pt idx="1078">
                  <c:v>-8.2325188426040863E-2</c:v>
                </c:pt>
                <c:pt idx="1079">
                  <c:v>-8.1827405482951976E-2</c:v>
                </c:pt>
                <c:pt idx="1080">
                  <c:v>-7.9624653138672397E-2</c:v>
                </c:pt>
                <c:pt idx="1081">
                  <c:v>-8.438588070527564E-2</c:v>
                </c:pt>
                <c:pt idx="1082">
                  <c:v>-8.0832727527676451E-2</c:v>
                </c:pt>
                <c:pt idx="1083">
                  <c:v>-7.0670216282919585E-2</c:v>
                </c:pt>
                <c:pt idx="1084">
                  <c:v>-6.5766582358219416E-2</c:v>
                </c:pt>
                <c:pt idx="1085">
                  <c:v>-6.2284481411415071E-2</c:v>
                </c:pt>
                <c:pt idx="1086">
                  <c:v>-6.4700701223895485E-2</c:v>
                </c:pt>
                <c:pt idx="1087">
                  <c:v>-6.5766582358219416E-2</c:v>
                </c:pt>
                <c:pt idx="1088">
                  <c:v>-5.7949496195109584E-2</c:v>
                </c:pt>
                <c:pt idx="1089">
                  <c:v>-6.2781926940761235E-2</c:v>
                </c:pt>
                <c:pt idx="1090">
                  <c:v>-6.3208311360003266E-2</c:v>
                </c:pt>
                <c:pt idx="1091">
                  <c:v>-6.6406354331881023E-2</c:v>
                </c:pt>
                <c:pt idx="1092">
                  <c:v>-6.6761872985817483E-2</c:v>
                </c:pt>
                <c:pt idx="1093">
                  <c:v>-5.8588992910191373E-2</c:v>
                </c:pt>
                <c:pt idx="1094">
                  <c:v>-5.7096736235934475E-2</c:v>
                </c:pt>
                <c:pt idx="1095">
                  <c:v>-4.3878304239507671E-2</c:v>
                </c:pt>
                <c:pt idx="1096">
                  <c:v>-4.4518005178697084E-2</c:v>
                </c:pt>
                <c:pt idx="1097">
                  <c:v>-4.2101794245525848E-2</c:v>
                </c:pt>
                <c:pt idx="1098">
                  <c:v>-3.9259065703477036E-2</c:v>
                </c:pt>
                <c:pt idx="1099">
                  <c:v>-3.8050920280000899E-2</c:v>
                </c:pt>
                <c:pt idx="1100">
                  <c:v>-4.5157581807560132E-2</c:v>
                </c:pt>
                <c:pt idx="1101">
                  <c:v>-3.8050920280000899E-2</c:v>
                </c:pt>
                <c:pt idx="1102">
                  <c:v>-3.9259065703477036E-2</c:v>
                </c:pt>
                <c:pt idx="1103">
                  <c:v>-4.3736386243407255E-2</c:v>
                </c:pt>
                <c:pt idx="1104">
                  <c:v>-3.3147490579408245E-2</c:v>
                </c:pt>
                <c:pt idx="1105">
                  <c:v>-3.0589015357084581E-2</c:v>
                </c:pt>
                <c:pt idx="1106">
                  <c:v>-3.0162630937842549E-2</c:v>
                </c:pt>
                <c:pt idx="1107">
                  <c:v>-3.32898170237238E-2</c:v>
                </c:pt>
                <c:pt idx="1108">
                  <c:v>-2.902562653825147E-2</c:v>
                </c:pt>
                <c:pt idx="1109">
                  <c:v>-2.6893793235131414E-2</c:v>
                </c:pt>
                <c:pt idx="1110">
                  <c:v>-2.5259068047614686E-2</c:v>
                </c:pt>
                <c:pt idx="1111">
                  <c:v>-2.241667691930882E-2</c:v>
                </c:pt>
                <c:pt idx="1112">
                  <c:v>-2.6254154451105238E-2</c:v>
                </c:pt>
                <c:pt idx="1113">
                  <c:v>-2.1208194082089737E-2</c:v>
                </c:pt>
                <c:pt idx="1114">
                  <c:v>-2.4192982689183351E-2</c:v>
                </c:pt>
                <c:pt idx="1115">
                  <c:v>-2.8172999768711793E-2</c:v>
                </c:pt>
                <c:pt idx="1116">
                  <c:v>-4.2385914375615563E-2</c:v>
                </c:pt>
                <c:pt idx="1117">
                  <c:v>-3.5705566232825947E-2</c:v>
                </c:pt>
                <c:pt idx="1118">
                  <c:v>-2.6111961196425115E-2</c:v>
                </c:pt>
                <c:pt idx="1119">
                  <c:v>-2.2345136326517578E-2</c:v>
                </c:pt>
                <c:pt idx="1120">
                  <c:v>-2.2274279440521183E-2</c:v>
                </c:pt>
                <c:pt idx="1121">
                  <c:v>-4.649996462483319E-3</c:v>
                </c:pt>
                <c:pt idx="1122">
                  <c:v>-5.7160818209147646E-3</c:v>
                </c:pt>
                <c:pt idx="1123">
                  <c:v>4.0169994016014954E-5</c:v>
                </c:pt>
                <c:pt idx="1124">
                  <c:v>1.4252622876851362E-3</c:v>
                </c:pt>
                <c:pt idx="1125">
                  <c:v>5.3510800649425594E-3</c:v>
                </c:pt>
                <c:pt idx="1126">
                  <c:v>2.4244775698709642E-3</c:v>
                </c:pt>
                <c:pt idx="1127">
                  <c:v>7.8271109029959263E-4</c:v>
                </c:pt>
                <c:pt idx="1128">
                  <c:v>-6.4263732668299323E-3</c:v>
                </c:pt>
                <c:pt idx="1129">
                  <c:v>-3.2143720211693649E-3</c:v>
                </c:pt>
                <c:pt idx="1130">
                  <c:v>1.0775387791390534E-2</c:v>
                </c:pt>
                <c:pt idx="1131">
                  <c:v>7.6349271385212081E-3</c:v>
                </c:pt>
                <c:pt idx="1132">
                  <c:v>2.6382114173422178E-3</c:v>
                </c:pt>
                <c:pt idx="1133">
                  <c:v>9.2565020693768929E-4</c:v>
                </c:pt>
                <c:pt idx="1134">
                  <c:v>5.0653350213019088E-3</c:v>
                </c:pt>
                <c:pt idx="1135">
                  <c:v>1.2417633753649016E-2</c:v>
                </c:pt>
                <c:pt idx="1136">
                  <c:v>8.2774073014344474E-3</c:v>
                </c:pt>
                <c:pt idx="1137">
                  <c:v>-1.7152072444932553E-3</c:v>
                </c:pt>
                <c:pt idx="1138">
                  <c:v>-2.2151567389834259E-3</c:v>
                </c:pt>
                <c:pt idx="1139">
                  <c:v>-1.3421191017946699E-2</c:v>
                </c:pt>
                <c:pt idx="1140">
                  <c:v>-2.9981013551104163E-2</c:v>
                </c:pt>
                <c:pt idx="1141">
                  <c:v>-2.2129040582846371E-2</c:v>
                </c:pt>
                <c:pt idx="1142">
                  <c:v>-9.3529047274293342E-3</c:v>
                </c:pt>
                <c:pt idx="1143">
                  <c:v>-2.113002064545888E-2</c:v>
                </c:pt>
                <c:pt idx="1144">
                  <c:v>-2.1772438653209103E-2</c:v>
                </c:pt>
                <c:pt idx="1145">
                  <c:v>-7.2826583116867294E-3</c:v>
                </c:pt>
                <c:pt idx="1146">
                  <c:v>-1.0637731863620603E-2</c:v>
                </c:pt>
                <c:pt idx="1147">
                  <c:v>-1.6990131606987258E-2</c:v>
                </c:pt>
                <c:pt idx="1148">
                  <c:v>-1.5348498317051207E-2</c:v>
                </c:pt>
                <c:pt idx="1149">
                  <c:v>-2.3628276393994563E-2</c:v>
                </c:pt>
                <c:pt idx="1150">
                  <c:v>-1.9916592033114466E-2</c:v>
                </c:pt>
                <c:pt idx="1151">
                  <c:v>-6.4977806699857421E-3</c:v>
                </c:pt>
                <c:pt idx="1152">
                  <c:v>4.2583390208283944E-4</c:v>
                </c:pt>
                <c:pt idx="1153">
                  <c:v>2.0677424505983755E-3</c:v>
                </c:pt>
                <c:pt idx="1154">
                  <c:v>-1.6440750999171527E-3</c:v>
                </c:pt>
                <c:pt idx="1155">
                  <c:v>4.5654565612835984E-3</c:v>
                </c:pt>
                <c:pt idx="1156">
                  <c:v>1.5678639905802871E-3</c:v>
                </c:pt>
                <c:pt idx="1157">
                  <c:v>-6.0693628889776363E-3</c:v>
                </c:pt>
                <c:pt idx="1158">
                  <c:v>-2.2129040582846371E-2</c:v>
                </c:pt>
                <c:pt idx="1159">
                  <c:v>-2.1415428275356807E-2</c:v>
                </c:pt>
                <c:pt idx="1160">
                  <c:v>-2.5341103983669955E-2</c:v>
                </c:pt>
                <c:pt idx="1161">
                  <c:v>-3.1122697346549932E-2</c:v>
                </c:pt>
                <c:pt idx="1162">
                  <c:v>-2.9124186868397017E-2</c:v>
                </c:pt>
                <c:pt idx="1163">
                  <c:v>-3.2050993587576126E-2</c:v>
                </c:pt>
                <c:pt idx="1164">
                  <c:v>-4.2757415785791841E-2</c:v>
                </c:pt>
                <c:pt idx="1165">
                  <c:v>-4.8253397294666378E-2</c:v>
                </c:pt>
                <c:pt idx="1166">
                  <c:v>-5.1893478907592105E-2</c:v>
                </c:pt>
                <c:pt idx="1167">
                  <c:v>-6.5955045692213887E-2</c:v>
                </c:pt>
                <c:pt idx="1168">
                  <c:v>-7.3949416139259316E-2</c:v>
                </c:pt>
                <c:pt idx="1169">
                  <c:v>-5.8032073769015202E-2</c:v>
                </c:pt>
                <c:pt idx="1170">
                  <c:v>-5.6390573668714583E-2</c:v>
                </c:pt>
                <c:pt idx="1171">
                  <c:v>-5.5890828398331704E-2</c:v>
                </c:pt>
                <c:pt idx="1172">
                  <c:v>-5.4034990657546134E-2</c:v>
                </c:pt>
                <c:pt idx="1173">
                  <c:v>-5.7104185976204036E-2</c:v>
                </c:pt>
                <c:pt idx="1174">
                  <c:v>-4.5683947246391243E-2</c:v>
                </c:pt>
                <c:pt idx="1175">
                  <c:v>-5.9531451649107892E-2</c:v>
                </c:pt>
                <c:pt idx="1176">
                  <c:v>-6.1601085392527843E-2</c:v>
                </c:pt>
                <c:pt idx="1177">
                  <c:v>-8.5226786786906317E-2</c:v>
                </c:pt>
                <c:pt idx="1178">
                  <c:v>-8.5655133533442118E-2</c:v>
                </c:pt>
                <c:pt idx="1179">
                  <c:v>-7.87317853406444E-2</c:v>
                </c:pt>
                <c:pt idx="1180">
                  <c:v>-5.8032073769015202E-2</c:v>
                </c:pt>
                <c:pt idx="1181">
                  <c:v>-5.7461196354056221E-2</c:v>
                </c:pt>
                <c:pt idx="1182">
                  <c:v>-4.9966366953286045E-2</c:v>
                </c:pt>
                <c:pt idx="1183">
                  <c:v>-6.2029156880484271E-2</c:v>
                </c:pt>
                <c:pt idx="1184">
                  <c:v>-5.1251531503220149E-2</c:v>
                </c:pt>
                <c:pt idx="1185">
                  <c:v>-5.7318461461525638E-2</c:v>
                </c:pt>
                <c:pt idx="1186">
                  <c:v>-4.7325651570799487E-2</c:v>
                </c:pt>
                <c:pt idx="1187">
                  <c:v>-3.758227034981354E-2</c:v>
                </c:pt>
                <c:pt idx="1188">
                  <c:v>-3.5716878472520142E-2</c:v>
                </c:pt>
                <c:pt idx="1189">
                  <c:v>-2.6389714861945857E-2</c:v>
                </c:pt>
                <c:pt idx="1190">
                  <c:v>-2.796834945436999E-2</c:v>
                </c:pt>
                <c:pt idx="1191">
                  <c:v>-4.97793953432073E-2</c:v>
                </c:pt>
                <c:pt idx="1192">
                  <c:v>-4.2460900140307234E-2</c:v>
                </c:pt>
                <c:pt idx="1193">
                  <c:v>-5.7815027939278618E-2</c:v>
                </c:pt>
                <c:pt idx="1194">
                  <c:v>-5.3079736834328872E-2</c:v>
                </c:pt>
                <c:pt idx="1195">
                  <c:v>-4.454157974415085E-2</c:v>
                </c:pt>
                <c:pt idx="1196">
                  <c:v>-4.7268131406954184E-2</c:v>
                </c:pt>
                <c:pt idx="1197">
                  <c:v>-2.3520019858397023E-2</c:v>
                </c:pt>
                <c:pt idx="1198">
                  <c:v>-2.0578109434571168E-2</c:v>
                </c:pt>
                <c:pt idx="1199">
                  <c:v>-1.4120978241288773E-2</c:v>
                </c:pt>
                <c:pt idx="1200">
                  <c:v>-1.8569378871733822E-2</c:v>
                </c:pt>
                <c:pt idx="1201">
                  <c:v>-2.789640041336372E-2</c:v>
                </c:pt>
                <c:pt idx="1202">
                  <c:v>-2.9115929111006467E-2</c:v>
                </c:pt>
                <c:pt idx="1203">
                  <c:v>-3.758227034981354E-2</c:v>
                </c:pt>
                <c:pt idx="1204">
                  <c:v>-3.7438993819432609E-2</c:v>
                </c:pt>
                <c:pt idx="1205">
                  <c:v>-4.2102060624796489E-2</c:v>
                </c:pt>
                <c:pt idx="1206">
                  <c:v>-2.6031079570542626E-2</c:v>
                </c:pt>
                <c:pt idx="1207">
                  <c:v>-2.8327117935408541E-2</c:v>
                </c:pt>
                <c:pt idx="1208">
                  <c:v>-2.1654219532888708E-2</c:v>
                </c:pt>
                <c:pt idx="1209">
                  <c:v>-1.4407939750265553E-2</c:v>
                </c:pt>
                <c:pt idx="1210">
                  <c:v>-1.1825081945367022E-2</c:v>
                </c:pt>
                <c:pt idx="1211">
                  <c:v>-2.0865346202127766E-2</c:v>
                </c:pt>
                <c:pt idx="1212">
                  <c:v>-3.0766299641020067E-2</c:v>
                </c:pt>
                <c:pt idx="1213">
                  <c:v>-3.9089293314974127E-2</c:v>
                </c:pt>
                <c:pt idx="1214">
                  <c:v>-3.88738723987887E-2</c:v>
                </c:pt>
                <c:pt idx="1215">
                  <c:v>-2.3017566398762512E-2</c:v>
                </c:pt>
                <c:pt idx="1216">
                  <c:v>-5.0091112365737711E-3</c:v>
                </c:pt>
                <c:pt idx="1217">
                  <c:v>-5.0091112365737711E-3</c:v>
                </c:pt>
                <c:pt idx="1218">
                  <c:v>-1.1968829079126109E-2</c:v>
                </c:pt>
                <c:pt idx="1219">
                  <c:v>-1.2829447226785695E-2</c:v>
                </c:pt>
                <c:pt idx="1220">
                  <c:v>-1.9645826383794196E-2</c:v>
                </c:pt>
                <c:pt idx="1221">
                  <c:v>-2.0187996992682145E-4</c:v>
                </c:pt>
                <c:pt idx="1222">
                  <c:v>1.7353899139005424E-3</c:v>
                </c:pt>
                <c:pt idx="1223">
                  <c:v>6.7575093381917473E-3</c:v>
                </c:pt>
                <c:pt idx="1224">
                  <c:v>7.9772333806329421E-3</c:v>
                </c:pt>
                <c:pt idx="1225">
                  <c:v>8.8381889420352522E-3</c:v>
                </c:pt>
                <c:pt idx="1226">
                  <c:v>1.0488497316885947E-2</c:v>
                </c:pt>
                <c:pt idx="1227">
                  <c:v>9.986106012414675E-3</c:v>
                </c:pt>
                <c:pt idx="1228">
                  <c:v>1.0129453577267578E-2</c:v>
                </c:pt>
                <c:pt idx="1229">
                  <c:v>1.127723745801168E-2</c:v>
                </c:pt>
                <c:pt idx="1230">
                  <c:v>1.8739684018778124E-2</c:v>
                </c:pt>
                <c:pt idx="1231">
                  <c:v>2.0102622436436901E-2</c:v>
                </c:pt>
                <c:pt idx="1232">
                  <c:v>2.0174154149919188E-2</c:v>
                </c:pt>
                <c:pt idx="1233">
                  <c:v>1.7088771850914064E-2</c:v>
                </c:pt>
                <c:pt idx="1234">
                  <c:v>1.7519684717757222E-2</c:v>
                </c:pt>
                <c:pt idx="1235">
                  <c:v>9.1968952679108984E-3</c:v>
                </c:pt>
                <c:pt idx="1236">
                  <c:v>1.5295391169789951E-2</c:v>
                </c:pt>
                <c:pt idx="1237">
                  <c:v>1.5510341482597445E-2</c:v>
                </c:pt>
                <c:pt idx="1238">
                  <c:v>1.4505905166706468E-2</c:v>
                </c:pt>
                <c:pt idx="1239">
                  <c:v>1.5295391169789951E-2</c:v>
                </c:pt>
                <c:pt idx="1240">
                  <c:v>7.9772333806329421E-3</c:v>
                </c:pt>
                <c:pt idx="1241">
                  <c:v>1.278459783691499E-2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E4-456D-B69F-4E12FD457D31}"/>
            </c:ext>
          </c:extLst>
        </c:ser>
        <c:ser>
          <c:idx val="1"/>
          <c:order val="1"/>
          <c:tx>
            <c:strRef>
              <c:f>'Cap8. DCA Vs Lump Sum'!$X$2</c:f>
              <c:strCache>
                <c:ptCount val="1"/>
                <c:pt idx="0">
                  <c:v>R (DCA)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'Cap8. DCA Vs Lump Sum'!$B$3:$B$1244</c:f>
              <c:numCache>
                <c:formatCode>m/d/yyyy</c:formatCode>
                <c:ptCount val="1242"/>
                <c:pt idx="0">
                  <c:v>39356</c:v>
                </c:pt>
                <c:pt idx="1">
                  <c:v>39357</c:v>
                </c:pt>
                <c:pt idx="2">
                  <c:v>39358</c:v>
                </c:pt>
                <c:pt idx="3">
                  <c:v>39359</c:v>
                </c:pt>
                <c:pt idx="4">
                  <c:v>39360</c:v>
                </c:pt>
                <c:pt idx="5">
                  <c:v>39363</c:v>
                </c:pt>
                <c:pt idx="6">
                  <c:v>39364</c:v>
                </c:pt>
                <c:pt idx="7">
                  <c:v>39365</c:v>
                </c:pt>
                <c:pt idx="8">
                  <c:v>39366</c:v>
                </c:pt>
                <c:pt idx="9">
                  <c:v>39367</c:v>
                </c:pt>
                <c:pt idx="10">
                  <c:v>39370</c:v>
                </c:pt>
                <c:pt idx="11">
                  <c:v>39371</c:v>
                </c:pt>
                <c:pt idx="12">
                  <c:v>39372</c:v>
                </c:pt>
                <c:pt idx="13">
                  <c:v>39373</c:v>
                </c:pt>
                <c:pt idx="14">
                  <c:v>39374</c:v>
                </c:pt>
                <c:pt idx="15">
                  <c:v>39377</c:v>
                </c:pt>
                <c:pt idx="16">
                  <c:v>39378</c:v>
                </c:pt>
                <c:pt idx="17">
                  <c:v>39379</c:v>
                </c:pt>
                <c:pt idx="18">
                  <c:v>39380</c:v>
                </c:pt>
                <c:pt idx="19">
                  <c:v>39381</c:v>
                </c:pt>
                <c:pt idx="20">
                  <c:v>39384</c:v>
                </c:pt>
                <c:pt idx="21">
                  <c:v>39385</c:v>
                </c:pt>
                <c:pt idx="22">
                  <c:v>39386</c:v>
                </c:pt>
                <c:pt idx="23">
                  <c:v>39387</c:v>
                </c:pt>
                <c:pt idx="24">
                  <c:v>39388</c:v>
                </c:pt>
                <c:pt idx="25">
                  <c:v>39391</c:v>
                </c:pt>
                <c:pt idx="26">
                  <c:v>39392</c:v>
                </c:pt>
                <c:pt idx="27">
                  <c:v>39393</c:v>
                </c:pt>
                <c:pt idx="28">
                  <c:v>39394</c:v>
                </c:pt>
                <c:pt idx="29">
                  <c:v>39395</c:v>
                </c:pt>
                <c:pt idx="30">
                  <c:v>39398</c:v>
                </c:pt>
                <c:pt idx="31">
                  <c:v>39399</c:v>
                </c:pt>
                <c:pt idx="32">
                  <c:v>39400</c:v>
                </c:pt>
                <c:pt idx="33">
                  <c:v>39401</c:v>
                </c:pt>
                <c:pt idx="34">
                  <c:v>39402</c:v>
                </c:pt>
                <c:pt idx="35">
                  <c:v>39405</c:v>
                </c:pt>
                <c:pt idx="36">
                  <c:v>39406</c:v>
                </c:pt>
                <c:pt idx="37">
                  <c:v>39407</c:v>
                </c:pt>
                <c:pt idx="38">
                  <c:v>39409</c:v>
                </c:pt>
                <c:pt idx="39">
                  <c:v>39412</c:v>
                </c:pt>
                <c:pt idx="40">
                  <c:v>39413</c:v>
                </c:pt>
                <c:pt idx="41">
                  <c:v>39414</c:v>
                </c:pt>
                <c:pt idx="42">
                  <c:v>39415</c:v>
                </c:pt>
                <c:pt idx="43">
                  <c:v>39416</c:v>
                </c:pt>
                <c:pt idx="44">
                  <c:v>39419</c:v>
                </c:pt>
                <c:pt idx="45">
                  <c:v>39420</c:v>
                </c:pt>
                <c:pt idx="46">
                  <c:v>39421</c:v>
                </c:pt>
                <c:pt idx="47">
                  <c:v>39422</c:v>
                </c:pt>
                <c:pt idx="48">
                  <c:v>39423</c:v>
                </c:pt>
                <c:pt idx="49">
                  <c:v>39426</c:v>
                </c:pt>
                <c:pt idx="50">
                  <c:v>39427</c:v>
                </c:pt>
                <c:pt idx="51">
                  <c:v>39428</c:v>
                </c:pt>
                <c:pt idx="52">
                  <c:v>39429</c:v>
                </c:pt>
                <c:pt idx="53">
                  <c:v>39430</c:v>
                </c:pt>
                <c:pt idx="54">
                  <c:v>39433</c:v>
                </c:pt>
                <c:pt idx="55">
                  <c:v>39434</c:v>
                </c:pt>
                <c:pt idx="56">
                  <c:v>39435</c:v>
                </c:pt>
                <c:pt idx="57">
                  <c:v>39436</c:v>
                </c:pt>
                <c:pt idx="58">
                  <c:v>39437</c:v>
                </c:pt>
                <c:pt idx="59">
                  <c:v>39440</c:v>
                </c:pt>
                <c:pt idx="60">
                  <c:v>39442</c:v>
                </c:pt>
                <c:pt idx="61">
                  <c:v>39443</c:v>
                </c:pt>
                <c:pt idx="62">
                  <c:v>39444</c:v>
                </c:pt>
                <c:pt idx="63">
                  <c:v>39447</c:v>
                </c:pt>
                <c:pt idx="64">
                  <c:v>39449</c:v>
                </c:pt>
                <c:pt idx="65">
                  <c:v>39450</c:v>
                </c:pt>
                <c:pt idx="66">
                  <c:v>39451</c:v>
                </c:pt>
                <c:pt idx="67">
                  <c:v>39454</c:v>
                </c:pt>
                <c:pt idx="68">
                  <c:v>39455</c:v>
                </c:pt>
                <c:pt idx="69">
                  <c:v>39456</c:v>
                </c:pt>
                <c:pt idx="70">
                  <c:v>39457</c:v>
                </c:pt>
                <c:pt idx="71">
                  <c:v>39458</c:v>
                </c:pt>
                <c:pt idx="72">
                  <c:v>39461</c:v>
                </c:pt>
                <c:pt idx="73">
                  <c:v>39462</c:v>
                </c:pt>
                <c:pt idx="74">
                  <c:v>39463</c:v>
                </c:pt>
                <c:pt idx="75">
                  <c:v>39464</c:v>
                </c:pt>
                <c:pt idx="76">
                  <c:v>39465</c:v>
                </c:pt>
                <c:pt idx="77">
                  <c:v>39469</c:v>
                </c:pt>
                <c:pt idx="78">
                  <c:v>39470</c:v>
                </c:pt>
                <c:pt idx="79">
                  <c:v>39471</c:v>
                </c:pt>
                <c:pt idx="80">
                  <c:v>39472</c:v>
                </c:pt>
                <c:pt idx="81">
                  <c:v>39475</c:v>
                </c:pt>
                <c:pt idx="82">
                  <c:v>39476</c:v>
                </c:pt>
                <c:pt idx="83">
                  <c:v>39477</c:v>
                </c:pt>
                <c:pt idx="84">
                  <c:v>39478</c:v>
                </c:pt>
                <c:pt idx="85">
                  <c:v>39479</c:v>
                </c:pt>
                <c:pt idx="86">
                  <c:v>39482</c:v>
                </c:pt>
                <c:pt idx="87">
                  <c:v>39483</c:v>
                </c:pt>
                <c:pt idx="88">
                  <c:v>39484</c:v>
                </c:pt>
                <c:pt idx="89">
                  <c:v>39485</c:v>
                </c:pt>
                <c:pt idx="90">
                  <c:v>39486</c:v>
                </c:pt>
                <c:pt idx="91">
                  <c:v>39489</c:v>
                </c:pt>
                <c:pt idx="92">
                  <c:v>39490</c:v>
                </c:pt>
                <c:pt idx="93">
                  <c:v>39491</c:v>
                </c:pt>
                <c:pt idx="94">
                  <c:v>39492</c:v>
                </c:pt>
                <c:pt idx="95">
                  <c:v>39493</c:v>
                </c:pt>
                <c:pt idx="96">
                  <c:v>39497</c:v>
                </c:pt>
                <c:pt idx="97">
                  <c:v>39498</c:v>
                </c:pt>
                <c:pt idx="98">
                  <c:v>39499</c:v>
                </c:pt>
                <c:pt idx="99">
                  <c:v>39500</c:v>
                </c:pt>
                <c:pt idx="100">
                  <c:v>39503</c:v>
                </c:pt>
                <c:pt idx="101">
                  <c:v>39504</c:v>
                </c:pt>
                <c:pt idx="102">
                  <c:v>39505</c:v>
                </c:pt>
                <c:pt idx="103">
                  <c:v>39506</c:v>
                </c:pt>
                <c:pt idx="104">
                  <c:v>39507</c:v>
                </c:pt>
                <c:pt idx="105">
                  <c:v>39510</c:v>
                </c:pt>
                <c:pt idx="106">
                  <c:v>39511</c:v>
                </c:pt>
                <c:pt idx="107">
                  <c:v>39512</c:v>
                </c:pt>
                <c:pt idx="108">
                  <c:v>39513</c:v>
                </c:pt>
                <c:pt idx="109">
                  <c:v>39514</c:v>
                </c:pt>
                <c:pt idx="110">
                  <c:v>39517</c:v>
                </c:pt>
                <c:pt idx="111">
                  <c:v>39518</c:v>
                </c:pt>
                <c:pt idx="112">
                  <c:v>39519</c:v>
                </c:pt>
                <c:pt idx="113">
                  <c:v>39520</c:v>
                </c:pt>
                <c:pt idx="114">
                  <c:v>39521</c:v>
                </c:pt>
                <c:pt idx="115">
                  <c:v>39524</c:v>
                </c:pt>
                <c:pt idx="116">
                  <c:v>39525</c:v>
                </c:pt>
                <c:pt idx="117">
                  <c:v>39526</c:v>
                </c:pt>
                <c:pt idx="118">
                  <c:v>39527</c:v>
                </c:pt>
                <c:pt idx="119">
                  <c:v>39531</c:v>
                </c:pt>
                <c:pt idx="120">
                  <c:v>39532</c:v>
                </c:pt>
                <c:pt idx="121">
                  <c:v>39533</c:v>
                </c:pt>
                <c:pt idx="122">
                  <c:v>39534</c:v>
                </c:pt>
                <c:pt idx="123">
                  <c:v>39535</c:v>
                </c:pt>
                <c:pt idx="124">
                  <c:v>39538</c:v>
                </c:pt>
                <c:pt idx="125">
                  <c:v>39539</c:v>
                </c:pt>
                <c:pt idx="126">
                  <c:v>39540</c:v>
                </c:pt>
                <c:pt idx="127">
                  <c:v>39541</c:v>
                </c:pt>
                <c:pt idx="128">
                  <c:v>39542</c:v>
                </c:pt>
                <c:pt idx="129">
                  <c:v>39545</c:v>
                </c:pt>
                <c:pt idx="130">
                  <c:v>39546</c:v>
                </c:pt>
                <c:pt idx="131">
                  <c:v>39547</c:v>
                </c:pt>
                <c:pt idx="132">
                  <c:v>39548</c:v>
                </c:pt>
                <c:pt idx="133">
                  <c:v>39549</c:v>
                </c:pt>
                <c:pt idx="134">
                  <c:v>39552</c:v>
                </c:pt>
                <c:pt idx="135">
                  <c:v>39553</c:v>
                </c:pt>
                <c:pt idx="136">
                  <c:v>39554</c:v>
                </c:pt>
                <c:pt idx="137">
                  <c:v>39555</c:v>
                </c:pt>
                <c:pt idx="138">
                  <c:v>39556</c:v>
                </c:pt>
                <c:pt idx="139">
                  <c:v>39559</c:v>
                </c:pt>
                <c:pt idx="140">
                  <c:v>39560</c:v>
                </c:pt>
                <c:pt idx="141">
                  <c:v>39561</c:v>
                </c:pt>
                <c:pt idx="142">
                  <c:v>39562</c:v>
                </c:pt>
                <c:pt idx="143">
                  <c:v>39563</c:v>
                </c:pt>
                <c:pt idx="144">
                  <c:v>39566</c:v>
                </c:pt>
                <c:pt idx="145">
                  <c:v>39567</c:v>
                </c:pt>
                <c:pt idx="146">
                  <c:v>39568</c:v>
                </c:pt>
                <c:pt idx="147">
                  <c:v>39569</c:v>
                </c:pt>
                <c:pt idx="148">
                  <c:v>39570</c:v>
                </c:pt>
                <c:pt idx="149">
                  <c:v>39573</c:v>
                </c:pt>
                <c:pt idx="150">
                  <c:v>39574</c:v>
                </c:pt>
                <c:pt idx="151">
                  <c:v>39575</c:v>
                </c:pt>
                <c:pt idx="152">
                  <c:v>39576</c:v>
                </c:pt>
                <c:pt idx="153">
                  <c:v>39577</c:v>
                </c:pt>
                <c:pt idx="154">
                  <c:v>39580</c:v>
                </c:pt>
                <c:pt idx="155">
                  <c:v>39581</c:v>
                </c:pt>
                <c:pt idx="156">
                  <c:v>39582</c:v>
                </c:pt>
                <c:pt idx="157">
                  <c:v>39583</c:v>
                </c:pt>
                <c:pt idx="158">
                  <c:v>39584</c:v>
                </c:pt>
                <c:pt idx="159">
                  <c:v>39587</c:v>
                </c:pt>
                <c:pt idx="160">
                  <c:v>39588</c:v>
                </c:pt>
                <c:pt idx="161">
                  <c:v>39589</c:v>
                </c:pt>
                <c:pt idx="162">
                  <c:v>39590</c:v>
                </c:pt>
                <c:pt idx="163">
                  <c:v>39591</c:v>
                </c:pt>
                <c:pt idx="164">
                  <c:v>39595</c:v>
                </c:pt>
                <c:pt idx="165">
                  <c:v>39596</c:v>
                </c:pt>
                <c:pt idx="166">
                  <c:v>39597</c:v>
                </c:pt>
                <c:pt idx="167">
                  <c:v>39598</c:v>
                </c:pt>
                <c:pt idx="168">
                  <c:v>39601</c:v>
                </c:pt>
                <c:pt idx="169">
                  <c:v>39602</c:v>
                </c:pt>
                <c:pt idx="170">
                  <c:v>39603</c:v>
                </c:pt>
                <c:pt idx="171">
                  <c:v>39604</c:v>
                </c:pt>
                <c:pt idx="172">
                  <c:v>39605</c:v>
                </c:pt>
                <c:pt idx="173">
                  <c:v>39608</c:v>
                </c:pt>
                <c:pt idx="174">
                  <c:v>39609</c:v>
                </c:pt>
                <c:pt idx="175">
                  <c:v>39610</c:v>
                </c:pt>
                <c:pt idx="176">
                  <c:v>39611</c:v>
                </c:pt>
                <c:pt idx="177">
                  <c:v>39612</c:v>
                </c:pt>
                <c:pt idx="178">
                  <c:v>39615</c:v>
                </c:pt>
                <c:pt idx="179">
                  <c:v>39616</c:v>
                </c:pt>
                <c:pt idx="180">
                  <c:v>39617</c:v>
                </c:pt>
                <c:pt idx="181">
                  <c:v>39618</c:v>
                </c:pt>
                <c:pt idx="182">
                  <c:v>39619</c:v>
                </c:pt>
                <c:pt idx="183">
                  <c:v>39622</c:v>
                </c:pt>
                <c:pt idx="184">
                  <c:v>39623</c:v>
                </c:pt>
                <c:pt idx="185">
                  <c:v>39624</c:v>
                </c:pt>
                <c:pt idx="186">
                  <c:v>39625</c:v>
                </c:pt>
                <c:pt idx="187">
                  <c:v>39626</c:v>
                </c:pt>
                <c:pt idx="188">
                  <c:v>39629</c:v>
                </c:pt>
                <c:pt idx="189">
                  <c:v>39630</c:v>
                </c:pt>
                <c:pt idx="190">
                  <c:v>39631</c:v>
                </c:pt>
                <c:pt idx="191">
                  <c:v>39632</c:v>
                </c:pt>
                <c:pt idx="192">
                  <c:v>39636</c:v>
                </c:pt>
                <c:pt idx="193">
                  <c:v>39637</c:v>
                </c:pt>
                <c:pt idx="194">
                  <c:v>39638</c:v>
                </c:pt>
                <c:pt idx="195">
                  <c:v>39639</c:v>
                </c:pt>
                <c:pt idx="196">
                  <c:v>39640</c:v>
                </c:pt>
                <c:pt idx="197">
                  <c:v>39643</c:v>
                </c:pt>
                <c:pt idx="198">
                  <c:v>39644</c:v>
                </c:pt>
                <c:pt idx="199">
                  <c:v>39645</c:v>
                </c:pt>
                <c:pt idx="200">
                  <c:v>39646</c:v>
                </c:pt>
                <c:pt idx="201">
                  <c:v>39647</c:v>
                </c:pt>
                <c:pt idx="202">
                  <c:v>39650</c:v>
                </c:pt>
                <c:pt idx="203">
                  <c:v>39651</c:v>
                </c:pt>
                <c:pt idx="204">
                  <c:v>39652</c:v>
                </c:pt>
                <c:pt idx="205">
                  <c:v>39653</c:v>
                </c:pt>
                <c:pt idx="206">
                  <c:v>39654</c:v>
                </c:pt>
                <c:pt idx="207">
                  <c:v>39657</c:v>
                </c:pt>
                <c:pt idx="208">
                  <c:v>39658</c:v>
                </c:pt>
                <c:pt idx="209">
                  <c:v>39659</c:v>
                </c:pt>
                <c:pt idx="210">
                  <c:v>39660</c:v>
                </c:pt>
                <c:pt idx="211">
                  <c:v>39661</c:v>
                </c:pt>
                <c:pt idx="212">
                  <c:v>39664</c:v>
                </c:pt>
                <c:pt idx="213">
                  <c:v>39665</c:v>
                </c:pt>
                <c:pt idx="214">
                  <c:v>39666</c:v>
                </c:pt>
                <c:pt idx="215">
                  <c:v>39667</c:v>
                </c:pt>
                <c:pt idx="216">
                  <c:v>39668</c:v>
                </c:pt>
                <c:pt idx="217">
                  <c:v>39671</c:v>
                </c:pt>
                <c:pt idx="218">
                  <c:v>39672</c:v>
                </c:pt>
                <c:pt idx="219">
                  <c:v>39673</c:v>
                </c:pt>
                <c:pt idx="220">
                  <c:v>39674</c:v>
                </c:pt>
                <c:pt idx="221">
                  <c:v>39675</c:v>
                </c:pt>
                <c:pt idx="222">
                  <c:v>39678</c:v>
                </c:pt>
                <c:pt idx="223">
                  <c:v>39679</c:v>
                </c:pt>
                <c:pt idx="224">
                  <c:v>39680</c:v>
                </c:pt>
                <c:pt idx="225">
                  <c:v>39681</c:v>
                </c:pt>
                <c:pt idx="226">
                  <c:v>39682</c:v>
                </c:pt>
                <c:pt idx="227">
                  <c:v>39685</c:v>
                </c:pt>
                <c:pt idx="228">
                  <c:v>39686</c:v>
                </c:pt>
                <c:pt idx="229">
                  <c:v>39687</c:v>
                </c:pt>
                <c:pt idx="230">
                  <c:v>39688</c:v>
                </c:pt>
                <c:pt idx="231">
                  <c:v>39689</c:v>
                </c:pt>
                <c:pt idx="232">
                  <c:v>39693</c:v>
                </c:pt>
                <c:pt idx="233">
                  <c:v>39694</c:v>
                </c:pt>
                <c:pt idx="234">
                  <c:v>39695</c:v>
                </c:pt>
                <c:pt idx="235">
                  <c:v>39696</c:v>
                </c:pt>
                <c:pt idx="236">
                  <c:v>39699</c:v>
                </c:pt>
                <c:pt idx="237">
                  <c:v>39700</c:v>
                </c:pt>
                <c:pt idx="238">
                  <c:v>39701</c:v>
                </c:pt>
                <c:pt idx="239">
                  <c:v>39702</c:v>
                </c:pt>
                <c:pt idx="240">
                  <c:v>39703</c:v>
                </c:pt>
                <c:pt idx="241">
                  <c:v>39706</c:v>
                </c:pt>
                <c:pt idx="242">
                  <c:v>39707</c:v>
                </c:pt>
                <c:pt idx="243">
                  <c:v>39708</c:v>
                </c:pt>
                <c:pt idx="244">
                  <c:v>39709</c:v>
                </c:pt>
                <c:pt idx="245">
                  <c:v>39710</c:v>
                </c:pt>
                <c:pt idx="246">
                  <c:v>39713</c:v>
                </c:pt>
                <c:pt idx="247">
                  <c:v>39714</c:v>
                </c:pt>
                <c:pt idx="248">
                  <c:v>39715</c:v>
                </c:pt>
                <c:pt idx="249">
                  <c:v>39716</c:v>
                </c:pt>
                <c:pt idx="250">
                  <c:v>39717</c:v>
                </c:pt>
                <c:pt idx="251">
                  <c:v>39720</c:v>
                </c:pt>
                <c:pt idx="252">
                  <c:v>39721</c:v>
                </c:pt>
                <c:pt idx="253">
                  <c:v>39722</c:v>
                </c:pt>
                <c:pt idx="254">
                  <c:v>39723</c:v>
                </c:pt>
                <c:pt idx="255">
                  <c:v>39724</c:v>
                </c:pt>
                <c:pt idx="256">
                  <c:v>39727</c:v>
                </c:pt>
                <c:pt idx="257">
                  <c:v>39728</c:v>
                </c:pt>
                <c:pt idx="258">
                  <c:v>39729</c:v>
                </c:pt>
                <c:pt idx="259">
                  <c:v>39730</c:v>
                </c:pt>
                <c:pt idx="260">
                  <c:v>39731</c:v>
                </c:pt>
                <c:pt idx="261">
                  <c:v>39734</c:v>
                </c:pt>
                <c:pt idx="262">
                  <c:v>39735</c:v>
                </c:pt>
                <c:pt idx="263">
                  <c:v>39736</c:v>
                </c:pt>
                <c:pt idx="264">
                  <c:v>39737</c:v>
                </c:pt>
                <c:pt idx="265">
                  <c:v>39738</c:v>
                </c:pt>
                <c:pt idx="266">
                  <c:v>39741</c:v>
                </c:pt>
                <c:pt idx="267">
                  <c:v>39742</c:v>
                </c:pt>
                <c:pt idx="268">
                  <c:v>39743</c:v>
                </c:pt>
                <c:pt idx="269">
                  <c:v>39744</c:v>
                </c:pt>
                <c:pt idx="270">
                  <c:v>39745</c:v>
                </c:pt>
                <c:pt idx="271">
                  <c:v>39748</c:v>
                </c:pt>
                <c:pt idx="272">
                  <c:v>39749</c:v>
                </c:pt>
                <c:pt idx="273">
                  <c:v>39750</c:v>
                </c:pt>
                <c:pt idx="274">
                  <c:v>39751</c:v>
                </c:pt>
                <c:pt idx="275">
                  <c:v>39752</c:v>
                </c:pt>
                <c:pt idx="276">
                  <c:v>39755</c:v>
                </c:pt>
                <c:pt idx="277">
                  <c:v>39756</c:v>
                </c:pt>
                <c:pt idx="278">
                  <c:v>39757</c:v>
                </c:pt>
                <c:pt idx="279">
                  <c:v>39758</c:v>
                </c:pt>
                <c:pt idx="280">
                  <c:v>39759</c:v>
                </c:pt>
                <c:pt idx="281">
                  <c:v>39762</c:v>
                </c:pt>
                <c:pt idx="282">
                  <c:v>39763</c:v>
                </c:pt>
                <c:pt idx="283">
                  <c:v>39764</c:v>
                </c:pt>
                <c:pt idx="284">
                  <c:v>39765</c:v>
                </c:pt>
                <c:pt idx="285">
                  <c:v>39766</c:v>
                </c:pt>
                <c:pt idx="286">
                  <c:v>39769</c:v>
                </c:pt>
                <c:pt idx="287">
                  <c:v>39770</c:v>
                </c:pt>
                <c:pt idx="288">
                  <c:v>39771</c:v>
                </c:pt>
                <c:pt idx="289">
                  <c:v>39772</c:v>
                </c:pt>
                <c:pt idx="290">
                  <c:v>39773</c:v>
                </c:pt>
                <c:pt idx="291">
                  <c:v>39776</c:v>
                </c:pt>
                <c:pt idx="292">
                  <c:v>39777</c:v>
                </c:pt>
                <c:pt idx="293">
                  <c:v>39778</c:v>
                </c:pt>
                <c:pt idx="294">
                  <c:v>39780</c:v>
                </c:pt>
                <c:pt idx="295">
                  <c:v>39783</c:v>
                </c:pt>
                <c:pt idx="296">
                  <c:v>39784</c:v>
                </c:pt>
                <c:pt idx="297">
                  <c:v>39785</c:v>
                </c:pt>
                <c:pt idx="298">
                  <c:v>39786</c:v>
                </c:pt>
                <c:pt idx="299">
                  <c:v>39787</c:v>
                </c:pt>
                <c:pt idx="300">
                  <c:v>39790</c:v>
                </c:pt>
                <c:pt idx="301">
                  <c:v>39791</c:v>
                </c:pt>
                <c:pt idx="302">
                  <c:v>39792</c:v>
                </c:pt>
                <c:pt idx="303">
                  <c:v>39793</c:v>
                </c:pt>
                <c:pt idx="304">
                  <c:v>39794</c:v>
                </c:pt>
                <c:pt idx="305">
                  <c:v>39797</c:v>
                </c:pt>
                <c:pt idx="306">
                  <c:v>39798</c:v>
                </c:pt>
                <c:pt idx="307">
                  <c:v>39799</c:v>
                </c:pt>
                <c:pt idx="308">
                  <c:v>39800</c:v>
                </c:pt>
                <c:pt idx="309">
                  <c:v>39801</c:v>
                </c:pt>
                <c:pt idx="310">
                  <c:v>39804</c:v>
                </c:pt>
                <c:pt idx="311">
                  <c:v>39805</c:v>
                </c:pt>
                <c:pt idx="312">
                  <c:v>39806</c:v>
                </c:pt>
                <c:pt idx="313">
                  <c:v>39808</c:v>
                </c:pt>
                <c:pt idx="314">
                  <c:v>39811</c:v>
                </c:pt>
                <c:pt idx="315">
                  <c:v>39812</c:v>
                </c:pt>
                <c:pt idx="316">
                  <c:v>39813</c:v>
                </c:pt>
                <c:pt idx="317">
                  <c:v>39815</c:v>
                </c:pt>
                <c:pt idx="318">
                  <c:v>39818</c:v>
                </c:pt>
                <c:pt idx="319">
                  <c:v>39819</c:v>
                </c:pt>
                <c:pt idx="320">
                  <c:v>39820</c:v>
                </c:pt>
                <c:pt idx="321">
                  <c:v>39821</c:v>
                </c:pt>
                <c:pt idx="322">
                  <c:v>39822</c:v>
                </c:pt>
                <c:pt idx="323">
                  <c:v>39825</c:v>
                </c:pt>
                <c:pt idx="324">
                  <c:v>39826</c:v>
                </c:pt>
                <c:pt idx="325">
                  <c:v>39827</c:v>
                </c:pt>
                <c:pt idx="326">
                  <c:v>39828</c:v>
                </c:pt>
                <c:pt idx="327">
                  <c:v>39829</c:v>
                </c:pt>
                <c:pt idx="328">
                  <c:v>39833</c:v>
                </c:pt>
                <c:pt idx="329">
                  <c:v>39834</c:v>
                </c:pt>
                <c:pt idx="330">
                  <c:v>39835</c:v>
                </c:pt>
                <c:pt idx="331">
                  <c:v>39836</c:v>
                </c:pt>
                <c:pt idx="332">
                  <c:v>39839</c:v>
                </c:pt>
                <c:pt idx="333">
                  <c:v>39840</c:v>
                </c:pt>
                <c:pt idx="334">
                  <c:v>39841</c:v>
                </c:pt>
                <c:pt idx="335">
                  <c:v>39842</c:v>
                </c:pt>
                <c:pt idx="336">
                  <c:v>39843</c:v>
                </c:pt>
                <c:pt idx="337">
                  <c:v>39846</c:v>
                </c:pt>
                <c:pt idx="338">
                  <c:v>39847</c:v>
                </c:pt>
                <c:pt idx="339">
                  <c:v>39848</c:v>
                </c:pt>
                <c:pt idx="340">
                  <c:v>39849</c:v>
                </c:pt>
                <c:pt idx="341">
                  <c:v>39850</c:v>
                </c:pt>
                <c:pt idx="342">
                  <c:v>39853</c:v>
                </c:pt>
                <c:pt idx="343">
                  <c:v>39854</c:v>
                </c:pt>
                <c:pt idx="344">
                  <c:v>39855</c:v>
                </c:pt>
                <c:pt idx="345">
                  <c:v>39856</c:v>
                </c:pt>
                <c:pt idx="346">
                  <c:v>39857</c:v>
                </c:pt>
                <c:pt idx="347">
                  <c:v>39861</c:v>
                </c:pt>
                <c:pt idx="348">
                  <c:v>39862</c:v>
                </c:pt>
                <c:pt idx="349">
                  <c:v>39863</c:v>
                </c:pt>
                <c:pt idx="350">
                  <c:v>39864</c:v>
                </c:pt>
                <c:pt idx="351">
                  <c:v>39867</c:v>
                </c:pt>
                <c:pt idx="352">
                  <c:v>39868</c:v>
                </c:pt>
                <c:pt idx="353">
                  <c:v>39869</c:v>
                </c:pt>
                <c:pt idx="354">
                  <c:v>39870</c:v>
                </c:pt>
                <c:pt idx="355">
                  <c:v>39871</c:v>
                </c:pt>
                <c:pt idx="356">
                  <c:v>39874</c:v>
                </c:pt>
                <c:pt idx="357">
                  <c:v>39875</c:v>
                </c:pt>
                <c:pt idx="358">
                  <c:v>39876</c:v>
                </c:pt>
                <c:pt idx="359">
                  <c:v>39877</c:v>
                </c:pt>
                <c:pt idx="360">
                  <c:v>39878</c:v>
                </c:pt>
                <c:pt idx="361">
                  <c:v>39881</c:v>
                </c:pt>
                <c:pt idx="362">
                  <c:v>39882</c:v>
                </c:pt>
                <c:pt idx="363">
                  <c:v>39883</c:v>
                </c:pt>
                <c:pt idx="364">
                  <c:v>39884</c:v>
                </c:pt>
                <c:pt idx="365">
                  <c:v>39885</c:v>
                </c:pt>
                <c:pt idx="366">
                  <c:v>39888</c:v>
                </c:pt>
                <c:pt idx="367">
                  <c:v>39889</c:v>
                </c:pt>
                <c:pt idx="368">
                  <c:v>39890</c:v>
                </c:pt>
                <c:pt idx="369">
                  <c:v>39891</c:v>
                </c:pt>
                <c:pt idx="370">
                  <c:v>39892</c:v>
                </c:pt>
                <c:pt idx="371">
                  <c:v>39895</c:v>
                </c:pt>
                <c:pt idx="372">
                  <c:v>39896</c:v>
                </c:pt>
                <c:pt idx="373">
                  <c:v>39897</c:v>
                </c:pt>
                <c:pt idx="374">
                  <c:v>39898</c:v>
                </c:pt>
                <c:pt idx="375">
                  <c:v>39899</c:v>
                </c:pt>
                <c:pt idx="376">
                  <c:v>39902</c:v>
                </c:pt>
                <c:pt idx="377">
                  <c:v>39903</c:v>
                </c:pt>
                <c:pt idx="378">
                  <c:v>39904</c:v>
                </c:pt>
                <c:pt idx="379">
                  <c:v>39905</c:v>
                </c:pt>
                <c:pt idx="380">
                  <c:v>39906</c:v>
                </c:pt>
                <c:pt idx="381">
                  <c:v>39909</c:v>
                </c:pt>
                <c:pt idx="382">
                  <c:v>39910</c:v>
                </c:pt>
                <c:pt idx="383">
                  <c:v>39911</c:v>
                </c:pt>
                <c:pt idx="384">
                  <c:v>39912</c:v>
                </c:pt>
                <c:pt idx="385">
                  <c:v>39916</c:v>
                </c:pt>
                <c:pt idx="386">
                  <c:v>39917</c:v>
                </c:pt>
                <c:pt idx="387">
                  <c:v>39918</c:v>
                </c:pt>
                <c:pt idx="388">
                  <c:v>39919</c:v>
                </c:pt>
                <c:pt idx="389">
                  <c:v>39920</c:v>
                </c:pt>
                <c:pt idx="390">
                  <c:v>39923</c:v>
                </c:pt>
                <c:pt idx="391">
                  <c:v>39924</c:v>
                </c:pt>
                <c:pt idx="392">
                  <c:v>39925</c:v>
                </c:pt>
                <c:pt idx="393">
                  <c:v>39926</c:v>
                </c:pt>
                <c:pt idx="394">
                  <c:v>39927</c:v>
                </c:pt>
                <c:pt idx="395">
                  <c:v>39930</c:v>
                </c:pt>
                <c:pt idx="396">
                  <c:v>39931</c:v>
                </c:pt>
                <c:pt idx="397">
                  <c:v>39932</c:v>
                </c:pt>
                <c:pt idx="398">
                  <c:v>39933</c:v>
                </c:pt>
                <c:pt idx="399">
                  <c:v>39934</c:v>
                </c:pt>
                <c:pt idx="400">
                  <c:v>39937</c:v>
                </c:pt>
                <c:pt idx="401">
                  <c:v>39938</c:v>
                </c:pt>
                <c:pt idx="402">
                  <c:v>39939</c:v>
                </c:pt>
                <c:pt idx="403">
                  <c:v>39940</c:v>
                </c:pt>
                <c:pt idx="404">
                  <c:v>39941</c:v>
                </c:pt>
                <c:pt idx="405">
                  <c:v>39944</c:v>
                </c:pt>
                <c:pt idx="406">
                  <c:v>39945</c:v>
                </c:pt>
                <c:pt idx="407">
                  <c:v>39946</c:v>
                </c:pt>
                <c:pt idx="408">
                  <c:v>39947</c:v>
                </c:pt>
                <c:pt idx="409">
                  <c:v>39948</c:v>
                </c:pt>
                <c:pt idx="410">
                  <c:v>39951</c:v>
                </c:pt>
                <c:pt idx="411">
                  <c:v>39952</c:v>
                </c:pt>
                <c:pt idx="412">
                  <c:v>39953</c:v>
                </c:pt>
                <c:pt idx="413">
                  <c:v>39954</c:v>
                </c:pt>
                <c:pt idx="414">
                  <c:v>39955</c:v>
                </c:pt>
                <c:pt idx="415">
                  <c:v>39959</c:v>
                </c:pt>
                <c:pt idx="416">
                  <c:v>39960</c:v>
                </c:pt>
                <c:pt idx="417">
                  <c:v>39961</c:v>
                </c:pt>
                <c:pt idx="418">
                  <c:v>39962</c:v>
                </c:pt>
                <c:pt idx="419">
                  <c:v>39965</c:v>
                </c:pt>
                <c:pt idx="420">
                  <c:v>39966</c:v>
                </c:pt>
                <c:pt idx="421">
                  <c:v>39967</c:v>
                </c:pt>
                <c:pt idx="422">
                  <c:v>39968</c:v>
                </c:pt>
                <c:pt idx="423">
                  <c:v>39969</c:v>
                </c:pt>
                <c:pt idx="424">
                  <c:v>39972</c:v>
                </c:pt>
                <c:pt idx="425">
                  <c:v>39973</c:v>
                </c:pt>
                <c:pt idx="426">
                  <c:v>39974</c:v>
                </c:pt>
                <c:pt idx="427">
                  <c:v>39975</c:v>
                </c:pt>
                <c:pt idx="428">
                  <c:v>39976</c:v>
                </c:pt>
                <c:pt idx="429">
                  <c:v>39979</c:v>
                </c:pt>
                <c:pt idx="430">
                  <c:v>39980</c:v>
                </c:pt>
                <c:pt idx="431">
                  <c:v>39981</c:v>
                </c:pt>
                <c:pt idx="432">
                  <c:v>39982</c:v>
                </c:pt>
                <c:pt idx="433">
                  <c:v>39983</c:v>
                </c:pt>
                <c:pt idx="434">
                  <c:v>39986</c:v>
                </c:pt>
                <c:pt idx="435">
                  <c:v>39987</c:v>
                </c:pt>
                <c:pt idx="436">
                  <c:v>39988</c:v>
                </c:pt>
                <c:pt idx="437">
                  <c:v>39989</c:v>
                </c:pt>
                <c:pt idx="438">
                  <c:v>39990</c:v>
                </c:pt>
                <c:pt idx="439">
                  <c:v>39993</c:v>
                </c:pt>
                <c:pt idx="440">
                  <c:v>39994</c:v>
                </c:pt>
                <c:pt idx="441">
                  <c:v>39995</c:v>
                </c:pt>
                <c:pt idx="442">
                  <c:v>39996</c:v>
                </c:pt>
                <c:pt idx="443">
                  <c:v>40000</c:v>
                </c:pt>
                <c:pt idx="444">
                  <c:v>40001</c:v>
                </c:pt>
                <c:pt idx="445">
                  <c:v>40002</c:v>
                </c:pt>
                <c:pt idx="446">
                  <c:v>40003</c:v>
                </c:pt>
                <c:pt idx="447">
                  <c:v>40004</c:v>
                </c:pt>
                <c:pt idx="448">
                  <c:v>40007</c:v>
                </c:pt>
                <c:pt idx="449">
                  <c:v>40008</c:v>
                </c:pt>
                <c:pt idx="450">
                  <c:v>40009</c:v>
                </c:pt>
                <c:pt idx="451">
                  <c:v>40010</c:v>
                </c:pt>
                <c:pt idx="452">
                  <c:v>40011</c:v>
                </c:pt>
                <c:pt idx="453">
                  <c:v>40014</c:v>
                </c:pt>
                <c:pt idx="454">
                  <c:v>40015</c:v>
                </c:pt>
                <c:pt idx="455">
                  <c:v>40016</c:v>
                </c:pt>
                <c:pt idx="456">
                  <c:v>40017</c:v>
                </c:pt>
                <c:pt idx="457">
                  <c:v>40018</c:v>
                </c:pt>
                <c:pt idx="458">
                  <c:v>40021</c:v>
                </c:pt>
                <c:pt idx="459">
                  <c:v>40022</c:v>
                </c:pt>
                <c:pt idx="460">
                  <c:v>40023</c:v>
                </c:pt>
                <c:pt idx="461">
                  <c:v>40024</c:v>
                </c:pt>
                <c:pt idx="462">
                  <c:v>40025</c:v>
                </c:pt>
                <c:pt idx="463">
                  <c:v>40028</c:v>
                </c:pt>
                <c:pt idx="464">
                  <c:v>40029</c:v>
                </c:pt>
                <c:pt idx="465">
                  <c:v>40030</c:v>
                </c:pt>
                <c:pt idx="466">
                  <c:v>40031</c:v>
                </c:pt>
                <c:pt idx="467">
                  <c:v>40032</c:v>
                </c:pt>
                <c:pt idx="468">
                  <c:v>40035</c:v>
                </c:pt>
                <c:pt idx="469">
                  <c:v>40036</c:v>
                </c:pt>
                <c:pt idx="470">
                  <c:v>40037</c:v>
                </c:pt>
                <c:pt idx="471">
                  <c:v>40038</c:v>
                </c:pt>
                <c:pt idx="472">
                  <c:v>40039</c:v>
                </c:pt>
                <c:pt idx="473">
                  <c:v>40042</c:v>
                </c:pt>
                <c:pt idx="474">
                  <c:v>40043</c:v>
                </c:pt>
                <c:pt idx="475">
                  <c:v>40044</c:v>
                </c:pt>
                <c:pt idx="476">
                  <c:v>40045</c:v>
                </c:pt>
                <c:pt idx="477">
                  <c:v>40046</c:v>
                </c:pt>
                <c:pt idx="478">
                  <c:v>40049</c:v>
                </c:pt>
                <c:pt idx="479">
                  <c:v>40050</c:v>
                </c:pt>
                <c:pt idx="480">
                  <c:v>40051</c:v>
                </c:pt>
                <c:pt idx="481">
                  <c:v>40052</c:v>
                </c:pt>
                <c:pt idx="482">
                  <c:v>40053</c:v>
                </c:pt>
                <c:pt idx="483">
                  <c:v>40056</c:v>
                </c:pt>
                <c:pt idx="484">
                  <c:v>40057</c:v>
                </c:pt>
                <c:pt idx="485">
                  <c:v>40058</c:v>
                </c:pt>
                <c:pt idx="486">
                  <c:v>40059</c:v>
                </c:pt>
                <c:pt idx="487">
                  <c:v>40060</c:v>
                </c:pt>
                <c:pt idx="488">
                  <c:v>40064</c:v>
                </c:pt>
                <c:pt idx="489">
                  <c:v>40065</c:v>
                </c:pt>
                <c:pt idx="490">
                  <c:v>40066</c:v>
                </c:pt>
                <c:pt idx="491">
                  <c:v>40067</c:v>
                </c:pt>
                <c:pt idx="492">
                  <c:v>40070</c:v>
                </c:pt>
                <c:pt idx="493">
                  <c:v>40071</c:v>
                </c:pt>
                <c:pt idx="494">
                  <c:v>40072</c:v>
                </c:pt>
                <c:pt idx="495">
                  <c:v>40073</c:v>
                </c:pt>
                <c:pt idx="496">
                  <c:v>40074</c:v>
                </c:pt>
                <c:pt idx="497">
                  <c:v>40077</c:v>
                </c:pt>
                <c:pt idx="498">
                  <c:v>40078</c:v>
                </c:pt>
                <c:pt idx="499">
                  <c:v>40079</c:v>
                </c:pt>
                <c:pt idx="500">
                  <c:v>40080</c:v>
                </c:pt>
                <c:pt idx="501">
                  <c:v>40081</c:v>
                </c:pt>
                <c:pt idx="502">
                  <c:v>40084</c:v>
                </c:pt>
                <c:pt idx="503">
                  <c:v>40085</c:v>
                </c:pt>
                <c:pt idx="504">
                  <c:v>40086</c:v>
                </c:pt>
                <c:pt idx="505">
                  <c:v>40087</c:v>
                </c:pt>
                <c:pt idx="506">
                  <c:v>40088</c:v>
                </c:pt>
                <c:pt idx="507">
                  <c:v>40091</c:v>
                </c:pt>
                <c:pt idx="508">
                  <c:v>40092</c:v>
                </c:pt>
                <c:pt idx="509">
                  <c:v>40093</c:v>
                </c:pt>
                <c:pt idx="510">
                  <c:v>40094</c:v>
                </c:pt>
                <c:pt idx="511">
                  <c:v>40095</c:v>
                </c:pt>
                <c:pt idx="512">
                  <c:v>40098</c:v>
                </c:pt>
                <c:pt idx="513">
                  <c:v>40099</c:v>
                </c:pt>
                <c:pt idx="514">
                  <c:v>40100</c:v>
                </c:pt>
                <c:pt idx="515">
                  <c:v>40101</c:v>
                </c:pt>
                <c:pt idx="516">
                  <c:v>40102</c:v>
                </c:pt>
                <c:pt idx="517">
                  <c:v>40105</c:v>
                </c:pt>
                <c:pt idx="518">
                  <c:v>40106</c:v>
                </c:pt>
                <c:pt idx="519">
                  <c:v>40107</c:v>
                </c:pt>
                <c:pt idx="520">
                  <c:v>40108</c:v>
                </c:pt>
                <c:pt idx="521">
                  <c:v>40109</c:v>
                </c:pt>
                <c:pt idx="522">
                  <c:v>40112</c:v>
                </c:pt>
                <c:pt idx="523">
                  <c:v>40113</c:v>
                </c:pt>
                <c:pt idx="524">
                  <c:v>40114</c:v>
                </c:pt>
                <c:pt idx="525">
                  <c:v>40115</c:v>
                </c:pt>
                <c:pt idx="526">
                  <c:v>40116</c:v>
                </c:pt>
                <c:pt idx="527">
                  <c:v>40119</c:v>
                </c:pt>
                <c:pt idx="528">
                  <c:v>40120</c:v>
                </c:pt>
                <c:pt idx="529">
                  <c:v>40121</c:v>
                </c:pt>
                <c:pt idx="530">
                  <c:v>40122</c:v>
                </c:pt>
                <c:pt idx="531">
                  <c:v>40123</c:v>
                </c:pt>
                <c:pt idx="532">
                  <c:v>40126</c:v>
                </c:pt>
                <c:pt idx="533">
                  <c:v>40127</c:v>
                </c:pt>
                <c:pt idx="534">
                  <c:v>40128</c:v>
                </c:pt>
                <c:pt idx="535">
                  <c:v>40129</c:v>
                </c:pt>
                <c:pt idx="536">
                  <c:v>40130</c:v>
                </c:pt>
                <c:pt idx="537">
                  <c:v>40133</c:v>
                </c:pt>
                <c:pt idx="538">
                  <c:v>40134</c:v>
                </c:pt>
                <c:pt idx="539">
                  <c:v>40135</c:v>
                </c:pt>
                <c:pt idx="540">
                  <c:v>40136</c:v>
                </c:pt>
                <c:pt idx="541">
                  <c:v>40137</c:v>
                </c:pt>
                <c:pt idx="542">
                  <c:v>40140</c:v>
                </c:pt>
                <c:pt idx="543">
                  <c:v>40141</c:v>
                </c:pt>
                <c:pt idx="544">
                  <c:v>40142</c:v>
                </c:pt>
                <c:pt idx="545">
                  <c:v>40144</c:v>
                </c:pt>
                <c:pt idx="546">
                  <c:v>40147</c:v>
                </c:pt>
                <c:pt idx="547">
                  <c:v>40148</c:v>
                </c:pt>
                <c:pt idx="548">
                  <c:v>40149</c:v>
                </c:pt>
                <c:pt idx="549">
                  <c:v>40150</c:v>
                </c:pt>
                <c:pt idx="550">
                  <c:v>40151</c:v>
                </c:pt>
                <c:pt idx="551">
                  <c:v>40154</c:v>
                </c:pt>
                <c:pt idx="552">
                  <c:v>40155</c:v>
                </c:pt>
                <c:pt idx="553">
                  <c:v>40156</c:v>
                </c:pt>
                <c:pt idx="554">
                  <c:v>40157</c:v>
                </c:pt>
                <c:pt idx="555">
                  <c:v>40158</c:v>
                </c:pt>
                <c:pt idx="556">
                  <c:v>40161</c:v>
                </c:pt>
                <c:pt idx="557">
                  <c:v>40162</c:v>
                </c:pt>
                <c:pt idx="558">
                  <c:v>40163</c:v>
                </c:pt>
                <c:pt idx="559">
                  <c:v>40164</c:v>
                </c:pt>
                <c:pt idx="560">
                  <c:v>40165</c:v>
                </c:pt>
                <c:pt idx="561">
                  <c:v>40168</c:v>
                </c:pt>
                <c:pt idx="562">
                  <c:v>40169</c:v>
                </c:pt>
                <c:pt idx="563">
                  <c:v>40170</c:v>
                </c:pt>
                <c:pt idx="564">
                  <c:v>40171</c:v>
                </c:pt>
                <c:pt idx="565">
                  <c:v>40175</c:v>
                </c:pt>
                <c:pt idx="566">
                  <c:v>40176</c:v>
                </c:pt>
                <c:pt idx="567">
                  <c:v>40177</c:v>
                </c:pt>
                <c:pt idx="568">
                  <c:v>40178</c:v>
                </c:pt>
                <c:pt idx="569">
                  <c:v>40182</c:v>
                </c:pt>
                <c:pt idx="570">
                  <c:v>40183</c:v>
                </c:pt>
                <c:pt idx="571">
                  <c:v>40184</c:v>
                </c:pt>
                <c:pt idx="572">
                  <c:v>40185</c:v>
                </c:pt>
                <c:pt idx="573">
                  <c:v>40186</c:v>
                </c:pt>
                <c:pt idx="574">
                  <c:v>40189</c:v>
                </c:pt>
                <c:pt idx="575">
                  <c:v>40190</c:v>
                </c:pt>
                <c:pt idx="576">
                  <c:v>40191</c:v>
                </c:pt>
                <c:pt idx="577">
                  <c:v>40192</c:v>
                </c:pt>
                <c:pt idx="578">
                  <c:v>40193</c:v>
                </c:pt>
                <c:pt idx="579">
                  <c:v>40197</c:v>
                </c:pt>
                <c:pt idx="580">
                  <c:v>40198</c:v>
                </c:pt>
                <c:pt idx="581">
                  <c:v>40199</c:v>
                </c:pt>
                <c:pt idx="582">
                  <c:v>40200</c:v>
                </c:pt>
                <c:pt idx="583">
                  <c:v>40203</c:v>
                </c:pt>
                <c:pt idx="584">
                  <c:v>40204</c:v>
                </c:pt>
                <c:pt idx="585">
                  <c:v>40205</c:v>
                </c:pt>
                <c:pt idx="586">
                  <c:v>40206</c:v>
                </c:pt>
                <c:pt idx="587">
                  <c:v>40207</c:v>
                </c:pt>
                <c:pt idx="588">
                  <c:v>40210</c:v>
                </c:pt>
                <c:pt idx="589">
                  <c:v>40211</c:v>
                </c:pt>
                <c:pt idx="590">
                  <c:v>40212</c:v>
                </c:pt>
                <c:pt idx="591">
                  <c:v>40213</c:v>
                </c:pt>
                <c:pt idx="592">
                  <c:v>40214</c:v>
                </c:pt>
                <c:pt idx="593">
                  <c:v>40217</c:v>
                </c:pt>
                <c:pt idx="594">
                  <c:v>40218</c:v>
                </c:pt>
                <c:pt idx="595">
                  <c:v>40219</c:v>
                </c:pt>
                <c:pt idx="596">
                  <c:v>40220</c:v>
                </c:pt>
                <c:pt idx="597">
                  <c:v>40221</c:v>
                </c:pt>
                <c:pt idx="598">
                  <c:v>40225</c:v>
                </c:pt>
                <c:pt idx="599">
                  <c:v>40226</c:v>
                </c:pt>
                <c:pt idx="600">
                  <c:v>40227</c:v>
                </c:pt>
                <c:pt idx="601">
                  <c:v>40228</c:v>
                </c:pt>
                <c:pt idx="602">
                  <c:v>40231</c:v>
                </c:pt>
                <c:pt idx="603">
                  <c:v>40232</c:v>
                </c:pt>
                <c:pt idx="604">
                  <c:v>40233</c:v>
                </c:pt>
                <c:pt idx="605">
                  <c:v>40234</c:v>
                </c:pt>
                <c:pt idx="606">
                  <c:v>40235</c:v>
                </c:pt>
                <c:pt idx="607">
                  <c:v>40238</c:v>
                </c:pt>
                <c:pt idx="608">
                  <c:v>40239</c:v>
                </c:pt>
                <c:pt idx="609">
                  <c:v>40240</c:v>
                </c:pt>
                <c:pt idx="610">
                  <c:v>40241</c:v>
                </c:pt>
                <c:pt idx="611">
                  <c:v>40242</c:v>
                </c:pt>
                <c:pt idx="612">
                  <c:v>40245</c:v>
                </c:pt>
                <c:pt idx="613">
                  <c:v>40246</c:v>
                </c:pt>
                <c:pt idx="614">
                  <c:v>40247</c:v>
                </c:pt>
                <c:pt idx="615">
                  <c:v>40248</c:v>
                </c:pt>
                <c:pt idx="616">
                  <c:v>40249</c:v>
                </c:pt>
                <c:pt idx="617">
                  <c:v>40252</c:v>
                </c:pt>
                <c:pt idx="618">
                  <c:v>40253</c:v>
                </c:pt>
                <c:pt idx="619">
                  <c:v>40254</c:v>
                </c:pt>
                <c:pt idx="620">
                  <c:v>40255</c:v>
                </c:pt>
                <c:pt idx="621">
                  <c:v>40256</c:v>
                </c:pt>
                <c:pt idx="622">
                  <c:v>40259</c:v>
                </c:pt>
                <c:pt idx="623">
                  <c:v>40260</c:v>
                </c:pt>
                <c:pt idx="624">
                  <c:v>40261</c:v>
                </c:pt>
                <c:pt idx="625">
                  <c:v>40262</c:v>
                </c:pt>
                <c:pt idx="626">
                  <c:v>40263</c:v>
                </c:pt>
                <c:pt idx="627">
                  <c:v>40266</c:v>
                </c:pt>
                <c:pt idx="628">
                  <c:v>40267</c:v>
                </c:pt>
                <c:pt idx="629">
                  <c:v>40268</c:v>
                </c:pt>
                <c:pt idx="630">
                  <c:v>40269</c:v>
                </c:pt>
                <c:pt idx="631">
                  <c:v>40273</c:v>
                </c:pt>
                <c:pt idx="632">
                  <c:v>40274</c:v>
                </c:pt>
                <c:pt idx="633">
                  <c:v>40275</c:v>
                </c:pt>
                <c:pt idx="634">
                  <c:v>40276</c:v>
                </c:pt>
                <c:pt idx="635">
                  <c:v>40277</c:v>
                </c:pt>
                <c:pt idx="636">
                  <c:v>40280</c:v>
                </c:pt>
                <c:pt idx="637">
                  <c:v>40281</c:v>
                </c:pt>
                <c:pt idx="638">
                  <c:v>40282</c:v>
                </c:pt>
                <c:pt idx="639">
                  <c:v>40283</c:v>
                </c:pt>
                <c:pt idx="640">
                  <c:v>40284</c:v>
                </c:pt>
                <c:pt idx="641">
                  <c:v>40287</c:v>
                </c:pt>
                <c:pt idx="642">
                  <c:v>40288</c:v>
                </c:pt>
                <c:pt idx="643">
                  <c:v>40289</c:v>
                </c:pt>
                <c:pt idx="644">
                  <c:v>40290</c:v>
                </c:pt>
                <c:pt idx="645">
                  <c:v>40291</c:v>
                </c:pt>
                <c:pt idx="646">
                  <c:v>40294</c:v>
                </c:pt>
                <c:pt idx="647">
                  <c:v>40295</c:v>
                </c:pt>
                <c:pt idx="648">
                  <c:v>40296</c:v>
                </c:pt>
                <c:pt idx="649">
                  <c:v>40297</c:v>
                </c:pt>
                <c:pt idx="650">
                  <c:v>40298</c:v>
                </c:pt>
                <c:pt idx="651">
                  <c:v>40301</c:v>
                </c:pt>
                <c:pt idx="652">
                  <c:v>40302</c:v>
                </c:pt>
                <c:pt idx="653">
                  <c:v>40303</c:v>
                </c:pt>
                <c:pt idx="654">
                  <c:v>40304</c:v>
                </c:pt>
                <c:pt idx="655">
                  <c:v>40305</c:v>
                </c:pt>
                <c:pt idx="656">
                  <c:v>40308</c:v>
                </c:pt>
                <c:pt idx="657">
                  <c:v>40309</c:v>
                </c:pt>
                <c:pt idx="658">
                  <c:v>40310</c:v>
                </c:pt>
                <c:pt idx="659">
                  <c:v>40311</c:v>
                </c:pt>
                <c:pt idx="660">
                  <c:v>40312</c:v>
                </c:pt>
                <c:pt idx="661">
                  <c:v>40315</c:v>
                </c:pt>
                <c:pt idx="662">
                  <c:v>40316</c:v>
                </c:pt>
                <c:pt idx="663">
                  <c:v>40317</c:v>
                </c:pt>
                <c:pt idx="664">
                  <c:v>40318</c:v>
                </c:pt>
                <c:pt idx="665">
                  <c:v>40319</c:v>
                </c:pt>
                <c:pt idx="666">
                  <c:v>40322</c:v>
                </c:pt>
                <c:pt idx="667">
                  <c:v>40323</c:v>
                </c:pt>
                <c:pt idx="668">
                  <c:v>40324</c:v>
                </c:pt>
                <c:pt idx="669">
                  <c:v>40325</c:v>
                </c:pt>
                <c:pt idx="670">
                  <c:v>40326</c:v>
                </c:pt>
                <c:pt idx="671">
                  <c:v>40330</c:v>
                </c:pt>
                <c:pt idx="672">
                  <c:v>40331</c:v>
                </c:pt>
                <c:pt idx="673">
                  <c:v>40332</c:v>
                </c:pt>
                <c:pt idx="674">
                  <c:v>40333</c:v>
                </c:pt>
                <c:pt idx="675">
                  <c:v>40336</c:v>
                </c:pt>
                <c:pt idx="676">
                  <c:v>40337</c:v>
                </c:pt>
                <c:pt idx="677">
                  <c:v>40338</c:v>
                </c:pt>
                <c:pt idx="678">
                  <c:v>40339</c:v>
                </c:pt>
                <c:pt idx="679">
                  <c:v>40340</c:v>
                </c:pt>
                <c:pt idx="680">
                  <c:v>40343</c:v>
                </c:pt>
                <c:pt idx="681">
                  <c:v>40344</c:v>
                </c:pt>
                <c:pt idx="682">
                  <c:v>40345</c:v>
                </c:pt>
                <c:pt idx="683">
                  <c:v>40346</c:v>
                </c:pt>
                <c:pt idx="684">
                  <c:v>40347</c:v>
                </c:pt>
                <c:pt idx="685">
                  <c:v>40350</c:v>
                </c:pt>
                <c:pt idx="686">
                  <c:v>40351</c:v>
                </c:pt>
                <c:pt idx="687">
                  <c:v>40352</c:v>
                </c:pt>
                <c:pt idx="688">
                  <c:v>40353</c:v>
                </c:pt>
                <c:pt idx="689">
                  <c:v>40354</c:v>
                </c:pt>
                <c:pt idx="690">
                  <c:v>40357</c:v>
                </c:pt>
                <c:pt idx="691">
                  <c:v>40358</c:v>
                </c:pt>
                <c:pt idx="692">
                  <c:v>40359</c:v>
                </c:pt>
                <c:pt idx="693">
                  <c:v>40360</c:v>
                </c:pt>
                <c:pt idx="694">
                  <c:v>40361</c:v>
                </c:pt>
                <c:pt idx="695">
                  <c:v>40365</c:v>
                </c:pt>
                <c:pt idx="696">
                  <c:v>40366</c:v>
                </c:pt>
                <c:pt idx="697">
                  <c:v>40367</c:v>
                </c:pt>
                <c:pt idx="698">
                  <c:v>40368</c:v>
                </c:pt>
                <c:pt idx="699">
                  <c:v>40371</c:v>
                </c:pt>
                <c:pt idx="700">
                  <c:v>40372</c:v>
                </c:pt>
                <c:pt idx="701">
                  <c:v>40373</c:v>
                </c:pt>
                <c:pt idx="702">
                  <c:v>40374</c:v>
                </c:pt>
                <c:pt idx="703">
                  <c:v>40375</c:v>
                </c:pt>
                <c:pt idx="704">
                  <c:v>40378</c:v>
                </c:pt>
                <c:pt idx="705">
                  <c:v>40379</c:v>
                </c:pt>
                <c:pt idx="706">
                  <c:v>40380</c:v>
                </c:pt>
                <c:pt idx="707">
                  <c:v>40381</c:v>
                </c:pt>
                <c:pt idx="708">
                  <c:v>40382</c:v>
                </c:pt>
                <c:pt idx="709">
                  <c:v>40385</c:v>
                </c:pt>
                <c:pt idx="710">
                  <c:v>40386</c:v>
                </c:pt>
                <c:pt idx="711">
                  <c:v>40387</c:v>
                </c:pt>
                <c:pt idx="712">
                  <c:v>40388</c:v>
                </c:pt>
                <c:pt idx="713">
                  <c:v>40389</c:v>
                </c:pt>
                <c:pt idx="714">
                  <c:v>40392</c:v>
                </c:pt>
                <c:pt idx="715">
                  <c:v>40393</c:v>
                </c:pt>
                <c:pt idx="716">
                  <c:v>40394</c:v>
                </c:pt>
                <c:pt idx="717">
                  <c:v>40395</c:v>
                </c:pt>
                <c:pt idx="718">
                  <c:v>40396</c:v>
                </c:pt>
                <c:pt idx="719">
                  <c:v>40399</c:v>
                </c:pt>
                <c:pt idx="720">
                  <c:v>40400</c:v>
                </c:pt>
                <c:pt idx="721">
                  <c:v>40401</c:v>
                </c:pt>
                <c:pt idx="722">
                  <c:v>40402</c:v>
                </c:pt>
                <c:pt idx="723">
                  <c:v>40403</c:v>
                </c:pt>
                <c:pt idx="724">
                  <c:v>40406</c:v>
                </c:pt>
                <c:pt idx="725">
                  <c:v>40407</c:v>
                </c:pt>
                <c:pt idx="726">
                  <c:v>40408</c:v>
                </c:pt>
                <c:pt idx="727">
                  <c:v>40409</c:v>
                </c:pt>
                <c:pt idx="728">
                  <c:v>40410</c:v>
                </c:pt>
                <c:pt idx="729">
                  <c:v>40413</c:v>
                </c:pt>
                <c:pt idx="730">
                  <c:v>40414</c:v>
                </c:pt>
                <c:pt idx="731">
                  <c:v>40415</c:v>
                </c:pt>
                <c:pt idx="732">
                  <c:v>40416</c:v>
                </c:pt>
                <c:pt idx="733">
                  <c:v>40417</c:v>
                </c:pt>
                <c:pt idx="734">
                  <c:v>40420</c:v>
                </c:pt>
                <c:pt idx="735">
                  <c:v>40421</c:v>
                </c:pt>
                <c:pt idx="736">
                  <c:v>40422</c:v>
                </c:pt>
                <c:pt idx="737">
                  <c:v>40423</c:v>
                </c:pt>
                <c:pt idx="738">
                  <c:v>40424</c:v>
                </c:pt>
                <c:pt idx="739">
                  <c:v>40428</c:v>
                </c:pt>
                <c:pt idx="740">
                  <c:v>40429</c:v>
                </c:pt>
                <c:pt idx="741">
                  <c:v>40430</c:v>
                </c:pt>
                <c:pt idx="742">
                  <c:v>40431</c:v>
                </c:pt>
                <c:pt idx="743">
                  <c:v>40434</c:v>
                </c:pt>
                <c:pt idx="744">
                  <c:v>40435</c:v>
                </c:pt>
                <c:pt idx="745">
                  <c:v>40436</c:v>
                </c:pt>
                <c:pt idx="746">
                  <c:v>40437</c:v>
                </c:pt>
                <c:pt idx="747">
                  <c:v>40438</c:v>
                </c:pt>
                <c:pt idx="748">
                  <c:v>40441</c:v>
                </c:pt>
                <c:pt idx="749">
                  <c:v>40442</c:v>
                </c:pt>
                <c:pt idx="750">
                  <c:v>40443</c:v>
                </c:pt>
                <c:pt idx="751">
                  <c:v>40444</c:v>
                </c:pt>
                <c:pt idx="752">
                  <c:v>40445</c:v>
                </c:pt>
                <c:pt idx="753">
                  <c:v>40448</c:v>
                </c:pt>
                <c:pt idx="754">
                  <c:v>40449</c:v>
                </c:pt>
                <c:pt idx="755">
                  <c:v>40450</c:v>
                </c:pt>
                <c:pt idx="756">
                  <c:v>40451</c:v>
                </c:pt>
                <c:pt idx="757">
                  <c:v>40452</c:v>
                </c:pt>
                <c:pt idx="758">
                  <c:v>40455</c:v>
                </c:pt>
                <c:pt idx="759">
                  <c:v>40456</c:v>
                </c:pt>
                <c:pt idx="760">
                  <c:v>40457</c:v>
                </c:pt>
                <c:pt idx="761">
                  <c:v>40458</c:v>
                </c:pt>
                <c:pt idx="762">
                  <c:v>40459</c:v>
                </c:pt>
                <c:pt idx="763">
                  <c:v>40462</c:v>
                </c:pt>
                <c:pt idx="764">
                  <c:v>40463</c:v>
                </c:pt>
                <c:pt idx="765">
                  <c:v>40464</c:v>
                </c:pt>
                <c:pt idx="766">
                  <c:v>40465</c:v>
                </c:pt>
                <c:pt idx="767">
                  <c:v>40466</c:v>
                </c:pt>
                <c:pt idx="768">
                  <c:v>40469</c:v>
                </c:pt>
                <c:pt idx="769">
                  <c:v>40470</c:v>
                </c:pt>
                <c:pt idx="770">
                  <c:v>40471</c:v>
                </c:pt>
                <c:pt idx="771">
                  <c:v>40472</c:v>
                </c:pt>
                <c:pt idx="772">
                  <c:v>40473</c:v>
                </c:pt>
                <c:pt idx="773">
                  <c:v>40476</c:v>
                </c:pt>
                <c:pt idx="774">
                  <c:v>40477</c:v>
                </c:pt>
                <c:pt idx="775">
                  <c:v>40478</c:v>
                </c:pt>
                <c:pt idx="776">
                  <c:v>40479</c:v>
                </c:pt>
                <c:pt idx="777">
                  <c:v>40480</c:v>
                </c:pt>
                <c:pt idx="778">
                  <c:v>40483</c:v>
                </c:pt>
                <c:pt idx="779">
                  <c:v>40484</c:v>
                </c:pt>
                <c:pt idx="780">
                  <c:v>40485</c:v>
                </c:pt>
                <c:pt idx="781">
                  <c:v>40486</c:v>
                </c:pt>
                <c:pt idx="782">
                  <c:v>40487</c:v>
                </c:pt>
                <c:pt idx="783">
                  <c:v>40490</c:v>
                </c:pt>
                <c:pt idx="784">
                  <c:v>40491</c:v>
                </c:pt>
                <c:pt idx="785">
                  <c:v>40492</c:v>
                </c:pt>
                <c:pt idx="786">
                  <c:v>40493</c:v>
                </c:pt>
                <c:pt idx="787">
                  <c:v>40494</c:v>
                </c:pt>
                <c:pt idx="788">
                  <c:v>40497</c:v>
                </c:pt>
                <c:pt idx="789">
                  <c:v>40498</c:v>
                </c:pt>
                <c:pt idx="790">
                  <c:v>40499</c:v>
                </c:pt>
                <c:pt idx="791">
                  <c:v>40500</c:v>
                </c:pt>
                <c:pt idx="792">
                  <c:v>40501</c:v>
                </c:pt>
                <c:pt idx="793">
                  <c:v>40504</c:v>
                </c:pt>
                <c:pt idx="794">
                  <c:v>40505</c:v>
                </c:pt>
                <c:pt idx="795">
                  <c:v>40506</c:v>
                </c:pt>
                <c:pt idx="796">
                  <c:v>40508</c:v>
                </c:pt>
                <c:pt idx="797">
                  <c:v>40511</c:v>
                </c:pt>
                <c:pt idx="798">
                  <c:v>40512</c:v>
                </c:pt>
                <c:pt idx="799">
                  <c:v>40513</c:v>
                </c:pt>
                <c:pt idx="800">
                  <c:v>40514</c:v>
                </c:pt>
                <c:pt idx="801">
                  <c:v>40515</c:v>
                </c:pt>
                <c:pt idx="802">
                  <c:v>40518</c:v>
                </c:pt>
                <c:pt idx="803">
                  <c:v>40519</c:v>
                </c:pt>
                <c:pt idx="804">
                  <c:v>40520</c:v>
                </c:pt>
                <c:pt idx="805">
                  <c:v>40521</c:v>
                </c:pt>
                <c:pt idx="806">
                  <c:v>40522</c:v>
                </c:pt>
                <c:pt idx="807">
                  <c:v>40525</c:v>
                </c:pt>
                <c:pt idx="808">
                  <c:v>40526</c:v>
                </c:pt>
                <c:pt idx="809">
                  <c:v>40527</c:v>
                </c:pt>
                <c:pt idx="810">
                  <c:v>40528</c:v>
                </c:pt>
                <c:pt idx="811">
                  <c:v>40529</c:v>
                </c:pt>
                <c:pt idx="812">
                  <c:v>40532</c:v>
                </c:pt>
                <c:pt idx="813">
                  <c:v>40533</c:v>
                </c:pt>
                <c:pt idx="814">
                  <c:v>40534</c:v>
                </c:pt>
                <c:pt idx="815">
                  <c:v>40535</c:v>
                </c:pt>
                <c:pt idx="816">
                  <c:v>40539</c:v>
                </c:pt>
                <c:pt idx="817">
                  <c:v>40540</c:v>
                </c:pt>
                <c:pt idx="818">
                  <c:v>40541</c:v>
                </c:pt>
                <c:pt idx="819">
                  <c:v>40542</c:v>
                </c:pt>
                <c:pt idx="820">
                  <c:v>40543</c:v>
                </c:pt>
                <c:pt idx="821">
                  <c:v>40546</c:v>
                </c:pt>
                <c:pt idx="822">
                  <c:v>40547</c:v>
                </c:pt>
                <c:pt idx="823">
                  <c:v>40548</c:v>
                </c:pt>
                <c:pt idx="824">
                  <c:v>40549</c:v>
                </c:pt>
                <c:pt idx="825">
                  <c:v>40550</c:v>
                </c:pt>
                <c:pt idx="826">
                  <c:v>40553</c:v>
                </c:pt>
                <c:pt idx="827">
                  <c:v>40554</c:v>
                </c:pt>
                <c:pt idx="828">
                  <c:v>40555</c:v>
                </c:pt>
                <c:pt idx="829">
                  <c:v>40556</c:v>
                </c:pt>
                <c:pt idx="830">
                  <c:v>40557</c:v>
                </c:pt>
                <c:pt idx="831">
                  <c:v>40561</c:v>
                </c:pt>
                <c:pt idx="832">
                  <c:v>40562</c:v>
                </c:pt>
                <c:pt idx="833">
                  <c:v>40563</c:v>
                </c:pt>
                <c:pt idx="834">
                  <c:v>40564</c:v>
                </c:pt>
                <c:pt idx="835">
                  <c:v>40567</c:v>
                </c:pt>
                <c:pt idx="836">
                  <c:v>40568</c:v>
                </c:pt>
                <c:pt idx="837">
                  <c:v>40569</c:v>
                </c:pt>
                <c:pt idx="838">
                  <c:v>40570</c:v>
                </c:pt>
                <c:pt idx="839">
                  <c:v>40571</c:v>
                </c:pt>
                <c:pt idx="840">
                  <c:v>40574</c:v>
                </c:pt>
                <c:pt idx="841">
                  <c:v>40575</c:v>
                </c:pt>
                <c:pt idx="842">
                  <c:v>40576</c:v>
                </c:pt>
                <c:pt idx="843">
                  <c:v>40577</c:v>
                </c:pt>
                <c:pt idx="844">
                  <c:v>40578</c:v>
                </c:pt>
                <c:pt idx="845">
                  <c:v>40581</c:v>
                </c:pt>
                <c:pt idx="846">
                  <c:v>40582</c:v>
                </c:pt>
                <c:pt idx="847">
                  <c:v>40583</c:v>
                </c:pt>
                <c:pt idx="848">
                  <c:v>40584</c:v>
                </c:pt>
                <c:pt idx="849">
                  <c:v>40585</c:v>
                </c:pt>
                <c:pt idx="850">
                  <c:v>40588</c:v>
                </c:pt>
                <c:pt idx="851">
                  <c:v>40589</c:v>
                </c:pt>
                <c:pt idx="852">
                  <c:v>40590</c:v>
                </c:pt>
                <c:pt idx="853">
                  <c:v>40591</c:v>
                </c:pt>
                <c:pt idx="854">
                  <c:v>40592</c:v>
                </c:pt>
                <c:pt idx="855">
                  <c:v>40596</c:v>
                </c:pt>
                <c:pt idx="856">
                  <c:v>40597</c:v>
                </c:pt>
                <c:pt idx="857">
                  <c:v>40598</c:v>
                </c:pt>
                <c:pt idx="858">
                  <c:v>40599</c:v>
                </c:pt>
                <c:pt idx="859">
                  <c:v>40602</c:v>
                </c:pt>
                <c:pt idx="860">
                  <c:v>40603</c:v>
                </c:pt>
                <c:pt idx="861">
                  <c:v>40604</c:v>
                </c:pt>
                <c:pt idx="862">
                  <c:v>40605</c:v>
                </c:pt>
                <c:pt idx="863">
                  <c:v>40606</c:v>
                </c:pt>
                <c:pt idx="864">
                  <c:v>40609</c:v>
                </c:pt>
                <c:pt idx="865">
                  <c:v>40610</c:v>
                </c:pt>
                <c:pt idx="866">
                  <c:v>40611</c:v>
                </c:pt>
                <c:pt idx="867">
                  <c:v>40612</c:v>
                </c:pt>
                <c:pt idx="868">
                  <c:v>40613</c:v>
                </c:pt>
                <c:pt idx="869">
                  <c:v>40616</c:v>
                </c:pt>
                <c:pt idx="870">
                  <c:v>40617</c:v>
                </c:pt>
                <c:pt idx="871">
                  <c:v>40618</c:v>
                </c:pt>
                <c:pt idx="872">
                  <c:v>40619</c:v>
                </c:pt>
                <c:pt idx="873">
                  <c:v>40620</c:v>
                </c:pt>
                <c:pt idx="874">
                  <c:v>40623</c:v>
                </c:pt>
                <c:pt idx="875">
                  <c:v>40624</c:v>
                </c:pt>
                <c:pt idx="876">
                  <c:v>40625</c:v>
                </c:pt>
                <c:pt idx="877">
                  <c:v>40626</c:v>
                </c:pt>
                <c:pt idx="878">
                  <c:v>40627</c:v>
                </c:pt>
                <c:pt idx="879">
                  <c:v>40630</c:v>
                </c:pt>
                <c:pt idx="880">
                  <c:v>40631</c:v>
                </c:pt>
                <c:pt idx="881">
                  <c:v>40632</c:v>
                </c:pt>
                <c:pt idx="882">
                  <c:v>40633</c:v>
                </c:pt>
                <c:pt idx="883">
                  <c:v>40634</c:v>
                </c:pt>
                <c:pt idx="884">
                  <c:v>40637</c:v>
                </c:pt>
                <c:pt idx="885">
                  <c:v>40638</c:v>
                </c:pt>
                <c:pt idx="886">
                  <c:v>40639</c:v>
                </c:pt>
                <c:pt idx="887">
                  <c:v>40640</c:v>
                </c:pt>
                <c:pt idx="888">
                  <c:v>40641</c:v>
                </c:pt>
                <c:pt idx="889">
                  <c:v>40644</c:v>
                </c:pt>
                <c:pt idx="890">
                  <c:v>40645</c:v>
                </c:pt>
                <c:pt idx="891">
                  <c:v>40646</c:v>
                </c:pt>
                <c:pt idx="892">
                  <c:v>40647</c:v>
                </c:pt>
                <c:pt idx="893">
                  <c:v>40648</c:v>
                </c:pt>
                <c:pt idx="894">
                  <c:v>40651</c:v>
                </c:pt>
                <c:pt idx="895">
                  <c:v>40652</c:v>
                </c:pt>
                <c:pt idx="896">
                  <c:v>40653</c:v>
                </c:pt>
                <c:pt idx="897">
                  <c:v>40654</c:v>
                </c:pt>
                <c:pt idx="898">
                  <c:v>40658</c:v>
                </c:pt>
                <c:pt idx="899">
                  <c:v>40659</c:v>
                </c:pt>
                <c:pt idx="900">
                  <c:v>40660</c:v>
                </c:pt>
                <c:pt idx="901">
                  <c:v>40661</c:v>
                </c:pt>
                <c:pt idx="902">
                  <c:v>40662</c:v>
                </c:pt>
                <c:pt idx="903">
                  <c:v>40665</c:v>
                </c:pt>
                <c:pt idx="904">
                  <c:v>40666</c:v>
                </c:pt>
                <c:pt idx="905">
                  <c:v>40667</c:v>
                </c:pt>
                <c:pt idx="906">
                  <c:v>40668</c:v>
                </c:pt>
                <c:pt idx="907">
                  <c:v>40669</c:v>
                </c:pt>
                <c:pt idx="908">
                  <c:v>40672</c:v>
                </c:pt>
                <c:pt idx="909">
                  <c:v>40673</c:v>
                </c:pt>
                <c:pt idx="910">
                  <c:v>40674</c:v>
                </c:pt>
                <c:pt idx="911">
                  <c:v>40675</c:v>
                </c:pt>
                <c:pt idx="912">
                  <c:v>40676</c:v>
                </c:pt>
                <c:pt idx="913">
                  <c:v>40679</c:v>
                </c:pt>
                <c:pt idx="914">
                  <c:v>40680</c:v>
                </c:pt>
                <c:pt idx="915">
                  <c:v>40681</c:v>
                </c:pt>
                <c:pt idx="916">
                  <c:v>40682</c:v>
                </c:pt>
                <c:pt idx="917">
                  <c:v>40683</c:v>
                </c:pt>
                <c:pt idx="918">
                  <c:v>40686</c:v>
                </c:pt>
                <c:pt idx="919">
                  <c:v>40687</c:v>
                </c:pt>
                <c:pt idx="920">
                  <c:v>40688</c:v>
                </c:pt>
                <c:pt idx="921">
                  <c:v>40689</c:v>
                </c:pt>
                <c:pt idx="922">
                  <c:v>40690</c:v>
                </c:pt>
                <c:pt idx="923">
                  <c:v>40694</c:v>
                </c:pt>
                <c:pt idx="924">
                  <c:v>40695</c:v>
                </c:pt>
                <c:pt idx="925">
                  <c:v>40696</c:v>
                </c:pt>
                <c:pt idx="926">
                  <c:v>40697</c:v>
                </c:pt>
                <c:pt idx="927">
                  <c:v>40700</c:v>
                </c:pt>
                <c:pt idx="928">
                  <c:v>40701</c:v>
                </c:pt>
                <c:pt idx="929">
                  <c:v>40702</c:v>
                </c:pt>
                <c:pt idx="930">
                  <c:v>40703</c:v>
                </c:pt>
                <c:pt idx="931">
                  <c:v>40704</c:v>
                </c:pt>
                <c:pt idx="932">
                  <c:v>40707</c:v>
                </c:pt>
                <c:pt idx="933">
                  <c:v>40708</c:v>
                </c:pt>
                <c:pt idx="934">
                  <c:v>40709</c:v>
                </c:pt>
                <c:pt idx="935">
                  <c:v>40710</c:v>
                </c:pt>
                <c:pt idx="936">
                  <c:v>40711</c:v>
                </c:pt>
                <c:pt idx="937">
                  <c:v>40714</c:v>
                </c:pt>
                <c:pt idx="938">
                  <c:v>40715</c:v>
                </c:pt>
                <c:pt idx="939">
                  <c:v>40716</c:v>
                </c:pt>
                <c:pt idx="940">
                  <c:v>40717</c:v>
                </c:pt>
                <c:pt idx="941">
                  <c:v>40718</c:v>
                </c:pt>
                <c:pt idx="942">
                  <c:v>40721</c:v>
                </c:pt>
                <c:pt idx="943">
                  <c:v>40722</c:v>
                </c:pt>
                <c:pt idx="944">
                  <c:v>40723</c:v>
                </c:pt>
                <c:pt idx="945">
                  <c:v>40724</c:v>
                </c:pt>
                <c:pt idx="946">
                  <c:v>40725</c:v>
                </c:pt>
                <c:pt idx="947">
                  <c:v>40729</c:v>
                </c:pt>
                <c:pt idx="948">
                  <c:v>40730</c:v>
                </c:pt>
                <c:pt idx="949">
                  <c:v>40731</c:v>
                </c:pt>
                <c:pt idx="950">
                  <c:v>40732</c:v>
                </c:pt>
                <c:pt idx="951">
                  <c:v>40735</c:v>
                </c:pt>
                <c:pt idx="952">
                  <c:v>40736</c:v>
                </c:pt>
                <c:pt idx="953">
                  <c:v>40737</c:v>
                </c:pt>
                <c:pt idx="954">
                  <c:v>40738</c:v>
                </c:pt>
                <c:pt idx="955">
                  <c:v>40739</c:v>
                </c:pt>
                <c:pt idx="956">
                  <c:v>40742</c:v>
                </c:pt>
                <c:pt idx="957">
                  <c:v>40743</c:v>
                </c:pt>
                <c:pt idx="958">
                  <c:v>40744</c:v>
                </c:pt>
                <c:pt idx="959">
                  <c:v>40745</c:v>
                </c:pt>
                <c:pt idx="960">
                  <c:v>40746</c:v>
                </c:pt>
                <c:pt idx="961">
                  <c:v>40749</c:v>
                </c:pt>
                <c:pt idx="962">
                  <c:v>40750</c:v>
                </c:pt>
                <c:pt idx="963">
                  <c:v>40751</c:v>
                </c:pt>
                <c:pt idx="964">
                  <c:v>40752</c:v>
                </c:pt>
                <c:pt idx="965">
                  <c:v>40753</c:v>
                </c:pt>
                <c:pt idx="966">
                  <c:v>40756</c:v>
                </c:pt>
                <c:pt idx="967">
                  <c:v>40757</c:v>
                </c:pt>
                <c:pt idx="968">
                  <c:v>40758</c:v>
                </c:pt>
                <c:pt idx="969">
                  <c:v>40759</c:v>
                </c:pt>
                <c:pt idx="970">
                  <c:v>40760</c:v>
                </c:pt>
                <c:pt idx="971">
                  <c:v>40763</c:v>
                </c:pt>
                <c:pt idx="972">
                  <c:v>40764</c:v>
                </c:pt>
                <c:pt idx="973">
                  <c:v>40765</c:v>
                </c:pt>
                <c:pt idx="974">
                  <c:v>40766</c:v>
                </c:pt>
                <c:pt idx="975">
                  <c:v>40767</c:v>
                </c:pt>
                <c:pt idx="976">
                  <c:v>40770</c:v>
                </c:pt>
                <c:pt idx="977">
                  <c:v>40771</c:v>
                </c:pt>
                <c:pt idx="978">
                  <c:v>40772</c:v>
                </c:pt>
                <c:pt idx="979">
                  <c:v>40773</c:v>
                </c:pt>
                <c:pt idx="980">
                  <c:v>40774</c:v>
                </c:pt>
                <c:pt idx="981">
                  <c:v>40777</c:v>
                </c:pt>
                <c:pt idx="982">
                  <c:v>40778</c:v>
                </c:pt>
                <c:pt idx="983">
                  <c:v>40779</c:v>
                </c:pt>
                <c:pt idx="984">
                  <c:v>40780</c:v>
                </c:pt>
                <c:pt idx="985">
                  <c:v>40781</c:v>
                </c:pt>
                <c:pt idx="986">
                  <c:v>40784</c:v>
                </c:pt>
                <c:pt idx="987">
                  <c:v>40785</c:v>
                </c:pt>
                <c:pt idx="988">
                  <c:v>40786</c:v>
                </c:pt>
                <c:pt idx="989">
                  <c:v>40787</c:v>
                </c:pt>
                <c:pt idx="990">
                  <c:v>40788</c:v>
                </c:pt>
                <c:pt idx="991">
                  <c:v>40792</c:v>
                </c:pt>
                <c:pt idx="992">
                  <c:v>40793</c:v>
                </c:pt>
                <c:pt idx="993">
                  <c:v>40794</c:v>
                </c:pt>
                <c:pt idx="994">
                  <c:v>40795</c:v>
                </c:pt>
                <c:pt idx="995">
                  <c:v>40798</c:v>
                </c:pt>
                <c:pt idx="996">
                  <c:v>40799</c:v>
                </c:pt>
                <c:pt idx="997">
                  <c:v>40800</c:v>
                </c:pt>
                <c:pt idx="998">
                  <c:v>40801</c:v>
                </c:pt>
                <c:pt idx="999">
                  <c:v>40802</c:v>
                </c:pt>
                <c:pt idx="1000">
                  <c:v>40805</c:v>
                </c:pt>
                <c:pt idx="1001">
                  <c:v>40806</c:v>
                </c:pt>
                <c:pt idx="1002">
                  <c:v>40807</c:v>
                </c:pt>
                <c:pt idx="1003">
                  <c:v>40808</c:v>
                </c:pt>
                <c:pt idx="1004">
                  <c:v>40809</c:v>
                </c:pt>
                <c:pt idx="1005">
                  <c:v>40812</c:v>
                </c:pt>
                <c:pt idx="1006">
                  <c:v>40813</c:v>
                </c:pt>
                <c:pt idx="1007">
                  <c:v>40814</c:v>
                </c:pt>
                <c:pt idx="1008">
                  <c:v>40815</c:v>
                </c:pt>
                <c:pt idx="1009">
                  <c:v>40816</c:v>
                </c:pt>
                <c:pt idx="1010">
                  <c:v>40819</c:v>
                </c:pt>
                <c:pt idx="1011">
                  <c:v>40820</c:v>
                </c:pt>
                <c:pt idx="1012">
                  <c:v>40821</c:v>
                </c:pt>
                <c:pt idx="1013">
                  <c:v>40822</c:v>
                </c:pt>
                <c:pt idx="1014">
                  <c:v>40823</c:v>
                </c:pt>
                <c:pt idx="1015">
                  <c:v>40826</c:v>
                </c:pt>
                <c:pt idx="1016">
                  <c:v>40827</c:v>
                </c:pt>
                <c:pt idx="1017">
                  <c:v>40828</c:v>
                </c:pt>
                <c:pt idx="1018">
                  <c:v>40829</c:v>
                </c:pt>
                <c:pt idx="1019">
                  <c:v>40830</c:v>
                </c:pt>
                <c:pt idx="1020">
                  <c:v>40833</c:v>
                </c:pt>
                <c:pt idx="1021">
                  <c:v>40834</c:v>
                </c:pt>
                <c:pt idx="1022">
                  <c:v>40835</c:v>
                </c:pt>
                <c:pt idx="1023">
                  <c:v>40836</c:v>
                </c:pt>
                <c:pt idx="1024">
                  <c:v>40837</c:v>
                </c:pt>
                <c:pt idx="1025">
                  <c:v>40840</c:v>
                </c:pt>
                <c:pt idx="1026">
                  <c:v>40841</c:v>
                </c:pt>
                <c:pt idx="1027">
                  <c:v>40842</c:v>
                </c:pt>
                <c:pt idx="1028">
                  <c:v>40843</c:v>
                </c:pt>
                <c:pt idx="1029">
                  <c:v>40844</c:v>
                </c:pt>
                <c:pt idx="1030">
                  <c:v>40847</c:v>
                </c:pt>
                <c:pt idx="1031">
                  <c:v>40848</c:v>
                </c:pt>
                <c:pt idx="1032">
                  <c:v>40849</c:v>
                </c:pt>
                <c:pt idx="1033">
                  <c:v>40850</c:v>
                </c:pt>
                <c:pt idx="1034">
                  <c:v>40851</c:v>
                </c:pt>
                <c:pt idx="1035">
                  <c:v>40854</c:v>
                </c:pt>
                <c:pt idx="1036">
                  <c:v>40855</c:v>
                </c:pt>
                <c:pt idx="1037">
                  <c:v>40856</c:v>
                </c:pt>
                <c:pt idx="1038">
                  <c:v>40857</c:v>
                </c:pt>
                <c:pt idx="1039">
                  <c:v>40858</c:v>
                </c:pt>
                <c:pt idx="1040">
                  <c:v>40861</c:v>
                </c:pt>
                <c:pt idx="1041">
                  <c:v>40862</c:v>
                </c:pt>
                <c:pt idx="1042">
                  <c:v>40863</c:v>
                </c:pt>
                <c:pt idx="1043">
                  <c:v>40864</c:v>
                </c:pt>
                <c:pt idx="1044">
                  <c:v>40865</c:v>
                </c:pt>
                <c:pt idx="1045">
                  <c:v>40868</c:v>
                </c:pt>
                <c:pt idx="1046">
                  <c:v>40869</c:v>
                </c:pt>
                <c:pt idx="1047">
                  <c:v>40870</c:v>
                </c:pt>
                <c:pt idx="1048">
                  <c:v>40872</c:v>
                </c:pt>
                <c:pt idx="1049">
                  <c:v>40875</c:v>
                </c:pt>
                <c:pt idx="1050">
                  <c:v>40876</c:v>
                </c:pt>
                <c:pt idx="1051">
                  <c:v>40877</c:v>
                </c:pt>
                <c:pt idx="1052">
                  <c:v>40878</c:v>
                </c:pt>
                <c:pt idx="1053">
                  <c:v>40879</c:v>
                </c:pt>
                <c:pt idx="1054">
                  <c:v>40882</c:v>
                </c:pt>
                <c:pt idx="1055">
                  <c:v>40883</c:v>
                </c:pt>
                <c:pt idx="1056">
                  <c:v>40884</c:v>
                </c:pt>
                <c:pt idx="1057">
                  <c:v>40885</c:v>
                </c:pt>
                <c:pt idx="1058">
                  <c:v>40886</c:v>
                </c:pt>
                <c:pt idx="1059">
                  <c:v>40889</c:v>
                </c:pt>
                <c:pt idx="1060">
                  <c:v>40890</c:v>
                </c:pt>
                <c:pt idx="1061">
                  <c:v>40891</c:v>
                </c:pt>
                <c:pt idx="1062">
                  <c:v>40892</c:v>
                </c:pt>
                <c:pt idx="1063">
                  <c:v>40893</c:v>
                </c:pt>
                <c:pt idx="1064">
                  <c:v>40896</c:v>
                </c:pt>
                <c:pt idx="1065">
                  <c:v>40897</c:v>
                </c:pt>
                <c:pt idx="1066">
                  <c:v>40898</c:v>
                </c:pt>
                <c:pt idx="1067">
                  <c:v>40899</c:v>
                </c:pt>
                <c:pt idx="1068">
                  <c:v>40900</c:v>
                </c:pt>
                <c:pt idx="1069">
                  <c:v>40904</c:v>
                </c:pt>
                <c:pt idx="1070">
                  <c:v>40905</c:v>
                </c:pt>
                <c:pt idx="1071">
                  <c:v>40906</c:v>
                </c:pt>
                <c:pt idx="1072">
                  <c:v>40907</c:v>
                </c:pt>
                <c:pt idx="1073">
                  <c:v>40911</c:v>
                </c:pt>
                <c:pt idx="1074">
                  <c:v>40912</c:v>
                </c:pt>
                <c:pt idx="1075">
                  <c:v>40913</c:v>
                </c:pt>
                <c:pt idx="1076">
                  <c:v>40914</c:v>
                </c:pt>
                <c:pt idx="1077">
                  <c:v>40917</c:v>
                </c:pt>
                <c:pt idx="1078">
                  <c:v>40918</c:v>
                </c:pt>
                <c:pt idx="1079">
                  <c:v>40919</c:v>
                </c:pt>
                <c:pt idx="1080">
                  <c:v>40920</c:v>
                </c:pt>
                <c:pt idx="1081">
                  <c:v>40921</c:v>
                </c:pt>
                <c:pt idx="1082">
                  <c:v>40925</c:v>
                </c:pt>
                <c:pt idx="1083">
                  <c:v>40926</c:v>
                </c:pt>
                <c:pt idx="1084">
                  <c:v>40927</c:v>
                </c:pt>
                <c:pt idx="1085">
                  <c:v>40928</c:v>
                </c:pt>
                <c:pt idx="1086">
                  <c:v>40931</c:v>
                </c:pt>
                <c:pt idx="1087">
                  <c:v>40932</c:v>
                </c:pt>
                <c:pt idx="1088">
                  <c:v>40933</c:v>
                </c:pt>
                <c:pt idx="1089">
                  <c:v>40934</c:v>
                </c:pt>
                <c:pt idx="1090">
                  <c:v>40935</c:v>
                </c:pt>
                <c:pt idx="1091">
                  <c:v>40938</c:v>
                </c:pt>
                <c:pt idx="1092">
                  <c:v>40939</c:v>
                </c:pt>
                <c:pt idx="1093">
                  <c:v>40940</c:v>
                </c:pt>
                <c:pt idx="1094">
                  <c:v>40941</c:v>
                </c:pt>
                <c:pt idx="1095">
                  <c:v>40942</c:v>
                </c:pt>
                <c:pt idx="1096">
                  <c:v>40945</c:v>
                </c:pt>
                <c:pt idx="1097">
                  <c:v>40946</c:v>
                </c:pt>
                <c:pt idx="1098">
                  <c:v>40947</c:v>
                </c:pt>
                <c:pt idx="1099">
                  <c:v>40948</c:v>
                </c:pt>
                <c:pt idx="1100">
                  <c:v>40949</c:v>
                </c:pt>
                <c:pt idx="1101">
                  <c:v>40952</c:v>
                </c:pt>
                <c:pt idx="1102">
                  <c:v>40953</c:v>
                </c:pt>
                <c:pt idx="1103">
                  <c:v>40954</c:v>
                </c:pt>
                <c:pt idx="1104">
                  <c:v>40955</c:v>
                </c:pt>
                <c:pt idx="1105">
                  <c:v>40956</c:v>
                </c:pt>
                <c:pt idx="1106">
                  <c:v>40960</c:v>
                </c:pt>
                <c:pt idx="1107">
                  <c:v>40961</c:v>
                </c:pt>
                <c:pt idx="1108">
                  <c:v>40962</c:v>
                </c:pt>
                <c:pt idx="1109">
                  <c:v>40963</c:v>
                </c:pt>
                <c:pt idx="1110">
                  <c:v>40966</c:v>
                </c:pt>
                <c:pt idx="1111">
                  <c:v>40967</c:v>
                </c:pt>
                <c:pt idx="1112">
                  <c:v>40968</c:v>
                </c:pt>
                <c:pt idx="1113">
                  <c:v>40969</c:v>
                </c:pt>
                <c:pt idx="1114">
                  <c:v>40970</c:v>
                </c:pt>
                <c:pt idx="1115">
                  <c:v>40973</c:v>
                </c:pt>
                <c:pt idx="1116">
                  <c:v>40974</c:v>
                </c:pt>
                <c:pt idx="1117">
                  <c:v>40975</c:v>
                </c:pt>
                <c:pt idx="1118">
                  <c:v>40976</c:v>
                </c:pt>
                <c:pt idx="1119">
                  <c:v>40977</c:v>
                </c:pt>
                <c:pt idx="1120">
                  <c:v>40980</c:v>
                </c:pt>
                <c:pt idx="1121">
                  <c:v>40981</c:v>
                </c:pt>
                <c:pt idx="1122">
                  <c:v>40982</c:v>
                </c:pt>
                <c:pt idx="1123">
                  <c:v>40983</c:v>
                </c:pt>
                <c:pt idx="1124">
                  <c:v>40984</c:v>
                </c:pt>
                <c:pt idx="1125">
                  <c:v>40987</c:v>
                </c:pt>
                <c:pt idx="1126">
                  <c:v>40988</c:v>
                </c:pt>
                <c:pt idx="1127">
                  <c:v>40989</c:v>
                </c:pt>
                <c:pt idx="1128">
                  <c:v>40990</c:v>
                </c:pt>
                <c:pt idx="1129">
                  <c:v>40991</c:v>
                </c:pt>
                <c:pt idx="1130">
                  <c:v>40994</c:v>
                </c:pt>
                <c:pt idx="1131">
                  <c:v>40995</c:v>
                </c:pt>
                <c:pt idx="1132">
                  <c:v>40996</c:v>
                </c:pt>
                <c:pt idx="1133">
                  <c:v>40997</c:v>
                </c:pt>
                <c:pt idx="1134">
                  <c:v>40998</c:v>
                </c:pt>
                <c:pt idx="1135">
                  <c:v>41001</c:v>
                </c:pt>
                <c:pt idx="1136">
                  <c:v>41002</c:v>
                </c:pt>
                <c:pt idx="1137">
                  <c:v>41003</c:v>
                </c:pt>
                <c:pt idx="1138">
                  <c:v>41004</c:v>
                </c:pt>
                <c:pt idx="1139">
                  <c:v>41008</c:v>
                </c:pt>
                <c:pt idx="1140">
                  <c:v>41009</c:v>
                </c:pt>
                <c:pt idx="1141">
                  <c:v>41010</c:v>
                </c:pt>
                <c:pt idx="1142">
                  <c:v>41011</c:v>
                </c:pt>
                <c:pt idx="1143">
                  <c:v>41012</c:v>
                </c:pt>
                <c:pt idx="1144">
                  <c:v>41015</c:v>
                </c:pt>
                <c:pt idx="1145">
                  <c:v>41016</c:v>
                </c:pt>
                <c:pt idx="1146">
                  <c:v>41017</c:v>
                </c:pt>
                <c:pt idx="1147">
                  <c:v>41018</c:v>
                </c:pt>
                <c:pt idx="1148">
                  <c:v>41019</c:v>
                </c:pt>
                <c:pt idx="1149">
                  <c:v>41022</c:v>
                </c:pt>
                <c:pt idx="1150">
                  <c:v>41023</c:v>
                </c:pt>
                <c:pt idx="1151">
                  <c:v>41024</c:v>
                </c:pt>
                <c:pt idx="1152">
                  <c:v>41025</c:v>
                </c:pt>
                <c:pt idx="1153">
                  <c:v>41026</c:v>
                </c:pt>
                <c:pt idx="1154">
                  <c:v>41029</c:v>
                </c:pt>
                <c:pt idx="1155">
                  <c:v>41030</c:v>
                </c:pt>
                <c:pt idx="1156">
                  <c:v>41031</c:v>
                </c:pt>
                <c:pt idx="1157">
                  <c:v>41032</c:v>
                </c:pt>
                <c:pt idx="1158">
                  <c:v>41033</c:v>
                </c:pt>
                <c:pt idx="1159">
                  <c:v>41036</c:v>
                </c:pt>
                <c:pt idx="1160">
                  <c:v>41037</c:v>
                </c:pt>
                <c:pt idx="1161">
                  <c:v>41038</c:v>
                </c:pt>
                <c:pt idx="1162">
                  <c:v>41039</c:v>
                </c:pt>
                <c:pt idx="1163">
                  <c:v>41040</c:v>
                </c:pt>
                <c:pt idx="1164">
                  <c:v>41043</c:v>
                </c:pt>
                <c:pt idx="1165">
                  <c:v>41044</c:v>
                </c:pt>
                <c:pt idx="1166">
                  <c:v>41045</c:v>
                </c:pt>
                <c:pt idx="1167">
                  <c:v>41046</c:v>
                </c:pt>
                <c:pt idx="1168">
                  <c:v>41047</c:v>
                </c:pt>
                <c:pt idx="1169">
                  <c:v>41050</c:v>
                </c:pt>
                <c:pt idx="1170">
                  <c:v>41051</c:v>
                </c:pt>
                <c:pt idx="1171">
                  <c:v>41052</c:v>
                </c:pt>
                <c:pt idx="1172">
                  <c:v>41053</c:v>
                </c:pt>
                <c:pt idx="1173">
                  <c:v>41054</c:v>
                </c:pt>
                <c:pt idx="1174">
                  <c:v>41058</c:v>
                </c:pt>
                <c:pt idx="1175">
                  <c:v>41059</c:v>
                </c:pt>
                <c:pt idx="1176">
                  <c:v>41060</c:v>
                </c:pt>
                <c:pt idx="1177">
                  <c:v>41061</c:v>
                </c:pt>
                <c:pt idx="1178">
                  <c:v>41064</c:v>
                </c:pt>
                <c:pt idx="1179">
                  <c:v>41065</c:v>
                </c:pt>
                <c:pt idx="1180">
                  <c:v>41066</c:v>
                </c:pt>
                <c:pt idx="1181">
                  <c:v>41067</c:v>
                </c:pt>
                <c:pt idx="1182">
                  <c:v>41068</c:v>
                </c:pt>
                <c:pt idx="1183">
                  <c:v>41071</c:v>
                </c:pt>
                <c:pt idx="1184">
                  <c:v>41072</c:v>
                </c:pt>
                <c:pt idx="1185">
                  <c:v>41073</c:v>
                </c:pt>
                <c:pt idx="1186">
                  <c:v>41074</c:v>
                </c:pt>
                <c:pt idx="1187">
                  <c:v>41075</c:v>
                </c:pt>
                <c:pt idx="1188">
                  <c:v>41078</c:v>
                </c:pt>
                <c:pt idx="1189">
                  <c:v>41079</c:v>
                </c:pt>
                <c:pt idx="1190">
                  <c:v>41080</c:v>
                </c:pt>
                <c:pt idx="1191">
                  <c:v>41081</c:v>
                </c:pt>
                <c:pt idx="1192">
                  <c:v>41082</c:v>
                </c:pt>
                <c:pt idx="1193">
                  <c:v>41085</c:v>
                </c:pt>
                <c:pt idx="1194">
                  <c:v>41086</c:v>
                </c:pt>
                <c:pt idx="1195">
                  <c:v>41087</c:v>
                </c:pt>
                <c:pt idx="1196">
                  <c:v>41088</c:v>
                </c:pt>
                <c:pt idx="1197">
                  <c:v>41089</c:v>
                </c:pt>
                <c:pt idx="1198">
                  <c:v>41092</c:v>
                </c:pt>
                <c:pt idx="1199">
                  <c:v>41093</c:v>
                </c:pt>
                <c:pt idx="1200">
                  <c:v>41095</c:v>
                </c:pt>
                <c:pt idx="1201">
                  <c:v>41096</c:v>
                </c:pt>
                <c:pt idx="1202">
                  <c:v>41099</c:v>
                </c:pt>
                <c:pt idx="1203">
                  <c:v>41100</c:v>
                </c:pt>
                <c:pt idx="1204">
                  <c:v>41101</c:v>
                </c:pt>
                <c:pt idx="1205">
                  <c:v>41102</c:v>
                </c:pt>
                <c:pt idx="1206">
                  <c:v>41103</c:v>
                </c:pt>
                <c:pt idx="1207">
                  <c:v>41106</c:v>
                </c:pt>
                <c:pt idx="1208">
                  <c:v>41107</c:v>
                </c:pt>
                <c:pt idx="1209">
                  <c:v>41108</c:v>
                </c:pt>
                <c:pt idx="1210">
                  <c:v>41109</c:v>
                </c:pt>
                <c:pt idx="1211">
                  <c:v>41110</c:v>
                </c:pt>
                <c:pt idx="1212">
                  <c:v>41113</c:v>
                </c:pt>
                <c:pt idx="1213">
                  <c:v>41114</c:v>
                </c:pt>
                <c:pt idx="1214">
                  <c:v>41115</c:v>
                </c:pt>
                <c:pt idx="1215">
                  <c:v>41116</c:v>
                </c:pt>
                <c:pt idx="1216">
                  <c:v>41117</c:v>
                </c:pt>
                <c:pt idx="1217">
                  <c:v>41120</c:v>
                </c:pt>
                <c:pt idx="1218">
                  <c:v>41121</c:v>
                </c:pt>
                <c:pt idx="1219">
                  <c:v>41122</c:v>
                </c:pt>
                <c:pt idx="1220">
                  <c:v>41123</c:v>
                </c:pt>
                <c:pt idx="1221">
                  <c:v>41124</c:v>
                </c:pt>
                <c:pt idx="1222">
                  <c:v>41127</c:v>
                </c:pt>
                <c:pt idx="1223">
                  <c:v>41128</c:v>
                </c:pt>
                <c:pt idx="1224">
                  <c:v>41129</c:v>
                </c:pt>
                <c:pt idx="1225">
                  <c:v>41130</c:v>
                </c:pt>
                <c:pt idx="1226">
                  <c:v>41131</c:v>
                </c:pt>
                <c:pt idx="1227">
                  <c:v>41134</c:v>
                </c:pt>
                <c:pt idx="1228">
                  <c:v>41135</c:v>
                </c:pt>
                <c:pt idx="1229">
                  <c:v>41136</c:v>
                </c:pt>
                <c:pt idx="1230">
                  <c:v>41137</c:v>
                </c:pt>
                <c:pt idx="1231">
                  <c:v>41138</c:v>
                </c:pt>
                <c:pt idx="1232">
                  <c:v>41141</c:v>
                </c:pt>
                <c:pt idx="1233">
                  <c:v>41142</c:v>
                </c:pt>
                <c:pt idx="1234">
                  <c:v>41143</c:v>
                </c:pt>
                <c:pt idx="1235">
                  <c:v>41144</c:v>
                </c:pt>
                <c:pt idx="1236">
                  <c:v>41145</c:v>
                </c:pt>
                <c:pt idx="1237">
                  <c:v>41148</c:v>
                </c:pt>
                <c:pt idx="1238">
                  <c:v>41149</c:v>
                </c:pt>
                <c:pt idx="1239">
                  <c:v>41150</c:v>
                </c:pt>
                <c:pt idx="1240">
                  <c:v>41151</c:v>
                </c:pt>
                <c:pt idx="1241">
                  <c:v>41152</c:v>
                </c:pt>
              </c:numCache>
            </c:numRef>
          </c:cat>
          <c:val>
            <c:numRef>
              <c:f>'Cap8. DCA Vs Lump Sum'!$X$3:$X$1246</c:f>
              <c:numCache>
                <c:formatCode>0%</c:formatCode>
                <c:ptCount val="1244"/>
                <c:pt idx="0">
                  <c:v>0</c:v>
                </c:pt>
                <c:pt idx="1">
                  <c:v>-1.3611092800002167E-3</c:v>
                </c:pt>
                <c:pt idx="2">
                  <c:v>-3.3698487221466289E-3</c:v>
                </c:pt>
                <c:pt idx="3">
                  <c:v>-1.8146555055409408E-3</c:v>
                </c:pt>
                <c:pt idx="4">
                  <c:v>1.0045517469081666E-2</c:v>
                </c:pt>
                <c:pt idx="5">
                  <c:v>4.666325511775149E-3</c:v>
                </c:pt>
                <c:pt idx="6">
                  <c:v>1.4128436860867399E-2</c:v>
                </c:pt>
                <c:pt idx="7">
                  <c:v>1.2443579094611801E-2</c:v>
                </c:pt>
                <c:pt idx="8">
                  <c:v>7.5828322324884567E-3</c:v>
                </c:pt>
                <c:pt idx="9">
                  <c:v>1.3156374505671087E-2</c:v>
                </c:pt>
                <c:pt idx="10">
                  <c:v>4.6017640558753126E-3</c:v>
                </c:pt>
                <c:pt idx="11">
                  <c:v>-3.3698487221466289E-3</c:v>
                </c:pt>
                <c:pt idx="12">
                  <c:v>-3.2381064141850935E-4</c:v>
                </c:pt>
                <c:pt idx="13">
                  <c:v>-3.9536632903508506E-3</c:v>
                </c:pt>
                <c:pt idx="14">
                  <c:v>-3.0006488288688682E-2</c:v>
                </c:pt>
                <c:pt idx="15">
                  <c:v>-2.4367905076918994E-2</c:v>
                </c:pt>
                <c:pt idx="16">
                  <c:v>-1.6461528582282559E-2</c:v>
                </c:pt>
                <c:pt idx="17">
                  <c:v>-1.8275775639608693E-2</c:v>
                </c:pt>
                <c:pt idx="18">
                  <c:v>-1.5943154521571357E-2</c:v>
                </c:pt>
                <c:pt idx="19">
                  <c:v>-4.4071384814192704E-3</c:v>
                </c:pt>
                <c:pt idx="20">
                  <c:v>-1.1017801807002847E-3</c:v>
                </c:pt>
                <c:pt idx="21">
                  <c:v>-8.0362363890846833E-3</c:v>
                </c:pt>
                <c:pt idx="22">
                  <c:v>2.2684681103524174E-3</c:v>
                </c:pt>
                <c:pt idx="23">
                  <c:v>-2.1192273481013046E-2</c:v>
                </c:pt>
                <c:pt idx="24">
                  <c:v>-2.0090422265840346E-2</c:v>
                </c:pt>
                <c:pt idx="25">
                  <c:v>-2.7543660983151086E-2</c:v>
                </c:pt>
                <c:pt idx="26">
                  <c:v>-1.4452114312650477E-2</c:v>
                </c:pt>
                <c:pt idx="27">
                  <c:v>-4.1412635555083233E-2</c:v>
                </c:pt>
                <c:pt idx="28">
                  <c:v>-4.6273320262043227E-2</c:v>
                </c:pt>
                <c:pt idx="29">
                  <c:v>-5.9365204346286671E-2</c:v>
                </c:pt>
                <c:pt idx="30">
                  <c:v>-6.8697375887149414E-2</c:v>
                </c:pt>
                <c:pt idx="31">
                  <c:v>-4.0310988564018158E-2</c:v>
                </c:pt>
                <c:pt idx="32">
                  <c:v>-4.2968237219903949E-2</c:v>
                </c:pt>
                <c:pt idx="33">
                  <c:v>-5.677224188772112E-2</c:v>
                </c:pt>
                <c:pt idx="34">
                  <c:v>-5.5152354025580386E-2</c:v>
                </c:pt>
                <c:pt idx="35">
                  <c:v>-6.8308257927873317E-2</c:v>
                </c:pt>
                <c:pt idx="36">
                  <c:v>-6.2605388518783389E-2</c:v>
                </c:pt>
                <c:pt idx="37">
                  <c:v>-8.17885851439073E-2</c:v>
                </c:pt>
                <c:pt idx="38">
                  <c:v>-6.591047156092289E-2</c:v>
                </c:pt>
                <c:pt idx="39">
                  <c:v>-8.651988055979698E-2</c:v>
                </c:pt>
                <c:pt idx="40">
                  <c:v>-7.6020346261796545E-2</c:v>
                </c:pt>
                <c:pt idx="41">
                  <c:v>-4.6467608422756101E-2</c:v>
                </c:pt>
                <c:pt idx="42">
                  <c:v>-4.6143655712393317E-2</c:v>
                </c:pt>
                <c:pt idx="43">
                  <c:v>-3.6551817658487917E-2</c:v>
                </c:pt>
                <c:pt idx="44">
                  <c:v>-4.2903267315788973E-2</c:v>
                </c:pt>
                <c:pt idx="45">
                  <c:v>-5.1458357248272302E-2</c:v>
                </c:pt>
                <c:pt idx="46">
                  <c:v>-3.557989737223588E-2</c:v>
                </c:pt>
                <c:pt idx="47">
                  <c:v>-2.1775688480311084E-2</c:v>
                </c:pt>
                <c:pt idx="48">
                  <c:v>-2.1970385089239097E-2</c:v>
                </c:pt>
                <c:pt idx="49">
                  <c:v>-1.4387419667115431E-2</c:v>
                </c:pt>
                <c:pt idx="50">
                  <c:v>-4.1412635555083233E-2</c:v>
                </c:pt>
                <c:pt idx="51">
                  <c:v>-3.1950666274935147E-2</c:v>
                </c:pt>
                <c:pt idx="52">
                  <c:v>-3.3959938475622953E-2</c:v>
                </c:pt>
                <c:pt idx="53">
                  <c:v>-4.6208421392400667E-2</c:v>
                </c:pt>
                <c:pt idx="54">
                  <c:v>-5.9818679537355313E-2</c:v>
                </c:pt>
                <c:pt idx="55">
                  <c:v>-5.456887687111911E-2</c:v>
                </c:pt>
                <c:pt idx="56">
                  <c:v>-5.456887687111911E-2</c:v>
                </c:pt>
                <c:pt idx="57">
                  <c:v>-4.8606411983458497E-2</c:v>
                </c:pt>
                <c:pt idx="58">
                  <c:v>-3.4891626612695514E-2</c:v>
                </c:pt>
                <c:pt idx="59">
                  <c:v>-2.7725074145781958E-2</c:v>
                </c:pt>
                <c:pt idx="60">
                  <c:v>-2.563999040466336E-2</c:v>
                </c:pt>
                <c:pt idx="61">
                  <c:v>-3.7888677545548477E-2</c:v>
                </c:pt>
                <c:pt idx="62">
                  <c:v>-4.0299401065744256E-2</c:v>
                </c:pt>
                <c:pt idx="63">
                  <c:v>-4.7401383197449132E-2</c:v>
                </c:pt>
                <c:pt idx="64">
                  <c:v>-2.8050331409322782E-2</c:v>
                </c:pt>
                <c:pt idx="65">
                  <c:v>-2.8519472099225784E-2</c:v>
                </c:pt>
                <c:pt idx="66">
                  <c:v>-5.2327023146076401E-2</c:v>
                </c:pt>
                <c:pt idx="67">
                  <c:v>-5.3131572467151611E-2</c:v>
                </c:pt>
                <c:pt idx="68">
                  <c:v>-6.8422250387376815E-2</c:v>
                </c:pt>
                <c:pt idx="69">
                  <c:v>-5.8630992632737633E-2</c:v>
                </c:pt>
                <c:pt idx="70">
                  <c:v>-5.2461184770605573E-2</c:v>
                </c:pt>
                <c:pt idx="71">
                  <c:v>-6.0106212980991947E-2</c:v>
                </c:pt>
                <c:pt idx="72">
                  <c:v>-5.2528123917553904E-2</c:v>
                </c:pt>
                <c:pt idx="73">
                  <c:v>-7.3384548790558335E-2</c:v>
                </c:pt>
                <c:pt idx="74">
                  <c:v>-8.1365671109454252E-2</c:v>
                </c:pt>
                <c:pt idx="75">
                  <c:v>-0.10517308506083722</c:v>
                </c:pt>
                <c:pt idx="76">
                  <c:v>-0.11436040986189344</c:v>
                </c:pt>
                <c:pt idx="77">
                  <c:v>-0.12334698119998955</c:v>
                </c:pt>
                <c:pt idx="78">
                  <c:v>-0.10228924534245731</c:v>
                </c:pt>
                <c:pt idx="79">
                  <c:v>-9.4710946065969193E-2</c:v>
                </c:pt>
                <c:pt idx="80">
                  <c:v>-0.10778839131710838</c:v>
                </c:pt>
                <c:pt idx="81">
                  <c:v>-9.3034698063820365E-2</c:v>
                </c:pt>
                <c:pt idx="82">
                  <c:v>-8.8541001108369488E-2</c:v>
                </c:pt>
                <c:pt idx="83">
                  <c:v>-9.5247875894719058E-2</c:v>
                </c:pt>
                <c:pt idx="84">
                  <c:v>-7.8749743353730528E-2</c:v>
                </c:pt>
                <c:pt idx="85">
                  <c:v>-6.3928900740443884E-2</c:v>
                </c:pt>
                <c:pt idx="86">
                  <c:v>-7.5732299532389136E-2</c:v>
                </c:pt>
                <c:pt idx="87">
                  <c:v>-0.10047835131179383</c:v>
                </c:pt>
                <c:pt idx="88">
                  <c:v>-0.10772124195711008</c:v>
                </c:pt>
                <c:pt idx="89">
                  <c:v>-0.10181988529980623</c:v>
                </c:pt>
                <c:pt idx="90">
                  <c:v>-0.10758721742804822</c:v>
                </c:pt>
                <c:pt idx="91">
                  <c:v>-0.10302712970751948</c:v>
                </c:pt>
                <c:pt idx="92">
                  <c:v>-9.4710946065969193E-2</c:v>
                </c:pt>
                <c:pt idx="93">
                  <c:v>-8.5456124596396843E-2</c:v>
                </c:pt>
                <c:pt idx="94">
                  <c:v>-9.3503847893421144E-2</c:v>
                </c:pt>
                <c:pt idx="95">
                  <c:v>-9.370508576036618E-2</c:v>
                </c:pt>
                <c:pt idx="96">
                  <c:v>-9.11567917686259E-2</c:v>
                </c:pt>
                <c:pt idx="97">
                  <c:v>-8.8474125939306147E-2</c:v>
                </c:pt>
                <c:pt idx="98">
                  <c:v>-9.6052562311262024E-2</c:v>
                </c:pt>
                <c:pt idx="99">
                  <c:v>-9.0485846550512061E-2</c:v>
                </c:pt>
                <c:pt idx="100">
                  <c:v>-7.9018413911306706E-2</c:v>
                </c:pt>
                <c:pt idx="101">
                  <c:v>-7.2110712544414701E-2</c:v>
                </c:pt>
                <c:pt idx="102">
                  <c:v>-7.304935037243665E-2</c:v>
                </c:pt>
                <c:pt idx="103">
                  <c:v>-8.2103144188114041E-2</c:v>
                </c:pt>
                <c:pt idx="104">
                  <c:v>-0.10255735837846558</c:v>
                </c:pt>
                <c:pt idx="105">
                  <c:v>-0.10470358792271861</c:v>
                </c:pt>
                <c:pt idx="106">
                  <c:v>-0.10812337038248232</c:v>
                </c:pt>
                <c:pt idx="107">
                  <c:v>-0.10249034611393482</c:v>
                </c:pt>
                <c:pt idx="108">
                  <c:v>-0.12106693733972529</c:v>
                </c:pt>
                <c:pt idx="109">
                  <c:v>-0.13012037470718707</c:v>
                </c:pt>
                <c:pt idx="110">
                  <c:v>-0.14158836486796034</c:v>
                </c:pt>
                <c:pt idx="111">
                  <c:v>-0.11073909706485396</c:v>
                </c:pt>
                <c:pt idx="112">
                  <c:v>-0.11905465920695135</c:v>
                </c:pt>
                <c:pt idx="113">
                  <c:v>-0.11711008795574396</c:v>
                </c:pt>
                <c:pt idx="114">
                  <c:v>-0.13079131992530091</c:v>
                </c:pt>
                <c:pt idx="115">
                  <c:v>-0.13957623297035182</c:v>
                </c:pt>
                <c:pt idx="116">
                  <c:v>-0.10383133172007708</c:v>
                </c:pt>
                <c:pt idx="117">
                  <c:v>-0.12602964702930952</c:v>
                </c:pt>
                <c:pt idx="118">
                  <c:v>-0.10984111261280505</c:v>
                </c:pt>
                <c:pt idx="119">
                  <c:v>-9.2048926814059961E-2</c:v>
                </c:pt>
                <c:pt idx="120">
                  <c:v>-9.1172484629809647E-2</c:v>
                </c:pt>
                <c:pt idx="121">
                  <c:v>-0.10229301089796561</c:v>
                </c:pt>
                <c:pt idx="122">
                  <c:v>-0.10512350220007893</c:v>
                </c:pt>
                <c:pt idx="123">
                  <c:v>-0.11368290234073353</c:v>
                </c:pt>
                <c:pt idx="124">
                  <c:v>-0.11058262543790776</c:v>
                </c:pt>
                <c:pt idx="125">
                  <c:v>-5.3192182883793571E-2</c:v>
                </c:pt>
                <c:pt idx="126">
                  <c:v>-5.2568315960021206E-2</c:v>
                </c:pt>
                <c:pt idx="127">
                  <c:v>-5.0211896825711144E-2</c:v>
                </c:pt>
                <c:pt idx="128">
                  <c:v>-5.1251311604639471E-2</c:v>
                </c:pt>
                <c:pt idx="129">
                  <c:v>-5.0766136080276247E-2</c:v>
                </c:pt>
                <c:pt idx="130">
                  <c:v>-5.1736421336118554E-2</c:v>
                </c:pt>
                <c:pt idx="131">
                  <c:v>-5.8598139786056214E-2</c:v>
                </c:pt>
                <c:pt idx="132">
                  <c:v>-5.7281285814409166E-2</c:v>
                </c:pt>
                <c:pt idx="133">
                  <c:v>-7.5578230452622353E-2</c:v>
                </c:pt>
                <c:pt idx="134">
                  <c:v>-7.8697405288765898E-2</c:v>
                </c:pt>
                <c:pt idx="135">
                  <c:v>-7.6548440516597371E-2</c:v>
                </c:pt>
                <c:pt idx="136">
                  <c:v>-5.1528609812606874E-2</c:v>
                </c:pt>
                <c:pt idx="137">
                  <c:v>-5.0142626317874139E-2</c:v>
                </c:pt>
                <c:pt idx="138">
                  <c:v>-4.0231360701000196E-2</c:v>
                </c:pt>
                <c:pt idx="139">
                  <c:v>-3.9746185176637083E-2</c:v>
                </c:pt>
                <c:pt idx="140">
                  <c:v>-4.3974120491413249E-2</c:v>
                </c:pt>
                <c:pt idx="141">
                  <c:v>-4.5499067956074613E-2</c:v>
                </c:pt>
                <c:pt idx="142">
                  <c:v>-4.1340121179633038E-2</c:v>
                </c:pt>
                <c:pt idx="143">
                  <c:v>-3.2469341825797748E-2</c:v>
                </c:pt>
                <c:pt idx="144">
                  <c:v>-3.2260956964297205E-2</c:v>
                </c:pt>
                <c:pt idx="145">
                  <c:v>-3.6072912070680085E-2</c:v>
                </c:pt>
                <c:pt idx="146">
                  <c:v>-4.1756533741263868E-2</c:v>
                </c:pt>
                <c:pt idx="147">
                  <c:v>-2.1934491254654298E-2</c:v>
                </c:pt>
                <c:pt idx="148">
                  <c:v>-1.923137181877177E-2</c:v>
                </c:pt>
                <c:pt idx="149">
                  <c:v>-2.3944050304673503E-2</c:v>
                </c:pt>
                <c:pt idx="150">
                  <c:v>-1.5488828204977434E-2</c:v>
                </c:pt>
                <c:pt idx="151">
                  <c:v>-3.3023364903743913E-2</c:v>
                </c:pt>
                <c:pt idx="152">
                  <c:v>-3.5518672816115093E-2</c:v>
                </c:pt>
                <c:pt idx="153">
                  <c:v>-3.7320927887727451E-2</c:v>
                </c:pt>
                <c:pt idx="154">
                  <c:v>-2.6508713315732457E-2</c:v>
                </c:pt>
                <c:pt idx="155">
                  <c:v>-2.6370021916323427E-2</c:v>
                </c:pt>
                <c:pt idx="156">
                  <c:v>-2.4360180896801698E-2</c:v>
                </c:pt>
                <c:pt idx="157">
                  <c:v>-1.2162339991443782E-2</c:v>
                </c:pt>
                <c:pt idx="158">
                  <c:v>-1.1261033874952697E-2</c:v>
                </c:pt>
                <c:pt idx="159">
                  <c:v>-8.5581212167052945E-3</c:v>
                </c:pt>
                <c:pt idx="160">
                  <c:v>-1.6597729668361483E-2</c:v>
                </c:pt>
                <c:pt idx="161">
                  <c:v>-3.323138320489083E-2</c:v>
                </c:pt>
                <c:pt idx="162">
                  <c:v>-3.3093208749570113E-2</c:v>
                </c:pt>
                <c:pt idx="163">
                  <c:v>-4.6053382402507115E-2</c:v>
                </c:pt>
                <c:pt idx="164">
                  <c:v>-3.8983993413809204E-2</c:v>
                </c:pt>
                <c:pt idx="165">
                  <c:v>-3.4548171383653958E-2</c:v>
                </c:pt>
                <c:pt idx="166">
                  <c:v>-2.9696726306475685E-2</c:v>
                </c:pt>
                <c:pt idx="167">
                  <c:v>-2.7271046063311877E-2</c:v>
                </c:pt>
                <c:pt idx="168">
                  <c:v>-3.7320927887727451E-2</c:v>
                </c:pt>
                <c:pt idx="169">
                  <c:v>-4.2934414343999028E-2</c:v>
                </c:pt>
                <c:pt idx="170">
                  <c:v>-4.3419448883610823E-2</c:v>
                </c:pt>
                <c:pt idx="171">
                  <c:v>-2.4290553227594325E-2</c:v>
                </c:pt>
                <c:pt idx="172">
                  <c:v>-5.5409694442075552E-2</c:v>
                </c:pt>
                <c:pt idx="173">
                  <c:v>-5.3122621007470117E-2</c:v>
                </c:pt>
                <c:pt idx="174">
                  <c:v>-5.7835525068974047E-2</c:v>
                </c:pt>
                <c:pt idx="175">
                  <c:v>-7.1697221015021184E-2</c:v>
                </c:pt>
                <c:pt idx="176">
                  <c:v>-6.81623479399871E-2</c:v>
                </c:pt>
                <c:pt idx="177">
                  <c:v>-5.6380054889785258E-2</c:v>
                </c:pt>
                <c:pt idx="178">
                  <c:v>-5.5825815635220266E-2</c:v>
                </c:pt>
                <c:pt idx="179">
                  <c:v>-6.0399896711546996E-2</c:v>
                </c:pt>
                <c:pt idx="180">
                  <c:v>-6.9548538212355293E-2</c:v>
                </c:pt>
                <c:pt idx="181">
                  <c:v>-6.83702252563827E-2</c:v>
                </c:pt>
                <c:pt idx="182">
                  <c:v>-8.3492127500978452E-2</c:v>
                </c:pt>
                <c:pt idx="183">
                  <c:v>-8.4397663160010628E-2</c:v>
                </c:pt>
                <c:pt idx="184">
                  <c:v>-8.6208734478074978E-2</c:v>
                </c:pt>
                <c:pt idx="185">
                  <c:v>-8.1890014382403398E-2</c:v>
                </c:pt>
                <c:pt idx="186">
                  <c:v>-0.10682623172985106</c:v>
                </c:pt>
                <c:pt idx="187">
                  <c:v>-0.11170227394665078</c:v>
                </c:pt>
                <c:pt idx="188">
                  <c:v>-0.10856767537870804</c:v>
                </c:pt>
                <c:pt idx="189">
                  <c:v>-7.9121458496846597E-2</c:v>
                </c:pt>
                <c:pt idx="190">
                  <c:v>-9.490200618679101E-2</c:v>
                </c:pt>
                <c:pt idx="191">
                  <c:v>-9.396961818170213E-2</c:v>
                </c:pt>
                <c:pt idx="192">
                  <c:v>-0.10322273357495682</c:v>
                </c:pt>
                <c:pt idx="193">
                  <c:v>-8.7298478748931374E-2</c:v>
                </c:pt>
                <c:pt idx="194">
                  <c:v>-0.10487275709451482</c:v>
                </c:pt>
                <c:pt idx="195">
                  <c:v>-0.10121432786232698</c:v>
                </c:pt>
                <c:pt idx="196">
                  <c:v>-0.1116871584200001</c:v>
                </c:pt>
                <c:pt idx="197">
                  <c:v>-0.11972091677937036</c:v>
                </c:pt>
                <c:pt idx="198">
                  <c:v>-0.13213014945397694</c:v>
                </c:pt>
                <c:pt idx="199">
                  <c:v>-0.11082632876724163</c:v>
                </c:pt>
                <c:pt idx="200">
                  <c:v>-0.10193181818874186</c:v>
                </c:pt>
                <c:pt idx="201">
                  <c:v>-9.6337064273249728E-2</c:v>
                </c:pt>
                <c:pt idx="202">
                  <c:v>-9.5834461946304961E-2</c:v>
                </c:pt>
                <c:pt idx="203">
                  <c:v>-8.557681944341422E-2</c:v>
                </c:pt>
                <c:pt idx="204">
                  <c:v>-8.0627784559527016E-2</c:v>
                </c:pt>
                <c:pt idx="205">
                  <c:v>-9.970801147885E-2</c:v>
                </c:pt>
                <c:pt idx="206">
                  <c:v>-9.992319953363249E-2</c:v>
                </c:pt>
                <c:pt idx="207">
                  <c:v>-0.11312184869672148</c:v>
                </c:pt>
                <c:pt idx="208">
                  <c:v>-9.4184806236484508E-2</c:v>
                </c:pt>
                <c:pt idx="209">
                  <c:v>-7.8045373034880239E-2</c:v>
                </c:pt>
                <c:pt idx="210">
                  <c:v>-9.0239485409129627E-2</c:v>
                </c:pt>
                <c:pt idx="211">
                  <c:v>-9.504578107729722E-2</c:v>
                </c:pt>
                <c:pt idx="212">
                  <c:v>-0.10343828943947653</c:v>
                </c:pt>
                <c:pt idx="213">
                  <c:v>-7.9264720389561338E-2</c:v>
                </c:pt>
                <c:pt idx="214">
                  <c:v>-7.5175847293383447E-2</c:v>
                </c:pt>
                <c:pt idx="215">
                  <c:v>-8.8948357080435136E-2</c:v>
                </c:pt>
                <c:pt idx="216">
                  <c:v>-7.2020165576194284E-2</c:v>
                </c:pt>
                <c:pt idx="217">
                  <c:v>-6.2408009804021836E-2</c:v>
                </c:pt>
                <c:pt idx="218">
                  <c:v>-7.2163350035280072E-2</c:v>
                </c:pt>
                <c:pt idx="219">
                  <c:v>-7.7758404006084469E-2</c:v>
                </c:pt>
                <c:pt idx="220">
                  <c:v>-7.0800740787884342E-2</c:v>
                </c:pt>
                <c:pt idx="221">
                  <c:v>-6.6281627090992057E-2</c:v>
                </c:pt>
                <c:pt idx="222">
                  <c:v>-7.9049754956462048E-2</c:v>
                </c:pt>
                <c:pt idx="223">
                  <c:v>-8.9092131970941568E-2</c:v>
                </c:pt>
                <c:pt idx="224">
                  <c:v>-8.4859551738682426E-2</c:v>
                </c:pt>
                <c:pt idx="225">
                  <c:v>-8.3281744757300546E-2</c:v>
                </c:pt>
                <c:pt idx="226">
                  <c:v>-7.0011314620198162E-2</c:v>
                </c:pt>
                <c:pt idx="227">
                  <c:v>-8.887672129447588E-2</c:v>
                </c:pt>
                <c:pt idx="228">
                  <c:v>-8.6222683663073618E-2</c:v>
                </c:pt>
                <c:pt idx="229">
                  <c:v>-7.7328095650944895E-2</c:v>
                </c:pt>
                <c:pt idx="230">
                  <c:v>-6.613822001022307E-2</c:v>
                </c:pt>
                <c:pt idx="231">
                  <c:v>-7.618037440301928E-2</c:v>
                </c:pt>
                <c:pt idx="232">
                  <c:v>-8.1918912888221507E-2</c:v>
                </c:pt>
                <c:pt idx="233">
                  <c:v>-8.2707661511654762E-2</c:v>
                </c:pt>
                <c:pt idx="234">
                  <c:v>-0.11032432655092117</c:v>
                </c:pt>
                <c:pt idx="235">
                  <c:v>-0.1075267269714919</c:v>
                </c:pt>
                <c:pt idx="236">
                  <c:v>-8.9092131970941568E-2</c:v>
                </c:pt>
                <c:pt idx="237">
                  <c:v>-0.11613455889730429</c:v>
                </c:pt>
                <c:pt idx="238">
                  <c:v>-0.11254791063912994</c:v>
                </c:pt>
                <c:pt idx="239">
                  <c:v>-9.970801147885E-2</c:v>
                </c:pt>
                <c:pt idx="240">
                  <c:v>-9.5548093028133496E-2</c:v>
                </c:pt>
                <c:pt idx="241">
                  <c:v>-0.13858603307753969</c:v>
                </c:pt>
                <c:pt idx="242">
                  <c:v>-0.12416824950224903</c:v>
                </c:pt>
                <c:pt idx="243">
                  <c:v>-0.16354820556283389</c:v>
                </c:pt>
                <c:pt idx="244">
                  <c:v>-0.13872966277999188</c:v>
                </c:pt>
                <c:pt idx="245">
                  <c:v>-0.10452531240152863</c:v>
                </c:pt>
                <c:pt idx="246">
                  <c:v>-0.12479815271514638</c:v>
                </c:pt>
                <c:pt idx="247">
                  <c:v>-0.14471048141089671</c:v>
                </c:pt>
                <c:pt idx="248">
                  <c:v>-0.14196871147792212</c:v>
                </c:pt>
                <c:pt idx="249">
                  <c:v>-0.12854985075337433</c:v>
                </c:pt>
                <c:pt idx="250">
                  <c:v>-0.12811689029644391</c:v>
                </c:pt>
                <c:pt idx="251">
                  <c:v>-0.19643897186021431</c:v>
                </c:pt>
                <c:pt idx="252">
                  <c:v>-0.16317985379003785</c:v>
                </c:pt>
                <c:pt idx="253">
                  <c:v>-0.16267474454935693</c:v>
                </c:pt>
                <c:pt idx="254">
                  <c:v>-0.19304824036242374</c:v>
                </c:pt>
                <c:pt idx="255">
                  <c:v>-0.20394229050304136</c:v>
                </c:pt>
                <c:pt idx="256">
                  <c:v>-0.24448813567673822</c:v>
                </c:pt>
                <c:pt idx="257">
                  <c:v>-0.2783244343377177</c:v>
                </c:pt>
                <c:pt idx="258">
                  <c:v>-0.29650551163716765</c:v>
                </c:pt>
                <c:pt idx="259">
                  <c:v>-0.34563696528517551</c:v>
                </c:pt>
                <c:pt idx="260">
                  <c:v>-0.36150878786521501</c:v>
                </c:pt>
                <c:pt idx="261">
                  <c:v>-0.26880141435164129</c:v>
                </c:pt>
                <c:pt idx="262">
                  <c:v>-0.27962332538771173</c:v>
                </c:pt>
                <c:pt idx="263">
                  <c:v>-0.35054265669527185</c:v>
                </c:pt>
                <c:pt idx="264">
                  <c:v>-0.32348775327544854</c:v>
                </c:pt>
                <c:pt idx="265">
                  <c:v>-0.32752848201284235</c:v>
                </c:pt>
                <c:pt idx="266">
                  <c:v>-0.28712648916328087</c:v>
                </c:pt>
                <c:pt idx="267">
                  <c:v>-0.30840941244940989</c:v>
                </c:pt>
                <c:pt idx="268">
                  <c:v>-0.34606955793236827</c:v>
                </c:pt>
                <c:pt idx="269">
                  <c:v>-0.33849439056110242</c:v>
                </c:pt>
                <c:pt idx="270">
                  <c:v>-0.37204187146539547</c:v>
                </c:pt>
                <c:pt idx="271">
                  <c:v>-0.394335381042624</c:v>
                </c:pt>
                <c:pt idx="272">
                  <c:v>-0.32356026986893682</c:v>
                </c:pt>
                <c:pt idx="273">
                  <c:v>-0.328466038712662</c:v>
                </c:pt>
                <c:pt idx="274">
                  <c:v>-0.30523482724755968</c:v>
                </c:pt>
                <c:pt idx="275">
                  <c:v>-0.3014114256689473</c:v>
                </c:pt>
                <c:pt idx="276">
                  <c:v>-0.29939127908233154</c:v>
                </c:pt>
                <c:pt idx="277">
                  <c:v>-0.2755831774025348</c:v>
                </c:pt>
                <c:pt idx="278">
                  <c:v>-0.306028454189615</c:v>
                </c:pt>
                <c:pt idx="279">
                  <c:v>-0.34448244923631177</c:v>
                </c:pt>
                <c:pt idx="280">
                  <c:v>-0.32283879171063223</c:v>
                </c:pt>
                <c:pt idx="281">
                  <c:v>-0.33171255007658007</c:v>
                </c:pt>
                <c:pt idx="282">
                  <c:v>-0.35234643436426383</c:v>
                </c:pt>
                <c:pt idx="283">
                  <c:v>-0.38084392629095887</c:v>
                </c:pt>
                <c:pt idx="284">
                  <c:v>-0.34224607892012682</c:v>
                </c:pt>
                <c:pt idx="285">
                  <c:v>-0.37507238172142721</c:v>
                </c:pt>
                <c:pt idx="286">
                  <c:v>-0.38336895949657235</c:v>
                </c:pt>
                <c:pt idx="287">
                  <c:v>-0.37175365381933312</c:v>
                </c:pt>
                <c:pt idx="288">
                  <c:v>-0.41201112647970983</c:v>
                </c:pt>
                <c:pt idx="289">
                  <c:v>-0.45565936935469176</c:v>
                </c:pt>
                <c:pt idx="290">
                  <c:v>-0.42629594683493277</c:v>
                </c:pt>
                <c:pt idx="291">
                  <c:v>-0.38654366084886604</c:v>
                </c:pt>
                <c:pt idx="292">
                  <c:v>-0.3819982197181393</c:v>
                </c:pt>
                <c:pt idx="293">
                  <c:v>-0.35811812412184951</c:v>
                </c:pt>
                <c:pt idx="294">
                  <c:v>-0.35003769264264495</c:v>
                </c:pt>
                <c:pt idx="295">
                  <c:v>-0.40760995387887389</c:v>
                </c:pt>
                <c:pt idx="296">
                  <c:v>-0.38481188677557054</c:v>
                </c:pt>
                <c:pt idx="297">
                  <c:v>-0.37002210236772082</c:v>
                </c:pt>
                <c:pt idx="298">
                  <c:v>-0.38459574047963019</c:v>
                </c:pt>
                <c:pt idx="299">
                  <c:v>-0.36562129757662243</c:v>
                </c:pt>
                <c:pt idx="300">
                  <c:v>-0.34347237594300384</c:v>
                </c:pt>
                <c:pt idx="301">
                  <c:v>-0.35429420954544544</c:v>
                </c:pt>
                <c:pt idx="302">
                  <c:v>-0.34989347250877234</c:v>
                </c:pt>
                <c:pt idx="303">
                  <c:v>-0.36554884873755944</c:v>
                </c:pt>
                <c:pt idx="304">
                  <c:v>-0.35797375879992255</c:v>
                </c:pt>
                <c:pt idx="305">
                  <c:v>-0.36691988857130453</c:v>
                </c:pt>
                <c:pt idx="306">
                  <c:v>-0.33712342816098639</c:v>
                </c:pt>
                <c:pt idx="307">
                  <c:v>-0.34354460216038374</c:v>
                </c:pt>
                <c:pt idx="308">
                  <c:v>-0.35580916945775121</c:v>
                </c:pt>
                <c:pt idx="309">
                  <c:v>-0.35858048032016043</c:v>
                </c:pt>
                <c:pt idx="310">
                  <c:v>-0.36679877269646222</c:v>
                </c:pt>
                <c:pt idx="311">
                  <c:v>-0.37334497296896241</c:v>
                </c:pt>
                <c:pt idx="312">
                  <c:v>-0.36970832194490977</c:v>
                </c:pt>
                <c:pt idx="313">
                  <c:v>-0.36607168060006057</c:v>
                </c:pt>
                <c:pt idx="314">
                  <c:v>-0.36789015130014124</c:v>
                </c:pt>
                <c:pt idx="315">
                  <c:v>-0.35290744100582505</c:v>
                </c:pt>
                <c:pt idx="316">
                  <c:v>-0.34367035437375781</c:v>
                </c:pt>
                <c:pt idx="317">
                  <c:v>-0.32388755278079162</c:v>
                </c:pt>
                <c:pt idx="318">
                  <c:v>-0.32468775190210197</c:v>
                </c:pt>
                <c:pt idx="319">
                  <c:v>-0.32017794959908796</c:v>
                </c:pt>
                <c:pt idx="320">
                  <c:v>-0.34054296496873715</c:v>
                </c:pt>
                <c:pt idx="321">
                  <c:v>-0.33785184630828335</c:v>
                </c:pt>
                <c:pt idx="322">
                  <c:v>-0.35203464785739769</c:v>
                </c:pt>
                <c:pt idx="323">
                  <c:v>-0.36759904925140152</c:v>
                </c:pt>
                <c:pt idx="324">
                  <c:v>-0.36643529924228857</c:v>
                </c:pt>
                <c:pt idx="325">
                  <c:v>-0.38636387932090954</c:v>
                </c:pt>
                <c:pt idx="326">
                  <c:v>-0.38614543905371235</c:v>
                </c:pt>
                <c:pt idx="327">
                  <c:v>-0.38134557037674544</c:v>
                </c:pt>
                <c:pt idx="328">
                  <c:v>-0.41400183860813045</c:v>
                </c:pt>
                <c:pt idx="329">
                  <c:v>-0.38869133094311747</c:v>
                </c:pt>
                <c:pt idx="330">
                  <c:v>-0.39814630612777591</c:v>
                </c:pt>
                <c:pt idx="331">
                  <c:v>-0.39552814930417657</c:v>
                </c:pt>
                <c:pt idx="332">
                  <c:v>-0.39138222698188818</c:v>
                </c:pt>
                <c:pt idx="333">
                  <c:v>-0.38520012931179659</c:v>
                </c:pt>
                <c:pt idx="334">
                  <c:v>-0.36439898838563489</c:v>
                </c:pt>
                <c:pt idx="335">
                  <c:v>-0.38505472831508281</c:v>
                </c:pt>
                <c:pt idx="336">
                  <c:v>-0.39756461502808815</c:v>
                </c:pt>
                <c:pt idx="337">
                  <c:v>-0.39938278567285668</c:v>
                </c:pt>
                <c:pt idx="338">
                  <c:v>-0.39094579169085997</c:v>
                </c:pt>
                <c:pt idx="339">
                  <c:v>-0.39392782849518471</c:v>
                </c:pt>
                <c:pt idx="340">
                  <c:v>-0.38490892079181716</c:v>
                </c:pt>
                <c:pt idx="341">
                  <c:v>-0.36738097679394166</c:v>
                </c:pt>
                <c:pt idx="342">
                  <c:v>-0.36650803845745994</c:v>
                </c:pt>
                <c:pt idx="343">
                  <c:v>-0.39552814930417657</c:v>
                </c:pt>
                <c:pt idx="344">
                  <c:v>-0.39196428589131327</c:v>
                </c:pt>
                <c:pt idx="345">
                  <c:v>-0.39152774412904534</c:v>
                </c:pt>
                <c:pt idx="346">
                  <c:v>-0.39807367338384436</c:v>
                </c:pt>
                <c:pt idx="347">
                  <c:v>-0.42382076152793979</c:v>
                </c:pt>
                <c:pt idx="348">
                  <c:v>-0.42520257431530895</c:v>
                </c:pt>
                <c:pt idx="349">
                  <c:v>-0.43138455583495705</c:v>
                </c:pt>
                <c:pt idx="350">
                  <c:v>-0.43691240709505819</c:v>
                </c:pt>
                <c:pt idx="351">
                  <c:v>-0.45705894348069565</c:v>
                </c:pt>
                <c:pt idx="352">
                  <c:v>-0.43647575886155043</c:v>
                </c:pt>
                <c:pt idx="353">
                  <c:v>-0.44091271547815325</c:v>
                </c:pt>
                <c:pt idx="354">
                  <c:v>-0.45000369453164291</c:v>
                </c:pt>
                <c:pt idx="355">
                  <c:v>-0.46229579916329677</c:v>
                </c:pt>
                <c:pt idx="356">
                  <c:v>-0.48651512180870315</c:v>
                </c:pt>
                <c:pt idx="357">
                  <c:v>-0.49037000983667722</c:v>
                </c:pt>
                <c:pt idx="358">
                  <c:v>-0.47829645194346027</c:v>
                </c:pt>
                <c:pt idx="359">
                  <c:v>-0.49960695128069021</c:v>
                </c:pt>
                <c:pt idx="360">
                  <c:v>-0.49873419684907716</c:v>
                </c:pt>
                <c:pt idx="361">
                  <c:v>-0.50462536669609404</c:v>
                </c:pt>
                <c:pt idx="362">
                  <c:v>-0.4750963523608791</c:v>
                </c:pt>
                <c:pt idx="363">
                  <c:v>-0.47167791898234046</c:v>
                </c:pt>
                <c:pt idx="364">
                  <c:v>-0.45087666190573539</c:v>
                </c:pt>
                <c:pt idx="365">
                  <c:v>-0.4465856289628416</c:v>
                </c:pt>
                <c:pt idx="366">
                  <c:v>-0.44825847604452529</c:v>
                </c:pt>
                <c:pt idx="367">
                  <c:v>-0.43138455583495705</c:v>
                </c:pt>
                <c:pt idx="368">
                  <c:v>-0.4186566063436955</c:v>
                </c:pt>
                <c:pt idx="369">
                  <c:v>-0.4258568207252994</c:v>
                </c:pt>
                <c:pt idx="370">
                  <c:v>-0.43808295190510926</c:v>
                </c:pt>
                <c:pt idx="371">
                  <c:v>-0.39772102127931286</c:v>
                </c:pt>
                <c:pt idx="372">
                  <c:v>-0.40958796689215082</c:v>
                </c:pt>
                <c:pt idx="373">
                  <c:v>-0.40336137392303828</c:v>
                </c:pt>
                <c:pt idx="374">
                  <c:v>-0.39120159368401342</c:v>
                </c:pt>
                <c:pt idx="375">
                  <c:v>-0.40218931915722311</c:v>
                </c:pt>
                <c:pt idx="376">
                  <c:v>-0.42284628834553017</c:v>
                </c:pt>
                <c:pt idx="377">
                  <c:v>-0.41749909942091457</c:v>
                </c:pt>
                <c:pt idx="378">
                  <c:v>-0.40621827798302035</c:v>
                </c:pt>
                <c:pt idx="379">
                  <c:v>-0.38885733896432884</c:v>
                </c:pt>
                <c:pt idx="380">
                  <c:v>-0.3827773375339748</c:v>
                </c:pt>
                <c:pt idx="381">
                  <c:v>-0.38761229332404834</c:v>
                </c:pt>
                <c:pt idx="382">
                  <c:v>-0.40189637805979639</c:v>
                </c:pt>
                <c:pt idx="383">
                  <c:v>-0.39545017363984913</c:v>
                </c:pt>
                <c:pt idx="384">
                  <c:v>-0.37142363169285508</c:v>
                </c:pt>
                <c:pt idx="385">
                  <c:v>-0.37127689496604221</c:v>
                </c:pt>
                <c:pt idx="386">
                  <c:v>-0.38211822248456573</c:v>
                </c:pt>
                <c:pt idx="387">
                  <c:v>-0.37552572658117211</c:v>
                </c:pt>
                <c:pt idx="388">
                  <c:v>-0.36636920964000119</c:v>
                </c:pt>
                <c:pt idx="389">
                  <c:v>-0.3621203780248714</c:v>
                </c:pt>
                <c:pt idx="390">
                  <c:v>-0.38885733896432884</c:v>
                </c:pt>
                <c:pt idx="391">
                  <c:v>-0.37691750894826537</c:v>
                </c:pt>
                <c:pt idx="392">
                  <c:v>-0.38072658530552661</c:v>
                </c:pt>
                <c:pt idx="393">
                  <c:v>-0.37464658387517269</c:v>
                </c:pt>
                <c:pt idx="394">
                  <c:v>-0.36519704840294609</c:v>
                </c:pt>
                <c:pt idx="395">
                  <c:v>-0.37120342013139618</c:v>
                </c:pt>
                <c:pt idx="396">
                  <c:v>-0.37318169448317062</c:v>
                </c:pt>
                <c:pt idx="397">
                  <c:v>-0.35984967557346192</c:v>
                </c:pt>
                <c:pt idx="398">
                  <c:v>-0.35962976406731517</c:v>
                </c:pt>
                <c:pt idx="399">
                  <c:v>-0.35618696813327588</c:v>
                </c:pt>
                <c:pt idx="400">
                  <c:v>-0.33428462421176541</c:v>
                </c:pt>
                <c:pt idx="401">
                  <c:v>-0.33655547185122914</c:v>
                </c:pt>
                <c:pt idx="402">
                  <c:v>-0.32505484537842788</c:v>
                </c:pt>
                <c:pt idx="403">
                  <c:v>-0.33443120607132026</c:v>
                </c:pt>
                <c:pt idx="404">
                  <c:v>-0.3189018143567941</c:v>
                </c:pt>
                <c:pt idx="405">
                  <c:v>-0.33164756390350481</c:v>
                </c:pt>
                <c:pt idx="406">
                  <c:v>-0.33362547044554181</c:v>
                </c:pt>
                <c:pt idx="407">
                  <c:v>-0.35040006266760637</c:v>
                </c:pt>
                <c:pt idx="408">
                  <c:v>-0.34483300095365865</c:v>
                </c:pt>
                <c:pt idx="409">
                  <c:v>-0.35018029634951386</c:v>
                </c:pt>
                <c:pt idx="410">
                  <c:v>-0.33172081611646764</c:v>
                </c:pt>
                <c:pt idx="411">
                  <c:v>-0.33252633879976667</c:v>
                </c:pt>
                <c:pt idx="412">
                  <c:v>-0.33699500448741426</c:v>
                </c:pt>
                <c:pt idx="413">
                  <c:v>-0.34651765666375323</c:v>
                </c:pt>
                <c:pt idx="414">
                  <c:v>-0.34790966165252957</c:v>
                </c:pt>
                <c:pt idx="415">
                  <c:v>-0.33120780864563637</c:v>
                </c:pt>
                <c:pt idx="416">
                  <c:v>-0.34314804518825182</c:v>
                </c:pt>
                <c:pt idx="417">
                  <c:v>-0.33399174118956043</c:v>
                </c:pt>
                <c:pt idx="418">
                  <c:v>-0.32219809618570361</c:v>
                </c:pt>
                <c:pt idx="419">
                  <c:v>-0.30578970695323215</c:v>
                </c:pt>
                <c:pt idx="420">
                  <c:v>-0.30520359245749218</c:v>
                </c:pt>
                <c:pt idx="421">
                  <c:v>-0.31399368378738657</c:v>
                </c:pt>
                <c:pt idx="422">
                  <c:v>-0.30754799236523089</c:v>
                </c:pt>
                <c:pt idx="423">
                  <c:v>-0.30740118788399273</c:v>
                </c:pt>
                <c:pt idx="424">
                  <c:v>-0.31025779188866298</c:v>
                </c:pt>
                <c:pt idx="425">
                  <c:v>-0.30674203411776924</c:v>
                </c:pt>
                <c:pt idx="426">
                  <c:v>-0.30849965166471849</c:v>
                </c:pt>
                <c:pt idx="427">
                  <c:v>-0.30542305872027253</c:v>
                </c:pt>
                <c:pt idx="428">
                  <c:v>-0.30351878188013959</c:v>
                </c:pt>
                <c:pt idx="429">
                  <c:v>-0.31948770623085099</c:v>
                </c:pt>
                <c:pt idx="430">
                  <c:v>-0.32871785287392585</c:v>
                </c:pt>
                <c:pt idx="431">
                  <c:v>-0.32937656139678317</c:v>
                </c:pt>
                <c:pt idx="432">
                  <c:v>-0.3244685082610046</c:v>
                </c:pt>
                <c:pt idx="433">
                  <c:v>-0.32197906548708577</c:v>
                </c:pt>
                <c:pt idx="434">
                  <c:v>-0.34231069728346464</c:v>
                </c:pt>
                <c:pt idx="435">
                  <c:v>-0.34179525065332217</c:v>
                </c:pt>
                <c:pt idx="436">
                  <c:v>-0.33612258882792789</c:v>
                </c:pt>
                <c:pt idx="437">
                  <c:v>-0.32168442084982274</c:v>
                </c:pt>
                <c:pt idx="438">
                  <c:v>-0.32345230803180813</c:v>
                </c:pt>
                <c:pt idx="439">
                  <c:v>-0.31711687241803799</c:v>
                </c:pt>
                <c:pt idx="440">
                  <c:v>-0.32264213933077357</c:v>
                </c:pt>
                <c:pt idx="441">
                  <c:v>-0.3198427684570827</c:v>
                </c:pt>
                <c:pt idx="442">
                  <c:v>-0.33840658082590158</c:v>
                </c:pt>
                <c:pt idx="443">
                  <c:v>-0.33848013309417657</c:v>
                </c:pt>
                <c:pt idx="444">
                  <c:v>-0.35129803142463822</c:v>
                </c:pt>
                <c:pt idx="445">
                  <c:v>-0.35173993546570925</c:v>
                </c:pt>
                <c:pt idx="446">
                  <c:v>-0.35048764010192057</c:v>
                </c:pt>
                <c:pt idx="447">
                  <c:v>-0.35203443491491815</c:v>
                </c:pt>
                <c:pt idx="448">
                  <c:v>-0.33627020636226979</c:v>
                </c:pt>
                <c:pt idx="449">
                  <c:v>-0.33251333962931084</c:v>
                </c:pt>
                <c:pt idx="450">
                  <c:v>-0.31299150872422909</c:v>
                </c:pt>
                <c:pt idx="451">
                  <c:v>-0.31409662211783862</c:v>
                </c:pt>
                <c:pt idx="452">
                  <c:v>-0.30658274346386694</c:v>
                </c:pt>
                <c:pt idx="453">
                  <c:v>-0.29921596934644556</c:v>
                </c:pt>
                <c:pt idx="454">
                  <c:v>-0.29597484929894147</c:v>
                </c:pt>
                <c:pt idx="455">
                  <c:v>-0.29612224421160016</c:v>
                </c:pt>
                <c:pt idx="456">
                  <c:v>-0.28057881765183112</c:v>
                </c:pt>
                <c:pt idx="457">
                  <c:v>-0.27763219705353581</c:v>
                </c:pt>
                <c:pt idx="458">
                  <c:v>-0.27549574515627495</c:v>
                </c:pt>
                <c:pt idx="459">
                  <c:v>-0.27888433755006659</c:v>
                </c:pt>
                <c:pt idx="460">
                  <c:v>-0.28065230216568082</c:v>
                </c:pt>
                <c:pt idx="461">
                  <c:v>-0.27313849126613454</c:v>
                </c:pt>
                <c:pt idx="462">
                  <c:v>-0.27210693014080012</c:v>
                </c:pt>
                <c:pt idx="463">
                  <c:v>-0.26009942313305612</c:v>
                </c:pt>
                <c:pt idx="464">
                  <c:v>-0.2581842862264665</c:v>
                </c:pt>
                <c:pt idx="465">
                  <c:v>-0.26032052518124771</c:v>
                </c:pt>
                <c:pt idx="466">
                  <c:v>-0.26415115712496107</c:v>
                </c:pt>
                <c:pt idx="467">
                  <c:v>-0.25450104919541172</c:v>
                </c:pt>
                <c:pt idx="468">
                  <c:v>-0.25604783432920564</c:v>
                </c:pt>
                <c:pt idx="469">
                  <c:v>-0.26532960016516249</c:v>
                </c:pt>
                <c:pt idx="470">
                  <c:v>-0.25744744717202395</c:v>
                </c:pt>
                <c:pt idx="471">
                  <c:v>-0.251775153156367</c:v>
                </c:pt>
                <c:pt idx="472">
                  <c:v>-0.25752129949561098</c:v>
                </c:pt>
                <c:pt idx="473">
                  <c:v>-0.27579046722716682</c:v>
                </c:pt>
                <c:pt idx="474">
                  <c:v>-0.27004447575518065</c:v>
                </c:pt>
                <c:pt idx="475">
                  <c:v>-0.26363541043950645</c:v>
                </c:pt>
                <c:pt idx="476">
                  <c:v>-0.25604783432920564</c:v>
                </c:pt>
                <c:pt idx="477">
                  <c:v>-0.24146227143844168</c:v>
                </c:pt>
                <c:pt idx="478">
                  <c:v>-0.24153560108503369</c:v>
                </c:pt>
                <c:pt idx="479">
                  <c:v>-0.24006236821951499</c:v>
                </c:pt>
                <c:pt idx="480">
                  <c:v>-0.23998889338486884</c:v>
                </c:pt>
                <c:pt idx="481">
                  <c:v>-0.2382942584158465</c:v>
                </c:pt>
                <c:pt idx="482">
                  <c:v>-0.23844173076213393</c:v>
                </c:pt>
                <c:pt idx="483">
                  <c:v>-0.24521891554971731</c:v>
                </c:pt>
                <c:pt idx="484">
                  <c:v>-0.26186775555840791</c:v>
                </c:pt>
                <c:pt idx="485">
                  <c:v>-0.26466690381041569</c:v>
                </c:pt>
                <c:pt idx="486">
                  <c:v>-0.25855249281120807</c:v>
                </c:pt>
                <c:pt idx="487">
                  <c:v>-0.24816546839358733</c:v>
                </c:pt>
                <c:pt idx="488">
                  <c:v>-0.24168307343132123</c:v>
                </c:pt>
                <c:pt idx="489">
                  <c:v>-0.23586360712468879</c:v>
                </c:pt>
                <c:pt idx="490">
                  <c:v>-0.22805486121177099</c:v>
                </c:pt>
                <c:pt idx="491">
                  <c:v>-0.22820240131248393</c:v>
                </c:pt>
                <c:pt idx="492">
                  <c:v>-0.22444546682509992</c:v>
                </c:pt>
                <c:pt idx="493">
                  <c:v>-0.22120390153422942</c:v>
                </c:pt>
                <c:pt idx="494">
                  <c:v>-0.20941748689547357</c:v>
                </c:pt>
                <c:pt idx="495">
                  <c:v>-0.21059622999098715</c:v>
                </c:pt>
                <c:pt idx="496">
                  <c:v>-0.21009266942288451</c:v>
                </c:pt>
                <c:pt idx="497">
                  <c:v>-0.2120910281221613</c:v>
                </c:pt>
                <c:pt idx="498">
                  <c:v>-0.20750205961277524</c:v>
                </c:pt>
                <c:pt idx="499">
                  <c:v>-0.21408975463117563</c:v>
                </c:pt>
                <c:pt idx="500">
                  <c:v>-0.22274950580518216</c:v>
                </c:pt>
                <c:pt idx="501">
                  <c:v>-0.22689465379118134</c:v>
                </c:pt>
                <c:pt idx="502">
                  <c:v>-0.21305347005447672</c:v>
                </c:pt>
                <c:pt idx="503">
                  <c:v>-0.21542194214160759</c:v>
                </c:pt>
                <c:pt idx="504">
                  <c:v>-0.21845644022952904</c:v>
                </c:pt>
                <c:pt idx="505">
                  <c:v>-0.23784926670882212</c:v>
                </c:pt>
                <c:pt idx="506">
                  <c:v>-0.24140171834062252</c:v>
                </c:pt>
                <c:pt idx="507">
                  <c:v>-0.23007743727849417</c:v>
                </c:pt>
                <c:pt idx="508">
                  <c:v>-0.21904876877399038</c:v>
                </c:pt>
                <c:pt idx="509">
                  <c:v>-0.21690226986337668</c:v>
                </c:pt>
                <c:pt idx="510">
                  <c:v>-0.21090697114386281</c:v>
                </c:pt>
                <c:pt idx="511">
                  <c:v>-0.20609601977875613</c:v>
                </c:pt>
                <c:pt idx="512">
                  <c:v>-0.20298694342697632</c:v>
                </c:pt>
                <c:pt idx="513">
                  <c:v>-0.20461540168087866</c:v>
                </c:pt>
                <c:pt idx="514">
                  <c:v>-0.1909223484763074</c:v>
                </c:pt>
                <c:pt idx="515">
                  <c:v>-0.18796183822082357</c:v>
                </c:pt>
                <c:pt idx="516">
                  <c:v>-0.19403105701834977</c:v>
                </c:pt>
                <c:pt idx="517">
                  <c:v>-0.18736959678919496</c:v>
                </c:pt>
                <c:pt idx="518">
                  <c:v>-0.19166273011927326</c:v>
                </c:pt>
                <c:pt idx="519">
                  <c:v>-0.19891622851678115</c:v>
                </c:pt>
                <c:pt idx="520">
                  <c:v>-0.19077420826497038</c:v>
                </c:pt>
                <c:pt idx="521">
                  <c:v>-0.20002643317149249</c:v>
                </c:pt>
                <c:pt idx="522">
                  <c:v>-0.20868655215523635</c:v>
                </c:pt>
                <c:pt idx="523">
                  <c:v>-0.21231337878761947</c:v>
                </c:pt>
                <c:pt idx="524">
                  <c:v>-0.22719055672491451</c:v>
                </c:pt>
                <c:pt idx="525">
                  <c:v>-0.21061062296676347</c:v>
                </c:pt>
                <c:pt idx="526">
                  <c:v>-0.2334821358671022</c:v>
                </c:pt>
                <c:pt idx="527">
                  <c:v>-0.22785672791375933</c:v>
                </c:pt>
                <c:pt idx="528">
                  <c:v>-0.22541411312693294</c:v>
                </c:pt>
                <c:pt idx="529">
                  <c:v>-0.22341545437234389</c:v>
                </c:pt>
                <c:pt idx="530">
                  <c:v>-0.20913051786667758</c:v>
                </c:pt>
                <c:pt idx="531">
                  <c:v>-0.20705817133496307</c:v>
                </c:pt>
                <c:pt idx="532">
                  <c:v>-0.18899790985504306</c:v>
                </c:pt>
                <c:pt idx="533">
                  <c:v>-0.18885006969901807</c:v>
                </c:pt>
                <c:pt idx="534">
                  <c:v>-0.1847046990913358</c:v>
                </c:pt>
                <c:pt idx="535">
                  <c:v>-0.19299484987527993</c:v>
                </c:pt>
                <c:pt idx="536">
                  <c:v>-0.18862786422161448</c:v>
                </c:pt>
                <c:pt idx="537">
                  <c:v>-0.17685917220467862</c:v>
                </c:pt>
                <c:pt idx="538">
                  <c:v>-0.17589688513962121</c:v>
                </c:pt>
                <c:pt idx="539">
                  <c:v>-0.17641513873881209</c:v>
                </c:pt>
                <c:pt idx="540">
                  <c:v>-0.18714761393347434</c:v>
                </c:pt>
                <c:pt idx="541">
                  <c:v>-0.19003419443174197</c:v>
                </c:pt>
                <c:pt idx="542">
                  <c:v>-0.1797453848932089</c:v>
                </c:pt>
                <c:pt idx="543">
                  <c:v>-0.17848756270415567</c:v>
                </c:pt>
                <c:pt idx="544">
                  <c:v>-0.17560104996031334</c:v>
                </c:pt>
                <c:pt idx="545">
                  <c:v>-0.18899790985504306</c:v>
                </c:pt>
                <c:pt idx="546">
                  <c:v>-0.18625923726722571</c:v>
                </c:pt>
                <c:pt idx="547">
                  <c:v>-0.17619293326140839</c:v>
                </c:pt>
                <c:pt idx="548">
                  <c:v>-0.17656326927094557</c:v>
                </c:pt>
                <c:pt idx="549">
                  <c:v>-0.1830023885138462</c:v>
                </c:pt>
                <c:pt idx="550">
                  <c:v>-0.17833957736007655</c:v>
                </c:pt>
                <c:pt idx="551">
                  <c:v>-0.17959792222612492</c:v>
                </c:pt>
                <c:pt idx="552">
                  <c:v>-0.18870170686599796</c:v>
                </c:pt>
                <c:pt idx="553">
                  <c:v>-0.18566720877807641</c:v>
                </c:pt>
                <c:pt idx="554">
                  <c:v>-0.18107794989258175</c:v>
                </c:pt>
                <c:pt idx="555">
                  <c:v>-0.17759948609321907</c:v>
                </c:pt>
                <c:pt idx="556">
                  <c:v>-0.17197407813987609</c:v>
                </c:pt>
                <c:pt idx="557">
                  <c:v>-0.17582296506160866</c:v>
                </c:pt>
                <c:pt idx="558">
                  <c:v>-0.17456454276193123</c:v>
                </c:pt>
                <c:pt idx="559">
                  <c:v>-0.18448278399004048</c:v>
                </c:pt>
                <c:pt idx="560">
                  <c:v>-0.17986923030347068</c:v>
                </c:pt>
                <c:pt idx="561">
                  <c:v>-0.17153470037094898</c:v>
                </c:pt>
                <c:pt idx="562">
                  <c:v>-0.16855787097816921</c:v>
                </c:pt>
                <c:pt idx="563">
                  <c:v>-0.16692113700517552</c:v>
                </c:pt>
                <c:pt idx="564">
                  <c:v>-0.16297677441897862</c:v>
                </c:pt>
                <c:pt idx="565">
                  <c:v>-0.16119101942711878</c:v>
                </c:pt>
                <c:pt idx="566">
                  <c:v>-0.1623816485846723</c:v>
                </c:pt>
                <c:pt idx="567">
                  <c:v>-0.16267932281266717</c:v>
                </c:pt>
                <c:pt idx="568">
                  <c:v>-0.17071603332913998</c:v>
                </c:pt>
                <c:pt idx="569">
                  <c:v>-0.15665175362829897</c:v>
                </c:pt>
                <c:pt idx="570">
                  <c:v>-0.15441908076789501</c:v>
                </c:pt>
                <c:pt idx="571">
                  <c:v>-0.15382387749995996</c:v>
                </c:pt>
                <c:pt idx="572">
                  <c:v>-0.15025169965119078</c:v>
                </c:pt>
                <c:pt idx="573">
                  <c:v>-0.14742390095648072</c:v>
                </c:pt>
                <c:pt idx="574">
                  <c:v>-0.14623334923255626</c:v>
                </c:pt>
                <c:pt idx="575">
                  <c:v>-0.15419577186127931</c:v>
                </c:pt>
                <c:pt idx="576">
                  <c:v>-0.1470520065951616</c:v>
                </c:pt>
                <c:pt idx="577">
                  <c:v>-0.14474490065895385</c:v>
                </c:pt>
                <c:pt idx="578">
                  <c:v>-0.1543447154465164</c:v>
                </c:pt>
                <c:pt idx="579">
                  <c:v>-0.14377765784164509</c:v>
                </c:pt>
                <c:pt idx="580">
                  <c:v>-0.15248437251159463</c:v>
                </c:pt>
                <c:pt idx="581">
                  <c:v>-0.16878133475204304</c:v>
                </c:pt>
                <c:pt idx="582">
                  <c:v>-0.18731066011837938</c:v>
                </c:pt>
                <c:pt idx="583">
                  <c:v>-0.18314335643530399</c:v>
                </c:pt>
                <c:pt idx="584">
                  <c:v>-0.18656659069883585</c:v>
                </c:pt>
                <c:pt idx="585">
                  <c:v>-0.18269696124375534</c:v>
                </c:pt>
                <c:pt idx="586">
                  <c:v>-0.19207324450301888</c:v>
                </c:pt>
                <c:pt idx="587">
                  <c:v>-0.20085454711603035</c:v>
                </c:pt>
                <c:pt idx="588">
                  <c:v>-0.18842692395455407</c:v>
                </c:pt>
                <c:pt idx="589">
                  <c:v>-0.17860402288205879</c:v>
                </c:pt>
                <c:pt idx="590">
                  <c:v>-0.18269696124375534</c:v>
                </c:pt>
                <c:pt idx="591">
                  <c:v>-0.20792357925103178</c:v>
                </c:pt>
                <c:pt idx="592">
                  <c:v>-0.20628662265635489</c:v>
                </c:pt>
                <c:pt idx="593">
                  <c:v>-0.21201658536715362</c:v>
                </c:pt>
                <c:pt idx="594">
                  <c:v>-0.20211938672770491</c:v>
                </c:pt>
                <c:pt idx="595">
                  <c:v>-0.20368176505852331</c:v>
                </c:pt>
                <c:pt idx="596">
                  <c:v>-0.19534722544679806</c:v>
                </c:pt>
                <c:pt idx="597">
                  <c:v>-0.19601746190116143</c:v>
                </c:pt>
                <c:pt idx="598">
                  <c:v>-0.18336674277554887</c:v>
                </c:pt>
                <c:pt idx="599">
                  <c:v>-0.17949682294435976</c:v>
                </c:pt>
                <c:pt idx="600">
                  <c:v>-0.17466017329365358</c:v>
                </c:pt>
                <c:pt idx="601">
                  <c:v>-0.17294848356786052</c:v>
                </c:pt>
                <c:pt idx="602">
                  <c:v>-0.17279960773704872</c:v>
                </c:pt>
                <c:pt idx="603">
                  <c:v>-0.18284590482899243</c:v>
                </c:pt>
                <c:pt idx="604">
                  <c:v>-0.17532980963739297</c:v>
                </c:pt>
                <c:pt idx="605">
                  <c:v>-0.17644592828551331</c:v>
                </c:pt>
                <c:pt idx="606">
                  <c:v>-0.17592531296064007</c:v>
                </c:pt>
                <c:pt idx="607">
                  <c:v>-0.16736746444229889</c:v>
                </c:pt>
                <c:pt idx="608">
                  <c:v>-0.16506058112777411</c:v>
                </c:pt>
                <c:pt idx="609">
                  <c:v>-0.1643163568409729</c:v>
                </c:pt>
                <c:pt idx="610">
                  <c:v>-0.16178615494062865</c:v>
                </c:pt>
                <c:pt idx="611">
                  <c:v>-0.14980537221406753</c:v>
                </c:pt>
                <c:pt idx="612">
                  <c:v>-0.14965671900493882</c:v>
                </c:pt>
                <c:pt idx="613">
                  <c:v>-0.14824293580802717</c:v>
                </c:pt>
                <c:pt idx="614">
                  <c:v>-0.14444759424069642</c:v>
                </c:pt>
                <c:pt idx="615">
                  <c:v>-0.14087571644723951</c:v>
                </c:pt>
                <c:pt idx="616">
                  <c:v>-0.14080105107054852</c:v>
                </c:pt>
                <c:pt idx="617">
                  <c:v>-0.14057781959756155</c:v>
                </c:pt>
                <c:pt idx="618">
                  <c:v>-0.13373136074970127</c:v>
                </c:pt>
                <c:pt idx="619">
                  <c:v>-0.12859703687100044</c:v>
                </c:pt>
                <c:pt idx="620">
                  <c:v>-0.12904366436343584</c:v>
                </c:pt>
                <c:pt idx="621">
                  <c:v>-0.1334520770085762</c:v>
                </c:pt>
                <c:pt idx="622">
                  <c:v>-0.12881938753645839</c:v>
                </c:pt>
                <c:pt idx="623">
                  <c:v>-0.12269219998847813</c:v>
                </c:pt>
                <c:pt idx="624">
                  <c:v>-0.12695122380501522</c:v>
                </c:pt>
                <c:pt idx="625">
                  <c:v>-0.12837092099533598</c:v>
                </c:pt>
                <c:pt idx="626">
                  <c:v>-0.12889397547952031</c:v>
                </c:pt>
                <c:pt idx="627">
                  <c:v>-0.12336472073489491</c:v>
                </c:pt>
                <c:pt idx="628">
                  <c:v>-0.12276678793154006</c:v>
                </c:pt>
                <c:pt idx="629">
                  <c:v>-0.12575579376246826</c:v>
                </c:pt>
                <c:pt idx="630">
                  <c:v>-0.11977814991034941</c:v>
                </c:pt>
                <c:pt idx="631">
                  <c:v>-0.11260469852674271</c:v>
                </c:pt>
                <c:pt idx="632">
                  <c:v>-0.11051241283558</c:v>
                </c:pt>
                <c:pt idx="633">
                  <c:v>-0.11559334622713702</c:v>
                </c:pt>
                <c:pt idx="634">
                  <c:v>-0.11253012026288434</c:v>
                </c:pt>
                <c:pt idx="635">
                  <c:v>-0.10670178780574013</c:v>
                </c:pt>
                <c:pt idx="636">
                  <c:v>-0.10528193574816158</c:v>
                </c:pt>
                <c:pt idx="637">
                  <c:v>-0.10460934724731941</c:v>
                </c:pt>
                <c:pt idx="638">
                  <c:v>-9.4447480464205147E-2</c:v>
                </c:pt>
                <c:pt idx="639">
                  <c:v>-9.3700081398617852E-2</c:v>
                </c:pt>
                <c:pt idx="640">
                  <c:v>-0.10812140756243183</c:v>
                </c:pt>
                <c:pt idx="641">
                  <c:v>-0.1047589586976061</c:v>
                </c:pt>
                <c:pt idx="642">
                  <c:v>-9.6763384796499596E-2</c:v>
                </c:pt>
                <c:pt idx="643">
                  <c:v>-9.8407494322648392E-2</c:v>
                </c:pt>
                <c:pt idx="644">
                  <c:v>-9.5717711392293459E-2</c:v>
                </c:pt>
                <c:pt idx="645">
                  <c:v>-8.9814645804032978E-2</c:v>
                </c:pt>
                <c:pt idx="646">
                  <c:v>-9.3251760045549692E-2</c:v>
                </c:pt>
                <c:pt idx="647">
                  <c:v>-0.11469691646348024</c:v>
                </c:pt>
                <c:pt idx="648">
                  <c:v>-0.10797224135551164</c:v>
                </c:pt>
                <c:pt idx="649">
                  <c:v>-9.6912918813157334E-2</c:v>
                </c:pt>
                <c:pt idx="650">
                  <c:v>-0.11223118773841956</c:v>
                </c:pt>
                <c:pt idx="651">
                  <c:v>-0.10072398908636349</c:v>
                </c:pt>
                <c:pt idx="652">
                  <c:v>-0.12187006779177489</c:v>
                </c:pt>
                <c:pt idx="653">
                  <c:v>-0.12710075782167274</c:v>
                </c:pt>
                <c:pt idx="654">
                  <c:v>-0.15609280865710773</c:v>
                </c:pt>
                <c:pt idx="655">
                  <c:v>-0.16864604852310761</c:v>
                </c:pt>
                <c:pt idx="656">
                  <c:v>-0.13203222495099765</c:v>
                </c:pt>
                <c:pt idx="657">
                  <c:v>-0.13449818597694507</c:v>
                </c:pt>
                <c:pt idx="658">
                  <c:v>-0.12239334489764242</c:v>
                </c:pt>
                <c:pt idx="659">
                  <c:v>-0.1333025333127148</c:v>
                </c:pt>
                <c:pt idx="660">
                  <c:v>-0.1489942452718751</c:v>
                </c:pt>
                <c:pt idx="661">
                  <c:v>-0.1485455561090695</c:v>
                </c:pt>
                <c:pt idx="662">
                  <c:v>-0.16012763308029621</c:v>
                </c:pt>
                <c:pt idx="663">
                  <c:v>-0.16490971138101751</c:v>
                </c:pt>
                <c:pt idx="664">
                  <c:v>-0.19644236926068348</c:v>
                </c:pt>
                <c:pt idx="665">
                  <c:v>-0.18471111640333293</c:v>
                </c:pt>
                <c:pt idx="666">
                  <c:v>-0.19517236095427826</c:v>
                </c:pt>
                <c:pt idx="667">
                  <c:v>-0.1943505191336834</c:v>
                </c:pt>
                <c:pt idx="668">
                  <c:v>-0.19920710794383778</c:v>
                </c:pt>
                <c:pt idx="669">
                  <c:v>-0.17238200817625648</c:v>
                </c:pt>
                <c:pt idx="670">
                  <c:v>-0.1827684421624568</c:v>
                </c:pt>
                <c:pt idx="671">
                  <c:v>-0.1965171798254286</c:v>
                </c:pt>
                <c:pt idx="672">
                  <c:v>-0.17559521340053308</c:v>
                </c:pt>
                <c:pt idx="673">
                  <c:v>-0.17275559639820837</c:v>
                </c:pt>
                <c:pt idx="674">
                  <c:v>-0.20182223517670539</c:v>
                </c:pt>
                <c:pt idx="675">
                  <c:v>-0.21176063818594593</c:v>
                </c:pt>
                <c:pt idx="676">
                  <c:v>-0.20331673325256761</c:v>
                </c:pt>
                <c:pt idx="677">
                  <c:v>-0.20757627974609982</c:v>
                </c:pt>
                <c:pt idx="678">
                  <c:v>-0.18441226131249711</c:v>
                </c:pt>
                <c:pt idx="679">
                  <c:v>-0.18045194739874171</c:v>
                </c:pt>
                <c:pt idx="680">
                  <c:v>-0.18172247838214228</c:v>
                </c:pt>
                <c:pt idx="681">
                  <c:v>-0.1631166389112243</c:v>
                </c:pt>
                <c:pt idx="682">
                  <c:v>-0.16341534881400577</c:v>
                </c:pt>
                <c:pt idx="683">
                  <c:v>-0.16207046218843013</c:v>
                </c:pt>
                <c:pt idx="684">
                  <c:v>-0.16116185598662502</c:v>
                </c:pt>
                <c:pt idx="685">
                  <c:v>-0.16356430207844663</c:v>
                </c:pt>
                <c:pt idx="686">
                  <c:v>-0.17737860666671068</c:v>
                </c:pt>
                <c:pt idx="687">
                  <c:v>-0.17993110945218527</c:v>
                </c:pt>
                <c:pt idx="688">
                  <c:v>-0.19352026608514661</c:v>
                </c:pt>
                <c:pt idx="689">
                  <c:v>-0.19014171102550426</c:v>
                </c:pt>
                <c:pt idx="690">
                  <c:v>-0.19269451386629088</c:v>
                </c:pt>
                <c:pt idx="691">
                  <c:v>-0.2176201279995289</c:v>
                </c:pt>
                <c:pt idx="692">
                  <c:v>-0.22505263358870398</c:v>
                </c:pt>
                <c:pt idx="693">
                  <c:v>-0.22850635734362501</c:v>
                </c:pt>
                <c:pt idx="694">
                  <c:v>-0.23271058718849413</c:v>
                </c:pt>
                <c:pt idx="695">
                  <c:v>-0.22768031474866102</c:v>
                </c:pt>
                <c:pt idx="696">
                  <c:v>-0.20335536295419743</c:v>
                </c:pt>
                <c:pt idx="697">
                  <c:v>-0.19547217428627195</c:v>
                </c:pt>
                <c:pt idx="698">
                  <c:v>-0.18946623812198471</c:v>
                </c:pt>
                <c:pt idx="699">
                  <c:v>-0.18894059929043494</c:v>
                </c:pt>
                <c:pt idx="700">
                  <c:v>-0.1767032111968202</c:v>
                </c:pt>
                <c:pt idx="701">
                  <c:v>-0.17677823470404475</c:v>
                </c:pt>
                <c:pt idx="702">
                  <c:v>-0.17655285444785518</c:v>
                </c:pt>
                <c:pt idx="703">
                  <c:v>-0.19922631148381098</c:v>
                </c:pt>
                <c:pt idx="704">
                  <c:v>-0.19449658799544656</c:v>
                </c:pt>
                <c:pt idx="705">
                  <c:v>-0.1855621313436252</c:v>
                </c:pt>
                <c:pt idx="706">
                  <c:v>-0.19614764718979161</c:v>
                </c:pt>
                <c:pt idx="707">
                  <c:v>-0.17820465894087834</c:v>
                </c:pt>
                <c:pt idx="708">
                  <c:v>-0.17107234417263806</c:v>
                </c:pt>
                <c:pt idx="709">
                  <c:v>-0.16243814609617668</c:v>
                </c:pt>
                <c:pt idx="710">
                  <c:v>-0.16251345997950983</c:v>
                </c:pt>
                <c:pt idx="711">
                  <c:v>-0.16791895642670585</c:v>
                </c:pt>
                <c:pt idx="712">
                  <c:v>-0.17197327476597624</c:v>
                </c:pt>
                <c:pt idx="713">
                  <c:v>-0.17212369926936655</c:v>
                </c:pt>
                <c:pt idx="714">
                  <c:v>-0.1534291692557187</c:v>
                </c:pt>
                <c:pt idx="715">
                  <c:v>-0.15748326497330567</c:v>
                </c:pt>
                <c:pt idx="716">
                  <c:v>-0.15185276575886097</c:v>
                </c:pt>
                <c:pt idx="717">
                  <c:v>-0.152753396296887</c:v>
                </c:pt>
                <c:pt idx="718">
                  <c:v>-0.15620719748543721</c:v>
                </c:pt>
                <c:pt idx="719">
                  <c:v>-0.15170248644352502</c:v>
                </c:pt>
                <c:pt idx="720">
                  <c:v>-0.15628185318292442</c:v>
                </c:pt>
                <c:pt idx="721">
                  <c:v>-0.17940606105205603</c:v>
                </c:pt>
                <c:pt idx="722">
                  <c:v>-0.18443604311578066</c:v>
                </c:pt>
                <c:pt idx="723">
                  <c:v>-0.18683848920760227</c:v>
                </c:pt>
                <c:pt idx="724">
                  <c:v>-0.18721370353576172</c:v>
                </c:pt>
                <c:pt idx="725">
                  <c:v>-0.17722877259474101</c:v>
                </c:pt>
                <c:pt idx="726">
                  <c:v>-0.17572717966262852</c:v>
                </c:pt>
                <c:pt idx="727">
                  <c:v>-0.19006683270633384</c:v>
                </c:pt>
                <c:pt idx="728">
                  <c:v>-0.19269451386629088</c:v>
                </c:pt>
                <c:pt idx="729">
                  <c:v>-0.19577257804968629</c:v>
                </c:pt>
                <c:pt idx="730">
                  <c:v>-0.20770978500157011</c:v>
                </c:pt>
                <c:pt idx="731">
                  <c:v>-0.20463179825180355</c:v>
                </c:pt>
                <c:pt idx="732">
                  <c:v>-0.2099622518333677</c:v>
                </c:pt>
                <c:pt idx="733">
                  <c:v>-0.1977247185516986</c:v>
                </c:pt>
                <c:pt idx="734">
                  <c:v>-0.20936181211627647</c:v>
                </c:pt>
                <c:pt idx="735">
                  <c:v>-0.20936181211627647</c:v>
                </c:pt>
                <c:pt idx="736">
                  <c:v>-0.18571247841338667</c:v>
                </c:pt>
                <c:pt idx="737">
                  <c:v>-0.17812940313276693</c:v>
                </c:pt>
                <c:pt idx="738">
                  <c:v>-0.16746848629043498</c:v>
                </c:pt>
                <c:pt idx="739">
                  <c:v>-0.17685319045684422</c:v>
                </c:pt>
                <c:pt idx="740">
                  <c:v>-0.17107234417263806</c:v>
                </c:pt>
                <c:pt idx="741">
                  <c:v>-0.16724318346787437</c:v>
                </c:pt>
                <c:pt idx="742">
                  <c:v>-0.16303888586857995</c:v>
                </c:pt>
                <c:pt idx="743">
                  <c:v>-0.15372950526470763</c:v>
                </c:pt>
                <c:pt idx="744">
                  <c:v>-0.15425506666262845</c:v>
                </c:pt>
                <c:pt idx="745">
                  <c:v>-0.15102657797584285</c:v>
                </c:pt>
                <c:pt idx="746">
                  <c:v>-0.15125202598645771</c:v>
                </c:pt>
                <c:pt idx="747">
                  <c:v>-0.15093478040875219</c:v>
                </c:pt>
                <c:pt idx="748">
                  <c:v>-0.13795242272965769</c:v>
                </c:pt>
                <c:pt idx="749">
                  <c:v>-0.13968848469015505</c:v>
                </c:pt>
                <c:pt idx="750">
                  <c:v>-0.14391530579626266</c:v>
                </c:pt>
                <c:pt idx="751">
                  <c:v>-0.15085923422453251</c:v>
                </c:pt>
                <c:pt idx="752">
                  <c:v>-0.13334810300333722</c:v>
                </c:pt>
                <c:pt idx="753">
                  <c:v>-0.13749960054690835</c:v>
                </c:pt>
                <c:pt idx="754">
                  <c:v>-0.13448016329981272</c:v>
                </c:pt>
                <c:pt idx="755">
                  <c:v>-0.13598973189570451</c:v>
                </c:pt>
                <c:pt idx="756">
                  <c:v>-0.13855641471447599</c:v>
                </c:pt>
                <c:pt idx="757">
                  <c:v>-0.13493336297150316</c:v>
                </c:pt>
                <c:pt idx="758">
                  <c:v>-0.14142446921702323</c:v>
                </c:pt>
                <c:pt idx="759">
                  <c:v>-0.1241398120020264</c:v>
                </c:pt>
                <c:pt idx="760">
                  <c:v>-0.124215290431821</c:v>
                </c:pt>
                <c:pt idx="761">
                  <c:v>-0.1252720271657598</c:v>
                </c:pt>
                <c:pt idx="762">
                  <c:v>-0.12036589051229696</c:v>
                </c:pt>
                <c:pt idx="763">
                  <c:v>-0.11953563746376017</c:v>
                </c:pt>
                <c:pt idx="764">
                  <c:v>-0.11681816233186093</c:v>
                </c:pt>
                <c:pt idx="765">
                  <c:v>-0.1099498478422366</c:v>
                </c:pt>
                <c:pt idx="766">
                  <c:v>-0.11342159427428999</c:v>
                </c:pt>
                <c:pt idx="767">
                  <c:v>-0.11160998612957285</c:v>
                </c:pt>
                <c:pt idx="768">
                  <c:v>-0.1072322952767083</c:v>
                </c:pt>
                <c:pt idx="769">
                  <c:v>-0.11893172291257093</c:v>
                </c:pt>
                <c:pt idx="770">
                  <c:v>-0.11032691089828661</c:v>
                </c:pt>
                <c:pt idx="771">
                  <c:v>-0.1083647330621248</c:v>
                </c:pt>
                <c:pt idx="772">
                  <c:v>-0.10670414953142238</c:v>
                </c:pt>
                <c:pt idx="773">
                  <c:v>-0.10406244320542613</c:v>
                </c:pt>
                <c:pt idx="774">
                  <c:v>-0.10391127340335737</c:v>
                </c:pt>
                <c:pt idx="775">
                  <c:v>-0.10647781103407472</c:v>
                </c:pt>
                <c:pt idx="776">
                  <c:v>-0.10632664123200597</c:v>
                </c:pt>
                <c:pt idx="777">
                  <c:v>-0.10564733536385473</c:v>
                </c:pt>
                <c:pt idx="778">
                  <c:v>-0.10534551843671236</c:v>
                </c:pt>
                <c:pt idx="779">
                  <c:v>-9.8250352451948908E-2</c:v>
                </c:pt>
                <c:pt idx="780">
                  <c:v>-9.4627223275347117E-2</c:v>
                </c:pt>
                <c:pt idx="781">
                  <c:v>-7.7191851180851478E-2</c:v>
                </c:pt>
                <c:pt idx="782">
                  <c:v>-7.3719591751006286E-2</c:v>
                </c:pt>
                <c:pt idx="783">
                  <c:v>-7.545549884424585E-2</c:v>
                </c:pt>
                <c:pt idx="784">
                  <c:v>-8.2097765212630902E-2</c:v>
                </c:pt>
                <c:pt idx="785">
                  <c:v>-7.8399244719067229E-2</c:v>
                </c:pt>
                <c:pt idx="786">
                  <c:v>-8.1871281527229223E-2</c:v>
                </c:pt>
                <c:pt idx="787">
                  <c:v>-9.2740523868979907E-2</c:v>
                </c:pt>
                <c:pt idx="788">
                  <c:v>-9.4023599100266364E-2</c:v>
                </c:pt>
                <c:pt idx="789">
                  <c:v>-0.10813809450946521</c:v>
                </c:pt>
                <c:pt idx="790">
                  <c:v>-0.10768512713866141</c:v>
                </c:pt>
                <c:pt idx="791">
                  <c:v>-9.4551899712810417E-2</c:v>
                </c:pt>
                <c:pt idx="792">
                  <c:v>-9.2061208321625121E-2</c:v>
                </c:pt>
                <c:pt idx="793">
                  <c:v>-9.2815769997887987E-2</c:v>
                </c:pt>
                <c:pt idx="794">
                  <c:v>-0.10594936523347642</c:v>
                </c:pt>
                <c:pt idx="795">
                  <c:v>-9.2740523868979907E-2</c:v>
                </c:pt>
                <c:pt idx="796">
                  <c:v>-0.10330750404022238</c:v>
                </c:pt>
                <c:pt idx="797">
                  <c:v>-0.1005901740963776</c:v>
                </c:pt>
                <c:pt idx="798">
                  <c:v>-0.10564733536385473</c:v>
                </c:pt>
                <c:pt idx="799">
                  <c:v>-8.6626548433935135E-2</c:v>
                </c:pt>
                <c:pt idx="800">
                  <c:v>-7.4927498287013727E-2</c:v>
                </c:pt>
                <c:pt idx="801">
                  <c:v>-7.2436439086091098E-2</c:v>
                </c:pt>
                <c:pt idx="802">
                  <c:v>-7.3417852257492977E-2</c:v>
                </c:pt>
                <c:pt idx="803">
                  <c:v>-7.2889338702469386E-2</c:v>
                </c:pt>
                <c:pt idx="804">
                  <c:v>-6.949299326658176E-2</c:v>
                </c:pt>
                <c:pt idx="805">
                  <c:v>-6.5869786656351015E-2</c:v>
                </c:pt>
                <c:pt idx="806">
                  <c:v>-6.0435281635919158E-2</c:v>
                </c:pt>
                <c:pt idx="807">
                  <c:v>-5.9831880082521494E-2</c:v>
                </c:pt>
                <c:pt idx="808">
                  <c:v>-5.9001104356989353E-2</c:v>
                </c:pt>
                <c:pt idx="809">
                  <c:v>-6.3303403892891796E-2</c:v>
                </c:pt>
                <c:pt idx="810">
                  <c:v>-5.7868889193256057E-2</c:v>
                </c:pt>
                <c:pt idx="811">
                  <c:v>-5.6859706386680919E-2</c:v>
                </c:pt>
                <c:pt idx="812">
                  <c:v>-5.4583389997174381E-2</c:v>
                </c:pt>
                <c:pt idx="813">
                  <c:v>-4.8589339894926975E-2</c:v>
                </c:pt>
                <c:pt idx="814">
                  <c:v>-4.563016536954223E-2</c:v>
                </c:pt>
                <c:pt idx="815">
                  <c:v>-4.6996181696610795E-2</c:v>
                </c:pt>
                <c:pt idx="816">
                  <c:v>-4.6616466538770163E-2</c:v>
                </c:pt>
                <c:pt idx="817">
                  <c:v>-4.5250672833384686E-2</c:v>
                </c:pt>
                <c:pt idx="818">
                  <c:v>-4.4568037319189679E-2</c:v>
                </c:pt>
                <c:pt idx="819">
                  <c:v>-4.6085581578860668E-2</c:v>
                </c:pt>
                <c:pt idx="820">
                  <c:v>-4.5857762163360016E-2</c:v>
                </c:pt>
                <c:pt idx="821">
                  <c:v>-3.5994014851606471E-2</c:v>
                </c:pt>
                <c:pt idx="822">
                  <c:v>-3.6525122433199164E-2</c:v>
                </c:pt>
                <c:pt idx="823">
                  <c:v>-3.1517441254605094E-2</c:v>
                </c:pt>
                <c:pt idx="824">
                  <c:v>-3.3414187674325246E-2</c:v>
                </c:pt>
                <c:pt idx="825">
                  <c:v>-3.5311156715728376E-2</c:v>
                </c:pt>
                <c:pt idx="826">
                  <c:v>-3.6525122433199164E-2</c:v>
                </c:pt>
                <c:pt idx="827">
                  <c:v>-3.3110531698496093E-2</c:v>
                </c:pt>
                <c:pt idx="828">
                  <c:v>-2.4385058731939302E-2</c:v>
                </c:pt>
                <c:pt idx="829">
                  <c:v>-2.5978516985567746E-2</c:v>
                </c:pt>
                <c:pt idx="830">
                  <c:v>-1.8921748401547367E-2</c:v>
                </c:pt>
                <c:pt idx="831">
                  <c:v>-1.7252743963699135E-2</c:v>
                </c:pt>
                <c:pt idx="832">
                  <c:v>-2.6888671859951474E-2</c:v>
                </c:pt>
                <c:pt idx="833">
                  <c:v>-2.8178474137750653E-2</c:v>
                </c:pt>
                <c:pt idx="834">
                  <c:v>-2.5978516985567746E-2</c:v>
                </c:pt>
                <c:pt idx="835">
                  <c:v>-2.0439224906793063E-2</c:v>
                </c:pt>
                <c:pt idx="836">
                  <c:v>-1.9907894703517282E-2</c:v>
                </c:pt>
                <c:pt idx="837">
                  <c:v>-1.611447929770593E-2</c:v>
                </c:pt>
                <c:pt idx="838">
                  <c:v>-1.3686112298601727E-2</c:v>
                </c:pt>
                <c:pt idx="839">
                  <c:v>-3.0910284170204583E-2</c:v>
                </c:pt>
                <c:pt idx="840">
                  <c:v>-2.3626209168474799E-2</c:v>
                </c:pt>
                <c:pt idx="841">
                  <c:v>-7.9955729841292289E-3</c:v>
                </c:pt>
                <c:pt idx="842">
                  <c:v>-9.8925420255325802E-3</c:v>
                </c:pt>
                <c:pt idx="843">
                  <c:v>-7.6922170636121168E-3</c:v>
                </c:pt>
                <c:pt idx="844">
                  <c:v>-4.884870526142171E-3</c:v>
                </c:pt>
                <c:pt idx="845">
                  <c:v>1.337211934085758E-3</c:v>
                </c:pt>
                <c:pt idx="846">
                  <c:v>5.8896995250445894E-3</c:v>
                </c:pt>
                <c:pt idx="847">
                  <c:v>3.6135283235920745E-3</c:v>
                </c:pt>
                <c:pt idx="848">
                  <c:v>3.9928853508990336E-3</c:v>
                </c:pt>
                <c:pt idx="849">
                  <c:v>9.9870032075717319E-3</c:v>
                </c:pt>
                <c:pt idx="850">
                  <c:v>1.2415147584992736E-2</c:v>
                </c:pt>
                <c:pt idx="851">
                  <c:v>9.2281536441072287E-3</c:v>
                </c:pt>
                <c:pt idx="852">
                  <c:v>1.5601841470566313E-2</c:v>
                </c:pt>
                <c:pt idx="853">
                  <c:v>1.8636929989908291E-2</c:v>
                </c:pt>
                <c:pt idx="854">
                  <c:v>2.076105058176303E-2</c:v>
                </c:pt>
                <c:pt idx="855">
                  <c:v>2.7515163815849952E-4</c:v>
                </c:pt>
                <c:pt idx="856">
                  <c:v>-5.8711620161661093E-3</c:v>
                </c:pt>
                <c:pt idx="857">
                  <c:v>-6.553720096732385E-3</c:v>
                </c:pt>
                <c:pt idx="858">
                  <c:v>4.0686444775985819E-3</c:v>
                </c:pt>
                <c:pt idx="859">
                  <c:v>1.0290291373663552E-2</c:v>
                </c:pt>
                <c:pt idx="860">
                  <c:v>-6.553720096732385E-3</c:v>
                </c:pt>
                <c:pt idx="861">
                  <c:v>-4.4297543721356636E-3</c:v>
                </c:pt>
                <c:pt idx="862">
                  <c:v>1.2718658372767644E-2</c:v>
                </c:pt>
                <c:pt idx="863">
                  <c:v>5.1307822071549047E-3</c:v>
                </c:pt>
                <c:pt idx="864">
                  <c:v>-2.760159502866899E-3</c:v>
                </c:pt>
                <c:pt idx="865">
                  <c:v>5.9653908973187342E-3</c:v>
                </c:pt>
                <c:pt idx="866">
                  <c:v>4.5238380652337096E-3</c:v>
                </c:pt>
                <c:pt idx="867">
                  <c:v>-1.4065904890071312E-2</c:v>
                </c:pt>
                <c:pt idx="868">
                  <c:v>-7.2368008542937901E-3</c:v>
                </c:pt>
                <c:pt idx="869">
                  <c:v>-1.3231063899020734E-2</c:v>
                </c:pt>
                <c:pt idx="870">
                  <c:v>-2.4536586664541837E-2</c:v>
                </c:pt>
                <c:pt idx="871">
                  <c:v>-4.2595076850200142E-2</c:v>
                </c:pt>
                <c:pt idx="872">
                  <c:v>-2.9923760379293562E-2</c:v>
                </c:pt>
                <c:pt idx="873">
                  <c:v>-2.6395303493256361E-2</c:v>
                </c:pt>
                <c:pt idx="874">
                  <c:v>-1.1306702711385119E-2</c:v>
                </c:pt>
                <c:pt idx="875">
                  <c:v>-1.4736131665231245E-2</c:v>
                </c:pt>
                <c:pt idx="876">
                  <c:v>-1.1916308634300488E-2</c:v>
                </c:pt>
                <c:pt idx="877">
                  <c:v>-2.4670635381823791E-3</c:v>
                </c:pt>
                <c:pt idx="878">
                  <c:v>5.8132420692746933E-4</c:v>
                </c:pt>
                <c:pt idx="879">
                  <c:v>-1.8572349935841448E-3</c:v>
                </c:pt>
                <c:pt idx="880">
                  <c:v>4.848759251406376E-3</c:v>
                </c:pt>
                <c:pt idx="881">
                  <c:v>1.1783540832259298E-2</c:v>
                </c:pt>
                <c:pt idx="882">
                  <c:v>1.0411765379039428E-2</c:v>
                </c:pt>
                <c:pt idx="883">
                  <c:v>1.4679132669093153E-2</c:v>
                </c:pt>
                <c:pt idx="884">
                  <c:v>1.5517951812829889E-2</c:v>
                </c:pt>
                <c:pt idx="885">
                  <c:v>1.5365388205440311E-2</c:v>
                </c:pt>
                <c:pt idx="886">
                  <c:v>1.8565739447315543E-2</c:v>
                </c:pt>
                <c:pt idx="887">
                  <c:v>1.5974984449151908E-2</c:v>
                </c:pt>
                <c:pt idx="888">
                  <c:v>1.2469273691611216E-2</c:v>
                </c:pt>
                <c:pt idx="889">
                  <c:v>9.4213311898678764E-3</c:v>
                </c:pt>
                <c:pt idx="890">
                  <c:v>1.8768856108779541E-3</c:v>
                </c:pt>
                <c:pt idx="891">
                  <c:v>1.800894183291879E-3</c:v>
                </c:pt>
                <c:pt idx="892">
                  <c:v>2.5625507158046901E-3</c:v>
                </c:pt>
                <c:pt idx="893">
                  <c:v>6.2204572709974038E-3</c:v>
                </c:pt>
                <c:pt idx="894">
                  <c:v>-5.0580314788254421E-3</c:v>
                </c:pt>
                <c:pt idx="895">
                  <c:v>6.572382008847022E-4</c:v>
                </c:pt>
                <c:pt idx="896">
                  <c:v>1.4298527024519725E-2</c:v>
                </c:pt>
                <c:pt idx="897">
                  <c:v>1.9480327396955266E-2</c:v>
                </c:pt>
                <c:pt idx="898">
                  <c:v>1.8413621083292364E-2</c:v>
                </c:pt>
                <c:pt idx="899">
                  <c:v>2.7177123640854672E-2</c:v>
                </c:pt>
                <c:pt idx="900">
                  <c:v>3.38832727531031E-2</c:v>
                </c:pt>
                <c:pt idx="901">
                  <c:v>3.7236419903254436E-2</c:v>
                </c:pt>
                <c:pt idx="902">
                  <c:v>3.9674679048453898E-2</c:v>
                </c:pt>
                <c:pt idx="903">
                  <c:v>3.8074793803624774E-2</c:v>
                </c:pt>
                <c:pt idx="904">
                  <c:v>3.4340237634999937E-2</c:v>
                </c:pt>
                <c:pt idx="905">
                  <c:v>2.7482037913153956E-2</c:v>
                </c:pt>
                <c:pt idx="906">
                  <c:v>1.8185066048316711E-2</c:v>
                </c:pt>
                <c:pt idx="907">
                  <c:v>2.2680688318033937E-2</c:v>
                </c:pt>
                <c:pt idx="908">
                  <c:v>2.6643509145525712E-2</c:v>
                </c:pt>
                <c:pt idx="909">
                  <c:v>3.5407466625658079E-2</c:v>
                </c:pt>
                <c:pt idx="910">
                  <c:v>2.4509941650942446E-2</c:v>
                </c:pt>
                <c:pt idx="911">
                  <c:v>2.9386905184707546E-2</c:v>
                </c:pt>
                <c:pt idx="912">
                  <c:v>2.1461631339461329E-2</c:v>
                </c:pt>
                <c:pt idx="913">
                  <c:v>1.4984337317500707E-2</c:v>
                </c:pt>
                <c:pt idx="914">
                  <c:v>1.4831618842853445E-2</c:v>
                </c:pt>
                <c:pt idx="915">
                  <c:v>2.3900190539972943E-2</c:v>
                </c:pt>
                <c:pt idx="916">
                  <c:v>2.6338894928538803E-2</c:v>
                </c:pt>
                <c:pt idx="917">
                  <c:v>1.8185066048316711E-2</c:v>
                </c:pt>
                <c:pt idx="918">
                  <c:v>6.3727305022782677E-3</c:v>
                </c:pt>
                <c:pt idx="919">
                  <c:v>5.5347244116452643E-3</c:v>
                </c:pt>
                <c:pt idx="920">
                  <c:v>8.8873488848013604E-3</c:v>
                </c:pt>
                <c:pt idx="921">
                  <c:v>1.3536057438903182E-2</c:v>
                </c:pt>
                <c:pt idx="922">
                  <c:v>1.7422964272437502E-2</c:v>
                </c:pt>
                <c:pt idx="923">
                  <c:v>2.801498454343343E-2</c:v>
                </c:pt>
                <c:pt idx="924">
                  <c:v>4.9250410551011647E-3</c:v>
                </c:pt>
                <c:pt idx="925">
                  <c:v>3.858334741438485E-3</c:v>
                </c:pt>
                <c:pt idx="926">
                  <c:v>-6.1247474716918937E-3</c:v>
                </c:pt>
                <c:pt idx="927">
                  <c:v>-1.664115380404263E-2</c:v>
                </c:pt>
                <c:pt idx="928">
                  <c:v>-1.7250750047754226E-2</c:v>
                </c:pt>
                <c:pt idx="929">
                  <c:v>-2.1366211916264422E-2</c:v>
                </c:pt>
                <c:pt idx="930">
                  <c:v>-1.3897902952915153E-2</c:v>
                </c:pt>
                <c:pt idx="931">
                  <c:v>-2.7614883148824099E-2</c:v>
                </c:pt>
                <c:pt idx="932">
                  <c:v>-2.6852781372944889E-2</c:v>
                </c:pt>
                <c:pt idx="933">
                  <c:v>-1.4507431442201457E-2</c:v>
                </c:pt>
                <c:pt idx="934">
                  <c:v>-3.203459142458398E-2</c:v>
                </c:pt>
                <c:pt idx="935">
                  <c:v>-2.9900946496371761E-2</c:v>
                </c:pt>
                <c:pt idx="936">
                  <c:v>-2.7006012845383509E-2</c:v>
                </c:pt>
                <c:pt idx="937">
                  <c:v>-2.2028250085165402E-2</c:v>
                </c:pt>
                <c:pt idx="938">
                  <c:v>-8.6258536859674662E-3</c:v>
                </c:pt>
                <c:pt idx="939">
                  <c:v>-1.4599587139825787E-2</c:v>
                </c:pt>
                <c:pt idx="940">
                  <c:v>-1.7433299827944726E-2</c:v>
                </c:pt>
                <c:pt idx="941">
                  <c:v>-2.8844200083229299E-2</c:v>
                </c:pt>
                <c:pt idx="942">
                  <c:v>-2.0190062847319723E-2</c:v>
                </c:pt>
                <c:pt idx="943">
                  <c:v>-7.4007375259315111E-3</c:v>
                </c:pt>
                <c:pt idx="944">
                  <c:v>1.100168237539112E-3</c:v>
                </c:pt>
                <c:pt idx="945">
                  <c:v>1.0673036122235802E-2</c:v>
                </c:pt>
                <c:pt idx="946">
                  <c:v>2.5606711571035223E-2</c:v>
                </c:pt>
                <c:pt idx="947">
                  <c:v>2.4764417593200694E-2</c:v>
                </c:pt>
                <c:pt idx="948">
                  <c:v>2.5989678941290784E-2</c:v>
                </c:pt>
                <c:pt idx="949">
                  <c:v>3.6634789644118593E-2</c:v>
                </c:pt>
                <c:pt idx="950">
                  <c:v>2.9282785991414428E-2</c:v>
                </c:pt>
                <c:pt idx="951">
                  <c:v>1.0673036122235802E-2</c:v>
                </c:pt>
                <c:pt idx="952">
                  <c:v>6.3076765747775987E-3</c:v>
                </c:pt>
                <c:pt idx="953">
                  <c:v>9.6774332383333661E-3</c:v>
                </c:pt>
                <c:pt idx="954">
                  <c:v>2.7084743895138264E-3</c:v>
                </c:pt>
                <c:pt idx="955">
                  <c:v>8.5286763156209311E-3</c:v>
                </c:pt>
                <c:pt idx="956">
                  <c:v>2.578742597043604E-4</c:v>
                </c:pt>
                <c:pt idx="957">
                  <c:v>1.6493538103655059E-2</c:v>
                </c:pt>
                <c:pt idx="958">
                  <c:v>1.5880389592216604E-2</c:v>
                </c:pt>
                <c:pt idx="959">
                  <c:v>2.997191625123552E-2</c:v>
                </c:pt>
                <c:pt idx="960">
                  <c:v>3.066127881194336E-2</c:v>
                </c:pt>
                <c:pt idx="961">
                  <c:v>2.4917494198381629E-2</c:v>
                </c:pt>
                <c:pt idx="962">
                  <c:v>2.1088120551138401E-2</c:v>
                </c:pt>
                <c:pt idx="963">
                  <c:v>1.8107945821821403E-4</c:v>
                </c:pt>
                <c:pt idx="964">
                  <c:v>-2.7292925225368414E-3</c:v>
                </c:pt>
                <c:pt idx="965">
                  <c:v>-9.5448747108631826E-3</c:v>
                </c:pt>
                <c:pt idx="966">
                  <c:v>-1.3757147973936679E-2</c:v>
                </c:pt>
                <c:pt idx="967">
                  <c:v>-3.8953344244249233E-2</c:v>
                </c:pt>
                <c:pt idx="968">
                  <c:v>-3.3745545530902255E-2</c:v>
                </c:pt>
                <c:pt idx="969">
                  <c:v>-7.9006479237096583E-2</c:v>
                </c:pt>
                <c:pt idx="970">
                  <c:v>-8.0384972057625736E-2</c:v>
                </c:pt>
                <c:pt idx="971">
                  <c:v>-0.14027319570137087</c:v>
                </c:pt>
                <c:pt idx="972">
                  <c:v>-0.10029634251221797</c:v>
                </c:pt>
                <c:pt idx="973">
                  <c:v>-0.14004361467081194</c:v>
                </c:pt>
                <c:pt idx="974">
                  <c:v>-0.10144524462298476</c:v>
                </c:pt>
                <c:pt idx="975">
                  <c:v>-9.539529711985717E-2</c:v>
                </c:pt>
                <c:pt idx="976">
                  <c:v>-7.6249203219930006E-2</c:v>
                </c:pt>
                <c:pt idx="977">
                  <c:v>-8.4137483148957415E-2</c:v>
                </c:pt>
                <c:pt idx="978">
                  <c:v>-8.352484763531054E-2</c:v>
                </c:pt>
                <c:pt idx="979">
                  <c:v>-0.12304179346466704</c:v>
                </c:pt>
                <c:pt idx="980">
                  <c:v>-0.13736305602150267</c:v>
                </c:pt>
                <c:pt idx="981">
                  <c:v>-0.13667355795194425</c:v>
                </c:pt>
                <c:pt idx="982">
                  <c:v>-0.10826112686662348</c:v>
                </c:pt>
                <c:pt idx="983">
                  <c:v>-9.5701692310309561E-2</c:v>
                </c:pt>
                <c:pt idx="984">
                  <c:v>-0.10948653340276782</c:v>
                </c:pt>
                <c:pt idx="985">
                  <c:v>-9.6543986288144423E-2</c:v>
                </c:pt>
                <c:pt idx="986">
                  <c:v>-7.0582300520687036E-2</c:v>
                </c:pt>
                <c:pt idx="987">
                  <c:v>-6.8131477769194593E-2</c:v>
                </c:pt>
                <c:pt idx="988">
                  <c:v>-6.3996076741236307E-2</c:v>
                </c:pt>
                <c:pt idx="989">
                  <c:v>-7.3798535335695359E-2</c:v>
                </c:pt>
                <c:pt idx="990">
                  <c:v>-9.7463075067465432E-2</c:v>
                </c:pt>
                <c:pt idx="991">
                  <c:v>-0.10404914397965825</c:v>
                </c:pt>
                <c:pt idx="992">
                  <c:v>-7.8776452963171595E-2</c:v>
                </c:pt>
                <c:pt idx="993">
                  <c:v>-8.8349611223976665E-2</c:v>
                </c:pt>
                <c:pt idx="994">
                  <c:v>-0.1122435190438259</c:v>
                </c:pt>
                <c:pt idx="995">
                  <c:v>-0.10649981186389279</c:v>
                </c:pt>
                <c:pt idx="996">
                  <c:v>-9.8305446478928915E-2</c:v>
                </c:pt>
                <c:pt idx="997">
                  <c:v>-8.5822284047106345E-2</c:v>
                </c:pt>
                <c:pt idx="998">
                  <c:v>-7.0046324299675833E-2</c:v>
                </c:pt>
                <c:pt idx="999">
                  <c:v>-6.4542099975600453E-2</c:v>
                </c:pt>
                <c:pt idx="1000">
                  <c:v>-7.3856871895886744E-2</c:v>
                </c:pt>
                <c:pt idx="1001">
                  <c:v>-7.4934293087952075E-2</c:v>
                </c:pt>
                <c:pt idx="1002">
                  <c:v>-0.10218519070178789</c:v>
                </c:pt>
                <c:pt idx="1003">
                  <c:v>-0.13120648241134569</c:v>
                </c:pt>
                <c:pt idx="1004">
                  <c:v>-0.12597201749203746</c:v>
                </c:pt>
                <c:pt idx="1005">
                  <c:v>-0.10518734089122617</c:v>
                </c:pt>
                <c:pt idx="1006">
                  <c:v>-9.5179741255337458E-2</c:v>
                </c:pt>
                <c:pt idx="1007">
                  <c:v>-0.11365501794868427</c:v>
                </c:pt>
                <c:pt idx="1008">
                  <c:v>-0.10664986855754588</c:v>
                </c:pt>
                <c:pt idx="1009">
                  <c:v>-0.12897402249342149</c:v>
                </c:pt>
                <c:pt idx="1010">
                  <c:v>-0.15376147567425003</c:v>
                </c:pt>
                <c:pt idx="1011">
                  <c:v>-0.1352095493674712</c:v>
                </c:pt>
                <c:pt idx="1012">
                  <c:v>-0.11919749448544859</c:v>
                </c:pt>
                <c:pt idx="1013">
                  <c:v>-0.10326275708190746</c:v>
                </c:pt>
                <c:pt idx="1014">
                  <c:v>-0.10926728008246689</c:v>
                </c:pt>
                <c:pt idx="1015">
                  <c:v>-7.9475920612454232E-2</c:v>
                </c:pt>
                <c:pt idx="1016">
                  <c:v>-7.8552398757877118E-2</c:v>
                </c:pt>
                <c:pt idx="1017">
                  <c:v>-7.0469460364936176E-2</c:v>
                </c:pt>
                <c:pt idx="1018">
                  <c:v>-7.2316949317456358E-2</c:v>
                </c:pt>
                <c:pt idx="1019">
                  <c:v>-5.6459016394605155E-2</c:v>
                </c:pt>
                <c:pt idx="1020">
                  <c:v>-7.44723046993786E-2</c:v>
                </c:pt>
                <c:pt idx="1021">
                  <c:v>-5.6382144159489944E-2</c:v>
                </c:pt>
                <c:pt idx="1022">
                  <c:v>-6.7544327598667464E-2</c:v>
                </c:pt>
                <c:pt idx="1023">
                  <c:v>-6.3464456161852034E-2</c:v>
                </c:pt>
                <c:pt idx="1024">
                  <c:v>-4.5681784562424443E-2</c:v>
                </c:pt>
                <c:pt idx="1025">
                  <c:v>-3.3981185742924302E-2</c:v>
                </c:pt>
                <c:pt idx="1026">
                  <c:v>-5.2763815867881592E-2</c:v>
                </c:pt>
                <c:pt idx="1027">
                  <c:v>-4.3141767949613885E-2</c:v>
                </c:pt>
                <c:pt idx="1028">
                  <c:v>-9.8093879872707124E-3</c:v>
                </c:pt>
                <c:pt idx="1029">
                  <c:v>-1.0040304747928608E-2</c:v>
                </c:pt>
                <c:pt idx="1030">
                  <c:v>-3.390401345249705E-2</c:v>
                </c:pt>
                <c:pt idx="1031">
                  <c:v>-6.0847189824985382E-2</c:v>
                </c:pt>
                <c:pt idx="1032">
                  <c:v>-4.55280400921938E-2</c:v>
                </c:pt>
                <c:pt idx="1033">
                  <c:v>-2.8130620155074948E-2</c:v>
                </c:pt>
                <c:pt idx="1034">
                  <c:v>-3.4058057978039735E-2</c:v>
                </c:pt>
                <c:pt idx="1035">
                  <c:v>-2.8053747919959848E-2</c:v>
                </c:pt>
                <c:pt idx="1036">
                  <c:v>-1.5583003906375903E-2</c:v>
                </c:pt>
                <c:pt idx="1037">
                  <c:v>-5.1917456624528402E-2</c:v>
                </c:pt>
                <c:pt idx="1038">
                  <c:v>-4.2987568556813516E-2</c:v>
                </c:pt>
                <c:pt idx="1039">
                  <c:v>-2.4974570628148562E-2</c:v>
                </c:pt>
                <c:pt idx="1040">
                  <c:v>-3.4212102503582309E-2</c:v>
                </c:pt>
                <c:pt idx="1041">
                  <c:v>-2.9439035541427128E-2</c:v>
                </c:pt>
                <c:pt idx="1042">
                  <c:v>-4.4835212376591493E-2</c:v>
                </c:pt>
                <c:pt idx="1043">
                  <c:v>-6.0000249829415098E-2</c:v>
                </c:pt>
                <c:pt idx="1044">
                  <c:v>-6.100086654079051E-2</c:v>
                </c:pt>
                <c:pt idx="1045">
                  <c:v>-7.8860410375333423E-2</c:v>
                </c:pt>
                <c:pt idx="1046">
                  <c:v>-8.2478303102779038E-2</c:v>
                </c:pt>
                <c:pt idx="1047">
                  <c:v>-0.10272397389184762</c:v>
                </c:pt>
                <c:pt idx="1048">
                  <c:v>-0.10441734088519639</c:v>
                </c:pt>
                <c:pt idx="1049">
                  <c:v>-7.8475526522762018E-2</c:v>
                </c:pt>
                <c:pt idx="1050">
                  <c:v>-7.5858260185895365E-2</c:v>
                </c:pt>
                <c:pt idx="1051">
                  <c:v>-3.783014041908217E-2</c:v>
                </c:pt>
                <c:pt idx="1052">
                  <c:v>-3.7983662267629392E-2</c:v>
                </c:pt>
                <c:pt idx="1053">
                  <c:v>-3.8830902318511717E-2</c:v>
                </c:pt>
                <c:pt idx="1054">
                  <c:v>-2.8361546594936504E-2</c:v>
                </c:pt>
                <c:pt idx="1055">
                  <c:v>-2.8053747919959848E-2</c:v>
                </c:pt>
                <c:pt idx="1056">
                  <c:v>-2.4435564816405742E-2</c:v>
                </c:pt>
                <c:pt idx="1057">
                  <c:v>-4.5836051709649994E-2</c:v>
                </c:pt>
                <c:pt idx="1058">
                  <c:v>-2.9670029735713754E-2</c:v>
                </c:pt>
                <c:pt idx="1059">
                  <c:v>-4.3834373043533104E-2</c:v>
                </c:pt>
                <c:pt idx="1060">
                  <c:v>-5.2763815867881592E-2</c:v>
                </c:pt>
                <c:pt idx="1061">
                  <c:v>-6.2848355493310692E-2</c:v>
                </c:pt>
                <c:pt idx="1062">
                  <c:v>-5.9461311772097458E-2</c:v>
                </c:pt>
                <c:pt idx="1063">
                  <c:v>-5.8067022491267717E-2</c:v>
                </c:pt>
                <c:pt idx="1064">
                  <c:v>-6.8137759572341028E-2</c:v>
                </c:pt>
                <c:pt idx="1065">
                  <c:v>-3.9939335678961574E-2</c:v>
                </c:pt>
                <c:pt idx="1066">
                  <c:v>-3.8079960664401113E-2</c:v>
                </c:pt>
                <c:pt idx="1067">
                  <c:v>-2.9558515630858206E-2</c:v>
                </c:pt>
                <c:pt idx="1068">
                  <c:v>-2.0881932321764163E-2</c:v>
                </c:pt>
                <c:pt idx="1069">
                  <c:v>-2.0107654107736406E-2</c:v>
                </c:pt>
                <c:pt idx="1070">
                  <c:v>-3.2967569861093393E-2</c:v>
                </c:pt>
                <c:pt idx="1071">
                  <c:v>-2.2973782448764135E-2</c:v>
                </c:pt>
                <c:pt idx="1072">
                  <c:v>-2.7776971092571268E-2</c:v>
                </c:pt>
                <c:pt idx="1073">
                  <c:v>-1.2283324676997331E-2</c:v>
                </c:pt>
                <c:pt idx="1074">
                  <c:v>-1.0734100383892553E-2</c:v>
                </c:pt>
                <c:pt idx="1075">
                  <c:v>-8.0999922327346097E-3</c:v>
                </c:pt>
                <c:pt idx="1076">
                  <c:v>-1.0656705471781991E-2</c:v>
                </c:pt>
                <c:pt idx="1077">
                  <c:v>-8.2549949994351612E-3</c:v>
                </c:pt>
                <c:pt idx="1078">
                  <c:v>3.437578333858049E-4</c:v>
                </c:pt>
                <c:pt idx="1079">
                  <c:v>8.8638366728099882E-4</c:v>
                </c:pt>
                <c:pt idx="1080">
                  <c:v>3.287571462632588E-3</c:v>
                </c:pt>
                <c:pt idx="1081">
                  <c:v>-1.9025723833194785E-3</c:v>
                </c:pt>
                <c:pt idx="1082">
                  <c:v>1.970667414709748E-3</c:v>
                </c:pt>
                <c:pt idx="1083">
                  <c:v>1.304867082004213E-2</c:v>
                </c:pt>
                <c:pt idx="1084">
                  <c:v>1.8394049733581719E-2</c:v>
                </c:pt>
                <c:pt idx="1085">
                  <c:v>2.2189836544278974E-2</c:v>
                </c:pt>
                <c:pt idx="1086">
                  <c:v>1.9555951014804007E-2</c:v>
                </c:pt>
                <c:pt idx="1087">
                  <c:v>1.8394049733581719E-2</c:v>
                </c:pt>
                <c:pt idx="1088">
                  <c:v>2.6915339899866941E-2</c:v>
                </c:pt>
                <c:pt idx="1089">
                  <c:v>2.1647578520121113E-2</c:v>
                </c:pt>
                <c:pt idx="1090">
                  <c:v>2.1182783162498886E-2</c:v>
                </c:pt>
                <c:pt idx="1091">
                  <c:v>1.7696643754669061E-2</c:v>
                </c:pt>
                <c:pt idx="1092">
                  <c:v>1.7309098121103705E-2</c:v>
                </c:pt>
                <c:pt idx="1093">
                  <c:v>2.6218233976266436E-2</c:v>
                </c:pt>
                <c:pt idx="1094">
                  <c:v>2.7844920935907069E-2</c:v>
                </c:pt>
                <c:pt idx="1095">
                  <c:v>4.225413841599801E-2</c:v>
                </c:pt>
                <c:pt idx="1096">
                  <c:v>4.1556809870714417E-2</c:v>
                </c:pt>
                <c:pt idx="1097">
                  <c:v>4.4190685720985501E-2</c:v>
                </c:pt>
                <c:pt idx="1098">
                  <c:v>4.7289502116932836E-2</c:v>
                </c:pt>
                <c:pt idx="1099">
                  <c:v>4.8606483598484518E-2</c:v>
                </c:pt>
                <c:pt idx="1100">
                  <c:v>4.0859616834281409E-2</c:v>
                </c:pt>
                <c:pt idx="1101">
                  <c:v>4.8606483598484518E-2</c:v>
                </c:pt>
                <c:pt idx="1102">
                  <c:v>4.7289502116932836E-2</c:v>
                </c:pt>
                <c:pt idx="1103">
                  <c:v>4.2408841127386188E-2</c:v>
                </c:pt>
                <c:pt idx="1104">
                  <c:v>5.3951639890341019E-2</c:v>
                </c:pt>
                <c:pt idx="1105">
                  <c:v>5.6740595940941496E-2</c:v>
                </c:pt>
                <c:pt idx="1106">
                  <c:v>5.720539129856328E-2</c:v>
                </c:pt>
                <c:pt idx="1107">
                  <c:v>5.3796491935586221E-2</c:v>
                </c:pt>
                <c:pt idx="1108">
                  <c:v>5.8444823000746826E-2</c:v>
                </c:pt>
                <c:pt idx="1109">
                  <c:v>6.0768702996820467E-2</c:v>
                </c:pt>
                <c:pt idx="1110">
                  <c:v>6.2550692778473804E-2</c:v>
                </c:pt>
                <c:pt idx="1111">
                  <c:v>6.5649141364683805E-2</c:v>
                </c:pt>
                <c:pt idx="1112">
                  <c:v>6.1465963787678879E-2</c:v>
                </c:pt>
                <c:pt idx="1113">
                  <c:v>6.6966490655972821E-2</c:v>
                </c:pt>
                <c:pt idx="1114">
                  <c:v>6.3712816681379403E-2</c:v>
                </c:pt>
                <c:pt idx="1115">
                  <c:v>5.937425884873293E-2</c:v>
                </c:pt>
                <c:pt idx="1116">
                  <c:v>4.3880970563692889E-2</c:v>
                </c:pt>
                <c:pt idx="1117">
                  <c:v>5.1163119403903057E-2</c:v>
                </c:pt>
                <c:pt idx="1118">
                  <c:v>6.162096655437943E-2</c:v>
                </c:pt>
                <c:pt idx="1119">
                  <c:v>6.57271267082149E-2</c:v>
                </c:pt>
                <c:pt idx="1120">
                  <c:v>6.5804366753067445E-2</c:v>
                </c:pt>
                <c:pt idx="1121">
                  <c:v>8.5016337312802559E-2</c:v>
                </c:pt>
                <c:pt idx="1122">
                  <c:v>8.385421340989696E-2</c:v>
                </c:pt>
                <c:pt idx="1123">
                  <c:v>9.0129018492218993E-2</c:v>
                </c:pt>
                <c:pt idx="1124">
                  <c:v>9.1638887143422831E-2</c:v>
                </c:pt>
                <c:pt idx="1125">
                  <c:v>9.591836311719959E-2</c:v>
                </c:pt>
                <c:pt idx="1126">
                  <c:v>9.2728116963899154E-2</c:v>
                </c:pt>
                <c:pt idx="1127">
                  <c:v>9.0938451573778556E-2</c:v>
                </c:pt>
                <c:pt idx="1128">
                  <c:v>8.3079935195869314E-2</c:v>
                </c:pt>
                <c:pt idx="1129">
                  <c:v>8.6581290311782855E-2</c:v>
                </c:pt>
                <c:pt idx="1130">
                  <c:v>0.10183132085155511</c:v>
                </c:pt>
                <c:pt idx="1131">
                  <c:v>9.8407951079172662E-2</c:v>
                </c:pt>
                <c:pt idx="1132">
                  <c:v>9.2961105074130579E-2</c:v>
                </c:pt>
                <c:pt idx="1133">
                  <c:v>9.109426739358284E-2</c:v>
                </c:pt>
                <c:pt idx="1134">
                  <c:v>9.5606876665645268E-2</c:v>
                </c:pt>
                <c:pt idx="1135">
                  <c:v>0.10362150891867095</c:v>
                </c:pt>
                <c:pt idx="1136">
                  <c:v>9.9108309215187873E-2</c:v>
                </c:pt>
                <c:pt idx="1137">
                  <c:v>8.8215507691836503E-2</c:v>
                </c:pt>
                <c:pt idx="1138">
                  <c:v>8.7670520132259178E-2</c:v>
                </c:pt>
                <c:pt idx="1139">
                  <c:v>7.5454987680408481E-2</c:v>
                </c:pt>
                <c:pt idx="1140">
                  <c:v>5.7403369729317255E-2</c:v>
                </c:pt>
                <c:pt idx="1141">
                  <c:v>6.5962689486607884E-2</c:v>
                </c:pt>
                <c:pt idx="1142">
                  <c:v>7.9889766476197721E-2</c:v>
                </c:pt>
                <c:pt idx="1143">
                  <c:v>6.7051706364605002E-2</c:v>
                </c:pt>
                <c:pt idx="1144">
                  <c:v>6.6351415983014972E-2</c:v>
                </c:pt>
                <c:pt idx="1145">
                  <c:v>8.2146511515993614E-2</c:v>
                </c:pt>
                <c:pt idx="1146">
                  <c:v>7.8489195392221545E-2</c:v>
                </c:pt>
                <c:pt idx="1147">
                  <c:v>7.1564538258350741E-2</c:v>
                </c:pt>
                <c:pt idx="1148">
                  <c:v>7.3354058460416871E-2</c:v>
                </c:pt>
                <c:pt idx="1149">
                  <c:v>6.4328394672925393E-2</c:v>
                </c:pt>
                <c:pt idx="1150">
                  <c:v>6.837444697230799E-2</c:v>
                </c:pt>
                <c:pt idx="1151">
                  <c:v>8.3002095040392465E-2</c:v>
                </c:pt>
                <c:pt idx="1152">
                  <c:v>9.054942502205976E-2</c:v>
                </c:pt>
                <c:pt idx="1153">
                  <c:v>9.2339245279438043E-2</c:v>
                </c:pt>
                <c:pt idx="1154">
                  <c:v>8.82930477920012E-2</c:v>
                </c:pt>
                <c:pt idx="1155">
                  <c:v>9.5061966539696785E-2</c:v>
                </c:pt>
                <c:pt idx="1156">
                  <c:v>9.1794335153489559E-2</c:v>
                </c:pt>
                <c:pt idx="1157">
                  <c:v>8.3469106935642579E-2</c:v>
                </c:pt>
                <c:pt idx="1158">
                  <c:v>6.5962689486607884E-2</c:v>
                </c:pt>
                <c:pt idx="1159">
                  <c:v>6.6740587722788014E-2</c:v>
                </c:pt>
                <c:pt idx="1160">
                  <c:v>6.2461266616269162E-2</c:v>
                </c:pt>
                <c:pt idx="1161">
                  <c:v>5.6158837086828228E-2</c:v>
                </c:pt>
                <c:pt idx="1162">
                  <c:v>5.8337383840613599E-2</c:v>
                </c:pt>
                <c:pt idx="1163">
                  <c:v>5.5146915065629853E-2</c:v>
                </c:pt>
                <c:pt idx="1164">
                  <c:v>4.3476002363619148E-2</c:v>
                </c:pt>
                <c:pt idx="1165">
                  <c:v>3.7484914097678068E-2</c:v>
                </c:pt>
                <c:pt idx="1166">
                  <c:v>3.351691489625197E-2</c:v>
                </c:pt>
                <c:pt idx="1167">
                  <c:v>1.8188608636840131E-2</c:v>
                </c:pt>
                <c:pt idx="1168">
                  <c:v>9.4740634911656407E-3</c:v>
                </c:pt>
                <c:pt idx="1169">
                  <c:v>2.6825323306241655E-2</c:v>
                </c:pt>
                <c:pt idx="1170">
                  <c:v>2.861469832025354E-2</c:v>
                </c:pt>
                <c:pt idx="1171">
                  <c:v>2.9159463258148E-2</c:v>
                </c:pt>
                <c:pt idx="1172">
                  <c:v>3.1182484568237356E-2</c:v>
                </c:pt>
                <c:pt idx="1173">
                  <c:v>2.7836800084073632E-2</c:v>
                </c:pt>
                <c:pt idx="1174">
                  <c:v>4.0285833643947555E-2</c:v>
                </c:pt>
                <c:pt idx="1175">
                  <c:v>2.5190873625301036E-2</c:v>
                </c:pt>
                <c:pt idx="1176">
                  <c:v>2.2934796450554851E-2</c:v>
                </c:pt>
                <c:pt idx="1177">
                  <c:v>-2.8192316825330632E-3</c:v>
                </c:pt>
                <c:pt idx="1178">
                  <c:v>-3.2861661441540013E-3</c:v>
                </c:pt>
                <c:pt idx="1179">
                  <c:v>4.2608734614046906E-3</c:v>
                </c:pt>
                <c:pt idx="1180">
                  <c:v>2.6825323306241655E-2</c:v>
                </c:pt>
                <c:pt idx="1181">
                  <c:v>2.744762834430059E-2</c:v>
                </c:pt>
                <c:pt idx="1182">
                  <c:v>3.5617631173763931E-2</c:v>
                </c:pt>
                <c:pt idx="1183">
                  <c:v>2.2468162044245732E-2</c:v>
                </c:pt>
                <c:pt idx="1184">
                  <c:v>3.421669228005042E-2</c:v>
                </c:pt>
                <c:pt idx="1185">
                  <c:v>2.7603221542421563E-2</c:v>
                </c:pt>
                <c:pt idx="1186">
                  <c:v>3.849623600825236E-2</c:v>
                </c:pt>
                <c:pt idx="1187">
                  <c:v>4.9117351965316969E-2</c:v>
                </c:pt>
                <c:pt idx="1188">
                  <c:v>5.1150788098496713E-2</c:v>
                </c:pt>
                <c:pt idx="1189">
                  <c:v>6.1318191386079191E-2</c:v>
                </c:pt>
                <c:pt idx="1190">
                  <c:v>5.9597345133665769E-2</c:v>
                </c:pt>
                <c:pt idx="1191">
                  <c:v>3.5821446164298054E-2</c:v>
                </c:pt>
                <c:pt idx="1192">
                  <c:v>4.3799229689159169E-2</c:v>
                </c:pt>
                <c:pt idx="1193">
                  <c:v>2.7061921759421681E-2</c:v>
                </c:pt>
                <c:pt idx="1194">
                  <c:v>3.2223792651612682E-2</c:v>
                </c:pt>
                <c:pt idx="1195">
                  <c:v>4.153111158511491E-2</c:v>
                </c:pt>
                <c:pt idx="1196">
                  <c:v>3.8558937889274336E-2</c:v>
                </c:pt>
                <c:pt idx="1197">
                  <c:v>6.4446403523407136E-2</c:v>
                </c:pt>
                <c:pt idx="1198">
                  <c:v>6.7653336623740845E-2</c:v>
                </c:pt>
                <c:pt idx="1199">
                  <c:v>7.4692159964258042E-2</c:v>
                </c:pt>
                <c:pt idx="1200">
                  <c:v>6.9843024140887611E-2</c:v>
                </c:pt>
                <c:pt idx="1201">
                  <c:v>5.9675775720563262E-2</c:v>
                </c:pt>
                <c:pt idx="1202">
                  <c:v>5.834638549997595E-2</c:v>
                </c:pt>
                <c:pt idx="1203">
                  <c:v>4.9117351965316969E-2</c:v>
                </c:pt>
                <c:pt idx="1204">
                  <c:v>4.9273535594858364E-2</c:v>
                </c:pt>
                <c:pt idx="1205">
                  <c:v>4.4190395344877009E-2</c:v>
                </c:pt>
                <c:pt idx="1206">
                  <c:v>6.1709134420113942E-2</c:v>
                </c:pt>
                <c:pt idx="1207">
                  <c:v>5.9206256911576771E-2</c:v>
                </c:pt>
                <c:pt idx="1208">
                  <c:v>6.6480284899953279E-2</c:v>
                </c:pt>
                <c:pt idx="1209">
                  <c:v>7.4379347461808409E-2</c:v>
                </c:pt>
                <c:pt idx="1210">
                  <c:v>7.7194882605537529E-2</c:v>
                </c:pt>
                <c:pt idx="1211">
                  <c:v>6.734022406597906E-2</c:v>
                </c:pt>
                <c:pt idx="1212">
                  <c:v>5.6547340961552006E-2</c:v>
                </c:pt>
                <c:pt idx="1213">
                  <c:v>4.7474568490063485E-2</c:v>
                </c:pt>
                <c:pt idx="1214">
                  <c:v>4.7709395648981801E-2</c:v>
                </c:pt>
                <c:pt idx="1215">
                  <c:v>6.4994120618403928E-2</c:v>
                </c:pt>
                <c:pt idx="1216">
                  <c:v>8.4624871601772567E-2</c:v>
                </c:pt>
                <c:pt idx="1217">
                  <c:v>8.4624871601772567E-2</c:v>
                </c:pt>
                <c:pt idx="1218">
                  <c:v>7.7038185978204332E-2</c:v>
                </c:pt>
                <c:pt idx="1219">
                  <c:v>7.6100038846964146E-2</c:v>
                </c:pt>
                <c:pt idx="1220">
                  <c:v>6.8669604607362711E-2</c:v>
                </c:pt>
                <c:pt idx="1221">
                  <c:v>8.9865163401657178E-2</c:v>
                </c:pt>
                <c:pt idx="1222">
                  <c:v>9.1976952688105351E-2</c:v>
                </c:pt>
                <c:pt idx="1223">
                  <c:v>9.7451490894691739E-2</c:v>
                </c:pt>
                <c:pt idx="1224">
                  <c:v>9.8781094057758256E-2</c:v>
                </c:pt>
                <c:pt idx="1225">
                  <c:v>9.9719608998735776E-2</c:v>
                </c:pt>
                <c:pt idx="1226">
                  <c:v>0.10151858578273454</c:v>
                </c:pt>
                <c:pt idx="1227">
                  <c:v>0.10097093644216293</c:v>
                </c:pt>
                <c:pt idx="1228">
                  <c:v>0.10112719750533339</c:v>
                </c:pt>
                <c:pt idx="1229">
                  <c:v>0.1023783797607063</c:v>
                </c:pt>
                <c:pt idx="1230">
                  <c:v>0.11051308253458347</c:v>
                </c:pt>
                <c:pt idx="1231">
                  <c:v>0.11199880157276665</c:v>
                </c:pt>
                <c:pt idx="1232">
                  <c:v>0.11207677723709408</c:v>
                </c:pt>
                <c:pt idx="1233">
                  <c:v>0.10871344756473889</c:v>
                </c:pt>
                <c:pt idx="1234">
                  <c:v>0.10918317931620503</c:v>
                </c:pt>
                <c:pt idx="1235">
                  <c:v>0.10011062946639959</c:v>
                </c:pt>
                <c:pt idx="1236">
                  <c:v>0.10675850977288182</c:v>
                </c:pt>
                <c:pt idx="1237">
                  <c:v>0.10699282393400855</c:v>
                </c:pt>
                <c:pt idx="1238">
                  <c:v>0.10589790274180633</c:v>
                </c:pt>
                <c:pt idx="1239">
                  <c:v>0.10675850977288182</c:v>
                </c:pt>
                <c:pt idx="1240">
                  <c:v>9.8781094057758256E-2</c:v>
                </c:pt>
                <c:pt idx="1241">
                  <c:v>0.10402153104569711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E4-456D-B69F-4E12FD457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3594024"/>
        <c:axId val="483595432"/>
      </c:lineChart>
      <c:dateAx>
        <c:axId val="483594024"/>
        <c:scaling>
          <c:orientation val="minMax"/>
        </c:scaling>
        <c:delete val="0"/>
        <c:axPos val="b"/>
        <c:numFmt formatCode="[$-C0A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3595432"/>
        <c:crosses val="autoZero"/>
        <c:auto val="1"/>
        <c:lblOffset val="100"/>
        <c:baseTimeUnit val="days"/>
      </c:dateAx>
      <c:valAx>
        <c:axId val="48359543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3594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r>
              <a:rPr lang="en-US" sz="1600" b="1">
                <a:solidFill>
                  <a:schemeClr val="tx1"/>
                </a:solidFill>
                <a:latin typeface="Garamond" panose="02020404030301010803" pitchFamily="18" charset="0"/>
              </a:rPr>
              <a:t>DCA Vs Lum</a:t>
            </a:r>
            <a:r>
              <a:rPr lang="en-US" sz="1600" b="1" baseline="0">
                <a:solidFill>
                  <a:schemeClr val="tx1"/>
                </a:solidFill>
                <a:latin typeface="Garamond" panose="02020404030301010803" pitchFamily="18" charset="0"/>
              </a:rPr>
              <a:t> Sum después de mínimos de 2009</a:t>
            </a:r>
            <a:endParaRPr lang="en-US" sz="1600" b="1">
              <a:solidFill>
                <a:schemeClr val="tx1"/>
              </a:solidFill>
              <a:latin typeface="Garamond" panose="02020404030301010803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Garamond" panose="02020404030301010803" pitchFamily="18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'Cap8. DCA Vs Lump Sum'!$AG$2:$AG$363</c:f>
              <c:strCache>
                <c:ptCount val="362"/>
                <c:pt idx="361">
                  <c:v>R (Lum sum)</c:v>
                </c:pt>
              </c:strCache>
            </c:strRef>
          </c:tx>
          <c:spPr>
            <a:ln w="25400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'Cap8. DCA Vs Lump Sum'!$AG$364:$AG$1250</c:f>
              <c:numCache>
                <c:formatCode>0%</c:formatCode>
                <c:ptCount val="887"/>
                <c:pt idx="0">
                  <c:v>0</c:v>
                </c:pt>
                <c:pt idx="1">
                  <c:v>5.9609459891538874E-2</c:v>
                </c:pt>
                <c:pt idx="2">
                  <c:v>6.6510163215282692E-2</c:v>
                </c:pt>
                <c:pt idx="3">
                  <c:v>0.10850112455674443</c:v>
                </c:pt>
                <c:pt idx="4">
                  <c:v>0.11716332212280611</c:v>
                </c:pt>
                <c:pt idx="5">
                  <c:v>0.11378638885004944</c:v>
                </c:pt>
                <c:pt idx="6">
                  <c:v>0.14784933651660093</c:v>
                </c:pt>
                <c:pt idx="7">
                  <c:v>0.17354291998972382</c:v>
                </c:pt>
                <c:pt idx="8">
                  <c:v>0.15900803286080079</c:v>
                </c:pt>
                <c:pt idx="9">
                  <c:v>0.13432745707461735</c:v>
                </c:pt>
                <c:pt idx="10">
                  <c:v>0.21580504577673199</c:v>
                </c:pt>
                <c:pt idx="11">
                  <c:v>0.19184954863370862</c:v>
                </c:pt>
                <c:pt idx="12">
                  <c:v>0.20441901132012874</c:v>
                </c:pt>
                <c:pt idx="13">
                  <c:v>0.22896564617287662</c:v>
                </c:pt>
                <c:pt idx="14">
                  <c:v>0.2067850080567768</c:v>
                </c:pt>
                <c:pt idx="15">
                  <c:v>0.16508531695524575</c:v>
                </c:pt>
                <c:pt idx="16">
                  <c:v>0.1758795493707257</c:v>
                </c:pt>
                <c:pt idx="17">
                  <c:v>0.19865185275383723</c:v>
                </c:pt>
                <c:pt idx="18">
                  <c:v>0.23369793273355399</c:v>
                </c:pt>
                <c:pt idx="19">
                  <c:v>0.24597147486025395</c:v>
                </c:pt>
                <c:pt idx="20">
                  <c:v>0.23621127426656052</c:v>
                </c:pt>
                <c:pt idx="21">
                  <c:v>0.20737636069724785</c:v>
                </c:pt>
                <c:pt idx="22">
                  <c:v>0.22038914735722326</c:v>
                </c:pt>
                <c:pt idx="23">
                  <c:v>0.26889090810897742</c:v>
                </c:pt>
                <c:pt idx="24">
                  <c:v>0.26918712175607951</c:v>
                </c:pt>
                <c:pt idx="25">
                  <c:v>0.24730201341652425</c:v>
                </c:pt>
                <c:pt idx="26">
                  <c:v>0.26061011492229769</c:v>
                </c:pt>
                <c:pt idx="27">
                  <c:v>0.27909413958884444</c:v>
                </c:pt>
                <c:pt idx="28">
                  <c:v>0.28767114642262626</c:v>
                </c:pt>
                <c:pt idx="29">
                  <c:v>0.23369793273355399</c:v>
                </c:pt>
                <c:pt idx="30">
                  <c:v>0.25780055974218929</c:v>
                </c:pt>
                <c:pt idx="31">
                  <c:v>0.25011127550925094</c:v>
                </c:pt>
                <c:pt idx="32">
                  <c:v>0.2623848176359509</c:v>
                </c:pt>
                <c:pt idx="33">
                  <c:v>0.28146035125623903</c:v>
                </c:pt>
                <c:pt idx="34">
                  <c:v>0.26933544351037697</c:v>
                </c:pt>
                <c:pt idx="35">
                  <c:v>0.26534195208232347</c:v>
                </c:pt>
                <c:pt idx="36">
                  <c:v>0.29225495491573583</c:v>
                </c:pt>
                <c:pt idx="37">
                  <c:v>0.29269888460321303</c:v>
                </c:pt>
                <c:pt idx="38">
                  <c:v>0.29964876798960582</c:v>
                </c:pt>
                <c:pt idx="39">
                  <c:v>0.34386246495554174</c:v>
                </c:pt>
                <c:pt idx="40">
                  <c:v>0.33927836337505024</c:v>
                </c:pt>
                <c:pt idx="41">
                  <c:v>0.36249438151489288</c:v>
                </c:pt>
                <c:pt idx="42">
                  <c:v>0.34356656393498031</c:v>
                </c:pt>
                <c:pt idx="43">
                  <c:v>0.37491534659458625</c:v>
                </c:pt>
                <c:pt idx="44">
                  <c:v>0.34918583060846742</c:v>
                </c:pt>
                <c:pt idx="45">
                  <c:v>0.3451930816684472</c:v>
                </c:pt>
                <c:pt idx="46">
                  <c:v>0.31133064484929407</c:v>
                </c:pt>
                <c:pt idx="47">
                  <c:v>0.32256872879561627</c:v>
                </c:pt>
                <c:pt idx="48">
                  <c:v>0.31177428144938979</c:v>
                </c:pt>
                <c:pt idx="49">
                  <c:v>0.34903795825482176</c:v>
                </c:pt>
                <c:pt idx="50">
                  <c:v>0.34741187038284793</c:v>
                </c:pt>
                <c:pt idx="51">
                  <c:v>0.33839109017485902</c:v>
                </c:pt>
                <c:pt idx="52">
                  <c:v>0.31916795774914819</c:v>
                </c:pt>
                <c:pt idx="53">
                  <c:v>0.316357953168388</c:v>
                </c:pt>
                <c:pt idx="54">
                  <c:v>0.35007355320931066</c:v>
                </c:pt>
                <c:pt idx="55">
                  <c:v>0.3259701055560067</c:v>
                </c:pt>
                <c:pt idx="56">
                  <c:v>0.34445370036106016</c:v>
                </c:pt>
                <c:pt idx="57">
                  <c:v>0.36826122745464374</c:v>
                </c:pt>
                <c:pt idx="58">
                  <c:v>0.40138441974052141</c:v>
                </c:pt>
                <c:pt idx="59">
                  <c:v>0.40256759396127428</c:v>
                </c:pt>
                <c:pt idx="60">
                  <c:v>0.38482326322865523</c:v>
                </c:pt>
                <c:pt idx="61">
                  <c:v>0.39783501431321522</c:v>
                </c:pt>
                <c:pt idx="62">
                  <c:v>0.39813136473442889</c:v>
                </c:pt>
                <c:pt idx="63">
                  <c:v>0.39236481188205929</c:v>
                </c:pt>
                <c:pt idx="64">
                  <c:v>0.39946198144733436</c:v>
                </c:pt>
                <c:pt idx="65">
                  <c:v>0.39591392422198379</c:v>
                </c:pt>
                <c:pt idx="66">
                  <c:v>0.40212456307510092</c:v>
                </c:pt>
                <c:pt idx="67">
                  <c:v>0.40596867763428302</c:v>
                </c:pt>
                <c:pt idx="68">
                  <c:v>0.37373262177448541</c:v>
                </c:pt>
                <c:pt idx="69">
                  <c:v>0.35509996272710076</c:v>
                </c:pt>
                <c:pt idx="70">
                  <c:v>0.35377024481549912</c:v>
                </c:pt>
                <c:pt idx="71">
                  <c:v>0.36367800513629756</c:v>
                </c:pt>
                <c:pt idx="72">
                  <c:v>0.36870337907867246</c:v>
                </c:pt>
                <c:pt idx="73">
                  <c:v>0.32766043818204849</c:v>
                </c:pt>
                <c:pt idx="74">
                  <c:v>0.32870095700455004</c:v>
                </c:pt>
                <c:pt idx="75">
                  <c:v>0.34015221317316002</c:v>
                </c:pt>
                <c:pt idx="76">
                  <c:v>0.36929817061108872</c:v>
                </c:pt>
                <c:pt idx="77">
                  <c:v>0.36572938233827301</c:v>
                </c:pt>
                <c:pt idx="78">
                  <c:v>0.37851856286517216</c:v>
                </c:pt>
                <c:pt idx="79">
                  <c:v>0.36736484900646116</c:v>
                </c:pt>
                <c:pt idx="80">
                  <c:v>0.3730158668129655</c:v>
                </c:pt>
                <c:pt idx="81">
                  <c:v>0.33554157741504587</c:v>
                </c:pt>
                <c:pt idx="82">
                  <c:v>0.33539309934747807</c:v>
                </c:pt>
                <c:pt idx="83">
                  <c:v>0.30951793847181408</c:v>
                </c:pt>
                <c:pt idx="84">
                  <c:v>0.3086258781777218</c:v>
                </c:pt>
                <c:pt idx="85">
                  <c:v>0.31115385454065425</c:v>
                </c:pt>
                <c:pt idx="86">
                  <c:v>0.30803137973268702</c:v>
                </c:pt>
                <c:pt idx="87">
                  <c:v>0.33985422146260902</c:v>
                </c:pt>
                <c:pt idx="88">
                  <c:v>0.34743811147308934</c:v>
                </c:pt>
                <c:pt idx="89">
                  <c:v>0.38684632818955844</c:v>
                </c:pt>
                <c:pt idx="90">
                  <c:v>0.3846154642750319</c:v>
                </c:pt>
                <c:pt idx="91">
                  <c:v>0.3997835373833738</c:v>
                </c:pt>
                <c:pt idx="92">
                  <c:v>0.41465465435657967</c:v>
                </c:pt>
                <c:pt idx="93">
                  <c:v>0.42119741983063608</c:v>
                </c:pt>
                <c:pt idx="94">
                  <c:v>0.42089987752073688</c:v>
                </c:pt>
                <c:pt idx="95">
                  <c:v>0.45227699196057403</c:v>
                </c:pt>
                <c:pt idx="96">
                  <c:v>0.45822525898959587</c:v>
                </c:pt>
                <c:pt idx="97">
                  <c:v>0.46253805935042935</c:v>
                </c:pt>
                <c:pt idx="98">
                  <c:v>0.45569759525320364</c:v>
                </c:pt>
                <c:pt idx="99">
                  <c:v>0.4521286506671176</c:v>
                </c:pt>
                <c:pt idx="100">
                  <c:v>0.46729658700134813</c:v>
                </c:pt>
                <c:pt idx="101">
                  <c:v>0.46937897284830665</c:v>
                </c:pt>
                <c:pt idx="102">
                  <c:v>0.4936182176551307</c:v>
                </c:pt>
                <c:pt idx="103">
                  <c:v>0.49748425515046346</c:v>
                </c:pt>
                <c:pt idx="104">
                  <c:v>0.49317188465112305</c:v>
                </c:pt>
                <c:pt idx="105">
                  <c:v>0.48543908671158209</c:v>
                </c:pt>
                <c:pt idx="106">
                  <c:v>0.50491951078010544</c:v>
                </c:pt>
                <c:pt idx="107">
                  <c:v>0.50179705551129694</c:v>
                </c:pt>
                <c:pt idx="108">
                  <c:v>0.48306019413013979</c:v>
                </c:pt>
                <c:pt idx="109">
                  <c:v>0.49897169315173584</c:v>
                </c:pt>
                <c:pt idx="110">
                  <c:v>0.5104222068323121</c:v>
                </c:pt>
                <c:pt idx="111">
                  <c:v>0.49882260937024592</c:v>
                </c:pt>
                <c:pt idx="112">
                  <c:v>0.46194311150474254</c:v>
                </c:pt>
                <c:pt idx="113">
                  <c:v>0.47354239634026873</c:v>
                </c:pt>
                <c:pt idx="114">
                  <c:v>0.486480211248006</c:v>
                </c:pt>
                <c:pt idx="115">
                  <c:v>0.50179705551129694</c:v>
                </c:pt>
                <c:pt idx="116">
                  <c:v>0.53124055525912484</c:v>
                </c:pt>
                <c:pt idx="117">
                  <c:v>0.53109252659220885</c:v>
                </c:pt>
                <c:pt idx="118">
                  <c:v>0.53406650379344933</c:v>
                </c:pt>
                <c:pt idx="119">
                  <c:v>0.53421482554774702</c:v>
                </c:pt>
                <c:pt idx="120">
                  <c:v>0.53763574146691706</c:v>
                </c:pt>
                <c:pt idx="121">
                  <c:v>0.53733804284374798</c:v>
                </c:pt>
                <c:pt idx="122">
                  <c:v>0.52365711464929676</c:v>
                </c:pt>
                <c:pt idx="123">
                  <c:v>0.49004853058101072</c:v>
                </c:pt>
                <c:pt idx="124">
                  <c:v>0.4843979621751584</c:v>
                </c:pt>
                <c:pt idx="125">
                  <c:v>0.49674096601132067</c:v>
                </c:pt>
                <c:pt idx="126">
                  <c:v>0.51770898439438651</c:v>
                </c:pt>
                <c:pt idx="127">
                  <c:v>0.53079482796903954</c:v>
                </c:pt>
                <c:pt idx="128">
                  <c:v>0.54254243455886342</c:v>
                </c:pt>
                <c:pt idx="129">
                  <c:v>0.55830574860027338</c:v>
                </c:pt>
                <c:pt idx="130">
                  <c:v>0.55800791320299248</c:v>
                </c:pt>
                <c:pt idx="131">
                  <c:v>0.56559193998758395</c:v>
                </c:pt>
                <c:pt idx="132">
                  <c:v>0.57213560426294419</c:v>
                </c:pt>
                <c:pt idx="133">
                  <c:v>0.59592853560491932</c:v>
                </c:pt>
                <c:pt idx="134">
                  <c:v>0.59354903730955466</c:v>
                </c:pt>
                <c:pt idx="135">
                  <c:v>0.59456556204507449</c:v>
                </c:pt>
                <c:pt idx="136">
                  <c:v>0.59053152686255284</c:v>
                </c:pt>
                <c:pt idx="137">
                  <c:v>0.5997951592750157</c:v>
                </c:pt>
                <c:pt idx="138">
                  <c:v>0.58649674919199724</c:v>
                </c:pt>
                <c:pt idx="139">
                  <c:v>0.56901553277150696</c:v>
                </c:pt>
                <c:pt idx="140">
                  <c:v>0.56064782940657465</c:v>
                </c:pt>
                <c:pt idx="141">
                  <c:v>0.58858867014844063</c:v>
                </c:pt>
                <c:pt idx="142">
                  <c:v>0.58380749661249598</c:v>
                </c:pt>
                <c:pt idx="143">
                  <c:v>0.57768183356091241</c:v>
                </c:pt>
                <c:pt idx="144">
                  <c:v>0.53853403475266037</c:v>
                </c:pt>
                <c:pt idx="145">
                  <c:v>0.53136279223645122</c:v>
                </c:pt>
                <c:pt idx="146">
                  <c:v>0.55422282644248422</c:v>
                </c:pt>
                <c:pt idx="147">
                  <c:v>0.57648611520022275</c:v>
                </c:pt>
                <c:pt idx="148">
                  <c:v>0.58081919720786979</c:v>
                </c:pt>
                <c:pt idx="149">
                  <c:v>0.59292175215608744</c:v>
                </c:pt>
                <c:pt idx="150">
                  <c:v>0.60263349563600688</c:v>
                </c:pt>
                <c:pt idx="151">
                  <c:v>0.60890970790598908</c:v>
                </c:pt>
                <c:pt idx="152">
                  <c:v>0.60562238121539669</c:v>
                </c:pt>
                <c:pt idx="153">
                  <c:v>0.63326419467129624</c:v>
                </c:pt>
                <c:pt idx="154">
                  <c:v>0.63924050039316693</c:v>
                </c:pt>
                <c:pt idx="155">
                  <c:v>0.62698872488934776</c:v>
                </c:pt>
                <c:pt idx="156">
                  <c:v>0.6404360429014273</c:v>
                </c:pt>
                <c:pt idx="157">
                  <c:v>0.63176960533791071</c:v>
                </c:pt>
                <c:pt idx="158">
                  <c:v>0.61712715513990468</c:v>
                </c:pt>
                <c:pt idx="159">
                  <c:v>0.6335632414964214</c:v>
                </c:pt>
                <c:pt idx="160">
                  <c:v>0.61488601362785977</c:v>
                </c:pt>
                <c:pt idx="161">
                  <c:v>0.597404054719336</c:v>
                </c:pt>
                <c:pt idx="162">
                  <c:v>0.59008267330706254</c:v>
                </c:pt>
                <c:pt idx="163">
                  <c:v>0.56005049778351679</c:v>
                </c:pt>
                <c:pt idx="164">
                  <c:v>0.59351998258044913</c:v>
                </c:pt>
                <c:pt idx="165">
                  <c:v>0.54734984918504903</c:v>
                </c:pt>
                <c:pt idx="166">
                  <c:v>0.55870571518049617</c:v>
                </c:pt>
                <c:pt idx="167">
                  <c:v>0.56363655867269391</c:v>
                </c:pt>
                <c:pt idx="168">
                  <c:v>0.56767119956913792</c:v>
                </c:pt>
                <c:pt idx="169">
                  <c:v>0.59650783258442353</c:v>
                </c:pt>
                <c:pt idx="170">
                  <c:v>0.60069122509665829</c:v>
                </c:pt>
                <c:pt idx="171">
                  <c:v>0.63714900929821661</c:v>
                </c:pt>
                <c:pt idx="172">
                  <c:v>0.63744745040941964</c:v>
                </c:pt>
                <c:pt idx="173">
                  <c:v>0.64581560317500375</c:v>
                </c:pt>
                <c:pt idx="174">
                  <c:v>0.62908048953252083</c:v>
                </c:pt>
                <c:pt idx="175">
                  <c:v>0.63789601087752779</c:v>
                </c:pt>
                <c:pt idx="176">
                  <c:v>0.66165316601977708</c:v>
                </c:pt>
                <c:pt idx="177">
                  <c:v>0.66359571010734864</c:v>
                </c:pt>
                <c:pt idx="178">
                  <c:v>0.66254952492880115</c:v>
                </c:pt>
                <c:pt idx="179">
                  <c:v>0.64088415396888387</c:v>
                </c:pt>
                <c:pt idx="180">
                  <c:v>0.63505708834177321</c:v>
                </c:pt>
                <c:pt idx="181">
                  <c:v>0.65582684288070014</c:v>
                </c:pt>
                <c:pt idx="182">
                  <c:v>0.65836597610329606</c:v>
                </c:pt>
                <c:pt idx="183">
                  <c:v>0.66419290495629535</c:v>
                </c:pt>
                <c:pt idx="184">
                  <c:v>0.63714900929821661</c:v>
                </c:pt>
                <c:pt idx="185">
                  <c:v>0.64267749704001265</c:v>
                </c:pt>
                <c:pt idx="186">
                  <c:v>0.6629980853969093</c:v>
                </c:pt>
                <c:pt idx="187">
                  <c:v>0.66225049764283495</c:v>
                </c:pt>
                <c:pt idx="188">
                  <c:v>0.64925201364708629</c:v>
                </c:pt>
                <c:pt idx="189">
                  <c:v>0.65866471030188056</c:v>
                </c:pt>
                <c:pt idx="190">
                  <c:v>0.65612452196471072</c:v>
                </c:pt>
                <c:pt idx="191">
                  <c:v>0.6377469466351966</c:v>
                </c:pt>
                <c:pt idx="192">
                  <c:v>0.64387260968678017</c:v>
                </c:pt>
                <c:pt idx="193">
                  <c:v>0.65313682827400688</c:v>
                </c:pt>
                <c:pt idx="194">
                  <c:v>0.66015871346050292</c:v>
                </c:pt>
                <c:pt idx="195">
                  <c:v>0.67151457945595028</c:v>
                </c:pt>
                <c:pt idx="196">
                  <c:v>0.66374493066295015</c:v>
                </c:pt>
                <c:pt idx="197">
                  <c:v>0.66628527531339055</c:v>
                </c:pt>
                <c:pt idx="198">
                  <c:v>0.6462635774683485</c:v>
                </c:pt>
                <c:pt idx="199">
                  <c:v>0.65557683934411259</c:v>
                </c:pt>
                <c:pt idx="200">
                  <c:v>0.67240154002960084</c:v>
                </c:pt>
                <c:pt idx="201">
                  <c:v>0.67841078877317451</c:v>
                </c:pt>
                <c:pt idx="202">
                  <c:v>0.68171482144452367</c:v>
                </c:pt>
                <c:pt idx="203">
                  <c:v>0.68967720449972747</c:v>
                </c:pt>
                <c:pt idx="204">
                  <c:v>0.69328206205965071</c:v>
                </c:pt>
                <c:pt idx="205">
                  <c:v>0.69087856967730454</c:v>
                </c:pt>
                <c:pt idx="206">
                  <c:v>0.69027766238819011</c:v>
                </c:pt>
                <c:pt idx="207">
                  <c:v>0.67405416207919777</c:v>
                </c:pt>
                <c:pt idx="208">
                  <c:v>0.70244536089177956</c:v>
                </c:pt>
                <c:pt idx="209">
                  <c:v>0.70695240003004356</c:v>
                </c:pt>
                <c:pt idx="210">
                  <c:v>0.70815392152089074</c:v>
                </c:pt>
                <c:pt idx="211">
                  <c:v>0.71536498484269306</c:v>
                </c:pt>
                <c:pt idx="212">
                  <c:v>0.7210733891585337</c:v>
                </c:pt>
                <c:pt idx="213">
                  <c:v>0.72347672522760953</c:v>
                </c:pt>
                <c:pt idx="214">
                  <c:v>0.70740318796225243</c:v>
                </c:pt>
                <c:pt idx="215">
                  <c:v>0.72182412271717178</c:v>
                </c:pt>
                <c:pt idx="216">
                  <c:v>0.72648141798645205</c:v>
                </c:pt>
                <c:pt idx="217">
                  <c:v>0.70710251938694846</c:v>
                </c:pt>
                <c:pt idx="218">
                  <c:v>0.72843396612331901</c:v>
                </c:pt>
                <c:pt idx="219">
                  <c:v>0.71085794570442928</c:v>
                </c:pt>
                <c:pt idx="220">
                  <c:v>0.67795968821442476</c:v>
                </c:pt>
                <c:pt idx="221">
                  <c:v>0.64055501683923777</c:v>
                </c:pt>
                <c:pt idx="222">
                  <c:v>0.64896744533861717</c:v>
                </c:pt>
                <c:pt idx="223">
                  <c:v>0.64205705059211859</c:v>
                </c:pt>
                <c:pt idx="224">
                  <c:v>0.64986857180238355</c:v>
                </c:pt>
                <c:pt idx="225">
                  <c:v>0.63094091053574108</c:v>
                </c:pt>
                <c:pt idx="226">
                  <c:v>0.61321432135929399</c:v>
                </c:pt>
                <c:pt idx="227">
                  <c:v>0.63830164381379695</c:v>
                </c:pt>
                <c:pt idx="228">
                  <c:v>0.65813088094485739</c:v>
                </c:pt>
                <c:pt idx="229">
                  <c:v>0.64986857180238355</c:v>
                </c:pt>
                <c:pt idx="230">
                  <c:v>0.59894424844931371</c:v>
                </c:pt>
                <c:pt idx="231">
                  <c:v>0.60224873052131489</c:v>
                </c:pt>
                <c:pt idx="232">
                  <c:v>0.59068180253272828</c:v>
                </c:pt>
                <c:pt idx="233">
                  <c:v>0.6106610222465827</c:v>
                </c:pt>
                <c:pt idx="234">
                  <c:v>0.60750708939298015</c:v>
                </c:pt>
                <c:pt idx="235">
                  <c:v>0.62433180961762713</c:v>
                </c:pt>
                <c:pt idx="236">
                  <c:v>0.62297882056791898</c:v>
                </c:pt>
                <c:pt idx="237">
                  <c:v>0.64851650109313796</c:v>
                </c:pt>
                <c:pt idx="238">
                  <c:v>0.6563286084781661</c:v>
                </c:pt>
                <c:pt idx="239">
                  <c:v>0.66609222842464599</c:v>
                </c:pt>
                <c:pt idx="240">
                  <c:v>0.66954757234158602</c:v>
                </c:pt>
                <c:pt idx="241">
                  <c:v>0.6698481041427784</c:v>
                </c:pt>
                <c:pt idx="242">
                  <c:v>0.6495679032270798</c:v>
                </c:pt>
                <c:pt idx="243">
                  <c:v>0.66474045080278188</c:v>
                </c:pt>
                <c:pt idx="244">
                  <c:v>0.66248737086472276</c:v>
                </c:pt>
                <c:pt idx="245">
                  <c:v>0.66353832359801257</c:v>
                </c:pt>
                <c:pt idx="246">
                  <c:v>0.68081383175486887</c:v>
                </c:pt>
                <c:pt idx="247">
                  <c:v>0.68547067762349734</c:v>
                </c:pt>
                <c:pt idx="248">
                  <c:v>0.6869730240029186</c:v>
                </c:pt>
                <c:pt idx="249">
                  <c:v>0.69208067734291512</c:v>
                </c:pt>
                <c:pt idx="250">
                  <c:v>0.71626597453234764</c:v>
                </c:pt>
                <c:pt idx="251">
                  <c:v>0.71656605693288822</c:v>
                </c:pt>
                <c:pt idx="252">
                  <c:v>0.71942002462090304</c:v>
                </c:pt>
                <c:pt idx="253">
                  <c:v>0.72708158278753277</c:v>
                </c:pt>
                <c:pt idx="254">
                  <c:v>0.73429204039541318</c:v>
                </c:pt>
                <c:pt idx="255">
                  <c:v>0.73444276546624065</c:v>
                </c:pt>
                <c:pt idx="256">
                  <c:v>0.73489339708517942</c:v>
                </c:pt>
                <c:pt idx="257">
                  <c:v>0.74871416703901783</c:v>
                </c:pt>
                <c:pt idx="258">
                  <c:v>0.75907869427461216</c:v>
                </c:pt>
                <c:pt idx="259">
                  <c:v>0.75817709887103524</c:v>
                </c:pt>
                <c:pt idx="260">
                  <c:v>0.7492779499264508</c:v>
                </c:pt>
                <c:pt idx="261">
                  <c:v>0.75862984071912232</c:v>
                </c:pt>
                <c:pt idx="262">
                  <c:v>0.77099863624487375</c:v>
                </c:pt>
                <c:pt idx="263">
                  <c:v>0.76240105467689689</c:v>
                </c:pt>
                <c:pt idx="264">
                  <c:v>0.75953514856286741</c:v>
                </c:pt>
                <c:pt idx="265">
                  <c:v>0.75847927196156517</c:v>
                </c:pt>
                <c:pt idx="266">
                  <c:v>0.76964103595369338</c:v>
                </c:pt>
                <c:pt idx="267">
                  <c:v>0.7708480674873166</c:v>
                </c:pt>
                <c:pt idx="268">
                  <c:v>0.76481423848199803</c:v>
                </c:pt>
                <c:pt idx="269">
                  <c:v>0.77688115400460145</c:v>
                </c:pt>
                <c:pt idx="270">
                  <c:v>0.79136201535949824</c:v>
                </c:pt>
                <c:pt idx="271">
                  <c:v>0.79558565853881924</c:v>
                </c:pt>
                <c:pt idx="272">
                  <c:v>0.78532890930305466</c:v>
                </c:pt>
                <c:pt idx="273">
                  <c:v>0.79151256457789665</c:v>
                </c:pt>
                <c:pt idx="274">
                  <c:v>0.80327806903716237</c:v>
                </c:pt>
                <c:pt idx="275">
                  <c:v>0.8061442877777325</c:v>
                </c:pt>
                <c:pt idx="276">
                  <c:v>0.80750202484302447</c:v>
                </c:pt>
                <c:pt idx="277">
                  <c:v>0.82801552331455408</c:v>
                </c:pt>
                <c:pt idx="278">
                  <c:v>0.82952427853805522</c:v>
                </c:pt>
                <c:pt idx="279">
                  <c:v>0.80041231923640344</c:v>
                </c:pt>
                <c:pt idx="280">
                  <c:v>0.80720000806576464</c:v>
                </c:pt>
                <c:pt idx="281">
                  <c:v>0.82334046694994267</c:v>
                </c:pt>
                <c:pt idx="282">
                  <c:v>0.82002154543960337</c:v>
                </c:pt>
                <c:pt idx="283">
                  <c:v>0.82545134089040273</c:v>
                </c:pt>
                <c:pt idx="284">
                  <c:v>0.83736770719460751</c:v>
                </c:pt>
                <c:pt idx="285">
                  <c:v>0.83042929329441861</c:v>
                </c:pt>
                <c:pt idx="286">
                  <c:v>0.78713850895428839</c:v>
                </c:pt>
                <c:pt idx="287">
                  <c:v>0.80071343721235921</c:v>
                </c:pt>
                <c:pt idx="288">
                  <c:v>0.82303860648595317</c:v>
                </c:pt>
                <c:pt idx="289">
                  <c:v>0.79211601195765247</c:v>
                </c:pt>
                <c:pt idx="290">
                  <c:v>0.81534529718630622</c:v>
                </c:pt>
                <c:pt idx="291">
                  <c:v>0.77265825331331373</c:v>
                </c:pt>
                <c:pt idx="292">
                  <c:v>0.76209919421290762</c:v>
                </c:pt>
                <c:pt idx="293">
                  <c:v>0.70357368869383774</c:v>
                </c:pt>
                <c:pt idx="294">
                  <c:v>0.67823278703669021</c:v>
                </c:pt>
                <c:pt idx="295">
                  <c:v>0.7521441686670205</c:v>
                </c:pt>
                <c:pt idx="296">
                  <c:v>0.74716619672384565</c:v>
                </c:pt>
                <c:pt idx="297">
                  <c:v>0.77160192731135924</c:v>
                </c:pt>
                <c:pt idx="298">
                  <c:v>0.74957982992959882</c:v>
                </c:pt>
                <c:pt idx="299">
                  <c:v>0.71790337557725525</c:v>
                </c:pt>
                <c:pt idx="300">
                  <c:v>0.71880913282165215</c:v>
                </c:pt>
                <c:pt idx="301">
                  <c:v>0.69542869266067786</c:v>
                </c:pt>
                <c:pt idx="302">
                  <c:v>0.68577523449139854</c:v>
                </c:pt>
                <c:pt idx="303">
                  <c:v>0.6221210710366436</c:v>
                </c:pt>
                <c:pt idx="304">
                  <c:v>0.64580264871273285</c:v>
                </c:pt>
                <c:pt idx="305">
                  <c:v>0.62468480406014337</c:v>
                </c:pt>
                <c:pt idx="306">
                  <c:v>0.62634383495381996</c:v>
                </c:pt>
                <c:pt idx="307">
                  <c:v>0.6165399643402536</c:v>
                </c:pt>
                <c:pt idx="308">
                  <c:v>0.67069110160917478</c:v>
                </c:pt>
                <c:pt idx="309">
                  <c:v>0.64972427511479425</c:v>
                </c:pt>
                <c:pt idx="310">
                  <c:v>0.62197005287843443</c:v>
                </c:pt>
                <c:pt idx="311">
                  <c:v>0.66420468706903946</c:v>
                </c:pt>
                <c:pt idx="312">
                  <c:v>0.66993694869775022</c:v>
                </c:pt>
                <c:pt idx="313">
                  <c:v>0.6112608744211232</c:v>
                </c:pt>
                <c:pt idx="314">
                  <c:v>0.5911984765083429</c:v>
                </c:pt>
                <c:pt idx="315">
                  <c:v>0.60824396968804328</c:v>
                </c:pt>
                <c:pt idx="316">
                  <c:v>0.59964533300549228</c:v>
                </c:pt>
                <c:pt idx="317">
                  <c:v>0.64640593977921834</c:v>
                </c:pt>
                <c:pt idx="318">
                  <c:v>0.65440052336809118</c:v>
                </c:pt>
                <c:pt idx="319">
                  <c:v>0.65183573523001748</c:v>
                </c:pt>
                <c:pt idx="320">
                  <c:v>0.68939486365535929</c:v>
                </c:pt>
                <c:pt idx="321">
                  <c:v>0.68879186567625528</c:v>
                </c:pt>
                <c:pt idx="322">
                  <c:v>0.69150675363207559</c:v>
                </c:pt>
                <c:pt idx="323">
                  <c:v>0.69334093354505422</c:v>
                </c:pt>
                <c:pt idx="324">
                  <c:v>0.68849117756179279</c:v>
                </c:pt>
                <c:pt idx="325">
                  <c:v>0.66060459706385832</c:v>
                </c:pt>
                <c:pt idx="326">
                  <c:v>0.65545192550203324</c:v>
                </c:pt>
                <c:pt idx="327">
                  <c:v>0.62801984537647604</c:v>
                </c:pt>
                <c:pt idx="328">
                  <c:v>0.63484004736604693</c:v>
                </c:pt>
                <c:pt idx="329">
                  <c:v>0.62968677009029972</c:v>
                </c:pt>
                <c:pt idx="330">
                  <c:v>0.57937007549696484</c:v>
                </c:pt>
                <c:pt idx="331">
                  <c:v>0.56436626809648471</c:v>
                </c:pt>
                <c:pt idx="332">
                  <c:v>0.5573943249998301</c:v>
                </c:pt>
                <c:pt idx="333">
                  <c:v>0.54890735460970563</c:v>
                </c:pt>
                <c:pt idx="334">
                  <c:v>0.55906183588841696</c:v>
                </c:pt>
                <c:pt idx="335">
                  <c:v>0.60816598890535301</c:v>
                </c:pt>
                <c:pt idx="336">
                  <c:v>0.62407957861693863</c:v>
                </c:pt>
                <c:pt idx="337">
                  <c:v>0.63620360710065538</c:v>
                </c:pt>
                <c:pt idx="338">
                  <c:v>0.63726470065735197</c:v>
                </c:pt>
                <c:pt idx="339">
                  <c:v>0.66196800048519622</c:v>
                </c:pt>
                <c:pt idx="340">
                  <c:v>0.66181655246549398</c:v>
                </c:pt>
                <c:pt idx="341">
                  <c:v>0.662271521777682</c:v>
                </c:pt>
                <c:pt idx="342">
                  <c:v>0.61650119864923458</c:v>
                </c:pt>
                <c:pt idx="343">
                  <c:v>0.62604896950867372</c:v>
                </c:pt>
                <c:pt idx="344">
                  <c:v>0.64408472679449402</c:v>
                </c:pt>
                <c:pt idx="345">
                  <c:v>0.62271601888233041</c:v>
                </c:pt>
                <c:pt idx="346">
                  <c:v>0.65893706663611273</c:v>
                </c:pt>
                <c:pt idx="347">
                  <c:v>0.67333488656619522</c:v>
                </c:pt>
                <c:pt idx="348">
                  <c:v>0.69076451960750673</c:v>
                </c:pt>
                <c:pt idx="349">
                  <c:v>0.69061248541304088</c:v>
                </c:pt>
                <c:pt idx="350">
                  <c:v>0.67970054910507116</c:v>
                </c:pt>
                <c:pt idx="351">
                  <c:v>0.67151620120612865</c:v>
                </c:pt>
                <c:pt idx="352">
                  <c:v>0.67121254313953171</c:v>
                </c:pt>
                <c:pt idx="353">
                  <c:v>0.70895070887677281</c:v>
                </c:pt>
                <c:pt idx="354">
                  <c:v>0.7007668103784821</c:v>
                </c:pt>
                <c:pt idx="355">
                  <c:v>0.71213295397144738</c:v>
                </c:pt>
                <c:pt idx="356">
                  <c:v>0.71031487432530316</c:v>
                </c:pt>
                <c:pt idx="357">
                  <c:v>0.70334277491537778</c:v>
                </c:pt>
                <c:pt idx="358">
                  <c:v>0.71243631895066262</c:v>
                </c:pt>
                <c:pt idx="359">
                  <c:v>0.70319206938370904</c:v>
                </c:pt>
                <c:pt idx="360">
                  <c:v>0.6565118271700443</c:v>
                </c:pt>
                <c:pt idx="361">
                  <c:v>0.64635793206609637</c:v>
                </c:pt>
                <c:pt idx="362">
                  <c:v>0.64150817608283472</c:v>
                </c:pt>
                <c:pt idx="363">
                  <c:v>0.64075074059273529</c:v>
                </c:pt>
                <c:pt idx="364">
                  <c:v>0.66090706324176973</c:v>
                </c:pt>
                <c:pt idx="365">
                  <c:v>0.66393829017823514</c:v>
                </c:pt>
                <c:pt idx="366">
                  <c:v>0.6349912022983677</c:v>
                </c:pt>
                <c:pt idx="367">
                  <c:v>0.62968677009029972</c:v>
                </c:pt>
                <c:pt idx="368">
                  <c:v>0.62347316128504837</c:v>
                </c:pt>
                <c:pt idx="369">
                  <c:v>0.59937582938844214</c:v>
                </c:pt>
                <c:pt idx="370">
                  <c:v>0.6055892818804236</c:v>
                </c:pt>
                <c:pt idx="371">
                  <c:v>0.59482883267047382</c:v>
                </c:pt>
                <c:pt idx="372">
                  <c:v>0.61953242558569999</c:v>
                </c:pt>
                <c:pt idx="373">
                  <c:v>0.59604092484622084</c:v>
                </c:pt>
                <c:pt idx="374">
                  <c:v>0.59604092484622084</c:v>
                </c:pt>
                <c:pt idx="375">
                  <c:v>0.64378122504116697</c:v>
                </c:pt>
                <c:pt idx="376">
                  <c:v>0.65908898359562551</c:v>
                </c:pt>
                <c:pt idx="377">
                  <c:v>0.68060990155468404</c:v>
                </c:pt>
                <c:pt idx="378">
                  <c:v>0.66166524121990311</c:v>
                </c:pt>
                <c:pt idx="379">
                  <c:v>0.67333488656619522</c:v>
                </c:pt>
                <c:pt idx="380">
                  <c:v>0.68106471455360174</c:v>
                </c:pt>
                <c:pt idx="381">
                  <c:v>0.68955182171783735</c:v>
                </c:pt>
                <c:pt idx="382">
                  <c:v>0.70834442831899391</c:v>
                </c:pt>
                <c:pt idx="383">
                  <c:v>0.70728349107556743</c:v>
                </c:pt>
                <c:pt idx="384">
                  <c:v>0.71380075794741615</c:v>
                </c:pt>
                <c:pt idx="385">
                  <c:v>0.71334565186111676</c:v>
                </c:pt>
                <c:pt idx="386">
                  <c:v>0.71398606732928394</c:v>
                </c:pt>
                <c:pt idx="387">
                  <c:v>0.7401932180517754</c:v>
                </c:pt>
                <c:pt idx="388">
                  <c:v>0.73668867453302767</c:v>
                </c:pt>
                <c:pt idx="389">
                  <c:v>0.72815609974631146</c:v>
                </c:pt>
                <c:pt idx="390">
                  <c:v>0.71413857046356011</c:v>
                </c:pt>
                <c:pt idx="391">
                  <c:v>0.74948783957006349</c:v>
                </c:pt>
                <c:pt idx="392">
                  <c:v>0.74110731851697143</c:v>
                </c:pt>
                <c:pt idx="393">
                  <c:v>0.74720257863749384</c:v>
                </c:pt>
                <c:pt idx="394">
                  <c:v>0.74415525143419359</c:v>
                </c:pt>
                <c:pt idx="395">
                  <c:v>0.73897395500475604</c:v>
                </c:pt>
                <c:pt idx="396">
                  <c:v>0.74628771614510514</c:v>
                </c:pt>
                <c:pt idx="397">
                  <c:v>0.73318428732755048</c:v>
                </c:pt>
                <c:pt idx="398">
                  <c:v>0.76807637919692318</c:v>
                </c:pt>
                <c:pt idx="399">
                  <c:v>0.76792401283675837</c:v>
                </c:pt>
                <c:pt idx="400">
                  <c:v>0.7657908056378131</c:v>
                </c:pt>
                <c:pt idx="401">
                  <c:v>0.77569469720517348</c:v>
                </c:pt>
                <c:pt idx="402">
                  <c:v>0.77737070762782956</c:v>
                </c:pt>
                <c:pt idx="403">
                  <c:v>0.78285640461189798</c:v>
                </c:pt>
                <c:pt idx="404">
                  <c:v>0.7967212939862609</c:v>
                </c:pt>
                <c:pt idx="405">
                  <c:v>0.78971296897595811</c:v>
                </c:pt>
                <c:pt idx="406">
                  <c:v>0.79337001562898224</c:v>
                </c:pt>
                <c:pt idx="407">
                  <c:v>0.80220714728359965</c:v>
                </c:pt>
                <c:pt idx="408">
                  <c:v>0.77858981436157859</c:v>
                </c:pt>
                <c:pt idx="409">
                  <c:v>0.79596012651683457</c:v>
                </c:pt>
                <c:pt idx="410">
                  <c:v>0.79992112432383777</c:v>
                </c:pt>
                <c:pt idx="411">
                  <c:v>0.80327330148242027</c:v>
                </c:pt>
                <c:pt idx="412">
                  <c:v>0.80860604593156027</c:v>
                </c:pt>
                <c:pt idx="413">
                  <c:v>0.80891120851338338</c:v>
                </c:pt>
                <c:pt idx="414">
                  <c:v>0.80373020517132732</c:v>
                </c:pt>
                <c:pt idx="415">
                  <c:v>0.80403536775315065</c:v>
                </c:pt>
                <c:pt idx="416">
                  <c:v>0.80540666499463565</c:v>
                </c:pt>
                <c:pt idx="417">
                  <c:v>0.80601593504370794</c:v>
                </c:pt>
                <c:pt idx="418">
                  <c:v>0.82033876368239356</c:v>
                </c:pt>
                <c:pt idx="419">
                  <c:v>0.82765268113601298</c:v>
                </c:pt>
                <c:pt idx="420">
                  <c:v>0.86284901724674645</c:v>
                </c:pt>
                <c:pt idx="421">
                  <c:v>0.86985837783246467</c:v>
                </c:pt>
                <c:pt idx="422">
                  <c:v>0.86635414694025759</c:v>
                </c:pt>
                <c:pt idx="423">
                  <c:v>0.85294557508003832</c:v>
                </c:pt>
                <c:pt idx="424">
                  <c:v>0.86041168304139348</c:v>
                </c:pt>
                <c:pt idx="425">
                  <c:v>0.85340277185632707</c:v>
                </c:pt>
                <c:pt idx="426">
                  <c:v>0.83146131258285094</c:v>
                </c:pt>
                <c:pt idx="427">
                  <c:v>0.82887120169499839</c:v>
                </c:pt>
                <c:pt idx="428">
                  <c:v>0.80037863372666718</c:v>
                </c:pt>
                <c:pt idx="429">
                  <c:v>0.8012930272792449</c:v>
                </c:pt>
                <c:pt idx="430">
                  <c:v>0.82780473486963735</c:v>
                </c:pt>
                <c:pt idx="431">
                  <c:v>0.83283262936349467</c:v>
                </c:pt>
                <c:pt idx="432">
                  <c:v>0.83130941516249646</c:v>
                </c:pt>
                <c:pt idx="433">
                  <c:v>0.80479696508407028</c:v>
                </c:pt>
                <c:pt idx="434">
                  <c:v>0.83146131258285094</c:v>
                </c:pt>
                <c:pt idx="435">
                  <c:v>0.81013002215975072</c:v>
                </c:pt>
                <c:pt idx="436">
                  <c:v>0.81561542605643722</c:v>
                </c:pt>
                <c:pt idx="437">
                  <c:v>0.80540666499463565</c:v>
                </c:pt>
                <c:pt idx="438">
                  <c:v>0.8438034371568679</c:v>
                </c:pt>
                <c:pt idx="439">
                  <c:v>0.8674200080516965</c:v>
                </c:pt>
                <c:pt idx="440">
                  <c:v>0.87244864503358754</c:v>
                </c:pt>
                <c:pt idx="441">
                  <c:v>0.87046749156826686</c:v>
                </c:pt>
                <c:pt idx="442">
                  <c:v>0.8715343882551212</c:v>
                </c:pt>
                <c:pt idx="443">
                  <c:v>0.87839050321852907</c:v>
                </c:pt>
                <c:pt idx="444">
                  <c:v>0.88570457698541882</c:v>
                </c:pt>
                <c:pt idx="445">
                  <c:v>0.89667507215225162</c:v>
                </c:pt>
                <c:pt idx="446">
                  <c:v>0.89789314331058523</c:v>
                </c:pt>
                <c:pt idx="447">
                  <c:v>0.89957020884781547</c:v>
                </c:pt>
                <c:pt idx="448">
                  <c:v>0.89088526770093424</c:v>
                </c:pt>
                <c:pt idx="449">
                  <c:v>0.90185578240692554</c:v>
                </c:pt>
                <c:pt idx="450">
                  <c:v>0.90389299371878562</c:v>
                </c:pt>
                <c:pt idx="451">
                  <c:v>0.9084881349239875</c:v>
                </c:pt>
                <c:pt idx="452">
                  <c:v>0.92058816932072274</c:v>
                </c:pt>
                <c:pt idx="453">
                  <c:v>0.92656177863868172</c:v>
                </c:pt>
                <c:pt idx="454">
                  <c:v>0.92380423669924494</c:v>
                </c:pt>
                <c:pt idx="455">
                  <c:v>0.92457075789817722</c:v>
                </c:pt>
                <c:pt idx="456">
                  <c:v>0.92732785043696198</c:v>
                </c:pt>
                <c:pt idx="457">
                  <c:v>0.92870586914906728</c:v>
                </c:pt>
                <c:pt idx="458">
                  <c:v>0.92564244167893261</c:v>
                </c:pt>
                <c:pt idx="459">
                  <c:v>0.92610233485913307</c:v>
                </c:pt>
                <c:pt idx="460">
                  <c:v>0.94601402724024464</c:v>
                </c:pt>
                <c:pt idx="461">
                  <c:v>0.94494189405883722</c:v>
                </c:pt>
                <c:pt idx="462">
                  <c:v>0.95505077094095658</c:v>
                </c:pt>
                <c:pt idx="463">
                  <c:v>0.95122185784730506</c:v>
                </c:pt>
                <c:pt idx="464">
                  <c:v>0.94739249535300196</c:v>
                </c:pt>
                <c:pt idx="465">
                  <c:v>0.94494189405883722</c:v>
                </c:pt>
                <c:pt idx="466">
                  <c:v>0.95183484033654553</c:v>
                </c:pt>
                <c:pt idx="467">
                  <c:v>0.96944872764515067</c:v>
                </c:pt>
                <c:pt idx="468">
                  <c:v>0.96623205455270589</c:v>
                </c:pt>
                <c:pt idx="469">
                  <c:v>0.98047737134851221</c:v>
                </c:pt>
                <c:pt idx="470">
                  <c:v>0.98384654757523338</c:v>
                </c:pt>
                <c:pt idx="471">
                  <c:v>0.96439474837432226</c:v>
                </c:pt>
                <c:pt idx="472">
                  <c:v>0.96179105777111817</c:v>
                </c:pt>
                <c:pt idx="473">
                  <c:v>0.96623205455270589</c:v>
                </c:pt>
                <c:pt idx="474">
                  <c:v>0.97741408065248891</c:v>
                </c:pt>
                <c:pt idx="475">
                  <c:v>0.97848666323454814</c:v>
                </c:pt>
                <c:pt idx="476">
                  <c:v>0.98614433310858085</c:v>
                </c:pt>
                <c:pt idx="477">
                  <c:v>0.99104641495905477</c:v>
                </c:pt>
                <c:pt idx="478">
                  <c:v>0.95627642329289686</c:v>
                </c:pt>
                <c:pt idx="479">
                  <c:v>0.97098059769348821</c:v>
                </c:pt>
                <c:pt idx="480">
                  <c:v>1.0025337599539315</c:v>
                </c:pt>
                <c:pt idx="481">
                  <c:v>0.99870439745962791</c:v>
                </c:pt>
                <c:pt idx="482">
                  <c:v>1.0031461367292493</c:v>
                </c:pt>
                <c:pt idx="483">
                  <c:v>1.0088132548025883</c:v>
                </c:pt>
                <c:pt idx="484">
                  <c:v>1.0213736122410171</c:v>
                </c:pt>
                <c:pt idx="485">
                  <c:v>1.0305636015640394</c:v>
                </c:pt>
                <c:pt idx="486">
                  <c:v>1.025968753446219</c:v>
                </c:pt>
                <c:pt idx="487">
                  <c:v>1.0267345516962765</c:v>
                </c:pt>
                <c:pt idx="488">
                  <c:v>1.0388347228671231</c:v>
                </c:pt>
                <c:pt idx="489">
                  <c:v>1.0437363553169452</c:v>
                </c:pt>
                <c:pt idx="490">
                  <c:v>1.0373028528187853</c:v>
                </c:pt>
                <c:pt idx="491">
                  <c:v>1.0501692521011825</c:v>
                </c:pt>
                <c:pt idx="492">
                  <c:v>1.0562961070414514</c:v>
                </c:pt>
                <c:pt idx="493">
                  <c:v>1.0605840145139998</c:v>
                </c:pt>
                <c:pt idx="494">
                  <c:v>1.0192296585047433</c:v>
                </c:pt>
                <c:pt idx="495">
                  <c:v>1.0068222536012428</c:v>
                </c:pt>
                <c:pt idx="496">
                  <c:v>1.0054443912024076</c:v>
                </c:pt>
                <c:pt idx="497">
                  <c:v>1.0268874846920459</c:v>
                </c:pt>
                <c:pt idx="498">
                  <c:v>1.0394469628683298</c:v>
                </c:pt>
                <c:pt idx="499">
                  <c:v>1.0054443912024076</c:v>
                </c:pt>
                <c:pt idx="500">
                  <c:v>1.0097319860484153</c:v>
                </c:pt>
                <c:pt idx="501">
                  <c:v>1.0443490447188037</c:v>
                </c:pt>
                <c:pt idx="502">
                  <c:v>1.0290315947415904</c:v>
                </c:pt>
                <c:pt idx="503">
                  <c:v>1.0131023541638222</c:v>
                </c:pt>
                <c:pt idx="504">
                  <c:v>1.0307163977856972</c:v>
                </c:pt>
                <c:pt idx="505">
                  <c:v>1.0278063722511432</c:v>
                </c:pt>
                <c:pt idx="506">
                  <c:v>0.99027973744685238</c:v>
                </c:pt>
                <c:pt idx="507">
                  <c:v>1.0040654736889985</c:v>
                </c:pt>
                <c:pt idx="508">
                  <c:v>0.99196500943077037</c:v>
                </c:pt>
                <c:pt idx="509">
                  <c:v>0.96914284211445256</c:v>
                </c:pt>
                <c:pt idx="510">
                  <c:v>0.93268863357895104</c:v>
                </c:pt>
                <c:pt idx="511">
                  <c:v>0.95826789343405339</c:v>
                </c:pt>
                <c:pt idx="512">
                  <c:v>0.96539069837564706</c:v>
                </c:pt>
                <c:pt idx="513">
                  <c:v>0.99584966774442063</c:v>
                </c:pt>
                <c:pt idx="514">
                  <c:v>0.98892676793630296</c:v>
                </c:pt>
                <c:pt idx="515">
                  <c:v>0.99461907198530919</c:v>
                </c:pt>
                <c:pt idx="516">
                  <c:v>1.0136940194308339</c:v>
                </c:pt>
                <c:pt idx="517">
                  <c:v>1.0198477211752661</c:v>
                </c:pt>
                <c:pt idx="518">
                  <c:v>1.0149250645905972</c:v>
                </c:pt>
                <c:pt idx="519">
                  <c:v>1.0284622822722227</c:v>
                </c:pt>
                <c:pt idx="520">
                  <c:v>1.0424613470499269</c:v>
                </c:pt>
                <c:pt idx="521">
                  <c:v>1.0396921793110163</c:v>
                </c:pt>
                <c:pt idx="522">
                  <c:v>1.0483066036338613</c:v>
                </c:pt>
                <c:pt idx="523">
                  <c:v>1.049999906212038</c:v>
                </c:pt>
                <c:pt idx="524">
                  <c:v>1.0496919299913503</c:v>
                </c:pt>
                <c:pt idx="525">
                  <c:v>1.0561523965286264</c:v>
                </c:pt>
                <c:pt idx="526">
                  <c:v>1.050922506211303</c:v>
                </c:pt>
                <c:pt idx="527">
                  <c:v>1.0438456182928415</c:v>
                </c:pt>
                <c:pt idx="528">
                  <c:v>1.0376928153497129</c:v>
                </c:pt>
                <c:pt idx="529">
                  <c:v>1.0224630375779444</c:v>
                </c:pt>
                <c:pt idx="530">
                  <c:v>1.0223096356423644</c:v>
                </c:pt>
                <c:pt idx="531">
                  <c:v>1.0238471720467479</c:v>
                </c:pt>
                <c:pt idx="532">
                  <c:v>1.0312312936978629</c:v>
                </c:pt>
                <c:pt idx="533">
                  <c:v>1.0084636992520175</c:v>
                </c:pt>
                <c:pt idx="534">
                  <c:v>1.0200009667975762</c:v>
                </c:pt>
                <c:pt idx="535">
                  <c:v>1.0475382848323216</c:v>
                </c:pt>
                <c:pt idx="536">
                  <c:v>1.0579986516417308</c:v>
                </c:pt>
                <c:pt idx="537">
                  <c:v>1.0558453191092423</c:v>
                </c:pt>
                <c:pt idx="538">
                  <c:v>1.0735359757726934</c:v>
                </c:pt>
                <c:pt idx="539">
                  <c:v>1.0870735060808596</c:v>
                </c:pt>
                <c:pt idx="540">
                  <c:v>1.0938424177786334</c:v>
                </c:pt>
                <c:pt idx="541">
                  <c:v>1.0987644686493807</c:v>
                </c:pt>
                <c:pt idx="542">
                  <c:v>1.0955348215555061</c:v>
                </c:pt>
                <c:pt idx="543">
                  <c:v>1.0879959693060135</c:v>
                </c:pt>
                <c:pt idx="544">
                  <c:v>1.0741514983525753</c:v>
                </c:pt>
                <c:pt idx="545">
                  <c:v>1.0553839409529746</c:v>
                </c:pt>
                <c:pt idx="546">
                  <c:v>1.0644591377181651</c:v>
                </c:pt>
                <c:pt idx="547">
                  <c:v>1.0724587819491624</c:v>
                </c:pt>
                <c:pt idx="548">
                  <c:v>1.0901503569530759</c:v>
                </c:pt>
                <c:pt idx="549">
                  <c:v>1.0681518042576452</c:v>
                </c:pt>
                <c:pt idx="550">
                  <c:v>1.0779968048004429</c:v>
                </c:pt>
                <c:pt idx="551">
                  <c:v>1.0619982588264825</c:v>
                </c:pt>
                <c:pt idx="552">
                  <c:v>1.0489227123885065</c:v>
                </c:pt>
                <c:pt idx="553">
                  <c:v>1.0486144235412787</c:v>
                </c:pt>
                <c:pt idx="554">
                  <c:v>1.0669209154111519</c:v>
                </c:pt>
                <c:pt idx="555">
                  <c:v>1.0718438650832027</c:v>
                </c:pt>
                <c:pt idx="556">
                  <c:v>1.0553839409529746</c:v>
                </c:pt>
                <c:pt idx="557">
                  <c:v>1.0315386837437872</c:v>
                </c:pt>
                <c:pt idx="558">
                  <c:v>1.0298470224549483</c:v>
                </c:pt>
                <c:pt idx="559">
                  <c:v>1.0366148790381482</c:v>
                </c:pt>
                <c:pt idx="560">
                  <c:v>1.0459991071386003</c:v>
                </c:pt>
                <c:pt idx="561">
                  <c:v>1.0538455057472871</c:v>
                </c:pt>
                <c:pt idx="562">
                  <c:v>1.0752273439741509</c:v>
                </c:pt>
                <c:pt idx="563">
                  <c:v>1.0286162703825665</c:v>
                </c:pt>
                <c:pt idx="564">
                  <c:v>1.026462937850078</c:v>
                </c:pt>
                <c:pt idx="565">
                  <c:v>1.0063103471803703</c:v>
                </c:pt>
                <c:pt idx="566">
                  <c:v>0.98508114886189468</c:v>
                </c:pt>
                <c:pt idx="567">
                  <c:v>0.98385057264194198</c:v>
                </c:pt>
                <c:pt idx="568">
                  <c:v>0.97554279587698733</c:v>
                </c:pt>
                <c:pt idx="569">
                  <c:v>0.99061887862579368</c:v>
                </c:pt>
                <c:pt idx="570">
                  <c:v>0.96292876436939046</c:v>
                </c:pt>
                <c:pt idx="571">
                  <c:v>0.96446719957507798</c:v>
                </c:pt>
                <c:pt idx="572">
                  <c:v>0.98938843917995234</c:v>
                </c:pt>
                <c:pt idx="573">
                  <c:v>0.95400681322650982</c:v>
                </c:pt>
                <c:pt idx="574">
                  <c:v>0.95831394723129715</c:v>
                </c:pt>
                <c:pt idx="575">
                  <c:v>0.9641578751524349</c:v>
                </c:pt>
                <c:pt idx="576">
                  <c:v>0.97420635649476561</c:v>
                </c:pt>
                <c:pt idx="577">
                  <c:v>1.0012614285516661</c:v>
                </c:pt>
                <c:pt idx="578">
                  <c:v>0.98920240684920957</c:v>
                </c:pt>
                <c:pt idx="579">
                  <c:v>0.98348206410735473</c:v>
                </c:pt>
                <c:pt idx="580">
                  <c:v>0.96044717396940116</c:v>
                </c:pt>
                <c:pt idx="581">
                  <c:v>0.97791705767779913</c:v>
                </c:pt>
                <c:pt idx="582">
                  <c:v>1.0037345389567447</c:v>
                </c:pt>
                <c:pt idx="583">
                  <c:v>1.0208950982424994</c:v>
                </c:pt>
                <c:pt idx="584">
                  <c:v>1.0402195998239598</c:v>
                </c:pt>
                <c:pt idx="585">
                  <c:v>1.0703658254173036</c:v>
                </c:pt>
                <c:pt idx="586">
                  <c:v>1.0686655082811254</c:v>
                </c:pt>
                <c:pt idx="587">
                  <c:v>1.0711389117735859</c:v>
                </c:pt>
                <c:pt idx="588">
                  <c:v>1.0926279222863564</c:v>
                </c:pt>
                <c:pt idx="589">
                  <c:v>1.0777866220694485</c:v>
                </c:pt>
                <c:pt idx="590">
                  <c:v>1.0402195998239598</c:v>
                </c:pt>
                <c:pt idx="591">
                  <c:v>1.031407361057628</c:v>
                </c:pt>
                <c:pt idx="592">
                  <c:v>1.0382098019518682</c:v>
                </c:pt>
                <c:pt idx="593">
                  <c:v>1.0241417444045124</c:v>
                </c:pt>
                <c:pt idx="594">
                  <c:v>1.0358908359704033</c:v>
                </c:pt>
                <c:pt idx="595">
                  <c:v>1.0191947811063211</c:v>
                </c:pt>
                <c:pt idx="596">
                  <c:v>1.0519692971037728</c:v>
                </c:pt>
                <c:pt idx="597">
                  <c:v>1.0507315500125478</c:v>
                </c:pt>
                <c:pt idx="598">
                  <c:v>1.0791777515570953</c:v>
                </c:pt>
                <c:pt idx="599">
                  <c:v>1.0805693499845521</c:v>
                </c:pt>
                <c:pt idx="600">
                  <c:v>1.0689745200772278</c:v>
                </c:pt>
                <c:pt idx="601">
                  <c:v>1.0612442622283282</c:v>
                </c:pt>
                <c:pt idx="602">
                  <c:v>1.0190397574205621</c:v>
                </c:pt>
                <c:pt idx="603">
                  <c:v>1.0131646645411707</c:v>
                </c:pt>
                <c:pt idx="604">
                  <c:v>0.9994062245038402</c:v>
                </c:pt>
                <c:pt idx="605">
                  <c:v>0.99090301707276995</c:v>
                </c:pt>
                <c:pt idx="606">
                  <c:v>0.94004010529574522</c:v>
                </c:pt>
                <c:pt idx="607">
                  <c:v>0.95055295428563702</c:v>
                </c:pt>
                <c:pt idx="608">
                  <c:v>0.85918587437618288</c:v>
                </c:pt>
                <c:pt idx="609">
                  <c:v>0.85640314646107929</c:v>
                </c:pt>
                <c:pt idx="610">
                  <c:v>0.73550833349029765</c:v>
                </c:pt>
                <c:pt idx="611">
                  <c:v>0.81620857629951615</c:v>
                </c:pt>
                <c:pt idx="612">
                  <c:v>0.73597178279739617</c:v>
                </c:pt>
                <c:pt idx="613">
                  <c:v>0.8138893172306696</c:v>
                </c:pt>
                <c:pt idx="614">
                  <c:v>0.82610219026935838</c:v>
                </c:pt>
                <c:pt idx="615">
                  <c:v>0.86475191638115412</c:v>
                </c:pt>
                <c:pt idx="616">
                  <c:v>0.84882804907205012</c:v>
                </c:pt>
                <c:pt idx="617">
                  <c:v>0.85006476058785974</c:v>
                </c:pt>
                <c:pt idx="618">
                  <c:v>0.77029292090806445</c:v>
                </c:pt>
                <c:pt idx="619">
                  <c:v>0.74138295742987848</c:v>
                </c:pt>
                <c:pt idx="620">
                  <c:v>0.74277482940555872</c:v>
                </c:pt>
                <c:pt idx="621">
                  <c:v>0.80013027147941673</c:v>
                </c:pt>
                <c:pt idx="622">
                  <c:v>0.82548367819818314</c:v>
                </c:pt>
                <c:pt idx="623">
                  <c:v>0.79765657489957453</c:v>
                </c:pt>
                <c:pt idx="624">
                  <c:v>0.82378336106200467</c:v>
                </c:pt>
                <c:pt idx="625">
                  <c:v>0.8761915467502901</c:v>
                </c:pt>
                <c:pt idx="626">
                  <c:v>0.88113895944913323</c:v>
                </c:pt>
                <c:pt idx="627">
                  <c:v>0.88948698688117411</c:v>
                </c:pt>
                <c:pt idx="628">
                  <c:v>0.8696990164534566</c:v>
                </c:pt>
                <c:pt idx="629">
                  <c:v>0.82192802024006739</c:v>
                </c:pt>
                <c:pt idx="630">
                  <c:v>0.80863289273572359</c:v>
                </c:pt>
                <c:pt idx="631">
                  <c:v>0.85965022248458522</c:v>
                </c:pt>
                <c:pt idx="632">
                  <c:v>0.84032513472836157</c:v>
                </c:pt>
                <c:pt idx="633">
                  <c:v>0.79209111906936713</c:v>
                </c:pt>
                <c:pt idx="634">
                  <c:v>0.80368579266342111</c:v>
                </c:pt>
                <c:pt idx="635">
                  <c:v>0.82022754679061882</c:v>
                </c:pt>
                <c:pt idx="636">
                  <c:v>0.84542698493820012</c:v>
                </c:pt>
                <c:pt idx="637">
                  <c:v>0.87727350812856364</c:v>
                </c:pt>
                <c:pt idx="638">
                  <c:v>0.88838474385608723</c:v>
                </c:pt>
                <c:pt idx="639">
                  <c:v>0.86958125394349062</c:v>
                </c:pt>
                <c:pt idx="640">
                  <c:v>0.86740629156223314</c:v>
                </c:pt>
                <c:pt idx="641">
                  <c:v>0.81239560715942916</c:v>
                </c:pt>
                <c:pt idx="642">
                  <c:v>0.75381107384168544</c:v>
                </c:pt>
                <c:pt idx="643">
                  <c:v>0.76437775321401569</c:v>
                </c:pt>
                <c:pt idx="644">
                  <c:v>0.80633524397648748</c:v>
                </c:pt>
                <c:pt idx="645">
                  <c:v>0.82653732733538465</c:v>
                </c:pt>
                <c:pt idx="646">
                  <c:v>0.78924176262282408</c:v>
                </c:pt>
                <c:pt idx="647">
                  <c:v>0.80338287708485745</c:v>
                </c:pt>
                <c:pt idx="648">
                  <c:v>0.75831768311845593</c:v>
                </c:pt>
                <c:pt idx="649">
                  <c:v>0.70827989047754403</c:v>
                </c:pt>
                <c:pt idx="650">
                  <c:v>0.74573018578848194</c:v>
                </c:pt>
                <c:pt idx="651">
                  <c:v>0.77805330813980245</c:v>
                </c:pt>
                <c:pt idx="652">
                  <c:v>0.81022035169078999</c:v>
                </c:pt>
                <c:pt idx="653">
                  <c:v>0.79809917592425483</c:v>
                </c:pt>
                <c:pt idx="654">
                  <c:v>0.85823822517536175</c:v>
                </c:pt>
                <c:pt idx="655">
                  <c:v>0.8601025149320205</c:v>
                </c:pt>
                <c:pt idx="656">
                  <c:v>0.87641933426334506</c:v>
                </c:pt>
                <c:pt idx="657">
                  <c:v>0.87268985594872417</c:v>
                </c:pt>
                <c:pt idx="658">
                  <c:v>0.90470185627479371</c:v>
                </c:pt>
                <c:pt idx="659">
                  <c:v>0.86833889561079358</c:v>
                </c:pt>
                <c:pt idx="660">
                  <c:v>0.90485703627382308</c:v>
                </c:pt>
                <c:pt idx="661">
                  <c:v>0.88232422435987568</c:v>
                </c:pt>
                <c:pt idx="662">
                  <c:v>0.89056015563799673</c:v>
                </c:pt>
                <c:pt idx="663">
                  <c:v>0.92645757630490877</c:v>
                </c:pt>
                <c:pt idx="664">
                  <c:v>0.95007727346514237</c:v>
                </c:pt>
                <c:pt idx="665">
                  <c:v>0.91216126230468753</c:v>
                </c:pt>
                <c:pt idx="666">
                  <c:v>0.93158504235190809</c:v>
                </c:pt>
                <c:pt idx="667">
                  <c:v>0.99887225837270543</c:v>
                </c:pt>
                <c:pt idx="668">
                  <c:v>0.99840611266169521</c:v>
                </c:pt>
                <c:pt idx="669">
                  <c:v>0.95023305917809386</c:v>
                </c:pt>
                <c:pt idx="670">
                  <c:v>0.89584356371121765</c:v>
                </c:pt>
                <c:pt idx="671">
                  <c:v>0.92676793630296772</c:v>
                </c:pt>
                <c:pt idx="672">
                  <c:v>0.9618876593721255</c:v>
                </c:pt>
                <c:pt idx="673">
                  <c:v>0.94992209346611323</c:v>
                </c:pt>
                <c:pt idx="674">
                  <c:v>0.96204283937115465</c:v>
                </c:pt>
                <c:pt idx="675">
                  <c:v>0.98721720877802177</c:v>
                </c:pt>
                <c:pt idx="676">
                  <c:v>0.9138697858875533</c:v>
                </c:pt>
                <c:pt idx="677">
                  <c:v>0.93189632069042938</c:v>
                </c:pt>
                <c:pt idx="678">
                  <c:v>0.9682586951796659</c:v>
                </c:pt>
                <c:pt idx="679">
                  <c:v>0.94961112775413237</c:v>
                </c:pt>
                <c:pt idx="680">
                  <c:v>0.9592463949665877</c:v>
                </c:pt>
                <c:pt idx="681">
                  <c:v>0.92816652974926805</c:v>
                </c:pt>
                <c:pt idx="682">
                  <c:v>0.89755325964361043</c:v>
                </c:pt>
                <c:pt idx="683">
                  <c:v>0.89553334048727051</c:v>
                </c:pt>
                <c:pt idx="684">
                  <c:v>0.85948073982132911</c:v>
                </c:pt>
                <c:pt idx="685">
                  <c:v>0.85217739305260976</c:v>
                </c:pt>
                <c:pt idx="686">
                  <c:v>0.81130797942510946</c:v>
                </c:pt>
                <c:pt idx="687">
                  <c:v>0.80788962313573953</c:v>
                </c:pt>
                <c:pt idx="688">
                  <c:v>0.86025769493104987</c:v>
                </c:pt>
                <c:pt idx="689">
                  <c:v>0.86554110300427056</c:v>
                </c:pt>
                <c:pt idx="690">
                  <c:v>0.94230748789803109</c:v>
                </c:pt>
                <c:pt idx="691">
                  <c:v>0.94199757730062439</c:v>
                </c:pt>
                <c:pt idx="692">
                  <c:v>0.9402872756543097</c:v>
                </c:pt>
                <c:pt idx="693">
                  <c:v>0.96142149412195654</c:v>
                </c:pt>
                <c:pt idx="694">
                  <c:v>0.96204283937115465</c:v>
                </c:pt>
                <c:pt idx="695">
                  <c:v>0.96934677231463762</c:v>
                </c:pt>
                <c:pt idx="696">
                  <c:v>0.92614616119227633</c:v>
                </c:pt>
                <c:pt idx="697">
                  <c:v>0.95878009294230737</c:v>
                </c:pt>
                <c:pt idx="698">
                  <c:v>0.93018689830625956</c:v>
                </c:pt>
                <c:pt idx="699">
                  <c:v>0.91216126230468753</c:v>
                </c:pt>
                <c:pt idx="700">
                  <c:v>0.89180386217264962</c:v>
                </c:pt>
                <c:pt idx="701">
                  <c:v>0.89864120000447056</c:v>
                </c:pt>
                <c:pt idx="702">
                  <c:v>0.90145581582670298</c:v>
                </c:pt>
                <c:pt idx="703">
                  <c:v>0.88112627853508507</c:v>
                </c:pt>
                <c:pt idx="704">
                  <c:v>0.93804970980832136</c:v>
                </c:pt>
                <c:pt idx="705">
                  <c:v>0.94180318220992421</c:v>
                </c:pt>
                <c:pt idx="706">
                  <c:v>0.95900520359060959</c:v>
                </c:pt>
                <c:pt idx="707">
                  <c:v>0.97652039860821782</c:v>
                </c:pt>
                <c:pt idx="708">
                  <c:v>0.97808341407565047</c:v>
                </c:pt>
                <c:pt idx="709">
                  <c:v>0.95212343371172348</c:v>
                </c:pt>
                <c:pt idx="710">
                  <c:v>0.97229763469104169</c:v>
                </c:pt>
                <c:pt idx="711">
                  <c:v>0.96260156161646337</c:v>
                </c:pt>
                <c:pt idx="712">
                  <c:v>0.99387818616269596</c:v>
                </c:pt>
                <c:pt idx="713">
                  <c:v>0.99700556529951689</c:v>
                </c:pt>
                <c:pt idx="714">
                  <c:v>1.0023229715090145</c:v>
                </c:pt>
                <c:pt idx="715">
                  <c:v>0.99716180041312041</c:v>
                </c:pt>
                <c:pt idx="716">
                  <c:v>1.0020100714203148</c:v>
                </c:pt>
                <c:pt idx="717">
                  <c:v>1.0193681520621745</c:v>
                </c:pt>
                <c:pt idx="718">
                  <c:v>1.0204635368425299</c:v>
                </c:pt>
                <c:pt idx="719">
                  <c:v>1.0253107527351499</c:v>
                </c:pt>
                <c:pt idx="720">
                  <c:v>1.0148335431708726</c:v>
                </c:pt>
                <c:pt idx="721">
                  <c:v>1.0226523524873623</c:v>
                </c:pt>
                <c:pt idx="722">
                  <c:v>1.0450152323374016</c:v>
                </c:pt>
                <c:pt idx="723">
                  <c:v>1.0558058109301895</c:v>
                </c:pt>
                <c:pt idx="724">
                  <c:v>1.0634682678981235</c:v>
                </c:pt>
                <c:pt idx="725">
                  <c:v>1.0581513110892775</c:v>
                </c:pt>
                <c:pt idx="726">
                  <c:v>1.0558058109301895</c:v>
                </c:pt>
                <c:pt idx="727">
                  <c:v>1.0730075196843347</c:v>
                </c:pt>
                <c:pt idx="728">
                  <c:v>1.0623736256058018</c:v>
                </c:pt>
                <c:pt idx="729">
                  <c:v>1.061435355201195</c:v>
                </c:pt>
                <c:pt idx="730">
                  <c:v>1.0543979754617863</c:v>
                </c:pt>
                <c:pt idx="731">
                  <c:v>1.0536156470834017</c:v>
                </c:pt>
                <c:pt idx="732">
                  <c:v>1.0716002899298536</c:v>
                </c:pt>
                <c:pt idx="733">
                  <c:v>1.0748840409543892</c:v>
                </c:pt>
                <c:pt idx="734">
                  <c:v>1.1039715567684079</c:v>
                </c:pt>
                <c:pt idx="735">
                  <c:v>1.1025638776132745</c:v>
                </c:pt>
                <c:pt idx="736">
                  <c:v>1.1078808148829613</c:v>
                </c:pt>
                <c:pt idx="737">
                  <c:v>1.1141363156446369</c:v>
                </c:pt>
                <c:pt idx="738">
                  <c:v>1.1167948722056948</c:v>
                </c:pt>
                <c:pt idx="739">
                  <c:v>1.1011564720063642</c:v>
                </c:pt>
                <c:pt idx="740">
                  <c:v>1.1167948722056948</c:v>
                </c:pt>
                <c:pt idx="741">
                  <c:v>1.1141363156446369</c:v>
                </c:pt>
                <c:pt idx="742">
                  <c:v>1.1042838511431854</c:v>
                </c:pt>
                <c:pt idx="743">
                  <c:v>1.1275850013978315</c:v>
                </c:pt>
                <c:pt idx="744">
                  <c:v>1.1332149950694888</c:v>
                </c:pt>
                <c:pt idx="745">
                  <c:v>1.1341532654740951</c:v>
                </c:pt>
                <c:pt idx="746">
                  <c:v>1.1272718082217499</c:v>
                </c:pt>
                <c:pt idx="747">
                  <c:v>1.1366552742950096</c:v>
                </c:pt>
                <c:pt idx="748">
                  <c:v>1.1413464309264554</c:v>
                </c:pt>
                <c:pt idx="749">
                  <c:v>1.1449436877536132</c:v>
                </c:pt>
                <c:pt idx="750">
                  <c:v>1.1511984460272551</c:v>
                </c:pt>
                <c:pt idx="751">
                  <c:v>1.1427539733074772</c:v>
                </c:pt>
                <c:pt idx="752">
                  <c:v>1.1538577450763468</c:v>
                </c:pt>
                <c:pt idx="753">
                  <c:v>1.147289637313353</c:v>
                </c:pt>
                <c:pt idx="754">
                  <c:v>1.1385315024776825</c:v>
                </c:pt>
                <c:pt idx="755">
                  <c:v>1.1072556008803249</c:v>
                </c:pt>
                <c:pt idx="756">
                  <c:v>1.1219558869883191</c:v>
                </c:pt>
                <c:pt idx="757">
                  <c:v>1.1430668733961769</c:v>
                </c:pt>
                <c:pt idx="758">
                  <c:v>1.1513558730295443</c:v>
                </c:pt>
                <c:pt idx="759">
                  <c:v>1.151511795516607</c:v>
                </c:pt>
                <c:pt idx="760">
                  <c:v>1.1902945051430582</c:v>
                </c:pt>
                <c:pt idx="761">
                  <c:v>1.1879485555833185</c:v>
                </c:pt>
                <c:pt idx="762">
                  <c:v>1.2006153428196211</c:v>
                </c:pt>
                <c:pt idx="763">
                  <c:v>1.2036632757368433</c:v>
                </c:pt>
                <c:pt idx="764">
                  <c:v>1.2123021435473218</c:v>
                </c:pt>
                <c:pt idx="765">
                  <c:v>1.2058620758918122</c:v>
                </c:pt>
                <c:pt idx="766">
                  <c:v>1.2022493245117416</c:v>
                </c:pt>
                <c:pt idx="767">
                  <c:v>1.1863855401158858</c:v>
                </c:pt>
                <c:pt idx="768">
                  <c:v>1.1934536354128964</c:v>
                </c:pt>
                <c:pt idx="769">
                  <c:v>1.2242384788717993</c:v>
                </c:pt>
                <c:pt idx="770">
                  <c:v>1.217327810577078</c:v>
                </c:pt>
                <c:pt idx="771">
                  <c:v>1.2063324029828011</c:v>
                </c:pt>
                <c:pt idx="772">
                  <c:v>1.202563865889779</c:v>
                </c:pt>
                <c:pt idx="773">
                  <c:v>1.2116733538786284</c:v>
                </c:pt>
                <c:pt idx="774">
                  <c:v>1.2278522853664442</c:v>
                </c:pt>
                <c:pt idx="775">
                  <c:v>1.2187416054889093</c:v>
                </c:pt>
                <c:pt idx="776">
                  <c:v>1.1967525879029628</c:v>
                </c:pt>
                <c:pt idx="777">
                  <c:v>1.1956524355678653</c:v>
                </c:pt>
                <c:pt idx="778">
                  <c:v>1.1709932551605458</c:v>
                </c:pt>
                <c:pt idx="779">
                  <c:v>1.1345529194277777</c:v>
                </c:pt>
                <c:pt idx="780">
                  <c:v>1.1518313975367684</c:v>
                </c:pt>
                <c:pt idx="781">
                  <c:v>1.1799456287736465</c:v>
                </c:pt>
                <c:pt idx="782">
                  <c:v>1.1540297678302447</c:v>
                </c:pt>
                <c:pt idx="783">
                  <c:v>1.1526161096925249</c:v>
                </c:pt>
                <c:pt idx="784">
                  <c:v>1.1845012617997956</c:v>
                </c:pt>
                <c:pt idx="785">
                  <c:v>1.1771183320373657</c:v>
                </c:pt>
                <c:pt idx="786">
                  <c:v>1.1631397052197454</c:v>
                </c:pt>
                <c:pt idx="787">
                  <c:v>1.166752163512434</c:v>
                </c:pt>
                <c:pt idx="788">
                  <c:v>1.1485322887334317</c:v>
                </c:pt>
                <c:pt idx="789">
                  <c:v>1.1566999501907764</c:v>
                </c:pt>
                <c:pt idx="790">
                  <c:v>1.1862284062009789</c:v>
                </c:pt>
                <c:pt idx="791">
                  <c:v>1.2014640066420634</c:v>
                </c:pt>
                <c:pt idx="792">
                  <c:v>1.2050770706486742</c:v>
                </c:pt>
                <c:pt idx="793">
                  <c:v>1.196909116103948</c:v>
                </c:pt>
                <c:pt idx="794">
                  <c:v>1.2105733578568012</c:v>
                </c:pt>
                <c:pt idx="795">
                  <c:v>1.203977074626847</c:v>
                </c:pt>
                <c:pt idx="796">
                  <c:v>1.1871711510729459</c:v>
                </c:pt>
                <c:pt idx="797">
                  <c:v>1.1518313975367684</c:v>
                </c:pt>
                <c:pt idx="798">
                  <c:v>1.1534017206495846</c:v>
                </c:pt>
                <c:pt idx="799">
                  <c:v>1.1447631654656467</c:v>
                </c:pt>
                <c:pt idx="800">
                  <c:v>1.1320406134701866</c:v>
                </c:pt>
                <c:pt idx="801">
                  <c:v>1.1364383896325534</c:v>
                </c:pt>
                <c:pt idx="802">
                  <c:v>1.1299978725763919</c:v>
                </c:pt>
                <c:pt idx="803">
                  <c:v>1.1064381020161362</c:v>
                </c:pt>
                <c:pt idx="804">
                  <c:v>1.0943440466019876</c:v>
                </c:pt>
                <c:pt idx="805">
                  <c:v>1.0863339489210437</c:v>
                </c:pt>
                <c:pt idx="806">
                  <c:v>1.0553910922850882</c:v>
                </c:pt>
                <c:pt idx="807">
                  <c:v>1.0377992646867455</c:v>
                </c:pt>
                <c:pt idx="808">
                  <c:v>1.0728258055076823</c:v>
                </c:pt>
                <c:pt idx="809">
                  <c:v>1.076437970712989</c:v>
                </c:pt>
                <c:pt idx="810">
                  <c:v>1.0775376736474351</c:v>
                </c:pt>
                <c:pt idx="811">
                  <c:v>1.0816214946065279</c:v>
                </c:pt>
                <c:pt idx="812">
                  <c:v>1.0748676476001733</c:v>
                </c:pt>
                <c:pt idx="813">
                  <c:v>1.0999981906738969</c:v>
                </c:pt>
                <c:pt idx="814">
                  <c:v>1.0695263840778049</c:v>
                </c:pt>
                <c:pt idx="815">
                  <c:v>1.064972099253612</c:v>
                </c:pt>
                <c:pt idx="816">
                  <c:v>1.0129831066777886</c:v>
                </c:pt>
                <c:pt idx="817">
                  <c:v>1.0120405181190919</c:v>
                </c:pt>
                <c:pt idx="818">
                  <c:v>1.027275532385413</c:v>
                </c:pt>
                <c:pt idx="819">
                  <c:v>1.0728258055076823</c:v>
                </c:pt>
                <c:pt idx="820">
                  <c:v>1.0740820366431132</c:v>
                </c:pt>
                <c:pt idx="821">
                  <c:v>1.0905746107076624</c:v>
                </c:pt>
                <c:pt idx="822">
                  <c:v>1.064030116408837</c:v>
                </c:pt>
                <c:pt idx="823">
                  <c:v>1.0877465714833479</c:v>
                </c:pt>
                <c:pt idx="824">
                  <c:v>1.0743961286204988</c:v>
                </c:pt>
                <c:pt idx="825">
                  <c:v>1.096385576067938</c:v>
                </c:pt>
                <c:pt idx="826">
                  <c:v>1.1178261490060937</c:v>
                </c:pt>
                <c:pt idx="827">
                  <c:v>1.1219309941000337</c:v>
                </c:pt>
                <c:pt idx="828">
                  <c:v>1.1424556689703858</c:v>
                </c:pt>
                <c:pt idx="829">
                  <c:v>1.1389818410092398</c:v>
                </c:pt>
                <c:pt idx="830">
                  <c:v>1.0909860467740886</c:v>
                </c:pt>
                <c:pt idx="831">
                  <c:v>1.1070905926844294</c:v>
                </c:pt>
                <c:pt idx="832">
                  <c:v>1.0733034207048964</c:v>
                </c:pt>
                <c:pt idx="833">
                  <c:v>1.0837235563863779</c:v>
                </c:pt>
                <c:pt idx="834">
                  <c:v>1.1025120011467142</c:v>
                </c:pt>
                <c:pt idx="835">
                  <c:v>1.0965121507385138</c:v>
                </c:pt>
                <c:pt idx="836">
                  <c:v>1.1487705101572754</c:v>
                </c:pt>
                <c:pt idx="837">
                  <c:v>1.1552442633225213</c:v>
                </c:pt>
                <c:pt idx="838">
                  <c:v>1.16945335451795</c:v>
                </c:pt>
                <c:pt idx="839">
                  <c:v>1.1596645290566441</c:v>
                </c:pt>
                <c:pt idx="840">
                  <c:v>1.1391401668128327</c:v>
                </c:pt>
                <c:pt idx="841">
                  <c:v>1.1364565610502186</c:v>
                </c:pt>
                <c:pt idx="842">
                  <c:v>1.1178261490060937</c:v>
                </c:pt>
                <c:pt idx="843">
                  <c:v>1.1181414328721648</c:v>
                </c:pt>
                <c:pt idx="844">
                  <c:v>1.1078802287081984</c:v>
                </c:pt>
                <c:pt idx="845">
                  <c:v>1.143244855593502</c:v>
                </c:pt>
                <c:pt idx="846">
                  <c:v>1.1381923612987412</c:v>
                </c:pt>
                <c:pt idx="847">
                  <c:v>1.152876254052519</c:v>
                </c:pt>
                <c:pt idx="848">
                  <c:v>1.1688218879845036</c:v>
                </c:pt>
                <c:pt idx="849">
                  <c:v>1.1745055361861705</c:v>
                </c:pt>
                <c:pt idx="850">
                  <c:v>1.1546121910751528</c:v>
                </c:pt>
                <c:pt idx="851">
                  <c:v>1.1328248762252908</c:v>
                </c:pt>
                <c:pt idx="852">
                  <c:v>1.1145099043605073</c:v>
                </c:pt>
                <c:pt idx="853">
                  <c:v>1.114983943891664</c:v>
                </c:pt>
                <c:pt idx="854">
                  <c:v>1.1498761725351487</c:v>
                </c:pt>
                <c:pt idx="855">
                  <c:v>1.1895042634053672</c:v>
                </c:pt>
                <c:pt idx="856">
                  <c:v>1.1895042634053672</c:v>
                </c:pt>
                <c:pt idx="857">
                  <c:v>1.1741892167446841</c:v>
                </c:pt>
                <c:pt idx="858">
                  <c:v>1.1722954033191093</c:v>
                </c:pt>
                <c:pt idx="859">
                  <c:v>1.1572957772986081</c:v>
                </c:pt>
                <c:pt idx="860">
                  <c:v>1.2000827053512833</c:v>
                </c:pt>
                <c:pt idx="861">
                  <c:v>1.2043457199355458</c:v>
                </c:pt>
                <c:pt idx="862">
                  <c:v>1.2153970290630918</c:v>
                </c:pt>
                <c:pt idx="863">
                  <c:v>1.2180810646871989</c:v>
                </c:pt>
                <c:pt idx="864">
                  <c:v>1.219975620600807</c:v>
                </c:pt>
                <c:pt idx="865">
                  <c:v>1.2236071686516237</c:v>
                </c:pt>
                <c:pt idx="866">
                  <c:v>1.2225016430478619</c:v>
                </c:pt>
                <c:pt idx="867">
                  <c:v>1.222817083227203</c:v>
                </c:pt>
                <c:pt idx="868">
                  <c:v>1.2253428125868759</c:v>
                </c:pt>
                <c:pt idx="869">
                  <c:v>1.2417641273393549</c:v>
                </c:pt>
                <c:pt idx="870">
                  <c:v>1.2447633100554216</c:v>
                </c:pt>
                <c:pt idx="871">
                  <c:v>1.2449207175185517</c:v>
                </c:pt>
                <c:pt idx="872">
                  <c:v>1.2381312506257416</c:v>
                </c:pt>
                <c:pt idx="873">
                  <c:v>1.2390794860013257</c:v>
                </c:pt>
                <c:pt idx="874">
                  <c:v>1.2207649635371944</c:v>
                </c:pt>
                <c:pt idx="875">
                  <c:v>1.234184868109506</c:v>
                </c:pt>
                <c:pt idx="876">
                  <c:v>1.2346578720652475</c:v>
                </c:pt>
                <c:pt idx="877">
                  <c:v>1.232447582884916</c:v>
                </c:pt>
                <c:pt idx="878">
                  <c:v>1.234184868109506</c:v>
                </c:pt>
                <c:pt idx="879">
                  <c:v>1.2180810646871989</c:v>
                </c:pt>
                <c:pt idx="880">
                  <c:v>1.228659799720496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0E-4569-AF08-01DBE10AF49C}"/>
            </c:ext>
          </c:extLst>
        </c:ser>
        <c:ser>
          <c:idx val="1"/>
          <c:order val="1"/>
          <c:tx>
            <c:strRef>
              <c:f>'Cap8. DCA Vs Lump Sum'!$AO$2:$AO$363</c:f>
              <c:strCache>
                <c:ptCount val="362"/>
                <c:pt idx="361">
                  <c:v>R (DCA)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'Cap8. DCA Vs Lump Sum'!$AO$364:$AO$1250</c:f>
              <c:numCache>
                <c:formatCode>0%</c:formatCode>
                <c:ptCount val="887"/>
                <c:pt idx="0">
                  <c:v>0</c:v>
                </c:pt>
                <c:pt idx="1">
                  <c:v>5.9609459891538874E-2</c:v>
                </c:pt>
                <c:pt idx="2">
                  <c:v>6.6510163215282914E-2</c:v>
                </c:pt>
                <c:pt idx="3">
                  <c:v>0.10850112455674443</c:v>
                </c:pt>
                <c:pt idx="4">
                  <c:v>0.11716332212280611</c:v>
                </c:pt>
                <c:pt idx="5">
                  <c:v>0.11378638885004944</c:v>
                </c:pt>
                <c:pt idx="6">
                  <c:v>0.14784933651660093</c:v>
                </c:pt>
                <c:pt idx="7">
                  <c:v>0.17354291998972382</c:v>
                </c:pt>
                <c:pt idx="8">
                  <c:v>0.15900803286080101</c:v>
                </c:pt>
                <c:pt idx="9">
                  <c:v>0.13432745707461757</c:v>
                </c:pt>
                <c:pt idx="10">
                  <c:v>0.21580504577673199</c:v>
                </c:pt>
                <c:pt idx="11">
                  <c:v>0.19184954863370862</c:v>
                </c:pt>
                <c:pt idx="12">
                  <c:v>0.20441901132012896</c:v>
                </c:pt>
                <c:pt idx="13">
                  <c:v>0.22896564617287662</c:v>
                </c:pt>
                <c:pt idx="14">
                  <c:v>0.2067850080567768</c:v>
                </c:pt>
                <c:pt idx="15">
                  <c:v>0.16508531695524575</c:v>
                </c:pt>
                <c:pt idx="16">
                  <c:v>0.1758795493707257</c:v>
                </c:pt>
                <c:pt idx="17">
                  <c:v>0.19865185275383723</c:v>
                </c:pt>
                <c:pt idx="18">
                  <c:v>0.23369793273355421</c:v>
                </c:pt>
                <c:pt idx="19">
                  <c:v>0.24597147486025395</c:v>
                </c:pt>
                <c:pt idx="20">
                  <c:v>0.23621127426656052</c:v>
                </c:pt>
                <c:pt idx="21">
                  <c:v>0.20737636069724807</c:v>
                </c:pt>
                <c:pt idx="22">
                  <c:v>0.22038914735722326</c:v>
                </c:pt>
                <c:pt idx="23">
                  <c:v>0.26889090810897742</c:v>
                </c:pt>
                <c:pt idx="24">
                  <c:v>0.26918712175607973</c:v>
                </c:pt>
                <c:pt idx="25">
                  <c:v>0.24730201341652425</c:v>
                </c:pt>
                <c:pt idx="26">
                  <c:v>0.26061011492229791</c:v>
                </c:pt>
                <c:pt idx="27">
                  <c:v>0.27909413958884444</c:v>
                </c:pt>
                <c:pt idx="28">
                  <c:v>0.28767114642262626</c:v>
                </c:pt>
                <c:pt idx="29">
                  <c:v>0.23369793273355421</c:v>
                </c:pt>
                <c:pt idx="30">
                  <c:v>0.25780055974218952</c:v>
                </c:pt>
                <c:pt idx="31">
                  <c:v>0.25011127550925116</c:v>
                </c:pt>
                <c:pt idx="32">
                  <c:v>0.26238481763595112</c:v>
                </c:pt>
                <c:pt idx="33">
                  <c:v>0.28146035125623903</c:v>
                </c:pt>
                <c:pt idx="34">
                  <c:v>0.26933544351037719</c:v>
                </c:pt>
                <c:pt idx="35">
                  <c:v>0.26534195208232347</c:v>
                </c:pt>
                <c:pt idx="36">
                  <c:v>0.29225495491573583</c:v>
                </c:pt>
                <c:pt idx="37">
                  <c:v>0.29269888460321325</c:v>
                </c:pt>
                <c:pt idx="38">
                  <c:v>0.29964876798960605</c:v>
                </c:pt>
                <c:pt idx="39">
                  <c:v>0.34386246495554174</c:v>
                </c:pt>
                <c:pt idx="40">
                  <c:v>0.33927836337505046</c:v>
                </c:pt>
                <c:pt idx="41">
                  <c:v>0.3624943815148931</c:v>
                </c:pt>
                <c:pt idx="42">
                  <c:v>0.34356656393498031</c:v>
                </c:pt>
                <c:pt idx="43">
                  <c:v>0.37491534659458647</c:v>
                </c:pt>
                <c:pt idx="44">
                  <c:v>0.34918583060846742</c:v>
                </c:pt>
                <c:pt idx="45">
                  <c:v>0.34519308166844742</c:v>
                </c:pt>
                <c:pt idx="46">
                  <c:v>0.31133064484929429</c:v>
                </c:pt>
                <c:pt idx="47">
                  <c:v>0.32256872879561649</c:v>
                </c:pt>
                <c:pt idx="48">
                  <c:v>0.31177428144939001</c:v>
                </c:pt>
                <c:pt idx="49">
                  <c:v>0.34903795825482198</c:v>
                </c:pt>
                <c:pt idx="50">
                  <c:v>0.34741187038284793</c:v>
                </c:pt>
                <c:pt idx="51">
                  <c:v>0.33839109017485924</c:v>
                </c:pt>
                <c:pt idx="52">
                  <c:v>0.31916795774914841</c:v>
                </c:pt>
                <c:pt idx="53">
                  <c:v>0.31635795316838822</c:v>
                </c:pt>
                <c:pt idx="54">
                  <c:v>0.35007355320931088</c:v>
                </c:pt>
                <c:pt idx="55">
                  <c:v>0.3259701055560067</c:v>
                </c:pt>
                <c:pt idx="56">
                  <c:v>0.34445370036106016</c:v>
                </c:pt>
                <c:pt idx="57">
                  <c:v>0.36826122745464396</c:v>
                </c:pt>
                <c:pt idx="58">
                  <c:v>0.40138441974052164</c:v>
                </c:pt>
                <c:pt idx="59">
                  <c:v>0.40256759396127451</c:v>
                </c:pt>
                <c:pt idx="60">
                  <c:v>0.38482326322865523</c:v>
                </c:pt>
                <c:pt idx="61">
                  <c:v>0.39783501431321522</c:v>
                </c:pt>
                <c:pt idx="62">
                  <c:v>0.39813136473442889</c:v>
                </c:pt>
                <c:pt idx="63">
                  <c:v>0.39236481188205952</c:v>
                </c:pt>
                <c:pt idx="64">
                  <c:v>0.20060507012504769</c:v>
                </c:pt>
                <c:pt idx="65">
                  <c:v>0.1975611750065509</c:v>
                </c:pt>
                <c:pt idx="66">
                  <c:v>0.20288931152945699</c:v>
                </c:pt>
                <c:pt idx="67">
                  <c:v>0.20618719563855037</c:v>
                </c:pt>
                <c:pt idx="68">
                  <c:v>0.1785317304532219</c:v>
                </c:pt>
                <c:pt idx="69">
                  <c:v>0.1625466839004992</c:v>
                </c:pt>
                <c:pt idx="70">
                  <c:v>0.16140591259862092</c:v>
                </c:pt>
                <c:pt idx="71">
                  <c:v>0.16990582716038127</c:v>
                </c:pt>
                <c:pt idx="72">
                  <c:v>0.17421711929584172</c:v>
                </c:pt>
                <c:pt idx="73">
                  <c:v>0.13900618567521739</c:v>
                </c:pt>
                <c:pt idx="74">
                  <c:v>0.1398988517071762</c:v>
                </c:pt>
                <c:pt idx="75">
                  <c:v>0.14972293867602349</c:v>
                </c:pt>
                <c:pt idx="76">
                  <c:v>0.17472739377199997</c:v>
                </c:pt>
                <c:pt idx="77">
                  <c:v>0.17166571338957604</c:v>
                </c:pt>
                <c:pt idx="78">
                  <c:v>0.18263761200982986</c:v>
                </c:pt>
                <c:pt idx="79">
                  <c:v>0.17306878799958914</c:v>
                </c:pt>
                <c:pt idx="80">
                  <c:v>0.1779168229728858</c:v>
                </c:pt>
                <c:pt idx="81">
                  <c:v>0.1457674523955268</c:v>
                </c:pt>
                <c:pt idx="82">
                  <c:v>0.14564007235727816</c:v>
                </c:pt>
                <c:pt idx="83">
                  <c:v>0.12344164914216882</c:v>
                </c:pt>
                <c:pt idx="84">
                  <c:v>0.12267634638572167</c:v>
                </c:pt>
                <c:pt idx="85">
                  <c:v>0.12484510929513215</c:v>
                </c:pt>
                <c:pt idx="86">
                  <c:v>0.12216632335061783</c:v>
                </c:pt>
                <c:pt idx="87">
                  <c:v>0.14946729017446669</c:v>
                </c:pt>
                <c:pt idx="88">
                  <c:v>0.15597354537722419</c:v>
                </c:pt>
                <c:pt idx="89">
                  <c:v>0.18978204137184029</c:v>
                </c:pt>
                <c:pt idx="90">
                  <c:v>0.18786817264082312</c:v>
                </c:pt>
                <c:pt idx="91">
                  <c:v>0.20088093448739253</c:v>
                </c:pt>
                <c:pt idx="92">
                  <c:v>0.21363893625746466</c:v>
                </c:pt>
                <c:pt idx="93">
                  <c:v>0.2192520057834173</c:v>
                </c:pt>
                <c:pt idx="94">
                  <c:v>0.21899674282481074</c:v>
                </c:pt>
                <c:pt idx="95">
                  <c:v>0.24591531809285927</c:v>
                </c:pt>
                <c:pt idx="96">
                  <c:v>0.25101836458370808</c:v>
                </c:pt>
                <c:pt idx="97">
                  <c:v>0.25471833646454378</c:v>
                </c:pt>
                <c:pt idx="98">
                  <c:v>0.24884986987808899</c:v>
                </c:pt>
                <c:pt idx="99">
                  <c:v>0.24578805539376947</c:v>
                </c:pt>
                <c:pt idx="100">
                  <c:v>0.25880069990118004</c:v>
                </c:pt>
                <c:pt idx="101">
                  <c:v>0.2605871885939488</c:v>
                </c:pt>
                <c:pt idx="102">
                  <c:v>0.28138215165609481</c:v>
                </c:pt>
                <c:pt idx="103">
                  <c:v>0.28469884355607022</c:v>
                </c:pt>
                <c:pt idx="104">
                  <c:v>0.280999240455448</c:v>
                </c:pt>
                <c:pt idx="105">
                  <c:v>0.27436523643422839</c:v>
                </c:pt>
                <c:pt idx="106">
                  <c:v>0.29107758461868372</c:v>
                </c:pt>
                <c:pt idx="107">
                  <c:v>0.28839881543690615</c:v>
                </c:pt>
                <c:pt idx="108">
                  <c:v>0.27232437320791281</c:v>
                </c:pt>
                <c:pt idx="109">
                  <c:v>0.28597492367078514</c:v>
                </c:pt>
                <c:pt idx="110">
                  <c:v>0.29579837365562756</c:v>
                </c:pt>
                <c:pt idx="111">
                  <c:v>0.28584702398769046</c:v>
                </c:pt>
                <c:pt idx="112">
                  <c:v>0.25420792788648972</c:v>
                </c:pt>
                <c:pt idx="113">
                  <c:v>0.26415900935063541</c:v>
                </c:pt>
                <c:pt idx="114">
                  <c:v>0.27525842211103368</c:v>
                </c:pt>
                <c:pt idx="115">
                  <c:v>0.28839881543690615</c:v>
                </c:pt>
                <c:pt idx="116">
                  <c:v>0.31365853349148898</c:v>
                </c:pt>
                <c:pt idx="117">
                  <c:v>0.3135315389961908</c:v>
                </c:pt>
                <c:pt idx="118">
                  <c:v>0.31608292813971928</c:v>
                </c:pt>
                <c:pt idx="119">
                  <c:v>0.31621017407607233</c:v>
                </c:pt>
                <c:pt idx="120">
                  <c:v>0.31914499406509345</c:v>
                </c:pt>
                <c:pt idx="121">
                  <c:v>0.31888959700459152</c:v>
                </c:pt>
                <c:pt idx="122">
                  <c:v>0.30715266383168194</c:v>
                </c:pt>
                <c:pt idx="123">
                  <c:v>0.27831970018776997</c:v>
                </c:pt>
                <c:pt idx="124">
                  <c:v>0.27347205075742353</c:v>
                </c:pt>
                <c:pt idx="125">
                  <c:v>0.28406117227892658</c:v>
                </c:pt>
                <c:pt idx="126">
                  <c:v>0.30204973467999197</c:v>
                </c:pt>
                <c:pt idx="127">
                  <c:v>0.31327614193568842</c:v>
                </c:pt>
                <c:pt idx="128">
                  <c:v>0.21552761212026206</c:v>
                </c:pt>
                <c:pt idx="129">
                  <c:v>0.22794914623600659</c:v>
                </c:pt>
                <c:pt idx="130">
                  <c:v>0.22771445113709055</c:v>
                </c:pt>
                <c:pt idx="131">
                  <c:v>0.23369068476360111</c:v>
                </c:pt>
                <c:pt idx="132">
                  <c:v>0.23884710991790814</c:v>
                </c:pt>
                <c:pt idx="133">
                  <c:v>0.25759600419239437</c:v>
                </c:pt>
                <c:pt idx="134">
                  <c:v>0.25572095309739074</c:v>
                </c:pt>
                <c:pt idx="135">
                  <c:v>0.25652197733941162</c:v>
                </c:pt>
                <c:pt idx="136">
                  <c:v>0.25334314670061509</c:v>
                </c:pt>
                <c:pt idx="137">
                  <c:v>0.26064291410643103</c:v>
                </c:pt>
                <c:pt idx="138">
                  <c:v>0.25016373097923861</c:v>
                </c:pt>
                <c:pt idx="139">
                  <c:v>0.23638848514061572</c:v>
                </c:pt>
                <c:pt idx="140">
                  <c:v>0.22979471224838721</c:v>
                </c:pt>
                <c:pt idx="141">
                  <c:v>0.25181217035306824</c:v>
                </c:pt>
                <c:pt idx="142">
                  <c:v>0.24804459267022727</c:v>
                </c:pt>
                <c:pt idx="143">
                  <c:v>0.24321755361125041</c:v>
                </c:pt>
                <c:pt idx="144">
                  <c:v>0.21236898222736666</c:v>
                </c:pt>
                <c:pt idx="145">
                  <c:v>0.20671802372121961</c:v>
                </c:pt>
                <c:pt idx="146">
                  <c:v>0.2247317925284249</c:v>
                </c:pt>
                <c:pt idx="147">
                  <c:v>0.24227532430774801</c:v>
                </c:pt>
                <c:pt idx="148">
                  <c:v>0.24568980465388046</c:v>
                </c:pt>
                <c:pt idx="149">
                  <c:v>0.25522665069920047</c:v>
                </c:pt>
                <c:pt idx="150">
                  <c:v>0.26287953083863558</c:v>
                </c:pt>
                <c:pt idx="151">
                  <c:v>0.26782520308905422</c:v>
                </c:pt>
                <c:pt idx="152">
                  <c:v>0.26523478076228213</c:v>
                </c:pt>
                <c:pt idx="153">
                  <c:v>0.28701660455653766</c:v>
                </c:pt>
                <c:pt idx="154">
                  <c:v>0.29172594963558174</c:v>
                </c:pt>
                <c:pt idx="155">
                  <c:v>0.28207151738869829</c:v>
                </c:pt>
                <c:pt idx="156">
                  <c:v>0.2926680403668942</c:v>
                </c:pt>
                <c:pt idx="157">
                  <c:v>0.2858388641178895</c:v>
                </c:pt>
                <c:pt idx="158">
                  <c:v>0.27430057374349093</c:v>
                </c:pt>
                <c:pt idx="159">
                  <c:v>0.28725225426387313</c:v>
                </c:pt>
                <c:pt idx="160">
                  <c:v>0.27253454816809808</c:v>
                </c:pt>
                <c:pt idx="161">
                  <c:v>0.25875871724689614</c:v>
                </c:pt>
                <c:pt idx="162">
                  <c:v>0.25298944888441666</c:v>
                </c:pt>
                <c:pt idx="163">
                  <c:v>0.22932401331320529</c:v>
                </c:pt>
                <c:pt idx="164">
                  <c:v>0.25569805789224165</c:v>
                </c:pt>
                <c:pt idx="165">
                  <c:v>0.21931586785321433</c:v>
                </c:pt>
                <c:pt idx="166">
                  <c:v>0.22826432098341987</c:v>
                </c:pt>
                <c:pt idx="167">
                  <c:v>0.23214983899675334</c:v>
                </c:pt>
                <c:pt idx="168">
                  <c:v>0.23532914693975981</c:v>
                </c:pt>
                <c:pt idx="169">
                  <c:v>0.25805249177965872</c:v>
                </c:pt>
                <c:pt idx="170">
                  <c:v>0.2613490163983887</c:v>
                </c:pt>
                <c:pt idx="171">
                  <c:v>0.29007784899377165</c:v>
                </c:pt>
                <c:pt idx="172">
                  <c:v>0.29031302139689763</c:v>
                </c:pt>
                <c:pt idx="173">
                  <c:v>0.29690714841805588</c:v>
                </c:pt>
                <c:pt idx="174">
                  <c:v>0.28371983358724817</c:v>
                </c:pt>
                <c:pt idx="175">
                  <c:v>0.29066648825944585</c:v>
                </c:pt>
                <c:pt idx="176">
                  <c:v>0.30938719079174759</c:v>
                </c:pt>
                <c:pt idx="177">
                  <c:v>0.31091792078873426</c:v>
                </c:pt>
                <c:pt idx="178">
                  <c:v>0.3100935240373548</c:v>
                </c:pt>
                <c:pt idx="179">
                  <c:v>0.29302115310051291</c:v>
                </c:pt>
                <c:pt idx="180">
                  <c:v>0.28842940961994179</c:v>
                </c:pt>
                <c:pt idx="181">
                  <c:v>0.30479603239375597</c:v>
                </c:pt>
                <c:pt idx="182">
                  <c:v>0.30679687624334506</c:v>
                </c:pt>
                <c:pt idx="183">
                  <c:v>0.31138851194554618</c:v>
                </c:pt>
                <c:pt idx="184">
                  <c:v>0.29007784899377165</c:v>
                </c:pt>
                <c:pt idx="185">
                  <c:v>0.29443431229284656</c:v>
                </c:pt>
                <c:pt idx="186">
                  <c:v>0.31044699089990302</c:v>
                </c:pt>
                <c:pt idx="187">
                  <c:v>0.30985788972692907</c:v>
                </c:pt>
                <c:pt idx="188">
                  <c:v>0.2996150491680214</c:v>
                </c:pt>
                <c:pt idx="189">
                  <c:v>0.30703227960012081</c:v>
                </c:pt>
                <c:pt idx="190">
                  <c:v>0.30503060431739248</c:v>
                </c:pt>
                <c:pt idx="191">
                  <c:v>0.29054902523316284</c:v>
                </c:pt>
                <c:pt idx="192">
                  <c:v>0.22168030055260735</c:v>
                </c:pt>
                <c:pt idx="193">
                  <c:v>0.22856520956644188</c:v>
                </c:pt>
                <c:pt idx="194">
                  <c:v>0.23378367890192098</c:v>
                </c:pt>
                <c:pt idx="195">
                  <c:v>0.242223041964851</c:v>
                </c:pt>
                <c:pt idx="196">
                  <c:v>0.23644885556093675</c:v>
                </c:pt>
                <c:pt idx="197">
                  <c:v>0.23833676889300981</c:v>
                </c:pt>
                <c:pt idx="198">
                  <c:v>0.22345720115961654</c:v>
                </c:pt>
                <c:pt idx="199">
                  <c:v>0.23037855777840965</c:v>
                </c:pt>
                <c:pt idx="200">
                  <c:v>0.2428822063391527</c:v>
                </c:pt>
                <c:pt idx="201">
                  <c:v>0.24734811249750344</c:v>
                </c:pt>
                <c:pt idx="202">
                  <c:v>0.24980357747890403</c:v>
                </c:pt>
                <c:pt idx="203">
                  <c:v>0.25572099861401854</c:v>
                </c:pt>
                <c:pt idx="204">
                  <c:v>0.25840002826711062</c:v>
                </c:pt>
                <c:pt idx="205">
                  <c:v>0.25661381972592667</c:v>
                </c:pt>
                <c:pt idx="206">
                  <c:v>0.25616724217895404</c:v>
                </c:pt>
                <c:pt idx="207">
                  <c:v>0.24411038897955573</c:v>
                </c:pt>
                <c:pt idx="208">
                  <c:v>0.26520993653209546</c:v>
                </c:pt>
                <c:pt idx="209">
                  <c:v>0.26855944238588902</c:v>
                </c:pt>
                <c:pt idx="210">
                  <c:v>0.2694523796654622</c:v>
                </c:pt>
                <c:pt idx="211">
                  <c:v>0.27481144091775822</c:v>
                </c:pt>
                <c:pt idx="212">
                  <c:v>0.2790537678834597</c:v>
                </c:pt>
                <c:pt idx="213">
                  <c:v>0.28083986025697816</c:v>
                </c:pt>
                <c:pt idx="214">
                  <c:v>0.26889445541138812</c:v>
                </c:pt>
                <c:pt idx="215">
                  <c:v>0.27961169213753334</c:v>
                </c:pt>
                <c:pt idx="216">
                  <c:v>0.28307286415950705</c:v>
                </c:pt>
                <c:pt idx="217">
                  <c:v>0.26867100690736212</c:v>
                </c:pt>
                <c:pt idx="218">
                  <c:v>0.28452394350752641</c:v>
                </c:pt>
                <c:pt idx="219">
                  <c:v>0.2714619350639651</c:v>
                </c:pt>
                <c:pt idx="220">
                  <c:v>0.24701286713667381</c:v>
                </c:pt>
                <c:pt idx="221">
                  <c:v>0.21921475802625001</c:v>
                </c:pt>
                <c:pt idx="222">
                  <c:v>0.22546664039045416</c:v>
                </c:pt>
                <c:pt idx="223">
                  <c:v>0.22033102764218415</c:v>
                </c:pt>
                <c:pt idx="224">
                  <c:v>0.22613633245941567</c:v>
                </c:pt>
                <c:pt idx="225">
                  <c:v>0.21206982221480764</c:v>
                </c:pt>
                <c:pt idx="226">
                  <c:v>0.1988959152677352</c:v>
                </c:pt>
                <c:pt idx="227">
                  <c:v>0.21754011400653961</c:v>
                </c:pt>
                <c:pt idx="228">
                  <c:v>0.23227665030214628</c:v>
                </c:pt>
                <c:pt idx="229">
                  <c:v>0.22613633245941567</c:v>
                </c:pt>
                <c:pt idx="230">
                  <c:v>0.1882907948594732</c:v>
                </c:pt>
                <c:pt idx="231">
                  <c:v>0.19074659382291115</c:v>
                </c:pt>
                <c:pt idx="232">
                  <c:v>0.18215037537003531</c:v>
                </c:pt>
                <c:pt idx="233">
                  <c:v>0.19699837454040825</c:v>
                </c:pt>
                <c:pt idx="234">
                  <c:v>0.19465445955952299</c:v>
                </c:pt>
                <c:pt idx="235">
                  <c:v>0.20715812264122424</c:v>
                </c:pt>
                <c:pt idx="236">
                  <c:v>0.20615261889406522</c:v>
                </c:pt>
                <c:pt idx="237">
                  <c:v>0.2251315111972898</c:v>
                </c:pt>
                <c:pt idx="238">
                  <c:v>0.23093725164326551</c:v>
                </c:pt>
                <c:pt idx="239">
                  <c:v>0.23819330182647902</c:v>
                </c:pt>
                <c:pt idx="240">
                  <c:v>0.24076121710779996</c:v>
                </c:pt>
                <c:pt idx="241">
                  <c:v>0.24098456396511914</c:v>
                </c:pt>
                <c:pt idx="242">
                  <c:v>0.22591288395538944</c:v>
                </c:pt>
                <c:pt idx="243">
                  <c:v>0.23718869837872525</c:v>
                </c:pt>
                <c:pt idx="244">
                  <c:v>0.23551427217338694</c:v>
                </c:pt>
                <c:pt idx="245">
                  <c:v>0.23629531094944944</c:v>
                </c:pt>
                <c:pt idx="246">
                  <c:v>0.24913398705665002</c:v>
                </c:pt>
                <c:pt idx="247">
                  <c:v>0.25259482509658615</c:v>
                </c:pt>
                <c:pt idx="248">
                  <c:v>0.2537113270478506</c:v>
                </c:pt>
                <c:pt idx="249">
                  <c:v>0.25750719263424449</c:v>
                </c:pt>
                <c:pt idx="250">
                  <c:v>0.27548103134001245</c:v>
                </c:pt>
                <c:pt idx="251">
                  <c:v>0.27570404421529404</c:v>
                </c:pt>
                <c:pt idx="252">
                  <c:v>0.27782503344664677</c:v>
                </c:pt>
                <c:pt idx="253">
                  <c:v>0.28351888991007002</c:v>
                </c:pt>
                <c:pt idx="254">
                  <c:v>0.28887750101266363</c:v>
                </c:pt>
                <c:pt idx="255">
                  <c:v>0.28898951568383957</c:v>
                </c:pt>
                <c:pt idx="256">
                  <c:v>0.28932441254167385</c:v>
                </c:pt>
                <c:pt idx="257">
                  <c:v>0.29959562351725588</c:v>
                </c:pt>
                <c:pt idx="258">
                  <c:v>0.30729825124744203</c:v>
                </c:pt>
                <c:pt idx="259">
                  <c:v>0.30662821067548496</c:v>
                </c:pt>
                <c:pt idx="260">
                  <c:v>0.30001461124374207</c:v>
                </c:pt>
                <c:pt idx="261">
                  <c:v>0.30696467579679965</c:v>
                </c:pt>
                <c:pt idx="262">
                  <c:v>0.31615681985123012</c:v>
                </c:pt>
                <c:pt idx="263">
                  <c:v>0.30976733688758795</c:v>
                </c:pt>
                <c:pt idx="264">
                  <c:v>0.3076374753508051</c:v>
                </c:pt>
                <c:pt idx="265">
                  <c:v>0.30685277729328875</c:v>
                </c:pt>
                <c:pt idx="266">
                  <c:v>0.31514788915794756</c:v>
                </c:pt>
                <c:pt idx="267">
                  <c:v>0.31604492134771944</c:v>
                </c:pt>
                <c:pt idx="268">
                  <c:v>0.31156074782401499</c:v>
                </c:pt>
                <c:pt idx="269">
                  <c:v>0.32052854307501422</c:v>
                </c:pt>
                <c:pt idx="270">
                  <c:v>0.33129031557980815</c:v>
                </c:pt>
                <c:pt idx="271">
                  <c:v>0.33442920945658061</c:v>
                </c:pt>
                <c:pt idx="272">
                  <c:v>0.32680667933155516</c:v>
                </c:pt>
                <c:pt idx="273">
                  <c:v>0.33140219956236083</c:v>
                </c:pt>
                <c:pt idx="274">
                  <c:v>0.34014599451292415</c:v>
                </c:pt>
                <c:pt idx="275">
                  <c:v>0.34227608838503776</c:v>
                </c:pt>
                <c:pt idx="276">
                  <c:v>0.34328512072502737</c:v>
                </c:pt>
                <c:pt idx="277">
                  <c:v>0.35853018097507872</c:v>
                </c:pt>
                <c:pt idx="278">
                  <c:v>0.35965144580061681</c:v>
                </c:pt>
                <c:pt idx="279">
                  <c:v>0.33801624914380657</c:v>
                </c:pt>
                <c:pt idx="280">
                  <c:v>0.34306067027488885</c:v>
                </c:pt>
                <c:pt idx="281">
                  <c:v>0.35505580940214587</c:v>
                </c:pt>
                <c:pt idx="282">
                  <c:v>0.35258927945063401</c:v>
                </c:pt>
                <c:pt idx="283">
                  <c:v>0.35662455207406185</c:v>
                </c:pt>
                <c:pt idx="284">
                  <c:v>0.36548046334250839</c:v>
                </c:pt>
                <c:pt idx="285">
                  <c:v>0.36032402754024995</c:v>
                </c:pt>
                <c:pt idx="286">
                  <c:v>0.32815152334974251</c:v>
                </c:pt>
                <c:pt idx="287">
                  <c:v>0.33824003162987015</c:v>
                </c:pt>
                <c:pt idx="288">
                  <c:v>0.35483147511967239</c:v>
                </c:pt>
                <c:pt idx="289">
                  <c:v>0.33185066483389325</c:v>
                </c:pt>
                <c:pt idx="290">
                  <c:v>0.34911402209925391</c:v>
                </c:pt>
                <c:pt idx="291">
                  <c:v>0.31739020099465121</c:v>
                </c:pt>
                <c:pt idx="292">
                  <c:v>0.30954300260511491</c:v>
                </c:pt>
                <c:pt idx="293">
                  <c:v>0.2660484783024355</c:v>
                </c:pt>
                <c:pt idx="294">
                  <c:v>0.24721582656874874</c:v>
                </c:pt>
                <c:pt idx="295">
                  <c:v>0.30214470511585523</c:v>
                </c:pt>
                <c:pt idx="296">
                  <c:v>0.29844521512870914</c:v>
                </c:pt>
                <c:pt idx="297">
                  <c:v>0.31660516895509727</c:v>
                </c:pt>
                <c:pt idx="298">
                  <c:v>0.30023896004717354</c:v>
                </c:pt>
                <c:pt idx="299">
                  <c:v>0.27669790215401613</c:v>
                </c:pt>
                <c:pt idx="300">
                  <c:v>0.27737103569005894</c:v>
                </c:pt>
                <c:pt idx="301">
                  <c:v>0.25999534429244275</c:v>
                </c:pt>
                <c:pt idx="302">
                  <c:v>0.25282116327128423</c:v>
                </c:pt>
                <c:pt idx="303">
                  <c:v>0.20551516335219877</c:v>
                </c:pt>
                <c:pt idx="304">
                  <c:v>0.22311465175683676</c:v>
                </c:pt>
                <c:pt idx="305">
                  <c:v>0.2074204582711785</c:v>
                </c:pt>
                <c:pt idx="306">
                  <c:v>0.20865340378585495</c:v>
                </c:pt>
                <c:pt idx="307">
                  <c:v>0.2013674404288508</c:v>
                </c:pt>
                <c:pt idx="308">
                  <c:v>0.24161105618358136</c:v>
                </c:pt>
                <c:pt idx="309">
                  <c:v>0.22602909518347092</c:v>
                </c:pt>
                <c:pt idx="310">
                  <c:v>0.20540293086665073</c:v>
                </c:pt>
                <c:pt idx="311">
                  <c:v>0.23679053370622749</c:v>
                </c:pt>
                <c:pt idx="312">
                  <c:v>0.24105059076183122</c:v>
                </c:pt>
                <c:pt idx="313">
                  <c:v>0.1974441679556409</c:v>
                </c:pt>
                <c:pt idx="314">
                  <c:v>0.18253435306641963</c:v>
                </c:pt>
                <c:pt idx="315">
                  <c:v>0.19520208845426779</c:v>
                </c:pt>
                <c:pt idx="316">
                  <c:v>0.18881182135888563</c:v>
                </c:pt>
                <c:pt idx="317">
                  <c:v>0.22356300086070413</c:v>
                </c:pt>
                <c:pt idx="318">
                  <c:v>0.22950435253485102</c:v>
                </c:pt>
                <c:pt idx="319">
                  <c:v>0.22759827348413153</c:v>
                </c:pt>
                <c:pt idx="320">
                  <c:v>0.2555111707687383</c:v>
                </c:pt>
                <c:pt idx="321">
                  <c:v>0.25506303947924325</c:v>
                </c:pt>
                <c:pt idx="322">
                  <c:v>0.25708066853047806</c:v>
                </c:pt>
                <c:pt idx="323">
                  <c:v>0.25844377991401912</c:v>
                </c:pt>
                <c:pt idx="324">
                  <c:v>0.25483957645425903</c:v>
                </c:pt>
                <c:pt idx="325">
                  <c:v>0.23411504716692444</c:v>
                </c:pt>
                <c:pt idx="326">
                  <c:v>0.2302857252929511</c:v>
                </c:pt>
                <c:pt idx="327">
                  <c:v>0.20989896801316443</c:v>
                </c:pt>
                <c:pt idx="328">
                  <c:v>0.21496755201861006</c:v>
                </c:pt>
                <c:pt idx="329">
                  <c:v>0.21113777999493388</c:v>
                </c:pt>
                <c:pt idx="330">
                  <c:v>0.17374381515156823</c:v>
                </c:pt>
                <c:pt idx="331">
                  <c:v>0.1625934037228236</c:v>
                </c:pt>
                <c:pt idx="332">
                  <c:v>0.15741204995637825</c:v>
                </c:pt>
                <c:pt idx="333">
                  <c:v>0.15110477013682844</c:v>
                </c:pt>
                <c:pt idx="334">
                  <c:v>0.15865129756689211</c:v>
                </c:pt>
                <c:pt idx="335">
                  <c:v>0.1951441353102874</c:v>
                </c:pt>
                <c:pt idx="336">
                  <c:v>0.20697067159245441</c:v>
                </c:pt>
                <c:pt idx="337">
                  <c:v>0.21598091160412869</c:v>
                </c:pt>
                <c:pt idx="338">
                  <c:v>0.21676948675747143</c:v>
                </c:pt>
                <c:pt idx="339">
                  <c:v>0.2351282905847778</c:v>
                </c:pt>
                <c:pt idx="340">
                  <c:v>0.2350157386381504</c:v>
                </c:pt>
                <c:pt idx="341">
                  <c:v>0.23535385914869389</c:v>
                </c:pt>
                <c:pt idx="342">
                  <c:v>0.20133863084787929</c:v>
                </c:pt>
                <c:pt idx="343">
                  <c:v>0.20843426800639975</c:v>
                </c:pt>
                <c:pt idx="344">
                  <c:v>0.22183794007429358</c:v>
                </c:pt>
                <c:pt idx="345">
                  <c:v>0.20595731200693557</c:v>
                </c:pt>
                <c:pt idx="346">
                  <c:v>0.23287578503545237</c:v>
                </c:pt>
                <c:pt idx="347">
                  <c:v>0.24357584346810501</c:v>
                </c:pt>
                <c:pt idx="348">
                  <c:v>0.25652906089320004</c:v>
                </c:pt>
                <c:pt idx="349">
                  <c:v>0.25641607331782779</c:v>
                </c:pt>
                <c:pt idx="350">
                  <c:v>0.24830662642408607</c:v>
                </c:pt>
                <c:pt idx="351">
                  <c:v>0.24222424720437741</c:v>
                </c:pt>
                <c:pt idx="352">
                  <c:v>0.24199857699375427</c:v>
                </c:pt>
                <c:pt idx="353">
                  <c:v>0.27004452981789773</c:v>
                </c:pt>
                <c:pt idx="354">
                  <c:v>0.26396248458022642</c:v>
                </c:pt>
                <c:pt idx="355">
                  <c:v>0.27240948566714374</c:v>
                </c:pt>
                <c:pt idx="356">
                  <c:v>0.27105833955311898</c:v>
                </c:pt>
                <c:pt idx="357">
                  <c:v>0.26587686961900814</c:v>
                </c:pt>
                <c:pt idx="358">
                  <c:v>0.27263493806339456</c:v>
                </c:pt>
                <c:pt idx="359">
                  <c:v>0.26576486946879041</c:v>
                </c:pt>
                <c:pt idx="360">
                  <c:v>0.23107341466784659</c:v>
                </c:pt>
                <c:pt idx="361">
                  <c:v>0.2235273228665271</c:v>
                </c:pt>
                <c:pt idx="362">
                  <c:v>0.21992311940676723</c:v>
                </c:pt>
                <c:pt idx="363">
                  <c:v>0.21936021446404763</c:v>
                </c:pt>
                <c:pt idx="364">
                  <c:v>0.23433983159910032</c:v>
                </c:pt>
                <c:pt idx="365">
                  <c:v>0.2365925549627983</c:v>
                </c:pt>
                <c:pt idx="366">
                  <c:v>0.21507988615086537</c:v>
                </c:pt>
                <c:pt idx="367">
                  <c:v>0.21113777999493388</c:v>
                </c:pt>
                <c:pt idx="368">
                  <c:v>0.20651999913528285</c:v>
                </c:pt>
                <c:pt idx="369">
                  <c:v>0.18861153378311024</c:v>
                </c:pt>
                <c:pt idx="370">
                  <c:v>0.19322919847509601</c:v>
                </c:pt>
                <c:pt idx="371">
                  <c:v>0.18523233256989835</c:v>
                </c:pt>
                <c:pt idx="372">
                  <c:v>0.20359135421157726</c:v>
                </c:pt>
                <c:pt idx="373">
                  <c:v>0.18613312568783114</c:v>
                </c:pt>
                <c:pt idx="374">
                  <c:v>0.18613312568783114</c:v>
                </c:pt>
                <c:pt idx="375">
                  <c:v>0.22161238603133571</c:v>
                </c:pt>
                <c:pt idx="376">
                  <c:v>0.23298868548507556</c:v>
                </c:pt>
                <c:pt idx="377">
                  <c:v>0.2489824318164291</c:v>
                </c:pt>
                <c:pt idx="378">
                  <c:v>0.2349032883382296</c:v>
                </c:pt>
                <c:pt idx="379">
                  <c:v>0.24357584346810501</c:v>
                </c:pt>
                <c:pt idx="380">
                  <c:v>0.24932043615930732</c:v>
                </c:pt>
                <c:pt idx="381">
                  <c:v>0.25562781762556419</c:v>
                </c:pt>
                <c:pt idx="382">
                  <c:v>0.26959395900743344</c:v>
                </c:pt>
                <c:pt idx="383">
                  <c:v>0.26880550002175596</c:v>
                </c:pt>
                <c:pt idx="384">
                  <c:v>0.27364895109203013</c:v>
                </c:pt>
                <c:pt idx="385">
                  <c:v>0.27331072893477915</c:v>
                </c:pt>
                <c:pt idx="386">
                  <c:v>0.27378666785913319</c:v>
                </c:pt>
                <c:pt idx="387">
                  <c:v>0.29326309175148157</c:v>
                </c:pt>
                <c:pt idx="388">
                  <c:v>0.29065861269753657</c:v>
                </c:pt>
                <c:pt idx="389">
                  <c:v>0.28431744096166245</c:v>
                </c:pt>
                <c:pt idx="390">
                  <c:v>0.2739000039375008</c:v>
                </c:pt>
                <c:pt idx="391">
                  <c:v>0.30017059537619883</c:v>
                </c:pt>
                <c:pt idx="392">
                  <c:v>0.29394242573665519</c:v>
                </c:pt>
                <c:pt idx="393">
                  <c:v>0.29847225315278614</c:v>
                </c:pt>
                <c:pt idx="394">
                  <c:v>0.29620756451957186</c:v>
                </c:pt>
                <c:pt idx="395">
                  <c:v>0.29235696944190726</c:v>
                </c:pt>
                <c:pt idx="396">
                  <c:v>0.29779235285024463</c:v>
                </c:pt>
                <c:pt idx="397">
                  <c:v>0.2880542498112566</c:v>
                </c:pt>
                <c:pt idx="398">
                  <c:v>0.31398507987113988</c:v>
                </c:pt>
                <c:pt idx="399">
                  <c:v>0.31387184543947932</c:v>
                </c:pt>
                <c:pt idx="400">
                  <c:v>0.31228650531239666</c:v>
                </c:pt>
                <c:pt idx="401">
                  <c:v>0.31964680145417534</c:v>
                </c:pt>
                <c:pt idx="402">
                  <c:v>0.32089236568148483</c:v>
                </c:pt>
                <c:pt idx="403">
                  <c:v>0.32496918276618225</c:v>
                </c:pt>
                <c:pt idx="404">
                  <c:v>0.33527318206526902</c:v>
                </c:pt>
                <c:pt idx="405">
                  <c:v>0.33006479027474667</c:v>
                </c:pt>
                <c:pt idx="406">
                  <c:v>0.33278260540705951</c:v>
                </c:pt>
                <c:pt idx="407">
                  <c:v>0.33935011531763171</c:v>
                </c:pt>
                <c:pt idx="408">
                  <c:v>0.32179837182339388</c:v>
                </c:pt>
                <c:pt idx="409">
                  <c:v>0.33470750361954282</c:v>
                </c:pt>
                <c:pt idx="410">
                  <c:v>0.33765120677685112</c:v>
                </c:pt>
                <c:pt idx="411">
                  <c:v>0.34014245139913557</c:v>
                </c:pt>
                <c:pt idx="412">
                  <c:v>0.34410559842342758</c:v>
                </c:pt>
                <c:pt idx="413">
                  <c:v>0.34433238674782829</c:v>
                </c:pt>
                <c:pt idx="414">
                  <c:v>0.340482009484536</c:v>
                </c:pt>
                <c:pt idx="415">
                  <c:v>0.3407087978089367</c:v>
                </c:pt>
                <c:pt idx="416">
                  <c:v>0.34172790769388306</c:v>
                </c:pt>
                <c:pt idx="417">
                  <c:v>0.34218070021094449</c:v>
                </c:pt>
                <c:pt idx="418">
                  <c:v>0.35282502720621389</c:v>
                </c:pt>
                <c:pt idx="419">
                  <c:v>0.35826052678221654</c:v>
                </c:pt>
                <c:pt idx="420">
                  <c:v>0.38441746268146759</c:v>
                </c:pt>
                <c:pt idx="421">
                  <c:v>0.38962662408277193</c:v>
                </c:pt>
                <c:pt idx="422">
                  <c:v>0.38702237736415723</c:v>
                </c:pt>
                <c:pt idx="423">
                  <c:v>0.37705750052172626</c:v>
                </c:pt>
                <c:pt idx="424">
                  <c:v>0.38260610384076621</c:v>
                </c:pt>
                <c:pt idx="425">
                  <c:v>0.37739727642149923</c:v>
                </c:pt>
                <c:pt idx="426">
                  <c:v>0.36109099550786405</c:v>
                </c:pt>
                <c:pt idx="427">
                  <c:v>0.35916609729538074</c:v>
                </c:pt>
                <c:pt idx="428">
                  <c:v>0.33799121501195439</c:v>
                </c:pt>
                <c:pt idx="429">
                  <c:v>0.3386707668115001</c:v>
                </c:pt>
                <c:pt idx="430">
                  <c:v>0.35837352887854679</c:v>
                </c:pt>
                <c:pt idx="431">
                  <c:v>0.36211011991376862</c:v>
                </c:pt>
                <c:pt idx="432">
                  <c:v>0.36097810957919885</c:v>
                </c:pt>
                <c:pt idx="433">
                  <c:v>0.34127479571574248</c:v>
                </c:pt>
                <c:pt idx="434">
                  <c:v>0.36109099550786405</c:v>
                </c:pt>
                <c:pt idx="435">
                  <c:v>0.34523817507536503</c:v>
                </c:pt>
                <c:pt idx="436">
                  <c:v>0.34931477434569014</c:v>
                </c:pt>
                <c:pt idx="437">
                  <c:v>0.34172790769388306</c:v>
                </c:pt>
                <c:pt idx="438">
                  <c:v>0.37026331845441862</c:v>
                </c:pt>
                <c:pt idx="439">
                  <c:v>0.38781449563128878</c:v>
                </c:pt>
                <c:pt idx="440">
                  <c:v>0.39155163846292029</c:v>
                </c:pt>
                <c:pt idx="441">
                  <c:v>0.3900793004321681</c:v>
                </c:pt>
                <c:pt idx="442">
                  <c:v>0.39087218831008164</c:v>
                </c:pt>
                <c:pt idx="443">
                  <c:v>0.39596746183660847</c:v>
                </c:pt>
                <c:pt idx="444">
                  <c:v>0.40140307758027616</c:v>
                </c:pt>
                <c:pt idx="445">
                  <c:v>0.40955604378559607</c:v>
                </c:pt>
                <c:pt idx="446">
                  <c:v>0.41046128031672291</c:v>
                </c:pt>
                <c:pt idx="447">
                  <c:v>0.4117076286757726</c:v>
                </c:pt>
                <c:pt idx="448">
                  <c:v>0.40525322250823792</c:v>
                </c:pt>
                <c:pt idx="449">
                  <c:v>0.41340620323451582</c:v>
                </c:pt>
                <c:pt idx="450">
                  <c:v>0.41492020189420309</c:v>
                </c:pt>
                <c:pt idx="451">
                  <c:v>0.41833518274829884</c:v>
                </c:pt>
                <c:pt idx="452">
                  <c:v>0.42732759102336382</c:v>
                </c:pt>
                <c:pt idx="453">
                  <c:v>0.43176701095404746</c:v>
                </c:pt>
                <c:pt idx="454">
                  <c:v>0.42971768265116905</c:v>
                </c:pt>
                <c:pt idx="455">
                  <c:v>0.43028733983942891</c:v>
                </c:pt>
                <c:pt idx="456">
                  <c:v>0.43233633416026973</c:v>
                </c:pt>
                <c:pt idx="457">
                  <c:v>0.43336043925482004</c:v>
                </c:pt>
                <c:pt idx="458">
                  <c:v>0.43108378535208947</c:v>
                </c:pt>
                <c:pt idx="459">
                  <c:v>0.43142556514408703</c:v>
                </c:pt>
                <c:pt idx="460">
                  <c:v>0.44622337988309058</c:v>
                </c:pt>
                <c:pt idx="461">
                  <c:v>0.44542660038839266</c:v>
                </c:pt>
                <c:pt idx="462">
                  <c:v>0.45293923590213225</c:v>
                </c:pt>
                <c:pt idx="463">
                  <c:v>0.45009369442192404</c:v>
                </c:pt>
                <c:pt idx="464">
                  <c:v>0.44724781895967847</c:v>
                </c:pt>
                <c:pt idx="465">
                  <c:v>0.44542660038839266</c:v>
                </c:pt>
                <c:pt idx="466">
                  <c:v>0.45054924592103429</c:v>
                </c:pt>
                <c:pt idx="467">
                  <c:v>0.46363939598149218</c:v>
                </c:pt>
                <c:pt idx="468">
                  <c:v>0.46124885420398387</c:v>
                </c:pt>
                <c:pt idx="469">
                  <c:v>0.47183557655826891</c:v>
                </c:pt>
                <c:pt idx="470">
                  <c:v>0.4743394544141446</c:v>
                </c:pt>
                <c:pt idx="471">
                  <c:v>0.45988341946713862</c:v>
                </c:pt>
                <c:pt idx="472">
                  <c:v>0.45794842918874079</c:v>
                </c:pt>
                <c:pt idx="473">
                  <c:v>0.46124885420398387</c:v>
                </c:pt>
                <c:pt idx="474">
                  <c:v>0.46955902430224539</c:v>
                </c:pt>
                <c:pt idx="475">
                  <c:v>0.47035613777898089</c:v>
                </c:pt>
                <c:pt idx="476">
                  <c:v>0.47604710457173227</c:v>
                </c:pt>
                <c:pt idx="477">
                  <c:v>0.4796901951574204</c:v>
                </c:pt>
                <c:pt idx="478">
                  <c:v>0.453850106565022</c:v>
                </c:pt>
                <c:pt idx="479">
                  <c:v>0.46477783910052239</c:v>
                </c:pt>
                <c:pt idx="480">
                  <c:v>0.48822726974774788</c:v>
                </c:pt>
                <c:pt idx="481">
                  <c:v>0.48538139428550187</c:v>
                </c:pt>
                <c:pt idx="482">
                  <c:v>0.48868237109715507</c:v>
                </c:pt>
                <c:pt idx="483">
                  <c:v>0.49289401527828325</c:v>
                </c:pt>
                <c:pt idx="484">
                  <c:v>0.5022285228064256</c:v>
                </c:pt>
                <c:pt idx="485">
                  <c:v>0.50905826670024479</c:v>
                </c:pt>
                <c:pt idx="486">
                  <c:v>0.50564350366052113</c:v>
                </c:pt>
                <c:pt idx="487">
                  <c:v>0.5062126235733293</c:v>
                </c:pt>
                <c:pt idx="488">
                  <c:v>0.51520513349510155</c:v>
                </c:pt>
                <c:pt idx="489">
                  <c:v>0.51884789009875232</c:v>
                </c:pt>
                <c:pt idx="490">
                  <c:v>0.51406669037607111</c:v>
                </c:pt>
                <c:pt idx="491">
                  <c:v>0.52362863967173068</c:v>
                </c:pt>
                <c:pt idx="492">
                  <c:v>0.5281819474771916</c:v>
                </c:pt>
                <c:pt idx="493">
                  <c:v>0.53136860078532266</c:v>
                </c:pt>
                <c:pt idx="494">
                  <c:v>0.5006351961523603</c:v>
                </c:pt>
                <c:pt idx="495">
                  <c:v>0.49141435868462335</c:v>
                </c:pt>
                <c:pt idx="496">
                  <c:v>0.49039036975773809</c:v>
                </c:pt>
                <c:pt idx="497">
                  <c:v>0.5063262791127765</c:v>
                </c:pt>
                <c:pt idx="498">
                  <c:v>0.51566013319780191</c:v>
                </c:pt>
                <c:pt idx="499">
                  <c:v>0.49039036975773809</c:v>
                </c:pt>
                <c:pt idx="500">
                  <c:v>0.49357679073053884</c:v>
                </c:pt>
                <c:pt idx="501">
                  <c:v>0.51930322378349003</c:v>
                </c:pt>
                <c:pt idx="502">
                  <c:v>0.5079197219345073</c:v>
                </c:pt>
                <c:pt idx="503">
                  <c:v>0.49608155436486157</c:v>
                </c:pt>
                <c:pt idx="504">
                  <c:v>0.50917182059298471</c:v>
                </c:pt>
                <c:pt idx="505">
                  <c:v>0.50700917073269691</c:v>
                </c:pt>
                <c:pt idx="506">
                  <c:v>0.47912042180149528</c:v>
                </c:pt>
                <c:pt idx="507">
                  <c:v>0.48936559669911284</c:v>
                </c:pt>
                <c:pt idx="508">
                  <c:v>0.48037286896296849</c:v>
                </c:pt>
                <c:pt idx="509">
                  <c:v>0.46341207038163956</c:v>
                </c:pt>
                <c:pt idx="510">
                  <c:v>0.43632031875950839</c:v>
                </c:pt>
                <c:pt idx="511">
                  <c:v>0.45533011166167792</c:v>
                </c:pt>
                <c:pt idx="512">
                  <c:v>0.46062358174600626</c:v>
                </c:pt>
                <c:pt idx="513">
                  <c:v>0.48325983873678124</c:v>
                </c:pt>
                <c:pt idx="514">
                  <c:v>0.47811493257529447</c:v>
                </c:pt>
                <c:pt idx="515">
                  <c:v>0.48234529427147965</c:v>
                </c:pt>
                <c:pt idx="516">
                  <c:v>0.49652126349862913</c:v>
                </c:pt>
                <c:pt idx="517">
                  <c:v>0.50109452310058922</c:v>
                </c:pt>
                <c:pt idx="518">
                  <c:v>0.4974361419459683</c:v>
                </c:pt>
                <c:pt idx="519">
                  <c:v>0.50749662477686441</c:v>
                </c:pt>
                <c:pt idx="520">
                  <c:v>0.51790033949557368</c:v>
                </c:pt>
                <c:pt idx="521">
                  <c:v>0.51584237122259546</c:v>
                </c:pt>
                <c:pt idx="522">
                  <c:v>0.52224437125216361</c:v>
                </c:pt>
                <c:pt idx="523">
                  <c:v>0.52350278652743709</c:v>
                </c:pt>
                <c:pt idx="524">
                  <c:v>0.5232739071850625</c:v>
                </c:pt>
                <c:pt idx="525">
                  <c:v>0.52807514582999193</c:v>
                </c:pt>
                <c:pt idx="526">
                  <c:v>0.5241884371294061</c:v>
                </c:pt>
                <c:pt idx="527">
                  <c:v>0.51892909129673215</c:v>
                </c:pt>
                <c:pt idx="528">
                  <c:v>0.51435649965884678</c:v>
                </c:pt>
                <c:pt idx="529">
                  <c:v>0.50303815334908708</c:v>
                </c:pt>
                <c:pt idx="530">
                  <c:v>0.50292414930664431</c:v>
                </c:pt>
                <c:pt idx="531">
                  <c:v>0.5040668035035385</c:v>
                </c:pt>
                <c:pt idx="532">
                  <c:v>0.50955447688217737</c:v>
                </c:pt>
                <c:pt idx="533">
                  <c:v>0.49263423533696393</c:v>
                </c:pt>
                <c:pt idx="534">
                  <c:v>0.50120841097536672</c:v>
                </c:pt>
                <c:pt idx="535">
                  <c:v>0.52167337813575432</c:v>
                </c:pt>
                <c:pt idx="536">
                  <c:v>0.52944723116567016</c:v>
                </c:pt>
                <c:pt idx="537">
                  <c:v>0.52784693445169228</c:v>
                </c:pt>
                <c:pt idx="538">
                  <c:v>0.54099413735672486</c:v>
                </c:pt>
                <c:pt idx="539">
                  <c:v>0.55105485252295172</c:v>
                </c:pt>
                <c:pt idx="540">
                  <c:v>0.55608531901325131</c:v>
                </c:pt>
                <c:pt idx="541">
                  <c:v>0.5597432500181696</c:v>
                </c:pt>
                <c:pt idx="542">
                  <c:v>0.55734306632444941</c:v>
                </c:pt>
                <c:pt idx="543">
                  <c:v>0.55174040147821368</c:v>
                </c:pt>
                <c:pt idx="544">
                  <c:v>0.54145157658039467</c:v>
                </c:pt>
                <c:pt idx="545">
                  <c:v>0.52750405106687515</c:v>
                </c:pt>
                <c:pt idx="546">
                  <c:v>0.53424848433155758</c:v>
                </c:pt>
                <c:pt idx="547">
                  <c:v>0.54019359693386604</c:v>
                </c:pt>
                <c:pt idx="548">
                  <c:v>0.55334148232393199</c:v>
                </c:pt>
                <c:pt idx="549">
                  <c:v>0.53699277117057975</c:v>
                </c:pt>
                <c:pt idx="550">
                  <c:v>0.5443093011444915</c:v>
                </c:pt>
                <c:pt idx="551">
                  <c:v>0.53241962773628471</c:v>
                </c:pt>
                <c:pt idx="552">
                  <c:v>0.52270224610457783</c:v>
                </c:pt>
                <c:pt idx="553">
                  <c:v>0.52247313442687293</c:v>
                </c:pt>
                <c:pt idx="554">
                  <c:v>0.53607800889090584</c:v>
                </c:pt>
                <c:pt idx="555">
                  <c:v>0.5397366078598993</c:v>
                </c:pt>
                <c:pt idx="556">
                  <c:v>0.52750405106687515</c:v>
                </c:pt>
                <c:pt idx="557">
                  <c:v>0.5097829205958071</c:v>
                </c:pt>
                <c:pt idx="558">
                  <c:v>0.50852572508101868</c:v>
                </c:pt>
                <c:pt idx="559">
                  <c:v>0.51355540743957806</c:v>
                </c:pt>
                <c:pt idx="560">
                  <c:v>0.52052950417837529</c:v>
                </c:pt>
                <c:pt idx="561">
                  <c:v>0.52636072890590602</c:v>
                </c:pt>
                <c:pt idx="562">
                  <c:v>0.54225111505714141</c:v>
                </c:pt>
                <c:pt idx="563">
                  <c:v>0.5076110644480516</c:v>
                </c:pt>
                <c:pt idx="564">
                  <c:v>0.50601076773407394</c:v>
                </c:pt>
                <c:pt idx="565">
                  <c:v>0.49103392410202784</c:v>
                </c:pt>
                <c:pt idx="566">
                  <c:v>0.47525697567586733</c:v>
                </c:pt>
                <c:pt idx="567">
                  <c:v>0.47434244573152373</c:v>
                </c:pt>
                <c:pt idx="568">
                  <c:v>0.46816833761917565</c:v>
                </c:pt>
                <c:pt idx="569">
                  <c:v>0.47937246207212048</c:v>
                </c:pt>
                <c:pt idx="570">
                  <c:v>0.45879394101899318</c:v>
                </c:pt>
                <c:pt idx="571">
                  <c:v>0.45993726317996231</c:v>
                </c:pt>
                <c:pt idx="572">
                  <c:v>0.47845803377448415</c:v>
                </c:pt>
                <c:pt idx="573">
                  <c:v>0.45216339562908803</c:v>
                </c:pt>
                <c:pt idx="574">
                  <c:v>0.45536433756003936</c:v>
                </c:pt>
                <c:pt idx="575">
                  <c:v>0.45970738189147564</c:v>
                </c:pt>
                <c:pt idx="576">
                  <c:v>0.46717513312357073</c:v>
                </c:pt>
                <c:pt idx="577">
                  <c:v>0.48728170851583585</c:v>
                </c:pt>
                <c:pt idx="578">
                  <c:v>0.47831977973192918</c:v>
                </c:pt>
                <c:pt idx="579">
                  <c:v>0.47406858046079781</c:v>
                </c:pt>
                <c:pt idx="580">
                  <c:v>0.45694969220808024</c:v>
                </c:pt>
                <c:pt idx="581">
                  <c:v>0.46993282280696591</c:v>
                </c:pt>
                <c:pt idx="582">
                  <c:v>0.48911965523091117</c:v>
                </c:pt>
                <c:pt idx="583">
                  <c:v>0.50187290454130995</c:v>
                </c:pt>
                <c:pt idx="584">
                  <c:v>0.51623433544596264</c:v>
                </c:pt>
                <c:pt idx="585">
                  <c:v>0.53863816998057423</c:v>
                </c:pt>
                <c:pt idx="586">
                  <c:v>0.53737454168132515</c:v>
                </c:pt>
                <c:pt idx="587">
                  <c:v>0.53921270621077277</c:v>
                </c:pt>
                <c:pt idx="588">
                  <c:v>0.55518273981746602</c:v>
                </c:pt>
                <c:pt idx="589">
                  <c:v>0.54415309919766219</c:v>
                </c:pt>
                <c:pt idx="590">
                  <c:v>0.51623433544596264</c:v>
                </c:pt>
                <c:pt idx="591">
                  <c:v>0.5096853252360749</c:v>
                </c:pt>
                <c:pt idx="592">
                  <c:v>0.5147407096905614</c:v>
                </c:pt>
                <c:pt idx="593">
                  <c:v>0.50428572146862161</c:v>
                </c:pt>
                <c:pt idx="594">
                  <c:v>0.51301731881433832</c:v>
                </c:pt>
                <c:pt idx="595">
                  <c:v>0.50060927624206042</c:v>
                </c:pt>
                <c:pt idx="596">
                  <c:v>0.5249663829413822</c:v>
                </c:pt>
                <c:pt idx="597">
                  <c:v>0.52404652380539729</c:v>
                </c:pt>
                <c:pt idx="598">
                  <c:v>0.54518694785513189</c:v>
                </c:pt>
                <c:pt idx="599">
                  <c:v>0.54622114501559693</c:v>
                </c:pt>
                <c:pt idx="600">
                  <c:v>0.53760419063448128</c:v>
                </c:pt>
                <c:pt idx="601">
                  <c:v>0.5318592784821996</c:v>
                </c:pt>
                <c:pt idx="602">
                  <c:v>0.50049406696009147</c:v>
                </c:pt>
                <c:pt idx="603">
                  <c:v>0.49612786170040479</c:v>
                </c:pt>
                <c:pt idx="604">
                  <c:v>0.4859029725813242</c:v>
                </c:pt>
                <c:pt idx="605">
                  <c:v>0.47958362584555103</c:v>
                </c:pt>
                <c:pt idx="606">
                  <c:v>0.44178372761707685</c:v>
                </c:pt>
                <c:pt idx="607">
                  <c:v>0.44959658394058644</c:v>
                </c:pt>
                <c:pt idx="608">
                  <c:v>0.38169511701021142</c:v>
                </c:pt>
                <c:pt idx="609">
                  <c:v>0.37962707119227668</c:v>
                </c:pt>
                <c:pt idx="610">
                  <c:v>0.2897814161365988</c:v>
                </c:pt>
                <c:pt idx="611">
                  <c:v>0.34975558707227705</c:v>
                </c:pt>
                <c:pt idx="612">
                  <c:v>0.29012583874297992</c:v>
                </c:pt>
                <c:pt idx="613">
                  <c:v>0.34803197838168165</c:v>
                </c:pt>
                <c:pt idx="614">
                  <c:v>0.35710824519006823</c:v>
                </c:pt>
                <c:pt idx="615">
                  <c:v>0.38583164427482552</c:v>
                </c:pt>
                <c:pt idx="616">
                  <c:v>0.37399746996867123</c:v>
                </c:pt>
                <c:pt idx="617">
                  <c:v>0.37491655949387415</c:v>
                </c:pt>
                <c:pt idx="618">
                  <c:v>0.31563235188473593</c:v>
                </c:pt>
                <c:pt idx="619">
                  <c:v>0.2941472728932899</c:v>
                </c:pt>
                <c:pt idx="620">
                  <c:v>0.29518167334716927</c:v>
                </c:pt>
                <c:pt idx="621">
                  <c:v>0.33780663911289821</c:v>
                </c:pt>
                <c:pt idx="622">
                  <c:v>0.3566485842598015</c:v>
                </c:pt>
                <c:pt idx="623">
                  <c:v>0.33596825676907827</c:v>
                </c:pt>
                <c:pt idx="624">
                  <c:v>0.3553849559605522</c:v>
                </c:pt>
                <c:pt idx="625">
                  <c:v>0.3943332586853483</c:v>
                </c:pt>
                <c:pt idx="626">
                  <c:v>0.3980100378939464</c:v>
                </c:pt>
                <c:pt idx="627">
                  <c:v>0.40421405918008513</c:v>
                </c:pt>
                <c:pt idx="628">
                  <c:v>0.3895081911480931</c:v>
                </c:pt>
                <c:pt idx="629">
                  <c:v>0.35400611837933371</c:v>
                </c:pt>
                <c:pt idx="630">
                  <c:v>0.34412555021992697</c:v>
                </c:pt>
                <c:pt idx="631">
                  <c:v>0.38204020758066748</c:v>
                </c:pt>
                <c:pt idx="632">
                  <c:v>0.36767834104727037</c:v>
                </c:pt>
                <c:pt idx="633">
                  <c:v>0.33183216513320901</c:v>
                </c:pt>
                <c:pt idx="634">
                  <c:v>0.34044900334665917</c:v>
                </c:pt>
                <c:pt idx="635">
                  <c:v>0.35274237391241914</c:v>
                </c:pt>
                <c:pt idx="636">
                  <c:v>0.37146989390909302</c:v>
                </c:pt>
                <c:pt idx="637">
                  <c:v>0.39513734222199615</c:v>
                </c:pt>
                <c:pt idx="638">
                  <c:v>0.40339490288887681</c:v>
                </c:pt>
                <c:pt idx="639">
                  <c:v>0.38942067333331765</c:v>
                </c:pt>
                <c:pt idx="640">
                  <c:v>0.38780430191866677</c:v>
                </c:pt>
                <c:pt idx="641">
                  <c:v>0.3469218946939201</c:v>
                </c:pt>
                <c:pt idx="642">
                  <c:v>0.30338350257666669</c:v>
                </c:pt>
                <c:pt idx="643">
                  <c:v>0.31123636413988187</c:v>
                </c:pt>
                <c:pt idx="644">
                  <c:v>0.34241800170904635</c:v>
                </c:pt>
                <c:pt idx="645">
                  <c:v>0.35743162692808883</c:v>
                </c:pt>
                <c:pt idx="646">
                  <c:v>0.3297146028479796</c:v>
                </c:pt>
                <c:pt idx="647">
                  <c:v>0.34022388493244571</c:v>
                </c:pt>
                <c:pt idx="648">
                  <c:v>0.30673268896938066</c:v>
                </c:pt>
                <c:pt idx="649">
                  <c:v>0.26954599628266096</c:v>
                </c:pt>
                <c:pt idx="650">
                  <c:v>0.29737801183036705</c:v>
                </c:pt>
                <c:pt idx="651">
                  <c:v>0.32139965535448645</c:v>
                </c:pt>
                <c:pt idx="652">
                  <c:v>0.34530530546489668</c:v>
                </c:pt>
                <c:pt idx="653">
                  <c:v>0.33629718551311227</c:v>
                </c:pt>
                <c:pt idx="654">
                  <c:v>0.3809908505398929</c:v>
                </c:pt>
                <c:pt idx="655">
                  <c:v>0.38237633871994459</c:v>
                </c:pt>
                <c:pt idx="656">
                  <c:v>0.39450254401547125</c:v>
                </c:pt>
                <c:pt idx="657">
                  <c:v>0.39173089969129316</c:v>
                </c:pt>
                <c:pt idx="658">
                  <c:v>0.41552132599877578</c:v>
                </c:pt>
                <c:pt idx="659">
                  <c:v>0.38849738725120897</c:v>
                </c:pt>
                <c:pt idx="660">
                  <c:v>0.41563665144841022</c:v>
                </c:pt>
                <c:pt idx="661">
                  <c:v>0.39889089373633824</c:v>
                </c:pt>
                <c:pt idx="662">
                  <c:v>0.40501160828556504</c:v>
                </c:pt>
                <c:pt idx="663">
                  <c:v>0.43168957068422853</c:v>
                </c:pt>
                <c:pt idx="664">
                  <c:v>0.44924307121440266</c:v>
                </c:pt>
                <c:pt idx="665">
                  <c:v>0.42106494862916977</c:v>
                </c:pt>
                <c:pt idx="666">
                  <c:v>0.43550016052218732</c:v>
                </c:pt>
                <c:pt idx="667">
                  <c:v>0.48550614383697632</c:v>
                </c:pt>
                <c:pt idx="668">
                  <c:v>0.48515971733837038</c:v>
                </c:pt>
                <c:pt idx="669">
                  <c:v>0.44935884681373972</c:v>
                </c:pt>
                <c:pt idx="670">
                  <c:v>0.40893808989052638</c:v>
                </c:pt>
                <c:pt idx="671">
                  <c:v>0.43192022158349763</c:v>
                </c:pt>
                <c:pt idx="672">
                  <c:v>0.45802022080583882</c:v>
                </c:pt>
                <c:pt idx="673">
                  <c:v>0.44912774576476844</c:v>
                </c:pt>
                <c:pt idx="674">
                  <c:v>0.45813554625547326</c:v>
                </c:pt>
                <c:pt idx="675">
                  <c:v>0.47684443586284009</c:v>
                </c:pt>
                <c:pt idx="676">
                  <c:v>0.4223346757308426</c:v>
                </c:pt>
                <c:pt idx="677">
                  <c:v>0.43573149390648935</c:v>
                </c:pt>
                <c:pt idx="678">
                  <c:v>0.46275499702531153</c:v>
                </c:pt>
                <c:pt idx="679">
                  <c:v>0.44889664471579649</c:v>
                </c:pt>
                <c:pt idx="680">
                  <c:v>0.45605730672491673</c:v>
                </c:pt>
                <c:pt idx="681">
                  <c:v>0.43295961724698073</c:v>
                </c:pt>
                <c:pt idx="682">
                  <c:v>0.41020868824968804</c:v>
                </c:pt>
                <c:pt idx="683">
                  <c:v>0.40870754063796455</c:v>
                </c:pt>
                <c:pt idx="684">
                  <c:v>0.38191425278966662</c:v>
                </c:pt>
                <c:pt idx="685">
                  <c:v>0.3764866090520238</c:v>
                </c:pt>
                <c:pt idx="686">
                  <c:v>0.34611360007940828</c:v>
                </c:pt>
                <c:pt idx="687">
                  <c:v>0.34357317297186674</c:v>
                </c:pt>
                <c:pt idx="688">
                  <c:v>0.38249166416957903</c:v>
                </c:pt>
                <c:pt idx="689">
                  <c:v>0.38641814577453992</c:v>
                </c:pt>
                <c:pt idx="690">
                  <c:v>0.44346878316378135</c:v>
                </c:pt>
                <c:pt idx="691">
                  <c:v>0.44323846624655006</c:v>
                </c:pt>
                <c:pt idx="692">
                  <c:v>0.44196741773768577</c:v>
                </c:pt>
                <c:pt idx="693">
                  <c:v>0.45767377978627466</c:v>
                </c:pt>
                <c:pt idx="694">
                  <c:v>0.45813554625547326</c:v>
                </c:pt>
                <c:pt idx="695">
                  <c:v>0.46356362562186071</c:v>
                </c:pt>
                <c:pt idx="696">
                  <c:v>0.43145813565321967</c:v>
                </c:pt>
                <c:pt idx="697">
                  <c:v>0.45571076405864552</c:v>
                </c:pt>
                <c:pt idx="698">
                  <c:v>0.43446109884074158</c:v>
                </c:pt>
                <c:pt idx="699">
                  <c:v>0.42106494862916977</c:v>
                </c:pt>
                <c:pt idx="700">
                  <c:v>0.40593589631378624</c:v>
                </c:pt>
                <c:pt idx="701">
                  <c:v>0.41101721519952994</c:v>
                </c:pt>
                <c:pt idx="702">
                  <c:v>0.41310895922116719</c:v>
                </c:pt>
                <c:pt idx="703">
                  <c:v>0.39800061379210661</c:v>
                </c:pt>
                <c:pt idx="704">
                  <c:v>0.44030452117311913</c:v>
                </c:pt>
                <c:pt idx="705">
                  <c:v>0.44309399723390697</c:v>
                </c:pt>
                <c:pt idx="706">
                  <c:v>0.45587806001750208</c:v>
                </c:pt>
                <c:pt idx="707">
                  <c:v>0.46889486471833952</c:v>
                </c:pt>
                <c:pt idx="708">
                  <c:v>0.4700564542446628</c:v>
                </c:pt>
                <c:pt idx="709">
                  <c:v>0.4507637204729229</c:v>
                </c:pt>
                <c:pt idx="710">
                  <c:v>0.46575662428468378</c:v>
                </c:pt>
                <c:pt idx="711">
                  <c:v>0.4585507730537981</c:v>
                </c:pt>
                <c:pt idx="712">
                  <c:v>0.48179468858031371</c:v>
                </c:pt>
                <c:pt idx="713">
                  <c:v>0.48411886957907191</c:v>
                </c:pt>
                <c:pt idx="714">
                  <c:v>0.48807061765121595</c:v>
                </c:pt>
                <c:pt idx="715">
                  <c:v>0.48423497916044655</c:v>
                </c:pt>
                <c:pt idx="716">
                  <c:v>0.48783807902738729</c:v>
                </c:pt>
                <c:pt idx="717">
                  <c:v>0.50073812070373358</c:v>
                </c:pt>
                <c:pt idx="718">
                  <c:v>0.50155218013863134</c:v>
                </c:pt>
                <c:pt idx="719">
                  <c:v>0.50515449587383143</c:v>
                </c:pt>
                <c:pt idx="720">
                  <c:v>0.49736812577798939</c:v>
                </c:pt>
                <c:pt idx="721">
                  <c:v>0.50317884691261106</c:v>
                </c:pt>
                <c:pt idx="722">
                  <c:v>0.51979831585164482</c:v>
                </c:pt>
                <c:pt idx="723">
                  <c:v>0.5278175730743111</c:v>
                </c:pt>
                <c:pt idx="724">
                  <c:v>0.5335120975018095</c:v>
                </c:pt>
                <c:pt idx="725">
                  <c:v>0.52956068341170326</c:v>
                </c:pt>
                <c:pt idx="726">
                  <c:v>0.5278175730743111</c:v>
                </c:pt>
                <c:pt idx="727">
                  <c:v>0.54060140352257569</c:v>
                </c:pt>
                <c:pt idx="728">
                  <c:v>0.53269858986332164</c:v>
                </c:pt>
                <c:pt idx="729">
                  <c:v>0.53200129345291547</c:v>
                </c:pt>
                <c:pt idx="730">
                  <c:v>0.52677130899762248</c:v>
                </c:pt>
                <c:pt idx="731">
                  <c:v>0.52618990435421886</c:v>
                </c:pt>
                <c:pt idx="732">
                  <c:v>0.53955558959559013</c:v>
                </c:pt>
                <c:pt idx="733">
                  <c:v>0.54199598182243003</c:v>
                </c:pt>
                <c:pt idx="734">
                  <c:v>0.56361301276059361</c:v>
                </c:pt>
                <c:pt idx="735">
                  <c:v>0.56256686485157004</c:v>
                </c:pt>
                <c:pt idx="736">
                  <c:v>0.56651826442071807</c:v>
                </c:pt>
                <c:pt idx="737">
                  <c:v>0.57116717821464458</c:v>
                </c:pt>
                <c:pt idx="738">
                  <c:v>0.57314294334353022</c:v>
                </c:pt>
                <c:pt idx="739">
                  <c:v>0.56152092023596079</c:v>
                </c:pt>
                <c:pt idx="740">
                  <c:v>0.57314294334353022</c:v>
                </c:pt>
                <c:pt idx="741">
                  <c:v>0.57116717821464458</c:v>
                </c:pt>
                <c:pt idx="742">
                  <c:v>0.5638451012347192</c:v>
                </c:pt>
                <c:pt idx="743">
                  <c:v>0.58116186658415914</c:v>
                </c:pt>
                <c:pt idx="744">
                  <c:v>0.58534592094480087</c:v>
                </c:pt>
                <c:pt idx="745">
                  <c:v>0.58604321735520704</c:v>
                </c:pt>
                <c:pt idx="746">
                  <c:v>0.58092911014595838</c:v>
                </c:pt>
                <c:pt idx="747">
                  <c:v>0.5879026405673875</c:v>
                </c:pt>
                <c:pt idx="748">
                  <c:v>0.59138897740983709</c:v>
                </c:pt>
                <c:pt idx="749">
                  <c:v>0.59406235841020805</c:v>
                </c:pt>
                <c:pt idx="750">
                  <c:v>0.59871072040772488</c:v>
                </c:pt>
                <c:pt idx="751">
                  <c:v>0.59243502367215317</c:v>
                </c:pt>
                <c:pt idx="752">
                  <c:v>0.6006870373330202</c:v>
                </c:pt>
                <c:pt idx="753">
                  <c:v>0.59580580272963757</c:v>
                </c:pt>
                <c:pt idx="754">
                  <c:v>0.58929700105286953</c:v>
                </c:pt>
                <c:pt idx="755">
                  <c:v>0.5660536228018056</c:v>
                </c:pt>
                <c:pt idx="756">
                  <c:v>0.57697846566663435</c:v>
                </c:pt>
                <c:pt idx="757">
                  <c:v>0.59266756229598183</c:v>
                </c:pt>
                <c:pt idx="758">
                  <c:v>0.59882771576754679</c:v>
                </c:pt>
                <c:pt idx="759">
                  <c:v>0.59894359301359068</c:v>
                </c:pt>
                <c:pt idx="760">
                  <c:v>0.627765821739523</c:v>
                </c:pt>
                <c:pt idx="761">
                  <c:v>0.62602237742009348</c:v>
                </c:pt>
                <c:pt idx="762">
                  <c:v>0.63543598060728357</c:v>
                </c:pt>
                <c:pt idx="763">
                  <c:v>0.63770111939020047</c:v>
                </c:pt>
                <c:pt idx="764">
                  <c:v>0.64412128513841527</c:v>
                </c:pt>
                <c:pt idx="765">
                  <c:v>0.63933520637379537</c:v>
                </c:pt>
                <c:pt idx="766">
                  <c:v>0.63665031025361052</c:v>
                </c:pt>
                <c:pt idx="767">
                  <c:v>0.62486078789377042</c:v>
                </c:pt>
                <c:pt idx="768">
                  <c:v>0.63011359929527666</c:v>
                </c:pt>
                <c:pt idx="769">
                  <c:v>0.65299203682609197</c:v>
                </c:pt>
                <c:pt idx="770">
                  <c:v>0.64785622078440785</c:v>
                </c:pt>
                <c:pt idx="771">
                  <c:v>0.63968474035744571</c:v>
                </c:pt>
                <c:pt idx="772">
                  <c:v>0.63688406863792357</c:v>
                </c:pt>
                <c:pt idx="773">
                  <c:v>0.64365398618416103</c:v>
                </c:pt>
                <c:pt idx="774">
                  <c:v>0.65567771707801725</c:v>
                </c:pt>
                <c:pt idx="775">
                  <c:v>0.64890691375333254</c:v>
                </c:pt>
                <c:pt idx="776">
                  <c:v>0.63256528882755814</c:v>
                </c:pt>
                <c:pt idx="777">
                  <c:v>0.63174768627887157</c:v>
                </c:pt>
                <c:pt idx="778">
                  <c:v>0.61342167077506993</c:v>
                </c:pt>
                <c:pt idx="779">
                  <c:v>0.58634022903322558</c:v>
                </c:pt>
                <c:pt idx="780">
                  <c:v>0.59918111232606508</c:v>
                </c:pt>
                <c:pt idx="781">
                  <c:v>0.62007482529681579</c:v>
                </c:pt>
                <c:pt idx="782">
                  <c:v>0.60081487984858084</c:v>
                </c:pt>
                <c:pt idx="783">
                  <c:v>0.59976428852636343</c:v>
                </c:pt>
                <c:pt idx="784">
                  <c:v>0.62346044477353035</c:v>
                </c:pt>
                <c:pt idx="785">
                  <c:v>0.61797365717333896</c:v>
                </c:pt>
                <c:pt idx="786">
                  <c:v>0.60758513137685588</c:v>
                </c:pt>
                <c:pt idx="787">
                  <c:v>0.61026980968266842</c:v>
                </c:pt>
                <c:pt idx="788">
                  <c:v>0.59672930662611856</c:v>
                </c:pt>
                <c:pt idx="789">
                  <c:v>0.60279928494756629</c:v>
                </c:pt>
                <c:pt idx="790">
                  <c:v>0.62474401034832105</c:v>
                </c:pt>
                <c:pt idx="791">
                  <c:v>0.63606668390360976</c:v>
                </c:pt>
                <c:pt idx="792">
                  <c:v>0.63875181235912493</c:v>
                </c:pt>
                <c:pt idx="793">
                  <c:v>0.63268161622330465</c:v>
                </c:pt>
                <c:pt idx="794">
                  <c:v>0.64283649980313995</c:v>
                </c:pt>
                <c:pt idx="795">
                  <c:v>0.63793432597810362</c:v>
                </c:pt>
                <c:pt idx="796">
                  <c:v>0.62544463205814393</c:v>
                </c:pt>
                <c:pt idx="797">
                  <c:v>0.59918111232606508</c:v>
                </c:pt>
                <c:pt idx="798">
                  <c:v>0.6003481326907365</c:v>
                </c:pt>
                <c:pt idx="799">
                  <c:v>0.59392819927785201</c:v>
                </c:pt>
                <c:pt idx="800">
                  <c:v>0.58447315327609917</c:v>
                </c:pt>
                <c:pt idx="801">
                  <c:v>0.58774145793191268</c:v>
                </c:pt>
                <c:pt idx="802">
                  <c:v>0.58295504518525543</c:v>
                </c:pt>
                <c:pt idx="803">
                  <c:v>0.56544608043373024</c:v>
                </c:pt>
                <c:pt idx="804">
                  <c:v>0.55645811557185909</c:v>
                </c:pt>
                <c:pt idx="805">
                  <c:v>0.55050523425694031</c:v>
                </c:pt>
                <c:pt idx="806">
                  <c:v>0.52750936573755824</c:v>
                </c:pt>
                <c:pt idx="807">
                  <c:v>0.51443560983885295</c:v>
                </c:pt>
                <c:pt idx="808">
                  <c:v>0.54046635861177239</c:v>
                </c:pt>
                <c:pt idx="809">
                  <c:v>0.54315081910321283</c:v>
                </c:pt>
                <c:pt idx="810">
                  <c:v>0.54396808766986182</c:v>
                </c:pt>
                <c:pt idx="811">
                  <c:v>0.54700306957010669</c:v>
                </c:pt>
                <c:pt idx="812">
                  <c:v>0.54198379873854141</c:v>
                </c:pt>
                <c:pt idx="813">
                  <c:v>0.56066011783677561</c:v>
                </c:pt>
                <c:pt idx="814">
                  <c:v>0.53801432057649556</c:v>
                </c:pt>
                <c:pt idx="815">
                  <c:v>0.53462970304589352</c:v>
                </c:pt>
                <c:pt idx="816">
                  <c:v>0.49599293295726654</c:v>
                </c:pt>
                <c:pt idx="817">
                  <c:v>0.49529242741510915</c:v>
                </c:pt>
                <c:pt idx="818">
                  <c:v>0.50661466534165345</c:v>
                </c:pt>
                <c:pt idx="819">
                  <c:v>0.54046635861177239</c:v>
                </c:pt>
                <c:pt idx="820">
                  <c:v>0.54139995457416834</c:v>
                </c:pt>
                <c:pt idx="821">
                  <c:v>0.55365677588826245</c:v>
                </c:pt>
                <c:pt idx="822">
                  <c:v>0.53392964765343853</c:v>
                </c:pt>
                <c:pt idx="823">
                  <c:v>0.55155505596837573</c:v>
                </c:pt>
                <c:pt idx="824">
                  <c:v>0.54163337897644404</c:v>
                </c:pt>
                <c:pt idx="825">
                  <c:v>0.55797532336329758</c:v>
                </c:pt>
                <c:pt idx="826">
                  <c:v>0.57390935951473465</c:v>
                </c:pt>
                <c:pt idx="827">
                  <c:v>0.57695996596594989</c:v>
                </c:pt>
                <c:pt idx="828">
                  <c:v>0.59221333220406369</c:v>
                </c:pt>
                <c:pt idx="829">
                  <c:v>0.58963168009633149</c:v>
                </c:pt>
                <c:pt idx="830">
                  <c:v>0.55396254370404585</c:v>
                </c:pt>
                <c:pt idx="831">
                  <c:v>0.56593099331022145</c:v>
                </c:pt>
                <c:pt idx="832">
                  <c:v>0.5408213089128131</c:v>
                </c:pt>
                <c:pt idx="833">
                  <c:v>0.54856526328989652</c:v>
                </c:pt>
                <c:pt idx="834">
                  <c:v>0.56252831170767936</c:v>
                </c:pt>
                <c:pt idx="835">
                  <c:v>0.55806939013019918</c:v>
                </c:pt>
                <c:pt idx="836">
                  <c:v>0.59690634614789428</c:v>
                </c:pt>
                <c:pt idx="837">
                  <c:v>0.60171745904436635</c:v>
                </c:pt>
                <c:pt idx="838">
                  <c:v>0.61227725954223944</c:v>
                </c:pt>
                <c:pt idx="839">
                  <c:v>0.60500247732301138</c:v>
                </c:pt>
                <c:pt idx="840">
                  <c:v>0.58974934342022833</c:v>
                </c:pt>
                <c:pt idx="841">
                  <c:v>0.58775496242299297</c:v>
                </c:pt>
                <c:pt idx="842">
                  <c:v>0.57390935951473465</c:v>
                </c:pt>
                <c:pt idx="843">
                  <c:v>0.5741436696954576</c:v>
                </c:pt>
                <c:pt idx="844">
                  <c:v>0.56651782879197365</c:v>
                </c:pt>
                <c:pt idx="845">
                  <c:v>0.59279983370377831</c:v>
                </c:pt>
                <c:pt idx="846">
                  <c:v>0.58904496078224455</c:v>
                </c:pt>
                <c:pt idx="847">
                  <c:v>0.59995762056318425</c:v>
                </c:pt>
                <c:pt idx="848">
                  <c:v>0.61180797121671859</c:v>
                </c:pt>
                <c:pt idx="849">
                  <c:v>0.61603190012844267</c:v>
                </c:pt>
                <c:pt idx="850">
                  <c:v>0.60124772056914266</c:v>
                </c:pt>
                <c:pt idx="851">
                  <c:v>0.58505599549436016</c:v>
                </c:pt>
                <c:pt idx="852">
                  <c:v>0.57144481893448984</c:v>
                </c:pt>
                <c:pt idx="853">
                  <c:v>0.57179711190018878</c:v>
                </c:pt>
                <c:pt idx="854">
                  <c:v>0.59772804360677911</c:v>
                </c:pt>
                <c:pt idx="855">
                  <c:v>0.62717853610806795</c:v>
                </c:pt>
                <c:pt idx="856">
                  <c:v>0.62717853610806795</c:v>
                </c:pt>
                <c:pt idx="857">
                  <c:v>0.61579682033693794</c:v>
                </c:pt>
                <c:pt idx="858">
                  <c:v>0.61438939098912027</c:v>
                </c:pt>
                <c:pt idx="859">
                  <c:v>0.60324208704541982</c:v>
                </c:pt>
                <c:pt idx="860">
                  <c:v>0.63504013928809022</c:v>
                </c:pt>
                <c:pt idx="861">
                  <c:v>0.63820829289553682</c:v>
                </c:pt>
                <c:pt idx="862">
                  <c:v>0.64642131778376877</c:v>
                </c:pt>
                <c:pt idx="863">
                  <c:v>0.64841601824208328</c:v>
                </c:pt>
                <c:pt idx="864">
                  <c:v>0.64982399938631064</c:v>
                </c:pt>
                <c:pt idx="865">
                  <c:v>0.65252286466823661</c:v>
                </c:pt>
                <c:pt idx="866">
                  <c:v>0.65170126885605884</c:v>
                </c:pt>
                <c:pt idx="867">
                  <c:v>0.65193569520444683</c:v>
                </c:pt>
                <c:pt idx="868">
                  <c:v>0.65381274685982271</c:v>
                </c:pt>
                <c:pt idx="869">
                  <c:v>0.66601661023954062</c:v>
                </c:pt>
                <c:pt idx="870">
                  <c:v>0.66824551923187103</c:v>
                </c:pt>
                <c:pt idx="871">
                  <c:v>0.6683625000707345</c:v>
                </c:pt>
                <c:pt idx="872">
                  <c:v>0.66331675753246033</c:v>
                </c:pt>
                <c:pt idx="873">
                  <c:v>0.66402145963152348</c:v>
                </c:pt>
                <c:pt idx="874">
                  <c:v>0.65041061705369052</c:v>
                </c:pt>
                <c:pt idx="875">
                  <c:v>0.66038391605184876</c:v>
                </c:pt>
                <c:pt idx="876">
                  <c:v>0.66073543940676593</c:v>
                </c:pt>
                <c:pt idx="877">
                  <c:v>0.65909281409977782</c:v>
                </c:pt>
                <c:pt idx="878">
                  <c:v>0.66038391605184876</c:v>
                </c:pt>
                <c:pt idx="879">
                  <c:v>0.64841601824208328</c:v>
                </c:pt>
                <c:pt idx="880">
                  <c:v>0.65627783923647742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0E-4569-AF08-01DBE10AF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07871936"/>
        <c:axId val="907872640"/>
      </c:lineChart>
      <c:catAx>
        <c:axId val="907871936"/>
        <c:scaling>
          <c:orientation val="minMax"/>
        </c:scaling>
        <c:delete val="0"/>
        <c:axPos val="b"/>
        <c:numFmt formatCode="[$-C0A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07872640"/>
        <c:crosses val="autoZero"/>
        <c:auto val="1"/>
        <c:lblAlgn val="ctr"/>
        <c:lblOffset val="100"/>
        <c:noMultiLvlLbl val="0"/>
      </c:catAx>
      <c:valAx>
        <c:axId val="9078726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07871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Garamond" panose="02020404030301010803" pitchFamily="18" charset="0"/>
              </a:rPr>
              <a:t>Flujos</a:t>
            </a:r>
            <a:r>
              <a:rPr lang="en-US" sz="1400" b="0" i="0" u="none" strike="noStrike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Calibri" panose="020F0502020204030204"/>
              </a:rPr>
              <a:t> de efectivo cuñado manirroto</a:t>
            </a:r>
          </a:p>
        </cx:rich>
      </cx:tx>
    </cx:title>
    <cx:plotArea>
      <cx:plotAreaRegion>
        <cx:series layoutId="waterfall" uniqueId="{0D3183A5-12DC-404C-B0DA-07035EF49191}">
          <cx:tx>
            <cx:txData>
              <cx:f>_xlchart.v1.1</cx:f>
              <cx:v/>
            </cx:txData>
          </cx:tx>
          <cx:dataLabels pos="outEnd">
            <cx:visibility seriesName="0" categoryName="0" value="1"/>
          </cx:dataLabels>
          <cx:dataId val="0"/>
          <cx:layoutPr>
            <cx:subtotals>
              <cx:idx val="8"/>
            </cx:subtotals>
          </cx:layoutPr>
        </cx:series>
      </cx:plotAreaRegion>
      <cx:axis id="0">
        <cx:catScaling gapWidth="0.5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b="1">
                <a:latin typeface="Garamond" panose="02020404030301010803" pitchFamily="18" charset="0"/>
                <a:ea typeface="Garamond" panose="02020404030301010803" pitchFamily="18" charset="0"/>
                <a:cs typeface="Garamond" panose="02020404030301010803" pitchFamily="18" charset="0"/>
              </a:defRPr>
            </a:pPr>
            <a:endParaRPr lang="en-US" sz="9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Garamond" panose="02020404030301010803" pitchFamily="18" charset="0"/>
            </a:endParaRPr>
          </a:p>
        </cx:txPr>
      </cx:axis>
      <cx:axis id="1">
        <cx:valScaling/>
        <cx:majorGridlines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b="1">
                <a:latin typeface="Garamond" panose="02020404030301010803" pitchFamily="18" charset="0"/>
                <a:ea typeface="Garamond" panose="02020404030301010803" pitchFamily="18" charset="0"/>
                <a:cs typeface="Garamond" panose="02020404030301010803" pitchFamily="18" charset="0"/>
              </a:defRPr>
            </a:pPr>
            <a:endParaRPr lang="en-US" sz="9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Garamond" panose="02020404030301010803" pitchFamily="18" charset="0"/>
            </a:endParaRPr>
          </a:p>
        </cx:txPr>
      </cx:axis>
    </cx:plotArea>
    <cx:legend pos="t" align="ctr" overlay="0"/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_xlchart.v1.3</cx:f>
      </cx:strDim>
      <cx:numDim type="val">
        <cx:f>_xlchart.v1.4</cx:f>
      </cx:numDim>
    </cx:data>
  </cx:chartData>
  <cx:chart>
    <cx:title pos="t" align="ctr" overlay="0">
      <cx:tx>
        <cx:txData>
          <cx:v>Capital alliocation Apple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>
              <a:latin typeface="Garamond" panose="02020404030301010803" pitchFamily="18" charset="0"/>
              <a:ea typeface="Garamond" panose="02020404030301010803" pitchFamily="18" charset="0"/>
              <a:cs typeface="Garamond" panose="02020404030301010803" pitchFamily="18" charset="0"/>
            </a:defRPr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Garamond" panose="02020404030301010803" pitchFamily="18" charset="0"/>
            </a:rPr>
            <a:t>Capital alliocation Apple</a:t>
          </a:r>
        </a:p>
      </cx:txPr>
    </cx:title>
    <cx:plotArea>
      <cx:plotAreaRegion>
        <cx:series layoutId="waterfall" uniqueId="{405B3817-5D52-43A5-B47F-0DD1DDFCBD67}">
          <cx:dataLabels pos="outEnd">
            <cx:visibility seriesName="0" categoryName="0" value="1"/>
          </cx:dataLabels>
          <cx:dataId val="0"/>
          <cx:layoutPr>
            <cx:subtotals>
              <cx:idx val="8"/>
              <cx:idx val="9"/>
            </cx:subtotals>
          </cx:layoutPr>
        </cx:series>
      </cx:plotAreaRegion>
      <cx:axis id="0">
        <cx:catScaling gapWidth="0.5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b="1">
                <a:latin typeface="Garamond" panose="02020404030301010803" pitchFamily="18" charset="0"/>
                <a:ea typeface="Garamond" panose="02020404030301010803" pitchFamily="18" charset="0"/>
                <a:cs typeface="Garamond" panose="02020404030301010803" pitchFamily="18" charset="0"/>
              </a:defRPr>
            </a:pPr>
            <a:endParaRPr lang="en-US" sz="9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Garamond" panose="02020404030301010803" pitchFamily="18" charset="0"/>
            </a:endParaRPr>
          </a:p>
        </cx:txPr>
      </cx:axis>
      <cx:axis id="1">
        <cx:valScaling/>
        <cx:majorGridlines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b="1">
                <a:latin typeface="Garamond" panose="02020404030301010803" pitchFamily="18" charset="0"/>
                <a:ea typeface="Garamond" panose="02020404030301010803" pitchFamily="18" charset="0"/>
                <a:cs typeface="Garamond" panose="02020404030301010803" pitchFamily="18" charset="0"/>
              </a:defRPr>
            </a:pPr>
            <a:endParaRPr lang="en-US" sz="9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Garamond" panose="02020404030301010803" pitchFamily="18" charset="0"/>
            </a:endParaRPr>
          </a:p>
        </cx:txPr>
      </cx:axis>
    </cx:plotArea>
    <cx:legend pos="t" align="ctr" overlay="0"/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_xlchart.v1.5</cx:f>
      </cx:strDim>
      <cx:numDim type="val">
        <cx:f>_xlchart.v1.6</cx:f>
      </cx:numDim>
    </cx:data>
  </cx:chartData>
  <cx:chart>
    <cx:title pos="t" align="ctr" overlay="0">
      <cx:tx>
        <cx:txData>
          <cx:v>Capital alliocation Apple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>
              <a:latin typeface="Garamond" panose="02020404030301010803" pitchFamily="18" charset="0"/>
              <a:ea typeface="Garamond" panose="02020404030301010803" pitchFamily="18" charset="0"/>
              <a:cs typeface="Garamond" panose="02020404030301010803" pitchFamily="18" charset="0"/>
            </a:defRPr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Garamond" panose="02020404030301010803" pitchFamily="18" charset="0"/>
            </a:rPr>
            <a:t>Capital alliocation Apple</a:t>
          </a:r>
        </a:p>
      </cx:txPr>
    </cx:title>
    <cx:plotArea>
      <cx:plotAreaRegion>
        <cx:series layoutId="waterfall" uniqueId="{405B3817-5D52-43A5-B47F-0DD1DDFCBD67}">
          <cx:dataLabels pos="outEnd">
            <cx:visibility seriesName="0" categoryName="0" value="1"/>
          </cx:dataLabels>
          <cx:dataId val="0"/>
          <cx:layoutPr>
            <cx:subtotals>
              <cx:idx val="8"/>
              <cx:idx val="9"/>
            </cx:subtotals>
          </cx:layoutPr>
        </cx:series>
      </cx:plotAreaRegion>
      <cx:axis id="0">
        <cx:catScaling gapWidth="0.5"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b="1">
                <a:latin typeface="Garamond" panose="02020404030301010803" pitchFamily="18" charset="0"/>
                <a:ea typeface="Garamond" panose="02020404030301010803" pitchFamily="18" charset="0"/>
                <a:cs typeface="Garamond" panose="02020404030301010803" pitchFamily="18" charset="0"/>
              </a:defRPr>
            </a:pPr>
            <a:endParaRPr lang="en-US" sz="9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Garamond" panose="02020404030301010803" pitchFamily="18" charset="0"/>
            </a:endParaRPr>
          </a:p>
        </cx:txPr>
      </cx:axis>
      <cx:axis id="1">
        <cx:valScaling/>
        <cx:majorGridlines/>
        <cx:tickLabels/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b="1">
                <a:latin typeface="Garamond" panose="02020404030301010803" pitchFamily="18" charset="0"/>
                <a:ea typeface="Garamond" panose="02020404030301010803" pitchFamily="18" charset="0"/>
                <a:cs typeface="Garamond" panose="02020404030301010803" pitchFamily="18" charset="0"/>
              </a:defRPr>
            </a:pPr>
            <a:endParaRPr lang="en-US" sz="9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Garamond" panose="02020404030301010803" pitchFamily="18" charset="0"/>
            </a:endParaRPr>
          </a:p>
        </cx:txPr>
      </cx:axis>
    </cx:plotArea>
    <cx:legend pos="t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3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cs:styleClr val="auto"/>
    </cs:fontRef>
    <cs:spPr/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 w="9575">
        <a:solidFill>
          <a:schemeClr val="lt1">
            <a:lumMod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19050" cap="rnd" cmpd="sng" algn="ctr">
        <a:solidFill>
          <a:schemeClr val="phClr">
            <a:shade val="95000"/>
            <a:satMod val="105000"/>
          </a:schemeClr>
        </a:solidFill>
        <a:round/>
      </a:ln>
    </cs:spPr>
  </cs:dataPointLine>
  <cs:dataPointMarker>
    <cs:lnRef idx="0"/>
    <cs:fillRef idx="0"/>
    <cs:effectRef idx="0"/>
    <cs:fontRef idx="minor">
      <a:schemeClr val="dk1"/>
    </cs:fontRef>
    <cs:spPr>
      <a:solidFill>
        <a:schemeClr val="lt1"/>
      </a:solidFill>
    </cs:spPr>
  </cs:dataPointMarker>
  <cs:dataPointMarkerLayout symbol="circle" size="17"/>
  <cs:dataPointWireframe>
    <cs:lnRef idx="0">
      <cs:styleClr val="auto"/>
    </cs:lnRef>
    <cs:fillRef idx="1"/>
    <cs:effectRef idx="0"/>
    <cs:fontRef idx="minor">
      <a:schemeClr val="dk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/>
    </cs:fontRef>
    <cs:defRPr sz="1440" b="0" kern="1200" cap="all" spc="0" baseline="0">
      <a:gradFill>
        <a:gsLst>
          <a:gs pos="0">
            <a:schemeClr val="dk1">
              <a:lumMod val="50000"/>
              <a:lumOff val="50000"/>
            </a:schemeClr>
          </a:gs>
          <a:gs pos="100000">
            <a:schemeClr val="dk1">
              <a:lumMod val="85000"/>
              <a:lumOff val="15000"/>
            </a:schemeClr>
          </a:gs>
        </a:gsLst>
        <a:lin ang="5400000" scaled="0"/>
      </a:gradFill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7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9525" cap="flat" cmpd="sng" algn="ctr">
        <a:solidFill>
          <a:schemeClr val="phClr">
            <a:alpha val="75000"/>
          </a:schemeClr>
        </a:solidFill>
      </a:ln>
      <a:effectLst>
        <a:innerShdw blurRad="114300">
          <a:schemeClr val="phClr">
            <a:alpha val="70000"/>
          </a:schemeClr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phClr">
            <a:lumMod val="20000"/>
            <a:lumOff val="80000"/>
          </a:schemeClr>
        </a:bgClr>
      </a:pattFill>
      <a:ln w="9525" cap="flat" cmpd="sng" algn="ctr">
        <a:solidFill>
          <a:schemeClr val="phClr">
            <a:alpha val="75000"/>
          </a:schemeClr>
        </a:solidFill>
      </a:ln>
      <a:effectLst>
        <a:innerShdw blurRad="114300">
          <a:schemeClr val="phClr">
            <a:alpha val="70000"/>
          </a:schemeClr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6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>
          <a:alpha val="75000"/>
        </a:schemeClr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>
            <a:alpha val="50000"/>
          </a:schemeClr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7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microsoft.com/office/2014/relationships/chartEx" Target="../charts/chartEx3.xml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474133</xdr:colOff>
      <xdr:row>13</xdr:row>
      <xdr:rowOff>84668</xdr:rowOff>
    </xdr:from>
    <xdr:to>
      <xdr:col>13</xdr:col>
      <xdr:colOff>103293</xdr:colOff>
      <xdr:row>36</xdr:row>
      <xdr:rowOff>3388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B5CAE67-70C6-B347-B91D-9DC6DE715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575330</xdr:colOff>
      <xdr:row>60</xdr:row>
      <xdr:rowOff>105632</xdr:rowOff>
    </xdr:from>
    <xdr:to>
      <xdr:col>11</xdr:col>
      <xdr:colOff>219711</xdr:colOff>
      <xdr:row>82</xdr:row>
      <xdr:rowOff>123225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3F1CE32-CBC4-5B40-B95E-D363531A0AAE}"/>
            </a:ext>
            <a:ext uri="{147F2762-F138-4A5C-976F-8EAC2B608ADB}">
              <a16:predDERef xmlns:a16="http://schemas.microsoft.com/office/drawing/2014/main" pred="{2B5CAE67-70C6-B347-B91D-9DC6DE715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529652</xdr:colOff>
      <xdr:row>71</xdr:row>
      <xdr:rowOff>42276</xdr:rowOff>
    </xdr:from>
    <xdr:to>
      <xdr:col>7</xdr:col>
      <xdr:colOff>240087</xdr:colOff>
      <xdr:row>92</xdr:row>
      <xdr:rowOff>64800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ED0BC97-6353-3A21-BE13-8C091FA593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447674</xdr:colOff>
      <xdr:row>23</xdr:row>
      <xdr:rowOff>128586</xdr:rowOff>
    </xdr:from>
    <xdr:to>
      <xdr:col>20</xdr:col>
      <xdr:colOff>409575</xdr:colOff>
      <xdr:row>52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FC747EF-26E9-7A5B-B1B3-CC1E20F5E2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657225</xdr:colOff>
      <xdr:row>74</xdr:row>
      <xdr:rowOff>38100</xdr:rowOff>
    </xdr:from>
    <xdr:to>
      <xdr:col>6</xdr:col>
      <xdr:colOff>1152525</xdr:colOff>
      <xdr:row>85</xdr:row>
      <xdr:rowOff>171450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4DB1DF0C-A3B4-3780-458E-DD1E1D8F393A}"/>
            </a:ext>
          </a:extLst>
        </xdr:cNvPr>
        <xdr:cNvCxnSpPr/>
      </xdr:nvCxnSpPr>
      <xdr:spPr>
        <a:xfrm flipH="1" flipV="1">
          <a:off x="1857375" y="14135100"/>
          <a:ext cx="6696075" cy="2228850"/>
        </a:xfrm>
        <a:prstGeom prst="straightConnector1">
          <a:avLst/>
        </a:prstGeom>
        <a:ln w="76200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397933</xdr:colOff>
      <xdr:row>5</xdr:row>
      <xdr:rowOff>9292</xdr:rowOff>
    </xdr:from>
    <xdr:to>
      <xdr:col>19</xdr:col>
      <xdr:colOff>104775</xdr:colOff>
      <xdr:row>26</xdr:row>
      <xdr:rowOff>38099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6D6F509-6292-5F7F-2C1A-6FA17423D9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111125</xdr:colOff>
      <xdr:row>1</xdr:row>
      <xdr:rowOff>47624</xdr:rowOff>
    </xdr:from>
    <xdr:to>
      <xdr:col>17</xdr:col>
      <xdr:colOff>556260</xdr:colOff>
      <xdr:row>20</xdr:row>
      <xdr:rowOff>77152</xdr:rowOff>
    </xdr:to>
    <xdr:pic>
      <xdr:nvPicPr>
        <xdr:cNvPr id="4" name="Picture 3" descr="A screenshot of a report&#10;&#10;AI-generated content may be incorrect.">
          <a:extLst>
            <a:ext uri="{FF2B5EF4-FFF2-40B4-BE49-F238E27FC236}">
              <a16:creationId xmlns:a16="http://schemas.microsoft.com/office/drawing/2014/main" id="{E8B86217-5CAF-1173-AFA1-F882D1A90A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8255000" y="452437"/>
          <a:ext cx="5271135" cy="392684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123823</xdr:colOff>
      <xdr:row>51</xdr:row>
      <xdr:rowOff>185736</xdr:rowOff>
    </xdr:from>
    <xdr:to>
      <xdr:col>10</xdr:col>
      <xdr:colOff>228599</xdr:colOff>
      <xdr:row>84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92A4351-873B-4BEE-7989-F6E86C3075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552449</xdr:colOff>
      <xdr:row>3</xdr:row>
      <xdr:rowOff>119060</xdr:rowOff>
    </xdr:from>
    <xdr:to>
      <xdr:col>19</xdr:col>
      <xdr:colOff>504824</xdr:colOff>
      <xdr:row>33</xdr:row>
      <xdr:rowOff>9524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8397EB48-2018-7494-C2AA-3B36BEDC170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353049" y="700085"/>
              <a:ext cx="8486775" cy="574833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2</xdr:row>
      <xdr:rowOff>47625</xdr:rowOff>
    </xdr:from>
    <xdr:to>
      <xdr:col>15</xdr:col>
      <xdr:colOff>474437</xdr:colOff>
      <xdr:row>35</xdr:row>
      <xdr:rowOff>169183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E0B62B3A-E97F-44A0-8F4B-F574184CC70C}"/>
                </a:ext>
                <a:ext uri="{147F2762-F138-4A5C-976F-8EAC2B608ADB}">
                  <a16:predDERef xmlns:a16="http://schemas.microsoft.com/office/drawing/2014/main" pred="{98496A5B-E5B3-FADA-0242-483FF21674A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162800" y="428625"/>
              <a:ext cx="7170512" cy="661760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35</xdr:row>
      <xdr:rowOff>0</xdr:rowOff>
    </xdr:from>
    <xdr:to>
      <xdr:col>10</xdr:col>
      <xdr:colOff>169334</xdr:colOff>
      <xdr:row>38</xdr:row>
      <xdr:rowOff>1734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D09D2E07-D051-48AD-BB56-098C984AB93C}"/>
                </a:ext>
                <a:ext uri="{147F2762-F138-4A5C-976F-8EAC2B608ADB}">
                  <a16:predDERef xmlns:a16="http://schemas.microsoft.com/office/drawing/2014/main" pred="{0DF297C7-0779-43C5-A976-1F755D627D6E}"/>
                </a:ext>
              </a:extLst>
            </xdr:cNvPr>
            <xdr:cNvSpPr txBox="1"/>
          </xdr:nvSpPr>
          <xdr:spPr>
            <a:xfrm>
              <a:off x="3615267" y="6705600"/>
              <a:ext cx="5067300" cy="5732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14:m>
                <m:oMathPara xmlns:m="http://schemas.openxmlformats.org/officeDocument/2006/math">
                  <m:oMath>
                    <m:r>
                      <m:rPr>
                        <m:sty m:val="p"/>
                      </m:rPr>
                      <a:rPr lang="es-ES" sz="1800" b="0" i="0">
                        <a:latin typeface="Cambria Math" panose="02040503050406030204" pitchFamily="18" charset="0"/>
                      </a:rPr>
                      <m:t>ROE</m:t>
                    </m:r>
                    <m:r>
                      <a:rPr lang="es-ES" sz="1800" b="0" i="0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s-ES" sz="1800" b="0" i="0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sty m:val="p"/>
                          </m:rPr>
                          <a:rPr lang="es-ES" sz="1800" b="0" i="0">
                            <a:latin typeface="Cambria Math" panose="02040503050406030204" pitchFamily="18" charset="0"/>
                          </a:rPr>
                          <m:t>NP</m:t>
                        </m:r>
                      </m:num>
                      <m:den>
                        <m:r>
                          <m:rPr>
                            <m:sty m:val="p"/>
                          </m:rPr>
                          <a:rPr lang="es-ES" sz="1800" b="0" i="0">
                            <a:latin typeface="Cambria Math" panose="02040503050406030204" pitchFamily="18" charset="0"/>
                          </a:rPr>
                          <m:t>EBT</m:t>
                        </m:r>
                      </m:den>
                    </m:f>
                    <m:r>
                      <m:rPr>
                        <m:sty m:val="p"/>
                      </m:rPr>
                      <a:rPr lang="es-ES" sz="1800" b="0" i="0">
                        <a:latin typeface="Cambria Math" panose="02040503050406030204" pitchFamily="18" charset="0"/>
                      </a:rPr>
                      <m:t>x</m:t>
                    </m:r>
                    <m:f>
                      <m:fPr>
                        <m:ctrlPr>
                          <a:rPr lang="es-ES" sz="18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ES" sz="1800" b="0" i="1">
                            <a:latin typeface="Cambria Math" panose="02040503050406030204" pitchFamily="18" charset="0"/>
                          </a:rPr>
                          <m:t>𝐸𝐵𝑇</m:t>
                        </m:r>
                      </m:num>
                      <m:den>
                        <m:r>
                          <a:rPr lang="es-ES" sz="1800" b="0" i="1">
                            <a:latin typeface="Cambria Math" panose="02040503050406030204" pitchFamily="18" charset="0"/>
                          </a:rPr>
                          <m:t>𝐸𝐵𝐼𝑇</m:t>
                        </m:r>
                      </m:den>
                    </m:f>
                    <m:r>
                      <a:rPr lang="es-ES" sz="18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ES" sz="1800" b="0" i="1">
                        <a:latin typeface="Cambria Math" panose="02040503050406030204" pitchFamily="18" charset="0"/>
                      </a:rPr>
                      <m:t>𝑥</m:t>
                    </m:r>
                    <m:f>
                      <m:fPr>
                        <m:ctrlPr>
                          <a:rPr lang="es-ES" sz="18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ES" sz="1800" b="0" i="1">
                            <a:latin typeface="Cambria Math" panose="02040503050406030204" pitchFamily="18" charset="0"/>
                          </a:rPr>
                          <m:t>𝐸𝐵𝐼𝑇</m:t>
                        </m:r>
                      </m:num>
                      <m:den>
                        <m:r>
                          <a:rPr lang="es-ES" sz="1800" b="0" i="1">
                            <a:latin typeface="Cambria Math" panose="02040503050406030204" pitchFamily="18" charset="0"/>
                          </a:rPr>
                          <m:t>𝑆𝑎𝑙𝑒𝑠</m:t>
                        </m:r>
                      </m:den>
                    </m:f>
                    <m:r>
                      <a:rPr lang="es-ES" sz="18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ES" sz="1800" b="0" i="1">
                        <a:latin typeface="Cambria Math" panose="02040503050406030204" pitchFamily="18" charset="0"/>
                      </a:rPr>
                      <m:t>𝑥</m:t>
                    </m:r>
                    <m:f>
                      <m:fPr>
                        <m:ctrlPr>
                          <a:rPr lang="es-ES" sz="18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ES" sz="1800" b="0" i="1">
                            <a:latin typeface="Cambria Math" panose="02040503050406030204" pitchFamily="18" charset="0"/>
                          </a:rPr>
                          <m:t>𝑆𝑎𝑙𝑒𝑠</m:t>
                        </m:r>
                      </m:num>
                      <m:den>
                        <m:r>
                          <a:rPr lang="es-ES" sz="1800" b="0" i="1">
                            <a:latin typeface="Cambria Math" panose="02040503050406030204" pitchFamily="18" charset="0"/>
                          </a:rPr>
                          <m:t>𝐴𝑠𝑠𝑒𝑡𝑠</m:t>
                        </m:r>
                      </m:den>
                    </m:f>
                    <m:r>
                      <a:rPr lang="es-ES" sz="18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ES" sz="1800" b="0" i="1">
                        <a:latin typeface="Cambria Math" panose="02040503050406030204" pitchFamily="18" charset="0"/>
                      </a:rPr>
                      <m:t>𝑥</m:t>
                    </m:r>
                    <m:f>
                      <m:fPr>
                        <m:ctrlPr>
                          <a:rPr lang="es-ES" sz="18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ES" sz="1800" b="0" i="1">
                            <a:latin typeface="Cambria Math" panose="02040503050406030204" pitchFamily="18" charset="0"/>
                          </a:rPr>
                          <m:t>𝐴𝑠𝑠𝑒𝑡𝑠</m:t>
                        </m:r>
                      </m:num>
                      <m:den>
                        <m:r>
                          <a:rPr lang="es-ES" sz="1800" b="0" i="1">
                            <a:latin typeface="Cambria Math" panose="02040503050406030204" pitchFamily="18" charset="0"/>
                          </a:rPr>
                          <m:t>𝐸𝑞𝑢𝑖𝑡𝑦</m:t>
                        </m:r>
                      </m:den>
                    </m:f>
                  </m:oMath>
                </m:oMathPara>
              </a14:m>
              <a:endParaRPr lang="en-US" sz="1800" i="0"/>
            </a:p>
          </xdr:txBody>
        </xdr:sp>
      </mc:Choice>
      <mc:Fallback xmlns="">
        <xdr:sp macro="" textlink="">
          <xdr:nvSpPr>
            <xdr:cNvPr id="2" name="TextBox 2">
              <a:extLst>
                <a:ext uri="{FF2B5EF4-FFF2-40B4-BE49-F238E27FC236}">
                  <a16:creationId xmlns:a16="http://schemas.microsoft.com/office/drawing/2014/main" id="{D09D2E07-D051-48AD-BB56-098C984AB93C}"/>
                </a:ext>
                <a:ext uri="{147F2762-F138-4A5C-976F-8EAC2B608ADB}">
                  <a16:predDERef xmlns:a16="http://schemas.microsoft.com/office/drawing/2014/main" pred="{0DF297C7-0779-43C5-A976-1F755D627D6E}"/>
                </a:ext>
              </a:extLst>
            </xdr:cNvPr>
            <xdr:cNvSpPr txBox="1"/>
          </xdr:nvSpPr>
          <xdr:spPr>
            <a:xfrm>
              <a:off x="3615267" y="6705600"/>
              <a:ext cx="5067300" cy="57323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/>
              <a:r>
                <a:rPr lang="es-ES" sz="1800" b="0" i="0">
                  <a:latin typeface="Cambria Math" panose="02040503050406030204" pitchFamily="18" charset="0"/>
                </a:rPr>
                <a:t>ROE=NP/EBT x 𝐸𝐵𝑇/𝐸𝐵𝐼𝑇  𝑥 𝐸𝐵𝐼𝑇/𝑆𝑎𝑙𝑒𝑠  𝑥 𝑆𝑎𝑙𝑒𝑠/𝐴𝑠𝑠𝑒𝑡𝑠  𝑥 𝐴𝑠𝑠𝑒𝑡𝑠/𝐸𝑞𝑢𝑖𝑡𝑦</a:t>
              </a:r>
              <a:endParaRPr lang="en-US" sz="1800" i="0"/>
            </a:p>
          </xdr:txBody>
        </xdr:sp>
      </mc:Fallback>
    </mc:AlternateContent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419100</xdr:colOff>
      <xdr:row>76</xdr:row>
      <xdr:rowOff>0</xdr:rowOff>
    </xdr:from>
    <xdr:to>
      <xdr:col>12</xdr:col>
      <xdr:colOff>29004</xdr:colOff>
      <xdr:row>82</xdr:row>
      <xdr:rowOff>162115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8FE228-5869-0176-5CC6-93CA8B210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4700" y="14982825"/>
          <a:ext cx="3077004" cy="1362265"/>
        </a:xfrm>
        <a:prstGeom prst="rect">
          <a:avLst/>
        </a:prstGeom>
      </xdr:spPr>
    </xdr:pic>
    <xdr:clientData/>
  </xdr:twoCellAnchor>
  <xdr:twoCellAnchor editAs="oneCell">
    <xdr:from>
      <xdr:col>7</xdr:col>
      <xdr:colOff>542925</xdr:colOff>
      <xdr:row>90</xdr:row>
      <xdr:rowOff>9525</xdr:rowOff>
    </xdr:from>
    <xdr:to>
      <xdr:col>16</xdr:col>
      <xdr:colOff>751</xdr:colOff>
      <xdr:row>94</xdr:row>
      <xdr:rowOff>143005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6EA0C6-D783-07DD-F7C4-C26E97A48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58525" y="17754600"/>
          <a:ext cx="5382376" cy="93358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419100</xdr:colOff>
      <xdr:row>5</xdr:row>
      <xdr:rowOff>0</xdr:rowOff>
    </xdr:from>
    <xdr:to>
      <xdr:col>12</xdr:col>
      <xdr:colOff>29004</xdr:colOff>
      <xdr:row>11</xdr:row>
      <xdr:rowOff>162115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60E947-B8FA-4485-B19C-E17DC390C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4700" y="14982825"/>
          <a:ext cx="3077004" cy="1362265"/>
        </a:xfrm>
        <a:prstGeom prst="rect">
          <a:avLst/>
        </a:prstGeom>
      </xdr:spPr>
    </xdr:pic>
    <xdr:clientData/>
  </xdr:twoCellAnchor>
  <xdr:twoCellAnchor editAs="oneCell">
    <xdr:from>
      <xdr:col>7</xdr:col>
      <xdr:colOff>542925</xdr:colOff>
      <xdr:row>19</xdr:row>
      <xdr:rowOff>9525</xdr:rowOff>
    </xdr:from>
    <xdr:to>
      <xdr:col>16</xdr:col>
      <xdr:colOff>751</xdr:colOff>
      <xdr:row>23</xdr:row>
      <xdr:rowOff>143005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35AAFB-CF79-4E27-9590-C9D7B01CF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58525" y="17754600"/>
          <a:ext cx="5382376" cy="93358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237</xdr:row>
      <xdr:rowOff>123825</xdr:rowOff>
    </xdr:from>
    <xdr:to>
      <xdr:col>13</xdr:col>
      <xdr:colOff>258763</xdr:colOff>
      <xdr:row>239</xdr:row>
      <xdr:rowOff>153701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2">
              <a:extLst>
                <a:ext uri="{FF2B5EF4-FFF2-40B4-BE49-F238E27FC236}">
                  <a16:creationId xmlns:a16="http://schemas.microsoft.com/office/drawing/2014/main" id="{24462496-BB68-E14F-A426-76321D818A95}"/>
                </a:ext>
                <a:ext uri="{147F2762-F138-4A5C-976F-8EAC2B608ADB}">
                  <a16:predDERef xmlns:a16="http://schemas.microsoft.com/office/drawing/2014/main" pred="{15F8E453-0F3F-826A-1791-FEE3742293C4}"/>
                </a:ext>
              </a:extLst>
            </xdr:cNvPr>
            <xdr:cNvSpPr txBox="1"/>
          </xdr:nvSpPr>
          <xdr:spPr>
            <a:xfrm>
              <a:off x="8553450" y="48272700"/>
              <a:ext cx="5507038" cy="4299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800" b="0" i="0">
                      <a:latin typeface="Cambria Math" panose="02040503050406030204" pitchFamily="18" charset="0"/>
                    </a:rPr>
                    <m:t>ROE</m:t>
                  </m:r>
                  <m:r>
                    <a:rPr lang="es-ES" sz="1800" b="0" i="0">
                      <a:latin typeface="Cambria Math" panose="02040503050406030204" pitchFamily="18" charset="0"/>
                    </a:rPr>
                    <m:t>=</m:t>
                  </m:r>
                  <m:f>
                    <m:fPr>
                      <m:ctrlPr>
                        <a:rPr lang="es-ES" sz="1800" b="0" i="0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sty m:val="p"/>
                        </m:rPr>
                        <a:rPr lang="es-ES" sz="1800" b="0" i="0">
                          <a:latin typeface="Cambria Math" panose="02040503050406030204" pitchFamily="18" charset="0"/>
                        </a:rPr>
                        <m:t>NP</m:t>
                      </m:r>
                    </m:num>
                    <m:den>
                      <m:r>
                        <m:rPr>
                          <m:sty m:val="p"/>
                        </m:rPr>
                        <a:rPr lang="es-ES" sz="1800" b="0" i="0">
                          <a:latin typeface="Cambria Math" panose="02040503050406030204" pitchFamily="18" charset="0"/>
                        </a:rPr>
                        <m:t>EBT</m:t>
                      </m:r>
                    </m:den>
                  </m:f>
                  <m:r>
                    <m:rPr>
                      <m:sty m:val="p"/>
                    </m:rPr>
                    <a:rPr lang="es-ES" sz="1800" b="0" i="0">
                      <a:latin typeface="Cambria Math" panose="02040503050406030204" pitchFamily="18" charset="0"/>
                    </a:rPr>
                    <m:t>x</m:t>
                  </m:r>
                  <m:f>
                    <m:fPr>
                      <m:ctrlPr>
                        <a:rPr lang="es-ES" sz="1800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s-ES" sz="1800" b="0" i="1">
                          <a:latin typeface="Cambria Math" panose="02040503050406030204" pitchFamily="18" charset="0"/>
                        </a:rPr>
                        <m:t>𝐸𝐵𝑇</m:t>
                      </m:r>
                    </m:num>
                    <m:den>
                      <m:r>
                        <a:rPr lang="es-ES" sz="1800" b="0" i="1">
                          <a:latin typeface="Cambria Math" panose="02040503050406030204" pitchFamily="18" charset="0"/>
                        </a:rPr>
                        <m:t>𝐸𝐵𝐼𝑇</m:t>
                      </m:r>
                    </m:den>
                  </m:f>
                  <m:r>
                    <a:rPr lang="es-ES" sz="18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ES" sz="1800" b="0" i="1">
                      <a:latin typeface="Cambria Math" panose="02040503050406030204" pitchFamily="18" charset="0"/>
                    </a:rPr>
                    <m:t>𝑥</m:t>
                  </m:r>
                  <m:f>
                    <m:fPr>
                      <m:ctrlPr>
                        <a:rPr lang="es-ES" sz="1800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s-ES" sz="1800" b="0" i="1">
                          <a:latin typeface="Cambria Math" panose="02040503050406030204" pitchFamily="18" charset="0"/>
                        </a:rPr>
                        <m:t>𝐸𝐵𝐼𝑇</m:t>
                      </m:r>
                    </m:num>
                    <m:den>
                      <m:r>
                        <a:rPr lang="es-ES" sz="1800" b="0" i="1">
                          <a:latin typeface="Cambria Math" panose="02040503050406030204" pitchFamily="18" charset="0"/>
                        </a:rPr>
                        <m:t>𝑆𝑎𝑙𝑒𝑠</m:t>
                      </m:r>
                    </m:den>
                  </m:f>
                  <m:r>
                    <a:rPr lang="es-ES" sz="18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ES" sz="1800" b="0" i="1">
                      <a:latin typeface="Cambria Math" panose="02040503050406030204" pitchFamily="18" charset="0"/>
                    </a:rPr>
                    <m:t>𝑥</m:t>
                  </m:r>
                  <m:f>
                    <m:fPr>
                      <m:ctrlPr>
                        <a:rPr lang="es-ES" sz="1800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s-ES" sz="1800" b="0" i="1">
                          <a:latin typeface="Cambria Math" panose="02040503050406030204" pitchFamily="18" charset="0"/>
                        </a:rPr>
                        <m:t>𝑆𝑎𝑙𝑒𝑠</m:t>
                      </m:r>
                    </m:num>
                    <m:den>
                      <m:r>
                        <a:rPr lang="es-ES" sz="1800" b="0" i="1">
                          <a:latin typeface="Cambria Math" panose="02040503050406030204" pitchFamily="18" charset="0"/>
                        </a:rPr>
                        <m:t>𝐴𝑠𝑠𝑒𝑡𝑠</m:t>
                      </m:r>
                    </m:den>
                  </m:f>
                  <m:r>
                    <a:rPr lang="es-ES" sz="18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ES" sz="1800" b="0" i="1">
                      <a:latin typeface="Cambria Math" panose="02040503050406030204" pitchFamily="18" charset="0"/>
                    </a:rPr>
                    <m:t>𝑥</m:t>
                  </m:r>
                  <m:f>
                    <m:fPr>
                      <m:ctrlPr>
                        <a:rPr lang="es-ES" sz="1800" b="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s-ES" sz="1800" b="0" i="1">
                          <a:latin typeface="Cambria Math" panose="02040503050406030204" pitchFamily="18" charset="0"/>
                        </a:rPr>
                        <m:t>𝐴𝑠𝑠𝑒𝑡𝑠</m:t>
                      </m:r>
                    </m:num>
                    <m:den>
                      <m:r>
                        <a:rPr lang="es-ES" sz="1800" b="0" i="1">
                          <a:latin typeface="Cambria Math" panose="02040503050406030204" pitchFamily="18" charset="0"/>
                        </a:rPr>
                        <m:t>𝐸𝑞𝑢𝑖𝑡𝑦</m:t>
                      </m:r>
                    </m:den>
                  </m:f>
                </m:oMath>
              </a14:m>
              <a:r>
                <a:rPr lang="en-US" sz="1800" i="0"/>
                <a:t>c</a:t>
              </a:r>
            </a:p>
          </xdr:txBody>
        </xdr:sp>
      </mc:Choice>
      <mc:Fallback xmlns="">
        <xdr:sp macro="" textlink="">
          <xdr:nvSpPr>
            <xdr:cNvPr id="2" name="TextBox 2">
              <a:extLst>
                <a:ext uri="{FF2B5EF4-FFF2-40B4-BE49-F238E27FC236}">
                  <a16:creationId xmlns:a16="http://schemas.microsoft.com/office/drawing/2014/main" id="{24462496-BB68-E14F-A426-76321D818A95}"/>
                </a:ext>
                <a:ext uri="{147F2762-F138-4A5C-976F-8EAC2B608ADB}">
                  <a16:predDERef xmlns:a16="http://schemas.microsoft.com/office/drawing/2014/main" pred="{15F8E453-0F3F-826A-1791-FEE3742293C4}"/>
                </a:ext>
              </a:extLst>
            </xdr:cNvPr>
            <xdr:cNvSpPr txBox="1"/>
          </xdr:nvSpPr>
          <xdr:spPr>
            <a:xfrm>
              <a:off x="8553450" y="48272700"/>
              <a:ext cx="5507038" cy="4299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s-ES" sz="1800" b="0" i="0">
                  <a:latin typeface="Cambria Math" panose="02040503050406030204" pitchFamily="18" charset="0"/>
                </a:rPr>
                <a:t>ROE=NP/EBT x 𝐸𝐵𝑇/𝐸𝐵𝐼𝑇  𝑥 𝐸𝐵𝐼𝑇/𝑆𝑎𝑙𝑒𝑠  𝑥 𝑆𝑎𝑙𝑒𝑠/𝐴𝑠𝑠𝑒𝑡𝑠  𝑥 𝐴𝑠𝑠𝑒𝑡𝑠/𝐸𝑞𝑢𝑖𝑡𝑦</a:t>
              </a:r>
              <a:r>
                <a:rPr lang="en-US" sz="1800" i="0"/>
                <a:t>c</a:t>
              </a:r>
            </a:p>
          </xdr:txBody>
        </xdr:sp>
      </mc:Fallback>
    </mc:AlternateContent>
    <xdr:clientData/>
  </xdr:twoCellAnchor>
  <xdr:twoCellAnchor>
    <xdr:from>
      <xdr:col>2</xdr:col>
      <xdr:colOff>43638</xdr:colOff>
      <xdr:row>268</xdr:row>
      <xdr:rowOff>103353</xdr:rowOff>
    </xdr:from>
    <xdr:to>
      <xdr:col>10</xdr:col>
      <xdr:colOff>877160</xdr:colOff>
      <xdr:row>298</xdr:row>
      <xdr:rowOff>134534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8496A5B-E5B3-FADA-0242-483FF21674A3}"/>
            </a:ext>
            <a:ext uri="{147F2762-F138-4A5C-976F-8EAC2B608ADB}">
              <a16:predDERef xmlns:a16="http://schemas.microsoft.com/office/drawing/2014/main" pred="{24462496-BB68-E14F-A426-76321D818A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811438</xdr:colOff>
      <xdr:row>81</xdr:row>
      <xdr:rowOff>126092</xdr:rowOff>
    </xdr:from>
    <xdr:to>
      <xdr:col>13</xdr:col>
      <xdr:colOff>409575</xdr:colOff>
      <xdr:row>114</xdr:row>
      <xdr:rowOff>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83C57F67-26BB-992C-99BB-774B6555D3F1}"/>
                </a:ext>
                <a:ext uri="{147F2762-F138-4A5C-976F-8EAC2B608ADB}">
                  <a16:predDERef xmlns:a16="http://schemas.microsoft.com/office/drawing/2014/main" pred="{98496A5B-E5B3-FADA-0242-483FF21674A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040788" y="16928192"/>
              <a:ext cx="7170512" cy="661760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942974</xdr:colOff>
      <xdr:row>118</xdr:row>
      <xdr:rowOff>119062</xdr:rowOff>
    </xdr:from>
    <xdr:to>
      <xdr:col>11</xdr:col>
      <xdr:colOff>123824</xdr:colOff>
      <xdr:row>142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A78A1F7-E4DB-C808-AE79-75876F33A1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71437</xdr:colOff>
      <xdr:row>127</xdr:row>
      <xdr:rowOff>33337</xdr:rowOff>
    </xdr:from>
    <xdr:to>
      <xdr:col>10</xdr:col>
      <xdr:colOff>681037</xdr:colOff>
      <xdr:row>140</xdr:row>
      <xdr:rowOff>176212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C9EC750-B42D-1DE7-50E1-6286CA22F2EF}"/>
            </a:ext>
            <a:ext uri="{147F2762-F138-4A5C-976F-8EAC2B608ADB}">
              <a16:predDERef xmlns:a16="http://schemas.microsoft.com/office/drawing/2014/main" pred="{DA78A1F7-E4DB-C808-AE79-75876F33A1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1050472</xdr:colOff>
      <xdr:row>43</xdr:row>
      <xdr:rowOff>149134</xdr:rowOff>
    </xdr:from>
    <xdr:to>
      <xdr:col>13</xdr:col>
      <xdr:colOff>715192</xdr:colOff>
      <xdr:row>62</xdr:row>
      <xdr:rowOff>90352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CA72861-2287-41F7-82F0-ECCB9B7CBE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1252</xdr:row>
      <xdr:rowOff>167640</xdr:rowOff>
    </xdr:from>
    <xdr:to>
      <xdr:col>13</xdr:col>
      <xdr:colOff>937260</xdr:colOff>
      <xdr:row>1284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C06CA2C-E5DC-488C-A234-E31839BF61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76200</xdr:colOff>
      <xdr:row>1252</xdr:row>
      <xdr:rowOff>137160</xdr:rowOff>
    </xdr:from>
    <xdr:to>
      <xdr:col>20</xdr:col>
      <xdr:colOff>1226820</xdr:colOff>
      <xdr:row>1284</xdr:row>
      <xdr:rowOff>144780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8B2C504-2207-46FA-828D-B77B6D261B59}"/>
            </a:ext>
            <a:ext uri="{147F2762-F138-4A5C-976F-8EAC2B608ADB}">
              <a16:predDERef xmlns:a16="http://schemas.microsoft.com/office/drawing/2014/main" pred="{8C06CA2C-E5DC-488C-A234-E31839BF61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precioyvolumen.sharepoint.com/Documentos%20compartidos/dividendos.xlsx" TargetMode="External"/><Relationship Id="rId1" Type="http://schemas.openxmlformats.org/officeDocument/2006/relationships/externalLinkPath" Target="https://precioyvolumen.sharepoint.com/Documentos%20compartidos/dividend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ÍNDICE"/>
      <sheetName val="Aristócratas"/>
      <sheetName val="Dividend Kings"/>
      <sheetName val="Champions"/>
      <sheetName val="Wide Moats"/>
      <sheetName val="Dividendos crecientes"/>
      <sheetName val="Análisis"/>
    </sheetNames>
    <sheetDataSet>
      <sheetData sheetId="0"/>
      <sheetData sheetId="1"/>
      <sheetData sheetId="2"/>
      <sheetData sheetId="3"/>
      <sheetData sheetId="4"/>
      <sheetData sheetId="5"/>
      <sheetData sheetId="6">
        <row r="54">
          <cell r="D54">
            <v>1.1499999999999999</v>
          </cell>
        </row>
        <row r="55">
          <cell r="B55" t="str">
            <v>2025-01-22</v>
          </cell>
          <cell r="D55">
            <v>1.1499999999999999</v>
          </cell>
        </row>
        <row r="56">
          <cell r="B56" t="str">
            <v>2024-10-23</v>
          </cell>
          <cell r="D56">
            <v>1.1499999999999999</v>
          </cell>
        </row>
        <row r="57">
          <cell r="B57" t="str">
            <v>2024-07-24</v>
          </cell>
          <cell r="D57">
            <v>1.1499999999999999</v>
          </cell>
        </row>
        <row r="58">
          <cell r="B58" t="str">
            <v>2024-04-23</v>
          </cell>
          <cell r="D58">
            <v>1.1000000000000001</v>
          </cell>
        </row>
        <row r="59">
          <cell r="B59" t="str">
            <v>2024-01-23</v>
          </cell>
          <cell r="D59">
            <v>1.1000000000000001</v>
          </cell>
        </row>
        <row r="60">
          <cell r="B60" t="str">
            <v>2023-10-24</v>
          </cell>
          <cell r="D60">
            <v>1.1000000000000001</v>
          </cell>
        </row>
        <row r="61">
          <cell r="B61" t="str">
            <v>2023-07-25</v>
          </cell>
          <cell r="D61">
            <v>1.1000000000000001</v>
          </cell>
        </row>
        <row r="62">
          <cell r="B62" t="str">
            <v>2023-04-25</v>
          </cell>
          <cell r="D62">
            <v>1.05</v>
          </cell>
        </row>
        <row r="63">
          <cell r="B63" t="str">
            <v>2023-01-24</v>
          </cell>
          <cell r="D63">
            <v>1.05</v>
          </cell>
        </row>
        <row r="64">
          <cell r="B64" t="str">
            <v>2022-10-18</v>
          </cell>
          <cell r="D64">
            <v>1.05</v>
          </cell>
        </row>
        <row r="65">
          <cell r="B65" t="str">
            <v>2022-07-19</v>
          </cell>
          <cell r="D65">
            <v>1.05</v>
          </cell>
        </row>
        <row r="66">
          <cell r="B66" t="str">
            <v>2022-04-19</v>
          </cell>
          <cell r="D66">
            <v>0.8</v>
          </cell>
        </row>
        <row r="67">
          <cell r="B67" t="str">
            <v>2022-01-18</v>
          </cell>
          <cell r="D67">
            <v>0.8</v>
          </cell>
        </row>
        <row r="68">
          <cell r="B68" t="str">
            <v>2021-10-19</v>
          </cell>
          <cell r="D68">
            <v>0.8</v>
          </cell>
        </row>
        <row r="69">
          <cell r="B69" t="str">
            <v>2021-07-20</v>
          </cell>
          <cell r="D69">
            <v>0.8</v>
          </cell>
        </row>
        <row r="70">
          <cell r="B70" t="str">
            <v>2021-04-20</v>
          </cell>
          <cell r="D70">
            <v>0.6</v>
          </cell>
        </row>
        <row r="71">
          <cell r="B71" t="str">
            <v>2021-01-19</v>
          </cell>
          <cell r="D71">
            <v>0.6</v>
          </cell>
        </row>
        <row r="72">
          <cell r="B72" t="str">
            <v>2020-10-20</v>
          </cell>
          <cell r="D72">
            <v>0.6</v>
          </cell>
        </row>
        <row r="73">
          <cell r="B73" t="str">
            <v>2020-07-21</v>
          </cell>
          <cell r="D73">
            <v>0.55000000000000004</v>
          </cell>
        </row>
        <row r="74">
          <cell r="B74" t="str">
            <v>2020-04-21</v>
          </cell>
          <cell r="D74">
            <v>0.55000000000000004</v>
          </cell>
        </row>
        <row r="75">
          <cell r="B75" t="str">
            <v>2020-01-21</v>
          </cell>
          <cell r="D75">
            <v>0.55000000000000004</v>
          </cell>
        </row>
        <row r="76">
          <cell r="B76" t="str">
            <v>2019-10-22</v>
          </cell>
          <cell r="D76">
            <v>0.55000000000000004</v>
          </cell>
        </row>
        <row r="77">
          <cell r="B77" t="str">
            <v>2019-07-23</v>
          </cell>
          <cell r="D77">
            <v>0.55000000000000004</v>
          </cell>
        </row>
        <row r="78">
          <cell r="B78" t="str">
            <v>2019-04-23</v>
          </cell>
          <cell r="D78">
            <v>0.48</v>
          </cell>
        </row>
        <row r="79">
          <cell r="B79" t="str">
            <v>2019-01-22</v>
          </cell>
          <cell r="D79">
            <v>0.48</v>
          </cell>
        </row>
        <row r="80">
          <cell r="B80" t="str">
            <v>2018-10-23</v>
          </cell>
          <cell r="D80">
            <v>0.48</v>
          </cell>
        </row>
        <row r="81">
          <cell r="B81" t="str">
            <v>2018-07-24</v>
          </cell>
          <cell r="D81">
            <v>0.48</v>
          </cell>
        </row>
        <row r="82">
          <cell r="B82" t="str">
            <v>2018-04-24</v>
          </cell>
          <cell r="D82">
            <v>0.41</v>
          </cell>
        </row>
        <row r="83">
          <cell r="B83" t="str">
            <v>2018-01-23</v>
          </cell>
          <cell r="D83">
            <v>0.41</v>
          </cell>
        </row>
        <row r="84">
          <cell r="B84" t="str">
            <v>2017-10-24</v>
          </cell>
          <cell r="D84">
            <v>0.41</v>
          </cell>
        </row>
        <row r="85">
          <cell r="B85" t="str">
            <v>2017-07-24</v>
          </cell>
          <cell r="D85">
            <v>0.41</v>
          </cell>
        </row>
        <row r="86">
          <cell r="B86" t="str">
            <v>2017-04-24</v>
          </cell>
          <cell r="D86">
            <v>0.35</v>
          </cell>
        </row>
        <row r="87">
          <cell r="B87" t="str">
            <v>2017-01-23</v>
          </cell>
          <cell r="D87">
            <v>0.35</v>
          </cell>
        </row>
        <row r="88">
          <cell r="B88" t="str">
            <v>2016-10-17</v>
          </cell>
          <cell r="D88">
            <v>0.35</v>
          </cell>
        </row>
        <row r="89">
          <cell r="B89" t="str">
            <v>2016-07-18</v>
          </cell>
          <cell r="D89">
            <v>0.35</v>
          </cell>
        </row>
        <row r="90">
          <cell r="B90" t="str">
            <v>2016-04-18</v>
          </cell>
          <cell r="D90">
            <v>0.28000000000000003</v>
          </cell>
        </row>
        <row r="91">
          <cell r="B91" t="str">
            <v>2016-01-15</v>
          </cell>
          <cell r="D91">
            <v>0.28000000000000003</v>
          </cell>
        </row>
        <row r="92">
          <cell r="B92" t="str">
            <v>2015-10-19</v>
          </cell>
          <cell r="D92">
            <v>0.28000000000000003</v>
          </cell>
        </row>
        <row r="93">
          <cell r="B93" t="str">
            <v>2015-07-20</v>
          </cell>
          <cell r="D93">
            <v>0.28000000000000003</v>
          </cell>
        </row>
        <row r="94">
          <cell r="B94" t="str">
            <v>2015-04-20</v>
          </cell>
          <cell r="D94">
            <v>0.23</v>
          </cell>
        </row>
        <row r="95">
          <cell r="B95" t="str">
            <v>2015-01-16</v>
          </cell>
          <cell r="D95">
            <v>0.23</v>
          </cell>
        </row>
        <row r="96">
          <cell r="B96" t="str">
            <v>2014-10-20</v>
          </cell>
          <cell r="D96">
            <v>0.23</v>
          </cell>
        </row>
        <row r="97">
          <cell r="B97" t="str">
            <v>2014-07-21</v>
          </cell>
          <cell r="D97">
            <v>0.23</v>
          </cell>
        </row>
        <row r="98">
          <cell r="B98" t="str">
            <v>2014-04-21</v>
          </cell>
          <cell r="D98">
            <v>0.18</v>
          </cell>
        </row>
        <row r="99">
          <cell r="B99" t="str">
            <v>2014-01-17</v>
          </cell>
          <cell r="D99">
            <v>0.18</v>
          </cell>
        </row>
        <row r="100">
          <cell r="B100" t="str">
            <v>2013-10-21</v>
          </cell>
          <cell r="D100">
            <v>0.18</v>
          </cell>
        </row>
        <row r="101">
          <cell r="B101" t="str">
            <v>2013-07-22</v>
          </cell>
          <cell r="D101">
            <v>0.18</v>
          </cell>
        </row>
        <row r="102">
          <cell r="B102" t="str">
            <v>2013-04-22</v>
          </cell>
          <cell r="D102">
            <v>0.16</v>
          </cell>
        </row>
        <row r="103">
          <cell r="B103" t="str">
            <v>2013-01-18</v>
          </cell>
          <cell r="D103">
            <v>0.16</v>
          </cell>
        </row>
        <row r="104">
          <cell r="B104" t="str">
            <v>2012-10-22</v>
          </cell>
          <cell r="D104">
            <v>0.16</v>
          </cell>
        </row>
        <row r="105">
          <cell r="B105" t="str">
            <v>2012-07-23</v>
          </cell>
          <cell r="D105">
            <v>0.16</v>
          </cell>
        </row>
        <row r="106">
          <cell r="B106" t="str">
            <v>2012-04-23</v>
          </cell>
          <cell r="D106">
            <v>0.14000000000000001</v>
          </cell>
        </row>
        <row r="107">
          <cell r="B107" t="str">
            <v>2012-01-23</v>
          </cell>
          <cell r="D107">
            <v>0.14000000000000001</v>
          </cell>
        </row>
        <row r="108">
          <cell r="B108" t="str">
            <v>2011-10-17</v>
          </cell>
          <cell r="D108">
            <v>0.14000000000000001</v>
          </cell>
        </row>
        <row r="109">
          <cell r="B109" t="str">
            <v>2011-07-18</v>
          </cell>
          <cell r="D109">
            <v>0.14000000000000001</v>
          </cell>
        </row>
        <row r="110">
          <cell r="B110" t="str">
            <v>2011-04-18</v>
          </cell>
          <cell r="D110">
            <v>0.11</v>
          </cell>
        </row>
        <row r="111">
          <cell r="B111" t="str">
            <v>2011-01-14</v>
          </cell>
          <cell r="D111">
            <v>0.11</v>
          </cell>
        </row>
        <row r="112">
          <cell r="B112" t="str">
            <v>2010-10-18</v>
          </cell>
          <cell r="D112">
            <v>0.11</v>
          </cell>
        </row>
        <row r="113">
          <cell r="B113" t="str">
            <v>2010-07-19</v>
          </cell>
          <cell r="D113">
            <v>0.11</v>
          </cell>
        </row>
        <row r="114">
          <cell r="B114" t="str">
            <v>2010-04-19</v>
          </cell>
          <cell r="D114">
            <v>0.09</v>
          </cell>
        </row>
        <row r="115">
          <cell r="B115" t="str">
            <v>2010-01-15</v>
          </cell>
          <cell r="D115">
            <v>0.09</v>
          </cell>
        </row>
        <row r="116">
          <cell r="B116" t="str">
            <v>2009-10-14</v>
          </cell>
          <cell r="D116">
            <v>0.09</v>
          </cell>
        </row>
        <row r="117">
          <cell r="B117" t="str">
            <v>2009-07-15</v>
          </cell>
          <cell r="D117">
            <v>0.09</v>
          </cell>
        </row>
        <row r="118">
          <cell r="B118" t="str">
            <v>2009-04-15</v>
          </cell>
          <cell r="D118">
            <v>8.5000000000000006E-2</v>
          </cell>
        </row>
        <row r="119">
          <cell r="B119" t="str">
            <v>2009-01-14</v>
          </cell>
          <cell r="D119">
            <v>8.5000000000000006E-2</v>
          </cell>
        </row>
        <row r="120">
          <cell r="B120" t="str">
            <v>2008-10-15</v>
          </cell>
          <cell r="D120">
            <v>8.5000000000000006E-2</v>
          </cell>
        </row>
        <row r="121">
          <cell r="B121" t="str">
            <v>2008-07-16</v>
          </cell>
          <cell r="D121">
            <v>8.5000000000000006E-2</v>
          </cell>
        </row>
        <row r="122">
          <cell r="B122" t="str">
            <v>2008-04-16</v>
          </cell>
          <cell r="D122">
            <v>0.08</v>
          </cell>
        </row>
        <row r="123">
          <cell r="B123" t="str">
            <v>2008-01-16</v>
          </cell>
          <cell r="D123">
            <v>0.08</v>
          </cell>
        </row>
        <row r="124">
          <cell r="B124" t="str">
            <v>2007-10-17</v>
          </cell>
          <cell r="D124">
            <v>0.08</v>
          </cell>
        </row>
        <row r="125">
          <cell r="B125" t="str">
            <v>2007-07-18</v>
          </cell>
          <cell r="D125">
            <v>0.08</v>
          </cell>
        </row>
        <row r="126">
          <cell r="B126" t="str">
            <v>2007-04-18</v>
          </cell>
          <cell r="D126">
            <v>0.05</v>
          </cell>
        </row>
        <row r="127">
          <cell r="B127" t="str">
            <v>2007-01-17</v>
          </cell>
          <cell r="D127">
            <v>0.05</v>
          </cell>
        </row>
        <row r="128">
          <cell r="B128" t="str">
            <v>2006-10-18</v>
          </cell>
          <cell r="D128">
            <v>0.05</v>
          </cell>
        </row>
        <row r="129">
          <cell r="B129" t="str">
            <v>2006-07-19</v>
          </cell>
          <cell r="D129">
            <v>0.05</v>
          </cell>
        </row>
        <row r="130">
          <cell r="B130" t="str">
            <v>2006-04-19</v>
          </cell>
          <cell r="D130">
            <v>0.03</v>
          </cell>
        </row>
        <row r="131">
          <cell r="B131" t="str">
            <v>2006-01-18</v>
          </cell>
          <cell r="D131">
            <v>0.03</v>
          </cell>
        </row>
        <row r="132">
          <cell r="B132" t="str">
            <v>2005-10-12</v>
          </cell>
          <cell r="D132">
            <v>0.03</v>
          </cell>
        </row>
        <row r="133">
          <cell r="B133" t="str">
            <v>2005-07-13</v>
          </cell>
          <cell r="D133">
            <v>0.03</v>
          </cell>
        </row>
        <row r="134">
          <cell r="B134" t="str">
            <v>2005-04-13</v>
          </cell>
          <cell r="D134">
            <v>0.02</v>
          </cell>
        </row>
        <row r="135">
          <cell r="B135" t="str">
            <v>2005-01-12</v>
          </cell>
          <cell r="D135">
            <v>0.02</v>
          </cell>
        </row>
        <row r="136">
          <cell r="B136" t="str">
            <v>2004-10-13</v>
          </cell>
          <cell r="D136">
            <v>0.02</v>
          </cell>
        </row>
        <row r="137">
          <cell r="B137" t="str">
            <v>2004-07-14</v>
          </cell>
          <cell r="D137">
            <v>0.02</v>
          </cell>
        </row>
        <row r="138">
          <cell r="B138" t="str">
            <v>2004-04-14</v>
          </cell>
          <cell r="D138">
            <v>1.4999999999999999E-2</v>
          </cell>
        </row>
        <row r="139">
          <cell r="B139" t="str">
            <v>2004-01-14</v>
          </cell>
          <cell r="D139">
            <v>1.4999999999999999E-2</v>
          </cell>
        </row>
        <row r="140">
          <cell r="B140" t="str">
            <v>2003-10-15</v>
          </cell>
          <cell r="D140">
            <v>1.4999999999999999E-2</v>
          </cell>
        </row>
        <row r="141">
          <cell r="B141" t="str">
            <v>2003-07-16</v>
          </cell>
          <cell r="D141">
            <v>1.2500000000000001E-2</v>
          </cell>
        </row>
        <row r="142">
          <cell r="B142" t="str">
            <v>2003-04-15</v>
          </cell>
          <cell r="D142">
            <v>1.2500000000000001E-2</v>
          </cell>
        </row>
        <row r="143">
          <cell r="B143" t="str">
            <v>2003-01-15</v>
          </cell>
          <cell r="D143">
            <v>1.2500000000000001E-2</v>
          </cell>
        </row>
        <row r="144">
          <cell r="B144" t="str">
            <v>2002-10-16</v>
          </cell>
          <cell r="D144">
            <v>0.01</v>
          </cell>
        </row>
        <row r="145">
          <cell r="B145" t="str">
            <v>2002-07-17</v>
          </cell>
          <cell r="D145">
            <v>0.01</v>
          </cell>
        </row>
        <row r="146">
          <cell r="B146" t="str">
            <v>2002-04-17</v>
          </cell>
          <cell r="D146">
            <v>0.01</v>
          </cell>
        </row>
        <row r="147">
          <cell r="B147" t="str">
            <v>2002-01-16</v>
          </cell>
        </row>
        <row r="148">
          <cell r="B148" t="str">
            <v>2001-10-17</v>
          </cell>
        </row>
        <row r="149">
          <cell r="B149" t="str">
            <v>2001-07-18</v>
          </cell>
        </row>
        <row r="150">
          <cell r="B150" t="str">
            <v>2001-04-18</v>
          </cell>
        </row>
        <row r="151">
          <cell r="B151" t="str">
            <v>2001-01-17</v>
          </cell>
        </row>
        <row r="152">
          <cell r="B152" t="str">
            <v>2000-10-11</v>
          </cell>
        </row>
        <row r="153">
          <cell r="B153" t="str">
            <v>2000-07-12</v>
          </cell>
        </row>
        <row r="154">
          <cell r="B154" t="str">
            <v>2000-04-12</v>
          </cell>
        </row>
        <row r="155">
          <cell r="B155" t="str">
            <v>2000-01-12</v>
          </cell>
        </row>
        <row r="156">
          <cell r="B156" t="str">
            <v>1999-10-13</v>
          </cell>
        </row>
        <row r="157">
          <cell r="B157" t="str">
            <v>1999-07-14</v>
          </cell>
        </row>
        <row r="158">
          <cell r="B158" t="str">
            <v>1999-04-14</v>
          </cell>
        </row>
        <row r="159">
          <cell r="B159" t="str">
            <v>1999-01-13</v>
          </cell>
        </row>
        <row r="160">
          <cell r="B160" t="str">
            <v>1998-10-14</v>
          </cell>
        </row>
        <row r="161">
          <cell r="B161" t="str">
            <v>1998-07-15</v>
          </cell>
        </row>
        <row r="162">
          <cell r="B162" t="str">
            <v>1998-04-15</v>
          </cell>
        </row>
        <row r="163">
          <cell r="B163" t="str">
            <v>1998-01-14</v>
          </cell>
        </row>
        <row r="164">
          <cell r="B164" t="str">
            <v>1997-10-15</v>
          </cell>
        </row>
        <row r="165">
          <cell r="B165" t="str">
            <v>1997-07-15</v>
          </cell>
        </row>
        <row r="166">
          <cell r="B166" t="str">
            <v>1997-04-14</v>
          </cell>
        </row>
        <row r="167">
          <cell r="B167" t="str">
            <v>1997-01-15</v>
          </cell>
        </row>
        <row r="168">
          <cell r="B168" t="str">
            <v>1996-10-15</v>
          </cell>
        </row>
        <row r="169">
          <cell r="B169" t="str">
            <v>1996-07-15</v>
          </cell>
        </row>
        <row r="170">
          <cell r="B170" t="str">
            <v>1996-04-11</v>
          </cell>
        </row>
        <row r="171">
          <cell r="B171" t="str">
            <v>1996-01-12</v>
          </cell>
        </row>
        <row r="172">
          <cell r="B172" t="str">
            <v>1995-10-13</v>
          </cell>
        </row>
        <row r="173">
          <cell r="B173" t="str">
            <v>1995-07-13</v>
          </cell>
        </row>
        <row r="174">
          <cell r="B174" t="str">
            <v>1995-04-07</v>
          </cell>
        </row>
        <row r="175">
          <cell r="B175" t="str">
            <v>1995-01-10</v>
          </cell>
        </row>
        <row r="176">
          <cell r="B176" t="str">
            <v>1994-10-11</v>
          </cell>
        </row>
        <row r="177">
          <cell r="B177" t="str">
            <v>1994-07-11</v>
          </cell>
        </row>
        <row r="178">
          <cell r="B178" t="str">
            <v>1994-04-11</v>
          </cell>
        </row>
        <row r="179">
          <cell r="B179" t="str">
            <v>1994-01-10</v>
          </cell>
        </row>
        <row r="180">
          <cell r="B180" t="str">
            <v>1993-10-08</v>
          </cell>
        </row>
        <row r="181">
          <cell r="B181" t="str">
            <v>1993-07-12</v>
          </cell>
        </row>
        <row r="182">
          <cell r="B182" t="str">
            <v>1993-04-12</v>
          </cell>
        </row>
        <row r="183">
          <cell r="B183" t="str">
            <v>1993-01-11</v>
          </cell>
        </row>
        <row r="184">
          <cell r="B184" t="str">
            <v>1992-10-09</v>
          </cell>
        </row>
        <row r="185">
          <cell r="B185" t="str">
            <v>1992-07-13</v>
          </cell>
        </row>
        <row r="186">
          <cell r="B186" t="str">
            <v>1992-04-10</v>
          </cell>
        </row>
        <row r="187">
          <cell r="B187" t="str">
            <v>1992-01-13</v>
          </cell>
        </row>
        <row r="188">
          <cell r="B188" t="str">
            <v>1991-10-10</v>
          </cell>
        </row>
        <row r="189">
          <cell r="B189" t="str">
            <v>1991-07-11</v>
          </cell>
        </row>
        <row r="190">
          <cell r="B190" t="str">
            <v>1991-04-10</v>
          </cell>
        </row>
        <row r="191">
          <cell r="B191" t="str">
            <v>1991-01-14</v>
          </cell>
        </row>
        <row r="192">
          <cell r="B192" t="str">
            <v>1990-10-11</v>
          </cell>
        </row>
        <row r="193">
          <cell r="B193" t="str">
            <v>1990-07-11</v>
          </cell>
        </row>
        <row r="194">
          <cell r="B194" t="str">
            <v>1990-04-09</v>
          </cell>
        </row>
        <row r="195">
          <cell r="B195" t="str">
            <v>1990-01-10</v>
          </cell>
        </row>
        <row r="196">
          <cell r="B196" t="str">
            <v>1989-10-06</v>
          </cell>
        </row>
        <row r="197">
          <cell r="B197" t="str">
            <v>1989-07-10</v>
          </cell>
        </row>
        <row r="198">
          <cell r="B198" t="str">
            <v>1989-04-10</v>
          </cell>
        </row>
        <row r="199">
          <cell r="B199" t="str">
            <v>1989-01-09</v>
          </cell>
        </row>
        <row r="200">
          <cell r="B200" t="str">
            <v>1988-10-07</v>
          </cell>
        </row>
        <row r="201">
          <cell r="B201" t="str">
            <v>1988-07-11</v>
          </cell>
        </row>
        <row r="202">
          <cell r="B202" t="str">
            <v>1988-04-04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00000000-0016-0000-2900-000001000000}" autoFormatId="16" applyNumberFormats="0" applyBorderFormats="0" applyFontFormats="0" applyPatternFormats="0" applyAlignmentFormats="0" applyWidthHeightFormats="0">
  <queryTableRefresh nextId="8">
    <queryTableFields count="7">
      <queryTableField id="1" name="Date" tableColumnId="1"/>
      <queryTableField id="2" name="Open" tableColumnId="2"/>
      <queryTableField id="3" name="High" tableColumnId="3"/>
      <queryTableField id="4" name="Low" tableColumnId="4"/>
      <queryTableField id="5" name="Close" tableColumnId="5"/>
      <queryTableField id="6" name="Adj Close" tableColumnId="6"/>
      <queryTableField id="7" name="Volume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57AE1E3-523C-4841-BD65-3D43DEF01FA7}" name="SPY__2" displayName="SPY__2" ref="B2:H1244" tableType="queryTable" totalsRowShown="0" headerRowDxfId="8" dataDxfId="7">
  <autoFilter ref="B2:H1244" xr:uid="{C57AE1E3-523C-4841-BD65-3D43DEF01FA7}"/>
  <tableColumns count="7">
    <tableColumn id="1" xr3:uid="{0767E5E1-B51B-4C90-A28B-252E976ECBD4}" uniqueName="1" name="Date" queryTableFieldId="1" dataDxfId="6"/>
    <tableColumn id="2" xr3:uid="{5B9460F6-D0D7-4670-852D-A6FBEFBE09CB}" uniqueName="2" name="Open" queryTableFieldId="2" dataDxfId="5"/>
    <tableColumn id="3" xr3:uid="{F57D658B-4BFD-4E8F-937B-6BFD160D41AC}" uniqueName="3" name="High" queryTableFieldId="3" dataDxfId="4"/>
    <tableColumn id="4" xr3:uid="{BE7AD247-1141-4006-9085-0C0DC455C355}" uniqueName="4" name="Low" queryTableFieldId="4" dataDxfId="3"/>
    <tableColumn id="5" xr3:uid="{096A9487-50F0-4DA7-8282-1B78BE0DFF54}" uniqueName="5" name="Close" queryTableFieldId="5" dataDxfId="2"/>
    <tableColumn id="6" xr3:uid="{D697098C-7D84-4097-9FE0-1C6A702B01F0}" uniqueName="6" name="Adj Close" queryTableFieldId="6" dataDxfId="1"/>
    <tableColumn id="7" xr3:uid="{1D0F51CE-A5C0-4C00-A903-A2246542D838}" uniqueName="7" name="Volume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59EB724-C024-4AE2-BFF9-016A01FC483C}">
  <we:reference id="wa200002252" version="1.0.0.3" store="en-US" storeType="OMEX"/>
  <we:alternateReferences>
    <we:reference id="WA200002252" version="1.0.0.3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_xldudf_WISE</we:customFunctionIds>
        <we:customFunctionIds>_xldudf_WISEPRICE</we:customFunctionIds>
        <we:customFunctionIds>_xldudf_WISEFUNDS</we:customFunctionIds>
        <we:customFunctionIds>_xldudf_WISEOPTIONS</we:customFunctionIds>
      </we:customFunctionIdList>
    </a:ext>
    <a:ext xmlns:a="http://schemas.openxmlformats.org/drawingml/2006/main" uri="{0858819E-0033-43BF-8937-05EC82904868}">
      <we:backgroundApp state="1" runtimeId="Taskpane.Url"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hyperlink" Target="https://app.tikr.com/stock/about?cid=526813&amp;tid=2601199&amp;ref=bnc0bz" TargetMode="External"/><Relationship Id="rId2" Type="http://schemas.openxmlformats.org/officeDocument/2006/relationships/hyperlink" Target="https://app.tikr.com/stock/about?cid=182505&amp;tid=2632409&amp;ref=bnc0bz" TargetMode="External"/><Relationship Id="rId1" Type="http://schemas.openxmlformats.org/officeDocument/2006/relationships/hyperlink" Target="https://app.tikr.com/stock/about?cid=182505&amp;tid=2632409&amp;ref=bnc0bz" TargetMode="External"/><Relationship Id="rId4" Type="http://schemas.openxmlformats.org/officeDocument/2006/relationships/hyperlink" Target="https://app.tikr.com/stock/about?cid=526813&amp;tid=2601199&amp;ref=bnc0bz" TargetMode="Externa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BFCB-3B77-4107-98A7-763ADDAFDBC2}">
  <sheetPr>
    <tabColor theme="7" tint="0.39997558519241921"/>
  </sheetPr>
  <dimension ref="B5:M95"/>
  <sheetViews>
    <sheetView showGridLines="0" tabSelected="1" topLeftCell="A9" workbookViewId="0">
      <selection activeCell="M15" sqref="M15"/>
    </sheetView>
  </sheetViews>
  <sheetFormatPr defaultRowHeight="15.75" x14ac:dyDescent="0.25"/>
  <cols>
    <col min="1" max="1" width="9.140625" style="89"/>
    <col min="2" max="2" width="30.85546875" style="89" customWidth="1"/>
    <col min="3" max="16384" width="9.140625" style="89"/>
  </cols>
  <sheetData>
    <row r="5" spans="2:13" ht="16.5" thickBot="1" x14ac:dyDescent="0.3">
      <c r="B5" s="951" t="s">
        <v>3384</v>
      </c>
      <c r="C5" s="952"/>
      <c r="D5" s="952"/>
      <c r="E5" s="952"/>
      <c r="F5" s="952"/>
      <c r="G5" s="952"/>
      <c r="H5" s="952"/>
      <c r="I5" s="952"/>
      <c r="J5" s="952"/>
      <c r="K5" s="952"/>
      <c r="L5" s="952"/>
      <c r="M5" s="952"/>
    </row>
    <row r="7" spans="2:13" x14ac:dyDescent="0.25">
      <c r="B7" s="89" t="s">
        <v>3711</v>
      </c>
      <c r="C7" s="953" t="s">
        <v>3388</v>
      </c>
    </row>
    <row r="8" spans="2:13" x14ac:dyDescent="0.25">
      <c r="B8" s="89" t="s">
        <v>3712</v>
      </c>
      <c r="C8" s="953" t="s">
        <v>3389</v>
      </c>
    </row>
    <row r="9" spans="2:13" x14ac:dyDescent="0.25">
      <c r="B9" s="89" t="s">
        <v>3714</v>
      </c>
      <c r="C9" s="953" t="s">
        <v>3385</v>
      </c>
    </row>
    <row r="11" spans="2:13" ht="16.5" thickBot="1" x14ac:dyDescent="0.3">
      <c r="B11" s="951" t="s">
        <v>3390</v>
      </c>
      <c r="C11" s="952"/>
      <c r="D11" s="952"/>
      <c r="E11" s="952"/>
      <c r="F11" s="952"/>
      <c r="G11" s="952"/>
      <c r="H11" s="952"/>
      <c r="I11" s="952"/>
      <c r="J11" s="952"/>
      <c r="K11" s="952"/>
      <c r="L11" s="952"/>
      <c r="M11" s="952"/>
    </row>
    <row r="13" spans="2:13" x14ac:dyDescent="0.25">
      <c r="B13" s="89" t="s">
        <v>3715</v>
      </c>
      <c r="C13" s="953" t="s">
        <v>3391</v>
      </c>
    </row>
    <row r="15" spans="2:13" ht="16.5" thickBot="1" x14ac:dyDescent="0.3">
      <c r="B15" s="951" t="s">
        <v>3717</v>
      </c>
      <c r="C15" s="952"/>
      <c r="D15" s="952"/>
      <c r="E15" s="952"/>
      <c r="F15" s="952"/>
      <c r="G15" s="952"/>
      <c r="H15" s="952"/>
      <c r="I15" s="952"/>
      <c r="J15" s="952"/>
      <c r="K15" s="952"/>
      <c r="L15" s="952"/>
      <c r="M15" s="952"/>
    </row>
    <row r="17" spans="2:13" x14ac:dyDescent="0.25">
      <c r="B17" s="89" t="s">
        <v>3722</v>
      </c>
      <c r="C17" s="953" t="s">
        <v>3399</v>
      </c>
    </row>
    <row r="18" spans="2:13" x14ac:dyDescent="0.25">
      <c r="B18" s="89" t="s">
        <v>3723</v>
      </c>
      <c r="C18" s="953" t="s">
        <v>3655</v>
      </c>
    </row>
    <row r="20" spans="2:13" ht="16.5" thickBot="1" x14ac:dyDescent="0.3">
      <c r="B20" s="951" t="s">
        <v>3724</v>
      </c>
      <c r="C20" s="952"/>
      <c r="D20" s="952"/>
      <c r="E20" s="952"/>
      <c r="F20" s="952"/>
      <c r="G20" s="952"/>
      <c r="H20" s="952"/>
      <c r="I20" s="952"/>
      <c r="J20" s="952"/>
      <c r="K20" s="952"/>
      <c r="L20" s="952"/>
      <c r="M20" s="952"/>
    </row>
    <row r="21" spans="2:13" x14ac:dyDescent="0.25">
      <c r="B21" s="44"/>
    </row>
    <row r="22" spans="2:13" x14ac:dyDescent="0.25">
      <c r="B22" s="954" t="s">
        <v>3727</v>
      </c>
      <c r="C22" s="446"/>
      <c r="D22" s="446"/>
    </row>
    <row r="23" spans="2:13" x14ac:dyDescent="0.25">
      <c r="B23" s="44"/>
    </row>
    <row r="24" spans="2:13" x14ac:dyDescent="0.25">
      <c r="B24" s="89" t="s">
        <v>3734</v>
      </c>
      <c r="C24" s="953" t="s">
        <v>3726</v>
      </c>
    </row>
    <row r="25" spans="2:13" x14ac:dyDescent="0.25">
      <c r="B25" s="89" t="s">
        <v>3735</v>
      </c>
      <c r="C25" s="953" t="s">
        <v>3736</v>
      </c>
    </row>
    <row r="27" spans="2:13" x14ac:dyDescent="0.25">
      <c r="B27" s="954" t="s">
        <v>3739</v>
      </c>
      <c r="C27" s="446"/>
      <c r="D27" s="446"/>
    </row>
    <row r="29" spans="2:13" x14ac:dyDescent="0.25">
      <c r="B29" s="89" t="s">
        <v>3740</v>
      </c>
      <c r="C29" s="953" t="s">
        <v>3741</v>
      </c>
    </row>
    <row r="30" spans="2:13" x14ac:dyDescent="0.25">
      <c r="B30" s="89" t="s">
        <v>3745</v>
      </c>
      <c r="C30" s="953" t="s">
        <v>3744</v>
      </c>
    </row>
    <row r="31" spans="2:13" x14ac:dyDescent="0.25">
      <c r="B31" s="89" t="s">
        <v>3750</v>
      </c>
      <c r="C31" s="953" t="s">
        <v>2820</v>
      </c>
    </row>
    <row r="32" spans="2:13" x14ac:dyDescent="0.25">
      <c r="B32" s="89" t="s">
        <v>3754</v>
      </c>
      <c r="C32" s="953" t="s">
        <v>3420</v>
      </c>
    </row>
    <row r="33" spans="2:4" x14ac:dyDescent="0.25">
      <c r="B33" s="89" t="s">
        <v>3811</v>
      </c>
      <c r="C33" s="953" t="s">
        <v>3756</v>
      </c>
    </row>
    <row r="34" spans="2:4" x14ac:dyDescent="0.25">
      <c r="B34" s="89" t="s">
        <v>3759</v>
      </c>
      <c r="C34" s="953" t="s">
        <v>3758</v>
      </c>
    </row>
    <row r="35" spans="2:4" x14ac:dyDescent="0.25">
      <c r="B35" s="89" t="s">
        <v>3761</v>
      </c>
      <c r="C35" s="953" t="s">
        <v>3760</v>
      </c>
    </row>
    <row r="36" spans="2:4" x14ac:dyDescent="0.25">
      <c r="B36" s="89" t="s">
        <v>3768</v>
      </c>
      <c r="C36" s="953" t="s">
        <v>3766</v>
      </c>
    </row>
    <row r="37" spans="2:4" x14ac:dyDescent="0.25">
      <c r="B37" s="89" t="s">
        <v>3778</v>
      </c>
      <c r="C37" s="953" t="s">
        <v>3777</v>
      </c>
    </row>
    <row r="38" spans="2:4" x14ac:dyDescent="0.25">
      <c r="B38" s="89" t="s">
        <v>3776</v>
      </c>
      <c r="C38" s="953" t="s">
        <v>3770</v>
      </c>
    </row>
    <row r="39" spans="2:4" x14ac:dyDescent="0.25">
      <c r="B39" s="89" t="s">
        <v>3781</v>
      </c>
      <c r="C39" s="953" t="s">
        <v>3780</v>
      </c>
    </row>
    <row r="41" spans="2:4" x14ac:dyDescent="0.25">
      <c r="B41" s="954" t="s">
        <v>3782</v>
      </c>
      <c r="C41" s="446"/>
      <c r="D41" s="446"/>
    </row>
    <row r="43" spans="2:4" x14ac:dyDescent="0.25">
      <c r="B43" s="89" t="s">
        <v>3787</v>
      </c>
      <c r="C43" s="953" t="s">
        <v>3785</v>
      </c>
    </row>
    <row r="44" spans="2:4" x14ac:dyDescent="0.25">
      <c r="B44" s="89" t="s">
        <v>3789</v>
      </c>
      <c r="C44" s="953" t="s">
        <v>3788</v>
      </c>
    </row>
    <row r="45" spans="2:4" x14ac:dyDescent="0.25">
      <c r="B45" s="89" t="s">
        <v>3791</v>
      </c>
      <c r="C45" s="953" t="s">
        <v>3790</v>
      </c>
    </row>
    <row r="46" spans="2:4" x14ac:dyDescent="0.25">
      <c r="B46" s="89" t="s">
        <v>3794</v>
      </c>
      <c r="C46" s="953" t="s">
        <v>3793</v>
      </c>
    </row>
    <row r="47" spans="2:4" x14ac:dyDescent="0.25">
      <c r="B47" s="89" t="s">
        <v>3796</v>
      </c>
      <c r="C47" s="953" t="s">
        <v>3795</v>
      </c>
    </row>
    <row r="48" spans="2:4" x14ac:dyDescent="0.25">
      <c r="B48" s="89" t="s">
        <v>3803</v>
      </c>
      <c r="C48" s="953" t="s">
        <v>3802</v>
      </c>
    </row>
    <row r="49" spans="2:13" x14ac:dyDescent="0.25">
      <c r="B49" s="89" t="s">
        <v>3805</v>
      </c>
      <c r="C49" s="953" t="s">
        <v>3806</v>
      </c>
    </row>
    <row r="50" spans="2:13" x14ac:dyDescent="0.25">
      <c r="B50" s="89" t="s">
        <v>3810</v>
      </c>
      <c r="C50" s="953" t="s">
        <v>3809</v>
      </c>
    </row>
    <row r="51" spans="2:13" x14ac:dyDescent="0.25">
      <c r="B51" s="89" t="s">
        <v>3818</v>
      </c>
      <c r="C51" s="953" t="s">
        <v>3817</v>
      </c>
    </row>
    <row r="52" spans="2:13" x14ac:dyDescent="0.25">
      <c r="B52" s="89" t="s">
        <v>3821</v>
      </c>
      <c r="C52" s="953" t="s">
        <v>3820</v>
      </c>
    </row>
    <row r="53" spans="2:13" x14ac:dyDescent="0.25">
      <c r="B53" s="89" t="s">
        <v>3824</v>
      </c>
      <c r="C53" s="953" t="s">
        <v>3823</v>
      </c>
    </row>
    <row r="54" spans="2:13" x14ac:dyDescent="0.25">
      <c r="B54" s="89" t="s">
        <v>3826</v>
      </c>
      <c r="C54" s="953" t="s">
        <v>3827</v>
      </c>
    </row>
    <row r="55" spans="2:13" x14ac:dyDescent="0.25">
      <c r="B55" s="89" t="s">
        <v>3831</v>
      </c>
      <c r="C55" s="953" t="s">
        <v>3830</v>
      </c>
    </row>
    <row r="56" spans="2:13" x14ac:dyDescent="0.25">
      <c r="B56" s="89" t="s">
        <v>3835</v>
      </c>
      <c r="C56" s="953" t="s">
        <v>3834</v>
      </c>
    </row>
    <row r="58" spans="2:13" ht="16.5" thickBot="1" x14ac:dyDescent="0.3">
      <c r="B58" s="951" t="s">
        <v>3836</v>
      </c>
      <c r="C58" s="952"/>
      <c r="D58" s="952"/>
      <c r="E58" s="952"/>
      <c r="F58" s="952"/>
      <c r="G58" s="952"/>
      <c r="H58" s="952"/>
      <c r="I58" s="952"/>
      <c r="J58" s="952"/>
      <c r="K58" s="952"/>
      <c r="L58" s="952"/>
      <c r="M58" s="952"/>
    </row>
    <row r="60" spans="2:13" x14ac:dyDescent="0.25">
      <c r="B60" s="89" t="s">
        <v>3850</v>
      </c>
      <c r="C60" s="953" t="s">
        <v>3849</v>
      </c>
    </row>
    <row r="61" spans="2:13" x14ac:dyDescent="0.25">
      <c r="B61" s="89" t="s">
        <v>3851</v>
      </c>
      <c r="C61" s="953" t="s">
        <v>3852</v>
      </c>
    </row>
    <row r="62" spans="2:13" x14ac:dyDescent="0.25">
      <c r="B62" s="89" t="s">
        <v>3858</v>
      </c>
      <c r="C62" s="953" t="s">
        <v>3859</v>
      </c>
    </row>
    <row r="63" spans="2:13" x14ac:dyDescent="0.25">
      <c r="B63" s="89" t="s">
        <v>3864</v>
      </c>
      <c r="C63" s="953" t="s">
        <v>3865</v>
      </c>
    </row>
    <row r="64" spans="2:13" x14ac:dyDescent="0.25">
      <c r="B64" s="89" t="s">
        <v>3868</v>
      </c>
      <c r="C64" s="953" t="s">
        <v>3869</v>
      </c>
    </row>
    <row r="65" spans="2:13" x14ac:dyDescent="0.25">
      <c r="B65" s="89" t="s">
        <v>3871</v>
      </c>
      <c r="C65" s="953" t="s">
        <v>3872</v>
      </c>
    </row>
    <row r="66" spans="2:13" x14ac:dyDescent="0.25">
      <c r="B66" s="89" t="s">
        <v>3877</v>
      </c>
      <c r="C66" s="953" t="s">
        <v>3874</v>
      </c>
    </row>
    <row r="67" spans="2:13" x14ac:dyDescent="0.25">
      <c r="B67" s="89" t="s">
        <v>3881</v>
      </c>
      <c r="C67" s="953" t="s">
        <v>3878</v>
      </c>
    </row>
    <row r="69" spans="2:13" x14ac:dyDescent="0.25">
      <c r="B69" s="955" t="s">
        <v>2854</v>
      </c>
    </row>
    <row r="70" spans="2:13" x14ac:dyDescent="0.25">
      <c r="B70" s="89" t="s">
        <v>3919</v>
      </c>
    </row>
    <row r="71" spans="2:13" x14ac:dyDescent="0.25">
      <c r="B71" s="953" t="s">
        <v>3920</v>
      </c>
    </row>
    <row r="72" spans="2:13" x14ac:dyDescent="0.25">
      <c r="B72" s="953" t="s">
        <v>3921</v>
      </c>
    </row>
    <row r="74" spans="2:13" ht="16.5" thickBot="1" x14ac:dyDescent="0.3">
      <c r="B74" s="951" t="s">
        <v>3883</v>
      </c>
      <c r="C74" s="952"/>
      <c r="D74" s="952"/>
      <c r="E74" s="952"/>
      <c r="F74" s="952"/>
      <c r="G74" s="952"/>
      <c r="H74" s="952"/>
      <c r="I74" s="952"/>
      <c r="J74" s="952"/>
      <c r="K74" s="952"/>
      <c r="L74" s="952"/>
      <c r="M74" s="952"/>
    </row>
    <row r="76" spans="2:13" x14ac:dyDescent="0.25">
      <c r="B76" s="89" t="s">
        <v>3884</v>
      </c>
      <c r="C76" s="953" t="s">
        <v>3885</v>
      </c>
    </row>
    <row r="77" spans="2:13" x14ac:dyDescent="0.25">
      <c r="B77" s="89" t="s">
        <v>3889</v>
      </c>
      <c r="C77" s="953" t="s">
        <v>3888</v>
      </c>
    </row>
    <row r="79" spans="2:13" ht="16.5" thickBot="1" x14ac:dyDescent="0.3">
      <c r="B79" s="951" t="s">
        <v>3891</v>
      </c>
      <c r="C79" s="952"/>
      <c r="D79" s="952"/>
      <c r="E79" s="952"/>
      <c r="F79" s="952"/>
      <c r="G79" s="952"/>
      <c r="H79" s="952"/>
      <c r="I79" s="952"/>
      <c r="J79" s="952"/>
      <c r="K79" s="952"/>
      <c r="L79" s="952"/>
      <c r="M79" s="952"/>
    </row>
    <row r="81" spans="2:13" x14ac:dyDescent="0.25">
      <c r="B81" s="89" t="s">
        <v>3892</v>
      </c>
      <c r="C81" s="953" t="s">
        <v>3893</v>
      </c>
    </row>
    <row r="82" spans="2:13" x14ac:dyDescent="0.25">
      <c r="B82" s="89" t="s">
        <v>3894</v>
      </c>
      <c r="C82" s="953" t="s">
        <v>3895</v>
      </c>
    </row>
    <row r="83" spans="2:13" x14ac:dyDescent="0.25">
      <c r="B83" s="89" t="s">
        <v>3897</v>
      </c>
      <c r="C83" s="953" t="s">
        <v>3896</v>
      </c>
    </row>
    <row r="84" spans="2:13" x14ac:dyDescent="0.25">
      <c r="B84" s="89" t="s">
        <v>3899</v>
      </c>
      <c r="C84" s="953" t="s">
        <v>3900</v>
      </c>
    </row>
    <row r="85" spans="2:13" x14ac:dyDescent="0.25">
      <c r="B85" s="89" t="s">
        <v>3901</v>
      </c>
      <c r="C85" s="953" t="s">
        <v>3902</v>
      </c>
    </row>
    <row r="86" spans="2:13" x14ac:dyDescent="0.25">
      <c r="B86" s="89" t="s">
        <v>3906</v>
      </c>
      <c r="C86" s="953" t="s">
        <v>3904</v>
      </c>
    </row>
    <row r="88" spans="2:13" x14ac:dyDescent="0.25">
      <c r="B88" s="955" t="s">
        <v>2854</v>
      </c>
    </row>
    <row r="89" spans="2:13" x14ac:dyDescent="0.25">
      <c r="B89" s="89" t="s">
        <v>3898</v>
      </c>
    </row>
    <row r="91" spans="2:13" ht="16.5" thickBot="1" x14ac:dyDescent="0.3">
      <c r="B91" s="951" t="s">
        <v>3907</v>
      </c>
      <c r="C91" s="952"/>
      <c r="D91" s="952"/>
      <c r="E91" s="952"/>
      <c r="F91" s="952"/>
      <c r="G91" s="952"/>
      <c r="H91" s="952"/>
      <c r="I91" s="952"/>
      <c r="J91" s="952"/>
      <c r="K91" s="952"/>
      <c r="L91" s="952"/>
      <c r="M91" s="952"/>
    </row>
    <row r="93" spans="2:13" x14ac:dyDescent="0.25">
      <c r="B93" s="89" t="s">
        <v>3911</v>
      </c>
      <c r="C93" s="953" t="s">
        <v>3909</v>
      </c>
    </row>
    <row r="94" spans="2:13" x14ac:dyDescent="0.25">
      <c r="B94" s="89" t="s">
        <v>3912</v>
      </c>
      <c r="C94" s="953" t="s">
        <v>3913</v>
      </c>
    </row>
    <row r="95" spans="2:13" x14ac:dyDescent="0.25">
      <c r="B95" s="89" t="s">
        <v>3918</v>
      </c>
      <c r="C95" s="953" t="s">
        <v>3914</v>
      </c>
    </row>
  </sheetData>
  <hyperlinks>
    <hyperlink ref="C9" location="'Cap1. Retornos Buffett'!A1" display="Retornos de Warren Buffett desde 1956 hasta 2024" xr:uid="{959C0F13-D36C-4FE3-ABBB-F0603255F660}"/>
    <hyperlink ref="C7" location="'Cap1. R Gotham Capital'!A1" display="Retornos de Greenblatt al frente de Gotham Capital" xr:uid="{1EDAE172-E747-4F20-8D1B-4A7AAED72BC7}"/>
    <hyperlink ref="C8" location="'Cap1. R Gotham Capital'!A1" display="Lista de fondos gestionados por Greenblatt basados en la Fórmula Mágica" xr:uid="{49574BD9-F432-4B4A-A317-57EBED0FB04B}"/>
    <hyperlink ref="C13" location="'Cap2. Rentabilidad'!A1" display="Ejemplos de cálculo de rentabilidad" xr:uid="{C1DD8C43-F23C-455F-AB26-E69C02EC8A6E}"/>
    <hyperlink ref="C17" location="'Cap3. Backtesting FM'!A1" display="Backtesting de la Fórmula Mágica" xr:uid="{32DF7064-D728-4891-90BD-080C3226B316}"/>
    <hyperlink ref="C32" location="'Cap4. Goodwill The Best'!A1" display="Cálculo del Goodwill en el ejemplo de la adquisión de &quot;The Best&quot;" xr:uid="{4E9F49D6-AB70-4160-8A05-BA3C5FD7ED6D}"/>
    <hyperlink ref="C18" location="'Cap3. Volatilidad'!A1" display="Volatilidad" xr:uid="{BE870623-F103-43DD-8DCE-BB2D77A823D8}"/>
    <hyperlink ref="C24" location="'Cap4. Cuenta de resultados'!A1" display="Cuenta de resultados familia" xr:uid="{A5844CD8-12EB-4765-8739-1A35FB728149}"/>
    <hyperlink ref="C25" location="'Cap4. Cuenta resultados Apple'!A1" display="Cuenta de resultados Apple (2021 a 2025)" xr:uid="{13F87703-AA7A-46B6-A992-D3E802BD878D}"/>
    <hyperlink ref="C29" location="'Cap4. Balance familia'!A1" display="Balance de situación familia" xr:uid="{84B9B727-0DF2-4AA1-81C5-7F4EAB1AA05E}"/>
    <hyperlink ref="C30" location="'Cap4. Balance Apple'!A1" display="Balance de situación Apple" xr:uid="{64964157-93C9-4781-9CF5-E4D932E4DDC9}"/>
    <hyperlink ref="C31" location="'Cap4. ROA Apple'!A1" display="ROA Apple" xr:uid="{EA914D2D-DD8C-4DE7-86F4-B59AEAA85278}"/>
    <hyperlink ref="C33" location="'Cap4. WC Apple'!A1" display="Cálculo Working Capital, PMC, PMP, PMR, PMM de Apple" xr:uid="{5C3697CD-CFBE-46DC-A48F-0CD9B62C40A6}"/>
    <hyperlink ref="C34" location="'Cap4. ROC Greenblatt Apple'!A1" display="Cálculo ROC de Greenblatt en Apple" xr:uid="{63000AAB-3818-4488-8C0A-F42C10835BB2}"/>
    <hyperlink ref="C35" location="'Cap4. Gastos en I+D (7 MAG)'!A1" display="Gastos en Investigación y desarrollo de las 7 magníficas" xr:uid="{2A865D54-224C-44E7-87EC-06CFE9124FF2}"/>
    <hyperlink ref="C36" location="'Cap4. Ajustes I+D Apple'!A1" display="Ajustes I+D Apple para estimar el EBIT ajustado" xr:uid="{BFB7477E-34F4-487D-BB5D-75E9429E3286}"/>
    <hyperlink ref="C38" location="'Cap4. ROIC “La Cuchilla”'!A1" display="Cálculo ROIC &quot;La Cuchilla&quot;" xr:uid="{A96AD525-529A-4807-95F6-3634BBD9D425}"/>
    <hyperlink ref="C37" location="'Cap4. ROCE Apple'!A1" display="Cálculo ROCE Apple" xr:uid="{6EB9C6C7-E981-4C94-8D9C-11F4122C103A}"/>
    <hyperlink ref="C39" location="'Cap4. ROCE Vs ROIC Apple'!A1" display="Comparativa ROCE vs ROIC Apple" xr:uid="{0AAA665E-909F-4887-A553-FF29EAE02C6A}"/>
    <hyperlink ref="C43" location="'Cap4. Cuadro Flujos familia'!A1" display="Cuadro de Flujos familia" xr:uid="{CC4D91C5-8DE5-452A-9567-8E81D18256F4}"/>
    <hyperlink ref="C44" location="'Cap 4. Cuadro resumen WC'!A1" display="Cuadro resumen de partidas que aumentan o disminuyen el flujo de caja" xr:uid="{FD485F37-187B-4CBC-9DE7-25CFB9927C52}"/>
    <hyperlink ref="C45" location="'Cap4. CapEx-ventas industria'!A1" display="Ratio CapEx/ventas por industria" xr:uid="{32C9EB5D-79D0-4E98-9A0B-1DBF92CB6122}"/>
    <hyperlink ref="C46" location="'Cap4. Flujo inversión Apple'!A1" display="Flujo actividades de financiación Apple" xr:uid="{7BBD805B-765E-4396-8893-63BCA00C5D85}"/>
    <hyperlink ref="C47" location="'Cap4. Capital Allocation cuñado'!A1" display="Capital allocation cuñado manirroto" xr:uid="{8EA81243-673B-4B52-8B62-4035906A053A}"/>
    <hyperlink ref="C48" location="'Cap4. Analisis flujos Apple'!A1" display="Análisis flujos Apple" xr:uid="{9A76C3ED-AE21-4F1A-B50F-EF8FF286F702}"/>
    <hyperlink ref="C49" location="'Cap4. Buffett y los dividendos'!A1" display="Buffett y los dividendos" xr:uid="{F8C264C2-6A01-43CD-8C62-3D81DC4C3CC4}"/>
    <hyperlink ref="C50" location="'Cap4. Ejemplos Yield On Cost'!A1" display="Ejemplos Yield On Cost" xr:uid="{CF8FD11B-4D68-4F3A-BF72-8DCAA4C8D8AD}"/>
    <hyperlink ref="C51" location="'Cap4. FCFF academico Apple'!A1" display="Cálculo FCFF académico Apple" xr:uid="{E8311C4B-EA65-4002-B0F4-3C1F217754BE}"/>
    <hyperlink ref="C52" location="'Cap4. FCFE académico Apple'!A1" display="Cálculo FCFE académico Apple" xr:uid="{A0DD0BBB-0885-4C75-AF87-BEAC5E5BDBA1}"/>
    <hyperlink ref="C53" location="'Cap4. Remunera accionista FCFE '!A1" display="Remuneración accionistas/FCFE Apple" xr:uid="{D5BCD074-745E-4A33-B932-7A234E3B0999}"/>
    <hyperlink ref="C54" location="'Cap4. FCFE YoC Apple'!A1" display="Flujo de caja para los accionistas Apple" xr:uid="{C1AF02C3-B5F5-4ABA-B570-AF9C35B047FC}"/>
    <hyperlink ref="C55" location="'Cap4. ROE Apple'!A1" display="Cálculo ROE y análisis Dupont ROE Apple" xr:uid="{BDB04D3F-B6FE-404A-BED7-ED35184CD1BC}"/>
    <hyperlink ref="C56" location="'Cap4. ROE Stuppazuck'!A1" display="Cálculo ROE Stuppazuck, S.L." xr:uid="{B00C0D14-32D7-4701-BE53-7980E0BC95B3}"/>
    <hyperlink ref="C60" location="'Cap5. V múltiplos AAPL'!A1" display="Valoración por múltiplos en Apple" xr:uid="{697B9FBB-9D4A-4A91-9942-829CBA439C25}"/>
    <hyperlink ref="C61" location="'Cap5. Cálculo EV Apple'!A1" display="Cálculo Enterprise Value Apple" xr:uid="{A089A7FD-43B0-438B-A40C-4EA2434CD376}"/>
    <hyperlink ref="C62" location="'Cap5. Valoración EVFCFF (ejemp)'!A1" display="Ejemplo valoración múltiplo EV/FCFF" xr:uid="{2BA26721-1C41-45E0-8140-A8280793BC96}"/>
    <hyperlink ref="C63" location="'Cap5. Valor EVFCFF Apple'!A1" display="Ejemplo valoración Apple con múltiplo EV/FCFF" xr:uid="{124A1B0C-D77F-4300-AD64-A76B42E1B549}"/>
    <hyperlink ref="C64" location="'Cap5. Múltiplo McKinsey The foo'!A1" display="Estimación múltiplo EV/EBITDA por método McKinsey y The foot notes analyst" xr:uid="{740D26D7-8B18-46B6-911D-0A8C8F7A380F}"/>
    <hyperlink ref="C65" location="'Cap5. DFCF restauración padel'!A1" display="Ejemplo de valoración por descuento de flujos de caja (DFCF) empresa restauración torneo Premier Pádel" xr:uid="{03AD680C-B15B-4A6F-8FA9-378979F02BB7}"/>
    <hyperlink ref="C66" location="'Cap5. DFCF apartamento'!A1" display="Ejemplo de valoración por descuento de flujos de caja (DFCF) de un apartamento" xr:uid="{EFEC9604-7111-4F2C-9D2D-63AE88643F5F}"/>
    <hyperlink ref="C67" location="'Cap5. DFCF Apple'!A1" display="Ejemplo valoración por descuento de flujos de caja (DFCF) Apple" xr:uid="{C7F3F778-1741-405F-8B11-FE3ED0ECF1A9}"/>
    <hyperlink ref="C76" location="'Cap6. Ranking FM Tikr'!A1" display="Ranking Fórmula Mágica usando screener tikr.com (factores: ROIC y EBIT/EV)" xr:uid="{30CA2647-79F1-49C4-9BD3-723ED6C28728}"/>
    <hyperlink ref="C77" location="'Cap6. Cartera FM Tikr'!A1" display="Cartera Fórmula Mágica contruida con screener Tikr.com y Excel" xr:uid="{D56555DB-16C3-4EA8-AAFD-5AA0E71E9194}"/>
    <hyperlink ref="C81" location="'Cap7. Empresas con moats'!A1" display="Empresas con moats (ventajas competitivas)" xr:uid="{09BD66A1-8BCC-4AF0-94B2-41533FA1D116}"/>
    <hyperlink ref="C82" location="'Cap7. Calculo ROE Wisesheets'!A1" display="Ejemplo de cálculo del ROE usando Wisesheets.io" xr:uid="{4076864D-3A0D-49FD-A65F-A7F370026A66}"/>
    <hyperlink ref="C83" location="'Cap7. Dashboard Wisesheets'!A1" display="Dashboard ejemplo usando Wisesheets.io" xr:uid="{7F156FA9-2681-4AFF-8E8F-B0E97B10C964}"/>
    <hyperlink ref="C84" location="'Cap7. Filtros iniciales cartera'!A1" display="Filtros iniciales para el universo de acciones con wide moats de Morningstar.com" xr:uid="{EDC1FAF2-833A-4864-A48C-DA20B0B06062}"/>
    <hyperlink ref="C85" location="'Cap7. Formula Mágica Wide moats'!A1" display="Cálculo ranking Fórmula Mágica usand empresas con wide moats" xr:uid="{95256D48-2EE3-4C0B-997A-FD28A74B14AE}"/>
    <hyperlink ref="C86" location="'Cap7. Cartera Wide Moats MS'!A1" display="Cartera Fórmula Mágica wide moats morningstar.com" xr:uid="{97B9376D-EC04-465F-9612-68D490040817}"/>
    <hyperlink ref="C93" location="'Cap8. Coste oportunidad'!A1" display="Ejercicio para valorar el coste de oportunidad en la inversión" xr:uid="{AF3F63ED-19B7-4209-8777-4A54374F0A99}"/>
    <hyperlink ref="C94" location="'Cap8. Rent Bolsa por decadas'!A1" display="Rentabilidad de la bolsa norteamericana por décadas" xr:uid="{20C8EE95-B5AE-42D2-9F59-260AD1E8D194}"/>
    <hyperlink ref="C95" location="'Cap8. DCA Vs Lump Sum'!A1" display="DCA Vs Lump Sum" xr:uid="{21440438-6ADA-4591-AB31-3511CEAB4BC6}"/>
    <hyperlink ref="B71" location="'EEFF Apple y cálculo ratios'!A1" display="Estados Financieros y cálculos de rentabilidad de Apple, working capital etc. " xr:uid="{BAD11E88-C565-4842-992C-81A10AAC3428}"/>
    <hyperlink ref="B72" location="'Capital Allocation Apple'!A1" display="Capital Allocation Apple" xr:uid="{F993133E-2524-4D12-98B5-688ED90B42A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70AD4-1CF3-6049-8C01-C41269B9A508}">
  <sheetPr>
    <tabColor theme="9" tint="0.79998168889431442"/>
  </sheetPr>
  <dimension ref="A1:R23"/>
  <sheetViews>
    <sheetView showGridLines="0" zoomScaleNormal="150" zoomScaleSheetLayoutView="100" workbookViewId="0">
      <selection activeCell="F20" sqref="F20"/>
    </sheetView>
  </sheetViews>
  <sheetFormatPr defaultRowHeight="15" x14ac:dyDescent="0.25"/>
  <cols>
    <col min="2" max="2" width="27.28515625" bestFit="1" customWidth="1"/>
    <col min="3" max="3" width="11.7109375" bestFit="1" customWidth="1"/>
    <col min="4" max="4" width="19" bestFit="1" customWidth="1"/>
    <col min="6" max="6" width="44" customWidth="1"/>
    <col min="9" max="9" width="6.85546875" bestFit="1" customWidth="1"/>
    <col min="10" max="10" width="20.140625" bestFit="1" customWidth="1"/>
    <col min="12" max="12" width="8.5703125" style="237"/>
    <col min="13" max="13" width="1.7109375" bestFit="1" customWidth="1"/>
    <col min="14" max="14" width="47.7109375" customWidth="1"/>
    <col min="17" max="17" width="20.140625" bestFit="1" customWidth="1"/>
  </cols>
  <sheetData>
    <row r="1" spans="1:18" x14ac:dyDescent="0.25">
      <c r="A1" s="458" t="s">
        <v>2821</v>
      </c>
    </row>
    <row r="2" spans="1:18" x14ac:dyDescent="0.25">
      <c r="B2" t="s">
        <v>3709</v>
      </c>
      <c r="F2" t="s">
        <v>3710</v>
      </c>
    </row>
    <row r="3" spans="1:18" x14ac:dyDescent="0.25">
      <c r="B3" s="445" t="s">
        <v>3386</v>
      </c>
      <c r="C3" s="445"/>
      <c r="D3" s="445"/>
      <c r="F3" s="445" t="s">
        <v>3387</v>
      </c>
      <c r="G3" s="445"/>
      <c r="H3" s="445"/>
      <c r="I3" s="447"/>
      <c r="J3" s="447"/>
      <c r="K3" s="447"/>
      <c r="L3" s="448"/>
      <c r="M3" s="447"/>
      <c r="N3" s="447"/>
      <c r="O3" s="447"/>
      <c r="P3" s="447"/>
      <c r="Q3" s="447"/>
      <c r="R3" s="447"/>
    </row>
    <row r="5" spans="1:18" x14ac:dyDescent="0.25">
      <c r="D5" s="283" t="s">
        <v>3155</v>
      </c>
      <c r="Q5" s="958" t="s">
        <v>3161</v>
      </c>
      <c r="R5" s="959"/>
    </row>
    <row r="6" spans="1:18" x14ac:dyDescent="0.25">
      <c r="C6" s="282" t="s">
        <v>3154</v>
      </c>
      <c r="D6" s="284">
        <v>100000</v>
      </c>
      <c r="F6" s="281" t="s">
        <v>2168</v>
      </c>
      <c r="G6" s="281" t="s">
        <v>2167</v>
      </c>
      <c r="H6" s="281" t="s">
        <v>1411</v>
      </c>
      <c r="I6" s="281" t="s">
        <v>2189</v>
      </c>
      <c r="J6" s="281" t="s">
        <v>2190</v>
      </c>
      <c r="K6" s="281" t="s">
        <v>2191</v>
      </c>
      <c r="L6" s="293"/>
      <c r="N6" s="283" t="s">
        <v>3159</v>
      </c>
      <c r="O6" s="296" t="s">
        <v>2217</v>
      </c>
      <c r="P6" s="296" t="s">
        <v>2757</v>
      </c>
      <c r="Q6" s="292" t="s">
        <v>3158</v>
      </c>
      <c r="R6" s="292" t="s">
        <v>2191</v>
      </c>
    </row>
    <row r="7" spans="1:18" x14ac:dyDescent="0.25">
      <c r="B7" s="278" t="s">
        <v>3156</v>
      </c>
      <c r="C7" s="272">
        <v>0.70399999999999996</v>
      </c>
      <c r="D7" s="275">
        <f>+D6*(1+C7)</f>
        <v>170400</v>
      </c>
      <c r="F7" s="285" t="s">
        <v>2188</v>
      </c>
      <c r="G7" s="285" t="s">
        <v>2201</v>
      </c>
      <c r="H7" s="286">
        <v>1.2800000000000001E-2</v>
      </c>
      <c r="I7" s="286">
        <v>0.1638</v>
      </c>
      <c r="J7" s="286">
        <v>0.14219999999999999</v>
      </c>
      <c r="K7" s="287">
        <v>0.14000000000000001</v>
      </c>
      <c r="L7" s="301"/>
      <c r="M7" s="303">
        <v>1</v>
      </c>
      <c r="N7" s="304" t="s">
        <v>2188</v>
      </c>
      <c r="O7" s="289" t="s">
        <v>2201</v>
      </c>
      <c r="P7" s="300">
        <v>0.1638</v>
      </c>
      <c r="Q7" s="294">
        <v>0.14219999999999999</v>
      </c>
      <c r="R7" s="291">
        <v>0.14000000000000001</v>
      </c>
    </row>
    <row r="8" spans="1:18" x14ac:dyDescent="0.25">
      <c r="B8" s="279">
        <v>1986</v>
      </c>
      <c r="C8" s="272">
        <v>0.53600000000000003</v>
      </c>
      <c r="D8" s="275">
        <f>+D7*(1+C8)</f>
        <v>261734.39999999999</v>
      </c>
      <c r="F8" s="285" t="s">
        <v>2198</v>
      </c>
      <c r="G8" s="285" t="s">
        <v>2202</v>
      </c>
      <c r="H8" s="286">
        <v>1.35E-2</v>
      </c>
      <c r="I8" s="286">
        <v>0.18310000000000001</v>
      </c>
      <c r="J8" s="286">
        <v>0.14219999999999999</v>
      </c>
      <c r="K8" s="287">
        <v>0.14000000000000001</v>
      </c>
      <c r="L8" s="301"/>
      <c r="M8" s="303">
        <v>2</v>
      </c>
      <c r="N8" s="304" t="s">
        <v>2198</v>
      </c>
      <c r="O8" s="289" t="s">
        <v>2202</v>
      </c>
      <c r="P8" s="300">
        <v>0.18310000000000001</v>
      </c>
      <c r="Q8" s="297">
        <v>0.14219999999999999</v>
      </c>
      <c r="R8" s="291">
        <v>0.14000000000000001</v>
      </c>
    </row>
    <row r="9" spans="1:18" x14ac:dyDescent="0.25">
      <c r="B9" s="279">
        <v>1987</v>
      </c>
      <c r="C9" s="272">
        <v>0.29399999999999998</v>
      </c>
      <c r="D9" s="275">
        <f t="shared" ref="D9:D16" si="0">+D8*(1+C9)</f>
        <v>338684.31359999999</v>
      </c>
      <c r="F9" s="281" t="s">
        <v>2168</v>
      </c>
      <c r="G9" s="281" t="s">
        <v>2167</v>
      </c>
      <c r="H9" s="281" t="s">
        <v>1411</v>
      </c>
      <c r="I9" s="281" t="s">
        <v>2189</v>
      </c>
      <c r="J9" s="281" t="s">
        <v>2195</v>
      </c>
      <c r="K9" s="281" t="s">
        <v>2196</v>
      </c>
      <c r="L9" s="293"/>
      <c r="M9" s="79"/>
      <c r="N9" s="293"/>
      <c r="O9" s="88"/>
      <c r="P9" s="88"/>
      <c r="Q9" s="288" t="s">
        <v>3160</v>
      </c>
      <c r="R9" s="295" t="s">
        <v>2196</v>
      </c>
    </row>
    <row r="10" spans="1:18" x14ac:dyDescent="0.25">
      <c r="B10" s="279">
        <v>1988</v>
      </c>
      <c r="C10" s="272">
        <v>0.64400000000000002</v>
      </c>
      <c r="D10" s="275">
        <f t="shared" si="0"/>
        <v>556797.0115584</v>
      </c>
      <c r="F10" s="285" t="s">
        <v>2194</v>
      </c>
      <c r="G10" s="285" t="s">
        <v>2203</v>
      </c>
      <c r="H10" s="286">
        <v>1.37E-2</v>
      </c>
      <c r="I10" s="286">
        <v>3.6700000000000003E-2</v>
      </c>
      <c r="J10" s="286">
        <v>4.2500000000000003E-2</v>
      </c>
      <c r="K10" s="286">
        <v>4.8899999999999999E-2</v>
      </c>
      <c r="L10" s="302"/>
      <c r="M10" s="303">
        <v>3</v>
      </c>
      <c r="N10" s="304" t="s">
        <v>2194</v>
      </c>
      <c r="O10" s="289" t="s">
        <v>2203</v>
      </c>
      <c r="P10" s="300">
        <v>3.6700000000000003E-2</v>
      </c>
      <c r="Q10" s="298">
        <v>4.2500000000000003E-2</v>
      </c>
      <c r="R10" s="290">
        <v>4.8899999999999999E-2</v>
      </c>
    </row>
    <row r="11" spans="1:18" x14ac:dyDescent="0.25">
      <c r="B11" s="279">
        <v>1989</v>
      </c>
      <c r="C11" s="272">
        <v>0.31900000000000001</v>
      </c>
      <c r="D11" s="275">
        <f t="shared" si="0"/>
        <v>734415.25824552961</v>
      </c>
      <c r="F11" s="285" t="s">
        <v>2197</v>
      </c>
      <c r="G11" s="285" t="s">
        <v>2204</v>
      </c>
      <c r="H11" s="286">
        <v>1.47E-2</v>
      </c>
      <c r="I11" s="286">
        <v>-1.03E-2</v>
      </c>
      <c r="J11" s="286">
        <v>4.2500000000000003E-2</v>
      </c>
      <c r="K11" s="286">
        <v>4.8899999999999999E-2</v>
      </c>
      <c r="L11" s="302"/>
      <c r="M11" s="303">
        <v>4</v>
      </c>
      <c r="N11" s="304" t="s">
        <v>2197</v>
      </c>
      <c r="O11" s="289" t="s">
        <v>2204</v>
      </c>
      <c r="P11" s="300">
        <v>-1.03E-2</v>
      </c>
      <c r="Q11" s="297">
        <v>4.2500000000000003E-2</v>
      </c>
      <c r="R11" s="290">
        <v>4.8899999999999999E-2</v>
      </c>
    </row>
    <row r="12" spans="1:18" x14ac:dyDescent="0.25">
      <c r="B12" s="279">
        <v>1990</v>
      </c>
      <c r="C12" s="272">
        <v>0.316</v>
      </c>
      <c r="D12" s="275">
        <f t="shared" si="0"/>
        <v>966490.47985111701</v>
      </c>
      <c r="F12" s="281" t="s">
        <v>2168</v>
      </c>
      <c r="G12" s="281" t="s">
        <v>2167</v>
      </c>
      <c r="H12" s="281" t="s">
        <v>1411</v>
      </c>
      <c r="I12" s="281" t="s">
        <v>2189</v>
      </c>
      <c r="J12" s="281" t="s">
        <v>2199</v>
      </c>
      <c r="K12" s="281" t="s">
        <v>2191</v>
      </c>
      <c r="L12" s="293"/>
      <c r="M12" s="79"/>
      <c r="N12" s="293"/>
      <c r="O12" s="88"/>
      <c r="P12" s="88"/>
      <c r="Q12" s="288" t="s">
        <v>3158</v>
      </c>
      <c r="R12" s="295" t="s">
        <v>2191</v>
      </c>
    </row>
    <row r="13" spans="1:18" x14ac:dyDescent="0.25">
      <c r="B13" s="279">
        <v>1991</v>
      </c>
      <c r="C13" s="272">
        <v>0.28499999999999998</v>
      </c>
      <c r="D13" s="275">
        <f t="shared" si="0"/>
        <v>1241940.2666086853</v>
      </c>
      <c r="F13" s="285" t="s">
        <v>2198</v>
      </c>
      <c r="G13" s="285" t="s">
        <v>2205</v>
      </c>
      <c r="H13" s="286">
        <v>1.0999999999999999E-2</v>
      </c>
      <c r="I13" s="286">
        <v>0.26029999999999998</v>
      </c>
      <c r="J13" s="286">
        <v>0.20979999999999999</v>
      </c>
      <c r="K13" s="286">
        <v>0.20399999999999999</v>
      </c>
      <c r="L13" s="302"/>
      <c r="M13" s="303">
        <v>5</v>
      </c>
      <c r="N13" s="304" t="s">
        <v>2198</v>
      </c>
      <c r="O13" s="289" t="s">
        <v>2205</v>
      </c>
      <c r="P13" s="300">
        <v>0.26029999999999998</v>
      </c>
      <c r="Q13" s="299">
        <v>0.20979999999999999</v>
      </c>
      <c r="R13" s="290">
        <v>0.20399999999999999</v>
      </c>
    </row>
    <row r="14" spans="1:18" x14ac:dyDescent="0.25">
      <c r="B14" s="279">
        <v>1992</v>
      </c>
      <c r="C14" s="272">
        <v>0.30599999999999999</v>
      </c>
      <c r="D14" s="275">
        <f t="shared" si="0"/>
        <v>1621973.9881909429</v>
      </c>
      <c r="F14" s="281" t="s">
        <v>2168</v>
      </c>
      <c r="G14" s="281" t="s">
        <v>2167</v>
      </c>
      <c r="H14" s="281" t="s">
        <v>1411</v>
      </c>
      <c r="I14" s="281" t="s">
        <v>2189</v>
      </c>
      <c r="J14" s="281" t="s">
        <v>2195</v>
      </c>
      <c r="K14" s="281" t="s">
        <v>2196</v>
      </c>
      <c r="L14" s="293"/>
      <c r="M14" s="79"/>
      <c r="N14" s="293"/>
      <c r="O14" s="88"/>
      <c r="P14" s="88"/>
      <c r="Q14" s="288" t="s">
        <v>3160</v>
      </c>
      <c r="R14" s="295" t="s">
        <v>2196</v>
      </c>
    </row>
    <row r="15" spans="1:18" x14ac:dyDescent="0.25">
      <c r="B15" s="279">
        <v>1993</v>
      </c>
      <c r="C15" s="272">
        <v>1.1519999999999999</v>
      </c>
      <c r="D15" s="275">
        <f t="shared" si="0"/>
        <v>3490488.0225869096</v>
      </c>
      <c r="F15" s="285" t="s">
        <v>2197</v>
      </c>
      <c r="G15" s="285" t="s">
        <v>2200</v>
      </c>
      <c r="H15" s="286">
        <v>1.2200000000000001E-2</v>
      </c>
      <c r="I15" s="286">
        <v>-2.12E-2</v>
      </c>
      <c r="J15" s="286">
        <v>2.06E-2</v>
      </c>
      <c r="K15" s="286">
        <v>2.81E-2</v>
      </c>
      <c r="L15" s="302"/>
      <c r="M15" s="303">
        <v>6</v>
      </c>
      <c r="N15" s="304" t="s">
        <v>2197</v>
      </c>
      <c r="O15" s="289" t="s">
        <v>2200</v>
      </c>
      <c r="P15" s="300">
        <v>-2.12E-2</v>
      </c>
      <c r="Q15" s="298">
        <v>2.06E-2</v>
      </c>
      <c r="R15" s="290">
        <v>2.81E-2</v>
      </c>
    </row>
    <row r="16" spans="1:18" x14ac:dyDescent="0.25">
      <c r="B16" s="280">
        <v>1994</v>
      </c>
      <c r="C16" s="276">
        <v>0.48899999999999999</v>
      </c>
      <c r="D16" s="277">
        <f t="shared" si="0"/>
        <v>5197336.665631908</v>
      </c>
    </row>
    <row r="17" spans="2:6" ht="15.75" thickBot="1" x14ac:dyDescent="0.3">
      <c r="F17" s="16" t="s">
        <v>2206</v>
      </c>
    </row>
    <row r="18" spans="2:6" ht="15.75" thickBot="1" x14ac:dyDescent="0.3">
      <c r="B18" s="273" t="s">
        <v>2757</v>
      </c>
      <c r="C18" s="856">
        <f>+(D16/D6)^(1/(9+(8/12)))-1</f>
        <v>0.50485470576314206</v>
      </c>
    </row>
    <row r="19" spans="2:6" ht="15.75" thickBot="1" x14ac:dyDescent="0.3">
      <c r="B19" s="273" t="s">
        <v>3155</v>
      </c>
      <c r="C19" s="857">
        <f>+(D16/D6)-1</f>
        <v>50.973366656319079</v>
      </c>
    </row>
    <row r="20" spans="2:6" x14ac:dyDescent="0.25">
      <c r="B20" s="274" t="s">
        <v>3157</v>
      </c>
    </row>
    <row r="21" spans="2:6" ht="15.75" thickBot="1" x14ac:dyDescent="0.3"/>
    <row r="22" spans="2:6" ht="15.75" thickBot="1" x14ac:dyDescent="0.3">
      <c r="B22" s="273" t="s">
        <v>3682</v>
      </c>
      <c r="C22" s="855">
        <v>0.3</v>
      </c>
    </row>
    <row r="23" spans="2:6" ht="15.75" thickBot="1" x14ac:dyDescent="0.3">
      <c r="B23" s="273" t="s">
        <v>3683</v>
      </c>
      <c r="C23" s="854">
        <f>+D6*(1+C22)^10</f>
        <v>1378584.9184900005</v>
      </c>
    </row>
  </sheetData>
  <mergeCells count="1">
    <mergeCell ref="Q5:R5"/>
  </mergeCells>
  <hyperlinks>
    <hyperlink ref="A1" location="Inicio!A1" display="Inicio" xr:uid="{F5348747-DBF7-4E60-B611-7AC2E927427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2A4B2-C689-4EAE-988F-3D0F107A1105}">
  <sheetPr>
    <tabColor theme="9" tint="0.79998168889431442"/>
  </sheetPr>
  <dimension ref="A1:L98"/>
  <sheetViews>
    <sheetView showGridLines="0" zoomScale="110" zoomScaleNormal="110" workbookViewId="0"/>
  </sheetViews>
  <sheetFormatPr defaultRowHeight="15" x14ac:dyDescent="0.25"/>
  <cols>
    <col min="1" max="1" width="6.5703125" bestFit="1" customWidth="1"/>
    <col min="3" max="3" width="29.140625" customWidth="1"/>
    <col min="4" max="4" width="23.42578125" customWidth="1"/>
    <col min="5" max="5" width="27.5703125" customWidth="1"/>
    <col min="6" max="6" width="21" customWidth="1"/>
    <col min="8" max="8" width="10.7109375" bestFit="1" customWidth="1"/>
    <col min="9" max="9" width="32.28515625" customWidth="1"/>
    <col min="12" max="12" width="19.140625" bestFit="1" customWidth="1"/>
    <col min="13" max="13" width="12" bestFit="1" customWidth="1"/>
  </cols>
  <sheetData>
    <row r="1" spans="1:12" x14ac:dyDescent="0.25">
      <c r="A1" s="458" t="s">
        <v>2821</v>
      </c>
    </row>
    <row r="3" spans="1:12" ht="16.5" x14ac:dyDescent="0.25">
      <c r="B3" s="858" t="s">
        <v>3690</v>
      </c>
      <c r="K3" s="859" t="s">
        <v>3691</v>
      </c>
      <c r="L3" s="860">
        <v>100</v>
      </c>
    </row>
    <row r="4" spans="1:12" x14ac:dyDescent="0.25">
      <c r="B4" s="861" t="s">
        <v>3692</v>
      </c>
    </row>
    <row r="5" spans="1:12" x14ac:dyDescent="0.25">
      <c r="B5" s="862" t="s">
        <v>2717</v>
      </c>
      <c r="C5" s="862" t="s">
        <v>3370</v>
      </c>
      <c r="D5" s="862" t="s">
        <v>3371</v>
      </c>
      <c r="E5" s="862" t="s">
        <v>3693</v>
      </c>
      <c r="F5" s="862" t="s">
        <v>3372</v>
      </c>
      <c r="H5" s="862" t="s">
        <v>3694</v>
      </c>
      <c r="I5" s="862" t="s">
        <v>3695</v>
      </c>
      <c r="L5" s="862" t="s">
        <v>3696</v>
      </c>
    </row>
    <row r="6" spans="1:12" x14ac:dyDescent="0.25">
      <c r="B6" s="863">
        <v>1956</v>
      </c>
      <c r="C6" s="864" t="s">
        <v>3373</v>
      </c>
      <c r="D6" s="865">
        <v>0.13</v>
      </c>
      <c r="E6" s="865">
        <v>6.6000000000000003E-2</v>
      </c>
      <c r="F6" s="865">
        <f t="shared" ref="F6:F69" si="0">D6-E6</f>
        <v>6.4000000000000001E-2</v>
      </c>
      <c r="H6" s="866">
        <f t="shared" ref="H6:I37" si="1">1+D6</f>
        <v>1.1299999999999999</v>
      </c>
      <c r="I6" s="866">
        <f t="shared" si="1"/>
        <v>1.0660000000000001</v>
      </c>
      <c r="L6" s="867">
        <f>L3*(1+D6)</f>
        <v>112.99999999999999</v>
      </c>
    </row>
    <row r="7" spans="1:12" x14ac:dyDescent="0.25">
      <c r="B7" s="863">
        <v>1957</v>
      </c>
      <c r="C7" s="864" t="s">
        <v>3373</v>
      </c>
      <c r="D7" s="865">
        <v>9.2999999999999999E-2</v>
      </c>
      <c r="E7" s="865">
        <v>-0.108</v>
      </c>
      <c r="F7" s="865">
        <f t="shared" si="0"/>
        <v>0.20100000000000001</v>
      </c>
      <c r="H7" s="866">
        <f t="shared" si="1"/>
        <v>1.093</v>
      </c>
      <c r="I7" s="866">
        <f t="shared" si="1"/>
        <v>0.89200000000000002</v>
      </c>
      <c r="L7" s="867">
        <f t="shared" ref="L7:L70" si="2">L6*(1+D7)</f>
        <v>123.50899999999999</v>
      </c>
    </row>
    <row r="8" spans="1:12" x14ac:dyDescent="0.25">
      <c r="B8" s="863">
        <v>1958</v>
      </c>
      <c r="C8" s="864" t="s">
        <v>3373</v>
      </c>
      <c r="D8" s="865">
        <v>0.32200000000000001</v>
      </c>
      <c r="E8" s="865">
        <v>0.434</v>
      </c>
      <c r="F8" s="865">
        <f t="shared" si="0"/>
        <v>-0.11199999999999999</v>
      </c>
      <c r="H8" s="866">
        <f t="shared" si="1"/>
        <v>1.3220000000000001</v>
      </c>
      <c r="I8" s="866">
        <f t="shared" si="1"/>
        <v>1.4339999999999999</v>
      </c>
      <c r="L8" s="867">
        <f t="shared" si="2"/>
        <v>163.278898</v>
      </c>
    </row>
    <row r="9" spans="1:12" x14ac:dyDescent="0.25">
      <c r="B9" s="863">
        <v>1959</v>
      </c>
      <c r="C9" s="864" t="s">
        <v>3373</v>
      </c>
      <c r="D9" s="865">
        <v>0.20899999999999999</v>
      </c>
      <c r="E9" s="865">
        <v>0.12</v>
      </c>
      <c r="F9" s="865">
        <f t="shared" si="0"/>
        <v>8.8999999999999996E-2</v>
      </c>
      <c r="H9" s="866">
        <f t="shared" si="1"/>
        <v>1.2090000000000001</v>
      </c>
      <c r="I9" s="866">
        <f t="shared" si="1"/>
        <v>1.1200000000000001</v>
      </c>
      <c r="L9" s="867">
        <f t="shared" si="2"/>
        <v>197.40418768200001</v>
      </c>
    </row>
    <row r="10" spans="1:12" x14ac:dyDescent="0.25">
      <c r="B10" s="863">
        <v>1960</v>
      </c>
      <c r="C10" s="864" t="s">
        <v>3373</v>
      </c>
      <c r="D10" s="865">
        <v>0.186</v>
      </c>
      <c r="E10" s="865">
        <v>5.0000000000000001E-3</v>
      </c>
      <c r="F10" s="865">
        <f t="shared" si="0"/>
        <v>0.18099999999999999</v>
      </c>
      <c r="H10" s="866">
        <f t="shared" si="1"/>
        <v>1.1859999999999999</v>
      </c>
      <c r="I10" s="866">
        <f t="shared" si="1"/>
        <v>1.0049999999999999</v>
      </c>
      <c r="L10" s="867">
        <f t="shared" si="2"/>
        <v>234.12136659085201</v>
      </c>
    </row>
    <row r="11" spans="1:12" x14ac:dyDescent="0.25">
      <c r="B11" s="863">
        <v>1961</v>
      </c>
      <c r="C11" s="864" t="s">
        <v>3373</v>
      </c>
      <c r="D11" s="865">
        <v>0.35899999999999999</v>
      </c>
      <c r="E11" s="865">
        <v>0.26900000000000002</v>
      </c>
      <c r="F11" s="865">
        <f t="shared" si="0"/>
        <v>8.9999999999999969E-2</v>
      </c>
      <c r="H11" s="866">
        <f t="shared" si="1"/>
        <v>1.359</v>
      </c>
      <c r="I11" s="866">
        <f t="shared" si="1"/>
        <v>1.2690000000000001</v>
      </c>
      <c r="L11" s="867">
        <f t="shared" si="2"/>
        <v>318.17093719696788</v>
      </c>
    </row>
    <row r="12" spans="1:12" x14ac:dyDescent="0.25">
      <c r="B12" s="863">
        <v>1962</v>
      </c>
      <c r="C12" s="864" t="s">
        <v>3373</v>
      </c>
      <c r="D12" s="865">
        <v>0.11899999999999999</v>
      </c>
      <c r="E12" s="865">
        <v>-8.6999999999999994E-2</v>
      </c>
      <c r="F12" s="865">
        <f t="shared" si="0"/>
        <v>0.20599999999999999</v>
      </c>
      <c r="H12" s="866">
        <f t="shared" si="1"/>
        <v>1.119</v>
      </c>
      <c r="I12" s="866">
        <f t="shared" si="1"/>
        <v>0.91300000000000003</v>
      </c>
      <c r="L12" s="867">
        <f t="shared" si="2"/>
        <v>356.03327872340708</v>
      </c>
    </row>
    <row r="13" spans="1:12" x14ac:dyDescent="0.25">
      <c r="B13" s="863">
        <v>1963</v>
      </c>
      <c r="C13" s="864" t="s">
        <v>3373</v>
      </c>
      <c r="D13" s="865">
        <v>0.30499999999999999</v>
      </c>
      <c r="E13" s="865">
        <v>0.22800000000000001</v>
      </c>
      <c r="F13" s="865">
        <f t="shared" si="0"/>
        <v>7.6999999999999985E-2</v>
      </c>
      <c r="H13" s="866">
        <f t="shared" si="1"/>
        <v>1.3049999999999999</v>
      </c>
      <c r="I13" s="866">
        <f t="shared" si="1"/>
        <v>1.228</v>
      </c>
      <c r="L13" s="867">
        <f t="shared" si="2"/>
        <v>464.62342873404623</v>
      </c>
    </row>
    <row r="14" spans="1:12" x14ac:dyDescent="0.25">
      <c r="B14" s="863">
        <v>1964</v>
      </c>
      <c r="C14" s="864" t="s">
        <v>3373</v>
      </c>
      <c r="D14" s="865">
        <v>0.223</v>
      </c>
      <c r="E14" s="865">
        <v>0.16500000000000001</v>
      </c>
      <c r="F14" s="865">
        <f t="shared" si="0"/>
        <v>5.7999999999999996E-2</v>
      </c>
      <c r="H14" s="866">
        <f t="shared" si="1"/>
        <v>1.2230000000000001</v>
      </c>
      <c r="I14" s="866">
        <f t="shared" si="1"/>
        <v>1.165</v>
      </c>
      <c r="L14" s="867">
        <f t="shared" si="2"/>
        <v>568.23445334173857</v>
      </c>
    </row>
    <row r="15" spans="1:12" x14ac:dyDescent="0.25">
      <c r="B15" s="863">
        <v>1965</v>
      </c>
      <c r="C15" s="868" t="s">
        <v>3697</v>
      </c>
      <c r="D15" s="869">
        <v>0.495</v>
      </c>
      <c r="E15" s="865">
        <v>0.1</v>
      </c>
      <c r="F15" s="865">
        <f t="shared" si="0"/>
        <v>0.39500000000000002</v>
      </c>
      <c r="H15" s="866">
        <f t="shared" si="1"/>
        <v>1.4950000000000001</v>
      </c>
      <c r="I15" s="866">
        <f t="shared" si="1"/>
        <v>1.1000000000000001</v>
      </c>
      <c r="L15" s="867">
        <f t="shared" si="2"/>
        <v>849.51050774589919</v>
      </c>
    </row>
    <row r="16" spans="1:12" x14ac:dyDescent="0.25">
      <c r="B16" s="863">
        <v>1966</v>
      </c>
      <c r="C16" s="864" t="s">
        <v>3374</v>
      </c>
      <c r="D16" s="865">
        <v>-3.4000000000000002E-2</v>
      </c>
      <c r="E16" s="865">
        <v>-0.11700000000000001</v>
      </c>
      <c r="F16" s="865">
        <f t="shared" si="0"/>
        <v>8.3000000000000004E-2</v>
      </c>
      <c r="H16" s="866">
        <f t="shared" si="1"/>
        <v>0.96599999999999997</v>
      </c>
      <c r="I16" s="866">
        <f t="shared" si="1"/>
        <v>0.88300000000000001</v>
      </c>
      <c r="L16" s="867">
        <f t="shared" si="2"/>
        <v>820.62715048253858</v>
      </c>
    </row>
    <row r="17" spans="2:12" x14ac:dyDescent="0.25">
      <c r="B17" s="863">
        <v>1967</v>
      </c>
      <c r="C17" s="864" t="s">
        <v>3374</v>
      </c>
      <c r="D17" s="865">
        <v>0.13300000000000001</v>
      </c>
      <c r="E17" s="865">
        <v>0.309</v>
      </c>
      <c r="F17" s="865">
        <f t="shared" si="0"/>
        <v>-0.17599999999999999</v>
      </c>
      <c r="H17" s="866">
        <f t="shared" si="1"/>
        <v>1.133</v>
      </c>
      <c r="I17" s="866">
        <f t="shared" si="1"/>
        <v>1.3089999999999999</v>
      </c>
      <c r="L17" s="867">
        <f t="shared" si="2"/>
        <v>929.77056149671625</v>
      </c>
    </row>
    <row r="18" spans="2:12" x14ac:dyDescent="0.25">
      <c r="B18" s="863">
        <v>1968</v>
      </c>
      <c r="C18" s="864" t="s">
        <v>3374</v>
      </c>
      <c r="D18" s="865">
        <v>0.77800000000000002</v>
      </c>
      <c r="E18" s="865">
        <v>0.11</v>
      </c>
      <c r="F18" s="865">
        <f t="shared" si="0"/>
        <v>0.66800000000000004</v>
      </c>
      <c r="H18" s="866">
        <f t="shared" si="1"/>
        <v>1.778</v>
      </c>
      <c r="I18" s="866">
        <f t="shared" si="1"/>
        <v>1.1100000000000001</v>
      </c>
      <c r="L18" s="867">
        <f t="shared" si="2"/>
        <v>1653.1320583411616</v>
      </c>
    </row>
    <row r="19" spans="2:12" x14ac:dyDescent="0.25">
      <c r="B19" s="863">
        <v>1969</v>
      </c>
      <c r="C19" s="864" t="s">
        <v>3374</v>
      </c>
      <c r="D19" s="865">
        <v>0.19400000000000001</v>
      </c>
      <c r="E19" s="865">
        <v>-8.4000000000000005E-2</v>
      </c>
      <c r="F19" s="865">
        <f t="shared" si="0"/>
        <v>0.27800000000000002</v>
      </c>
      <c r="H19" s="866">
        <f t="shared" si="1"/>
        <v>1.194</v>
      </c>
      <c r="I19" s="866">
        <f t="shared" si="1"/>
        <v>0.91600000000000004</v>
      </c>
      <c r="L19" s="867">
        <f t="shared" si="2"/>
        <v>1973.839677659347</v>
      </c>
    </row>
    <row r="20" spans="2:12" x14ac:dyDescent="0.25">
      <c r="B20" s="863">
        <v>1970</v>
      </c>
      <c r="C20" s="864" t="s">
        <v>3374</v>
      </c>
      <c r="D20" s="865">
        <v>-4.5999999999999999E-2</v>
      </c>
      <c r="E20" s="865">
        <v>3.9E-2</v>
      </c>
      <c r="F20" s="865">
        <f t="shared" si="0"/>
        <v>-8.4999999999999992E-2</v>
      </c>
      <c r="H20" s="866">
        <f t="shared" si="1"/>
        <v>0.95399999999999996</v>
      </c>
      <c r="I20" s="866">
        <f t="shared" si="1"/>
        <v>1.0389999999999999</v>
      </c>
      <c r="L20" s="867">
        <f t="shared" si="2"/>
        <v>1883.0430524870169</v>
      </c>
    </row>
    <row r="21" spans="2:12" x14ac:dyDescent="0.25">
      <c r="B21" s="863">
        <v>1971</v>
      </c>
      <c r="C21" s="864" t="s">
        <v>3374</v>
      </c>
      <c r="D21" s="865">
        <v>0.80500000000000005</v>
      </c>
      <c r="E21" s="865">
        <v>0.14599999999999999</v>
      </c>
      <c r="F21" s="865">
        <f t="shared" si="0"/>
        <v>0.65900000000000003</v>
      </c>
      <c r="H21" s="866">
        <f t="shared" si="1"/>
        <v>1.8050000000000002</v>
      </c>
      <c r="I21" s="866">
        <f t="shared" si="1"/>
        <v>1.1459999999999999</v>
      </c>
      <c r="L21" s="867">
        <f t="shared" si="2"/>
        <v>3398.8927097390656</v>
      </c>
    </row>
    <row r="22" spans="2:12" x14ac:dyDescent="0.25">
      <c r="B22" s="863">
        <v>1972</v>
      </c>
      <c r="C22" s="864" t="s">
        <v>3374</v>
      </c>
      <c r="D22" s="865">
        <v>8.1000000000000003E-2</v>
      </c>
      <c r="E22" s="865">
        <v>0.189</v>
      </c>
      <c r="F22" s="865">
        <f t="shared" si="0"/>
        <v>-0.108</v>
      </c>
      <c r="H22" s="866">
        <f t="shared" si="1"/>
        <v>1.081</v>
      </c>
      <c r="I22" s="866">
        <f t="shared" si="1"/>
        <v>1.1890000000000001</v>
      </c>
      <c r="L22" s="867">
        <f t="shared" si="2"/>
        <v>3674.2030192279299</v>
      </c>
    </row>
    <row r="23" spans="2:12" x14ac:dyDescent="0.25">
      <c r="B23" s="863">
        <v>1973</v>
      </c>
      <c r="C23" s="864" t="s">
        <v>3374</v>
      </c>
      <c r="D23" s="865">
        <v>-2.5000000000000001E-2</v>
      </c>
      <c r="E23" s="865">
        <v>-0.14799999999999999</v>
      </c>
      <c r="F23" s="865">
        <f t="shared" si="0"/>
        <v>0.123</v>
      </c>
      <c r="H23" s="866">
        <f t="shared" si="1"/>
        <v>0.97499999999999998</v>
      </c>
      <c r="I23" s="866">
        <f t="shared" si="1"/>
        <v>0.85199999999999998</v>
      </c>
      <c r="L23" s="867">
        <f t="shared" si="2"/>
        <v>3582.3479437472315</v>
      </c>
    </row>
    <row r="24" spans="2:12" x14ac:dyDescent="0.25">
      <c r="B24" s="863">
        <v>1974</v>
      </c>
      <c r="C24" s="864" t="s">
        <v>3374</v>
      </c>
      <c r="D24" s="865">
        <v>-0.48699999999999999</v>
      </c>
      <c r="E24" s="865">
        <v>-0.26400000000000001</v>
      </c>
      <c r="F24" s="865">
        <f t="shared" si="0"/>
        <v>-0.22299999999999998</v>
      </c>
      <c r="H24" s="866">
        <f t="shared" si="1"/>
        <v>0.51300000000000001</v>
      </c>
      <c r="I24" s="866">
        <f t="shared" si="1"/>
        <v>0.73599999999999999</v>
      </c>
      <c r="L24" s="867">
        <f t="shared" si="2"/>
        <v>1837.7444951423297</v>
      </c>
    </row>
    <row r="25" spans="2:12" x14ac:dyDescent="0.25">
      <c r="B25" s="863">
        <v>1975</v>
      </c>
      <c r="C25" s="864" t="s">
        <v>3374</v>
      </c>
      <c r="D25" s="865">
        <v>2.5000000000000001E-2</v>
      </c>
      <c r="E25" s="865">
        <v>0.372</v>
      </c>
      <c r="F25" s="865">
        <f t="shared" si="0"/>
        <v>-0.34699999999999998</v>
      </c>
      <c r="H25" s="866">
        <f t="shared" si="1"/>
        <v>1.0249999999999999</v>
      </c>
      <c r="I25" s="866">
        <f t="shared" si="1"/>
        <v>1.3719999999999999</v>
      </c>
      <c r="L25" s="867">
        <f t="shared" si="2"/>
        <v>1883.6881075208878</v>
      </c>
    </row>
    <row r="26" spans="2:12" x14ac:dyDescent="0.25">
      <c r="B26" s="863">
        <v>1976</v>
      </c>
      <c r="C26" s="864" t="s">
        <v>3374</v>
      </c>
      <c r="D26" s="865">
        <v>1.2929999999999999</v>
      </c>
      <c r="E26" s="865">
        <v>0.23599999999999999</v>
      </c>
      <c r="F26" s="865">
        <f t="shared" si="0"/>
        <v>1.0569999999999999</v>
      </c>
      <c r="H26" s="866">
        <f t="shared" si="1"/>
        <v>2.2930000000000001</v>
      </c>
      <c r="I26" s="866">
        <f t="shared" si="1"/>
        <v>1.236</v>
      </c>
      <c r="L26" s="867">
        <f t="shared" si="2"/>
        <v>4319.296830545396</v>
      </c>
    </row>
    <row r="27" spans="2:12" x14ac:dyDescent="0.25">
      <c r="B27" s="863">
        <v>1977</v>
      </c>
      <c r="C27" s="864" t="s">
        <v>3374</v>
      </c>
      <c r="D27" s="865">
        <v>0.46800000000000003</v>
      </c>
      <c r="E27" s="865">
        <v>-7.3999999999999996E-2</v>
      </c>
      <c r="F27" s="865">
        <f t="shared" si="0"/>
        <v>0.54200000000000004</v>
      </c>
      <c r="H27" s="866">
        <f t="shared" si="1"/>
        <v>1.468</v>
      </c>
      <c r="I27" s="866">
        <f t="shared" si="1"/>
        <v>0.92600000000000005</v>
      </c>
      <c r="L27" s="867">
        <f t="shared" si="2"/>
        <v>6340.7277472406413</v>
      </c>
    </row>
    <row r="28" spans="2:12" x14ac:dyDescent="0.25">
      <c r="B28" s="863">
        <v>1978</v>
      </c>
      <c r="C28" s="864" t="s">
        <v>3374</v>
      </c>
      <c r="D28" s="865">
        <v>0.14499999999999999</v>
      </c>
      <c r="E28" s="865">
        <v>6.4000000000000001E-2</v>
      </c>
      <c r="F28" s="865">
        <f t="shared" si="0"/>
        <v>8.0999999999999989E-2</v>
      </c>
      <c r="H28" s="866">
        <f t="shared" si="1"/>
        <v>1.145</v>
      </c>
      <c r="I28" s="866">
        <f t="shared" si="1"/>
        <v>1.0640000000000001</v>
      </c>
      <c r="L28" s="867">
        <f t="shared" si="2"/>
        <v>7260.1332705905343</v>
      </c>
    </row>
    <row r="29" spans="2:12" x14ac:dyDescent="0.25">
      <c r="B29" s="863">
        <v>1979</v>
      </c>
      <c r="C29" s="864" t="s">
        <v>3374</v>
      </c>
      <c r="D29" s="865">
        <v>1.0249999999999999</v>
      </c>
      <c r="E29" s="865">
        <v>0.182</v>
      </c>
      <c r="F29" s="865">
        <f t="shared" si="0"/>
        <v>0.84299999999999997</v>
      </c>
      <c r="H29" s="866">
        <f t="shared" si="1"/>
        <v>2.0249999999999999</v>
      </c>
      <c r="I29" s="866">
        <f t="shared" si="1"/>
        <v>1.1819999999999999</v>
      </c>
      <c r="L29" s="867">
        <f t="shared" si="2"/>
        <v>14701.769872945832</v>
      </c>
    </row>
    <row r="30" spans="2:12" x14ac:dyDescent="0.25">
      <c r="B30" s="863">
        <v>1980</v>
      </c>
      <c r="C30" s="864" t="s">
        <v>3374</v>
      </c>
      <c r="D30" s="865">
        <v>0.32800000000000001</v>
      </c>
      <c r="E30" s="865">
        <v>0.32300000000000001</v>
      </c>
      <c r="F30" s="865">
        <f t="shared" si="0"/>
        <v>5.0000000000000044E-3</v>
      </c>
      <c r="H30" s="866">
        <f t="shared" si="1"/>
        <v>1.3280000000000001</v>
      </c>
      <c r="I30" s="866">
        <f t="shared" si="1"/>
        <v>1.323</v>
      </c>
      <c r="L30" s="867">
        <f t="shared" si="2"/>
        <v>19523.950391272065</v>
      </c>
    </row>
    <row r="31" spans="2:12" x14ac:dyDescent="0.25">
      <c r="B31" s="863">
        <v>1981</v>
      </c>
      <c r="C31" s="864" t="s">
        <v>3374</v>
      </c>
      <c r="D31" s="865">
        <v>0.318</v>
      </c>
      <c r="E31" s="865">
        <v>-0.05</v>
      </c>
      <c r="F31" s="865">
        <f t="shared" si="0"/>
        <v>0.36799999999999999</v>
      </c>
      <c r="H31" s="866">
        <f t="shared" si="1"/>
        <v>1.3180000000000001</v>
      </c>
      <c r="I31" s="866">
        <f t="shared" si="1"/>
        <v>0.95</v>
      </c>
      <c r="L31" s="867">
        <f t="shared" si="2"/>
        <v>25732.566615696582</v>
      </c>
    </row>
    <row r="32" spans="2:12" x14ac:dyDescent="0.25">
      <c r="B32" s="863">
        <v>1982</v>
      </c>
      <c r="C32" s="864" t="s">
        <v>3374</v>
      </c>
      <c r="D32" s="865">
        <v>0.38400000000000001</v>
      </c>
      <c r="E32" s="865">
        <v>0.214</v>
      </c>
      <c r="F32" s="865">
        <f t="shared" si="0"/>
        <v>0.17</v>
      </c>
      <c r="H32" s="866">
        <f t="shared" si="1"/>
        <v>1.3839999999999999</v>
      </c>
      <c r="I32" s="866">
        <f t="shared" si="1"/>
        <v>1.214</v>
      </c>
      <c r="L32" s="867">
        <f t="shared" si="2"/>
        <v>35613.872196124066</v>
      </c>
    </row>
    <row r="33" spans="2:12" x14ac:dyDescent="0.25">
      <c r="B33" s="863">
        <v>1983</v>
      </c>
      <c r="C33" s="864" t="s">
        <v>3374</v>
      </c>
      <c r="D33" s="865">
        <v>0.69</v>
      </c>
      <c r="E33" s="865">
        <v>0.224</v>
      </c>
      <c r="F33" s="865">
        <f t="shared" si="0"/>
        <v>0.46599999999999997</v>
      </c>
      <c r="H33" s="866">
        <f t="shared" si="1"/>
        <v>1.69</v>
      </c>
      <c r="I33" s="866">
        <f t="shared" si="1"/>
        <v>1.224</v>
      </c>
      <c r="L33" s="867">
        <f t="shared" si="2"/>
        <v>60187.444011449668</v>
      </c>
    </row>
    <row r="34" spans="2:12" x14ac:dyDescent="0.25">
      <c r="B34" s="863">
        <v>1984</v>
      </c>
      <c r="C34" s="864" t="s">
        <v>3374</v>
      </c>
      <c r="D34" s="865">
        <v>-2.7E-2</v>
      </c>
      <c r="E34" s="865">
        <v>6.0999999999999999E-2</v>
      </c>
      <c r="F34" s="865">
        <f t="shared" si="0"/>
        <v>-8.7999999999999995E-2</v>
      </c>
      <c r="H34" s="866">
        <f t="shared" si="1"/>
        <v>0.97299999999999998</v>
      </c>
      <c r="I34" s="866">
        <f t="shared" si="1"/>
        <v>1.0609999999999999</v>
      </c>
      <c r="L34" s="867">
        <f t="shared" si="2"/>
        <v>58562.383023140523</v>
      </c>
    </row>
    <row r="35" spans="2:12" x14ac:dyDescent="0.25">
      <c r="B35" s="863">
        <v>1985</v>
      </c>
      <c r="C35" s="864" t="s">
        <v>3374</v>
      </c>
      <c r="D35" s="865">
        <v>0.93700000000000006</v>
      </c>
      <c r="E35" s="865">
        <v>0.316</v>
      </c>
      <c r="F35" s="865">
        <f t="shared" si="0"/>
        <v>0.621</v>
      </c>
      <c r="H35" s="866">
        <f t="shared" si="1"/>
        <v>1.9370000000000001</v>
      </c>
      <c r="I35" s="866">
        <f t="shared" si="1"/>
        <v>1.3160000000000001</v>
      </c>
      <c r="L35" s="867">
        <f t="shared" si="2"/>
        <v>113435.33591582319</v>
      </c>
    </row>
    <row r="36" spans="2:12" x14ac:dyDescent="0.25">
      <c r="B36" s="863">
        <v>1986</v>
      </c>
      <c r="C36" s="864" t="s">
        <v>3374</v>
      </c>
      <c r="D36" s="865">
        <v>0.14199999999999999</v>
      </c>
      <c r="E36" s="865">
        <v>0.186</v>
      </c>
      <c r="F36" s="865">
        <f t="shared" si="0"/>
        <v>-4.4000000000000011E-2</v>
      </c>
      <c r="H36" s="866">
        <f t="shared" si="1"/>
        <v>1.1419999999999999</v>
      </c>
      <c r="I36" s="866">
        <f t="shared" si="1"/>
        <v>1.1859999999999999</v>
      </c>
      <c r="L36" s="867">
        <f t="shared" si="2"/>
        <v>129543.15361587008</v>
      </c>
    </row>
    <row r="37" spans="2:12" x14ac:dyDescent="0.25">
      <c r="B37" s="863">
        <v>1987</v>
      </c>
      <c r="C37" s="864" t="s">
        <v>3374</v>
      </c>
      <c r="D37" s="865">
        <v>4.5999999999999999E-2</v>
      </c>
      <c r="E37" s="865">
        <v>5.0999999999999997E-2</v>
      </c>
      <c r="F37" s="865">
        <f t="shared" si="0"/>
        <v>-4.9999999999999975E-3</v>
      </c>
      <c r="H37" s="866">
        <f t="shared" si="1"/>
        <v>1.046</v>
      </c>
      <c r="I37" s="866">
        <f t="shared" si="1"/>
        <v>1.0509999999999999</v>
      </c>
      <c r="L37" s="867">
        <f t="shared" si="2"/>
        <v>135502.13868220011</v>
      </c>
    </row>
    <row r="38" spans="2:12" x14ac:dyDescent="0.25">
      <c r="B38" s="863">
        <v>1988</v>
      </c>
      <c r="C38" s="864" t="s">
        <v>3374</v>
      </c>
      <c r="D38" s="865">
        <v>0.59299999999999997</v>
      </c>
      <c r="E38" s="865">
        <v>0.16600000000000001</v>
      </c>
      <c r="F38" s="865">
        <f t="shared" si="0"/>
        <v>0.42699999999999994</v>
      </c>
      <c r="H38" s="866">
        <f t="shared" ref="H38:I74" si="3">1+D38</f>
        <v>1.593</v>
      </c>
      <c r="I38" s="866">
        <f t="shared" si="3"/>
        <v>1.1659999999999999</v>
      </c>
      <c r="L38" s="867">
        <f t="shared" si="2"/>
        <v>215854.90692074478</v>
      </c>
    </row>
    <row r="39" spans="2:12" x14ac:dyDescent="0.25">
      <c r="B39" s="863">
        <v>1989</v>
      </c>
      <c r="C39" s="864" t="s">
        <v>3374</v>
      </c>
      <c r="D39" s="865">
        <v>0.84599999999999997</v>
      </c>
      <c r="E39" s="865">
        <v>0.317</v>
      </c>
      <c r="F39" s="865">
        <f t="shared" si="0"/>
        <v>0.52899999999999991</v>
      </c>
      <c r="H39" s="866">
        <f t="shared" si="3"/>
        <v>1.8460000000000001</v>
      </c>
      <c r="I39" s="866">
        <f t="shared" si="3"/>
        <v>1.3169999999999999</v>
      </c>
      <c r="L39" s="867">
        <f t="shared" si="2"/>
        <v>398468.15817569487</v>
      </c>
    </row>
    <row r="40" spans="2:12" x14ac:dyDescent="0.25">
      <c r="B40" s="863">
        <v>1990</v>
      </c>
      <c r="C40" s="864" t="s">
        <v>3374</v>
      </c>
      <c r="D40" s="865">
        <v>-0.23100000000000001</v>
      </c>
      <c r="E40" s="865">
        <v>-3.1E-2</v>
      </c>
      <c r="F40" s="865">
        <f t="shared" si="0"/>
        <v>-0.2</v>
      </c>
      <c r="H40" s="866">
        <f t="shared" si="3"/>
        <v>0.76900000000000002</v>
      </c>
      <c r="I40" s="866">
        <f t="shared" si="3"/>
        <v>0.96899999999999997</v>
      </c>
      <c r="L40" s="867">
        <f t="shared" si="2"/>
        <v>306422.01363710937</v>
      </c>
    </row>
    <row r="41" spans="2:12" x14ac:dyDescent="0.25">
      <c r="B41" s="863">
        <v>1991</v>
      </c>
      <c r="C41" s="864" t="s">
        <v>3374</v>
      </c>
      <c r="D41" s="865">
        <v>0.35599999999999998</v>
      </c>
      <c r="E41" s="865">
        <v>0.30499999999999999</v>
      </c>
      <c r="F41" s="865">
        <f t="shared" si="0"/>
        <v>5.099999999999999E-2</v>
      </c>
      <c r="H41" s="866">
        <f t="shared" si="3"/>
        <v>1.3559999999999999</v>
      </c>
      <c r="I41" s="866">
        <f t="shared" si="3"/>
        <v>1.3049999999999999</v>
      </c>
      <c r="L41" s="867">
        <f t="shared" si="2"/>
        <v>415508.25049192028</v>
      </c>
    </row>
    <row r="42" spans="2:12" x14ac:dyDescent="0.25">
      <c r="B42" s="863">
        <v>1992</v>
      </c>
      <c r="C42" s="864" t="s">
        <v>3374</v>
      </c>
      <c r="D42" s="865">
        <v>0.29799999999999999</v>
      </c>
      <c r="E42" s="865">
        <v>7.5999999999999998E-2</v>
      </c>
      <c r="F42" s="865">
        <f t="shared" si="0"/>
        <v>0.22199999999999998</v>
      </c>
      <c r="H42" s="866">
        <f t="shared" si="3"/>
        <v>1.298</v>
      </c>
      <c r="I42" s="866">
        <f t="shared" si="3"/>
        <v>1.0760000000000001</v>
      </c>
      <c r="L42" s="867">
        <f t="shared" si="2"/>
        <v>539329.70913851249</v>
      </c>
    </row>
    <row r="43" spans="2:12" x14ac:dyDescent="0.25">
      <c r="B43" s="863">
        <v>1993</v>
      </c>
      <c r="C43" s="864" t="s">
        <v>3374</v>
      </c>
      <c r="D43" s="865">
        <v>0.38900000000000001</v>
      </c>
      <c r="E43" s="865">
        <v>0.10100000000000001</v>
      </c>
      <c r="F43" s="865">
        <f t="shared" si="0"/>
        <v>0.28800000000000003</v>
      </c>
      <c r="H43" s="866">
        <f t="shared" si="3"/>
        <v>1.389</v>
      </c>
      <c r="I43" s="866">
        <f t="shared" si="3"/>
        <v>1.101</v>
      </c>
      <c r="L43" s="867">
        <f t="shared" si="2"/>
        <v>749128.96599339391</v>
      </c>
    </row>
    <row r="44" spans="2:12" x14ac:dyDescent="0.25">
      <c r="B44" s="863">
        <v>1994</v>
      </c>
      <c r="C44" s="864" t="s">
        <v>3374</v>
      </c>
      <c r="D44" s="865">
        <v>0.25</v>
      </c>
      <c r="E44" s="865">
        <v>1.2999999999999999E-2</v>
      </c>
      <c r="F44" s="865">
        <f t="shared" si="0"/>
        <v>0.23699999999999999</v>
      </c>
      <c r="H44" s="866">
        <f t="shared" si="3"/>
        <v>1.25</v>
      </c>
      <c r="I44" s="866">
        <f t="shared" si="3"/>
        <v>1.0129999999999999</v>
      </c>
      <c r="L44" s="867">
        <f t="shared" si="2"/>
        <v>936411.20749174245</v>
      </c>
    </row>
    <row r="45" spans="2:12" x14ac:dyDescent="0.25">
      <c r="B45" s="863">
        <v>1995</v>
      </c>
      <c r="C45" s="864" t="s">
        <v>3374</v>
      </c>
      <c r="D45" s="865">
        <v>0.57399999999999995</v>
      </c>
      <c r="E45" s="865">
        <v>0.376</v>
      </c>
      <c r="F45" s="865">
        <f t="shared" si="0"/>
        <v>0.19799999999999995</v>
      </c>
      <c r="H45" s="866">
        <f t="shared" si="3"/>
        <v>1.5739999999999998</v>
      </c>
      <c r="I45" s="866">
        <f t="shared" si="3"/>
        <v>1.3759999999999999</v>
      </c>
      <c r="L45" s="867">
        <f t="shared" si="2"/>
        <v>1473911.2405920024</v>
      </c>
    </row>
    <row r="46" spans="2:12" x14ac:dyDescent="0.25">
      <c r="B46" s="863">
        <v>1996</v>
      </c>
      <c r="C46" s="864" t="s">
        <v>3374</v>
      </c>
      <c r="D46" s="865">
        <v>6.2E-2</v>
      </c>
      <c r="E46" s="865">
        <v>0.23</v>
      </c>
      <c r="F46" s="865">
        <f t="shared" si="0"/>
        <v>-0.16800000000000001</v>
      </c>
      <c r="H46" s="866">
        <f t="shared" si="3"/>
        <v>1.0620000000000001</v>
      </c>
      <c r="I46" s="866">
        <f t="shared" si="3"/>
        <v>1.23</v>
      </c>
      <c r="L46" s="867">
        <f t="shared" si="2"/>
        <v>1565293.7375087067</v>
      </c>
    </row>
    <row r="47" spans="2:12" x14ac:dyDescent="0.25">
      <c r="B47" s="863">
        <v>1997</v>
      </c>
      <c r="C47" s="864" t="s">
        <v>3374</v>
      </c>
      <c r="D47" s="865">
        <v>0.34899999999999998</v>
      </c>
      <c r="E47" s="865">
        <v>0.33400000000000002</v>
      </c>
      <c r="F47" s="865">
        <f t="shared" si="0"/>
        <v>1.4999999999999958E-2</v>
      </c>
      <c r="H47" s="866">
        <f t="shared" si="3"/>
        <v>1.349</v>
      </c>
      <c r="I47" s="866">
        <f t="shared" si="3"/>
        <v>1.3340000000000001</v>
      </c>
      <c r="L47" s="867">
        <f t="shared" si="2"/>
        <v>2111581.2518992452</v>
      </c>
    </row>
    <row r="48" spans="2:12" x14ac:dyDescent="0.25">
      <c r="B48" s="863">
        <v>1998</v>
      </c>
      <c r="C48" s="864" t="s">
        <v>3374</v>
      </c>
      <c r="D48" s="865">
        <v>0.52200000000000002</v>
      </c>
      <c r="E48" s="865">
        <v>0.28599999999999998</v>
      </c>
      <c r="F48" s="865">
        <f t="shared" si="0"/>
        <v>0.23600000000000004</v>
      </c>
      <c r="H48" s="866">
        <f t="shared" si="3"/>
        <v>1.522</v>
      </c>
      <c r="I48" s="866">
        <f t="shared" si="3"/>
        <v>1.286</v>
      </c>
      <c r="L48" s="867">
        <f t="shared" si="2"/>
        <v>3213826.6653906512</v>
      </c>
    </row>
    <row r="49" spans="2:12" x14ac:dyDescent="0.25">
      <c r="B49" s="863">
        <v>1999</v>
      </c>
      <c r="C49" s="864" t="s">
        <v>3374</v>
      </c>
      <c r="D49" s="865">
        <v>-0.19900000000000001</v>
      </c>
      <c r="E49" s="865">
        <v>0.21</v>
      </c>
      <c r="F49" s="865">
        <f t="shared" si="0"/>
        <v>-0.40900000000000003</v>
      </c>
      <c r="H49" s="866">
        <f t="shared" si="3"/>
        <v>0.80099999999999993</v>
      </c>
      <c r="I49" s="866">
        <f t="shared" si="3"/>
        <v>1.21</v>
      </c>
      <c r="L49" s="867">
        <f t="shared" si="2"/>
        <v>2574275.1589779113</v>
      </c>
    </row>
    <row r="50" spans="2:12" x14ac:dyDescent="0.25">
      <c r="B50" s="863">
        <v>2000</v>
      </c>
      <c r="C50" s="864" t="s">
        <v>3374</v>
      </c>
      <c r="D50" s="865">
        <v>0.26600000000000001</v>
      </c>
      <c r="E50" s="865">
        <v>-9.0999999999999998E-2</v>
      </c>
      <c r="F50" s="865">
        <f t="shared" si="0"/>
        <v>0.35699999999999998</v>
      </c>
      <c r="H50" s="866">
        <f t="shared" si="3"/>
        <v>1.266</v>
      </c>
      <c r="I50" s="866">
        <f t="shared" si="3"/>
        <v>0.90900000000000003</v>
      </c>
      <c r="L50" s="867">
        <f t="shared" si="2"/>
        <v>3259032.3512660358</v>
      </c>
    </row>
    <row r="51" spans="2:12" x14ac:dyDescent="0.25">
      <c r="B51" s="863">
        <v>2001</v>
      </c>
      <c r="C51" s="864" t="s">
        <v>3374</v>
      </c>
      <c r="D51" s="865">
        <v>6.5000000000000002E-2</v>
      </c>
      <c r="E51" s="865">
        <v>-0.11899999999999999</v>
      </c>
      <c r="F51" s="865">
        <f t="shared" si="0"/>
        <v>0.184</v>
      </c>
      <c r="H51" s="866">
        <f t="shared" si="3"/>
        <v>1.0649999999999999</v>
      </c>
      <c r="I51" s="866">
        <f t="shared" si="3"/>
        <v>0.88100000000000001</v>
      </c>
      <c r="L51" s="867">
        <f t="shared" si="2"/>
        <v>3470869.454098328</v>
      </c>
    </row>
    <row r="52" spans="2:12" x14ac:dyDescent="0.25">
      <c r="B52" s="863">
        <v>2002</v>
      </c>
      <c r="C52" s="864" t="s">
        <v>3374</v>
      </c>
      <c r="D52" s="865">
        <v>-3.7999999999999999E-2</v>
      </c>
      <c r="E52" s="865">
        <v>-0.221</v>
      </c>
      <c r="F52" s="865">
        <f t="shared" si="0"/>
        <v>0.183</v>
      </c>
      <c r="H52" s="866">
        <f t="shared" si="3"/>
        <v>0.96199999999999997</v>
      </c>
      <c r="I52" s="866">
        <f t="shared" si="3"/>
        <v>0.77900000000000003</v>
      </c>
      <c r="L52" s="867">
        <f t="shared" si="2"/>
        <v>3338976.4148425916</v>
      </c>
    </row>
    <row r="53" spans="2:12" x14ac:dyDescent="0.25">
      <c r="B53" s="863">
        <v>2003</v>
      </c>
      <c r="C53" s="864" t="s">
        <v>3374</v>
      </c>
      <c r="D53" s="865">
        <v>0.158</v>
      </c>
      <c r="E53" s="865">
        <v>0.28699999999999998</v>
      </c>
      <c r="F53" s="865">
        <f t="shared" si="0"/>
        <v>-0.12899999999999998</v>
      </c>
      <c r="H53" s="866">
        <f t="shared" si="3"/>
        <v>1.1579999999999999</v>
      </c>
      <c r="I53" s="866">
        <f t="shared" si="3"/>
        <v>1.2869999999999999</v>
      </c>
      <c r="L53" s="867">
        <f t="shared" si="2"/>
        <v>3866534.6883877208</v>
      </c>
    </row>
    <row r="54" spans="2:12" x14ac:dyDescent="0.25">
      <c r="B54" s="863">
        <v>2004</v>
      </c>
      <c r="C54" s="864" t="s">
        <v>3374</v>
      </c>
      <c r="D54" s="865">
        <v>4.2999999999999997E-2</v>
      </c>
      <c r="E54" s="865">
        <v>0.109</v>
      </c>
      <c r="F54" s="865">
        <f t="shared" si="0"/>
        <v>-6.6000000000000003E-2</v>
      </c>
      <c r="H54" s="866">
        <f t="shared" si="3"/>
        <v>1.0429999999999999</v>
      </c>
      <c r="I54" s="866">
        <f t="shared" si="3"/>
        <v>1.109</v>
      </c>
      <c r="L54" s="867">
        <f t="shared" si="2"/>
        <v>4032795.6799883926</v>
      </c>
    </row>
    <row r="55" spans="2:12" x14ac:dyDescent="0.25">
      <c r="B55" s="863">
        <v>2005</v>
      </c>
      <c r="C55" s="864" t="s">
        <v>3374</v>
      </c>
      <c r="D55" s="865">
        <v>8.0000000000000002E-3</v>
      </c>
      <c r="E55" s="865">
        <v>4.9000000000000002E-2</v>
      </c>
      <c r="F55" s="865">
        <f t="shared" si="0"/>
        <v>-4.1000000000000002E-2</v>
      </c>
      <c r="H55" s="866">
        <f t="shared" si="3"/>
        <v>1.008</v>
      </c>
      <c r="I55" s="866">
        <f t="shared" si="3"/>
        <v>1.0489999999999999</v>
      </c>
      <c r="L55" s="867">
        <f t="shared" si="2"/>
        <v>4065058.0454282998</v>
      </c>
    </row>
    <row r="56" spans="2:12" x14ac:dyDescent="0.25">
      <c r="B56" s="863">
        <v>2006</v>
      </c>
      <c r="C56" s="864" t="s">
        <v>3374</v>
      </c>
      <c r="D56" s="865">
        <v>0.24099999999999999</v>
      </c>
      <c r="E56" s="865">
        <v>0.158</v>
      </c>
      <c r="F56" s="865">
        <f t="shared" si="0"/>
        <v>8.299999999999999E-2</v>
      </c>
      <c r="H56" s="866">
        <f t="shared" si="3"/>
        <v>1.2410000000000001</v>
      </c>
      <c r="I56" s="866">
        <f t="shared" si="3"/>
        <v>1.1579999999999999</v>
      </c>
      <c r="L56" s="867">
        <f t="shared" si="2"/>
        <v>5044737.0343765207</v>
      </c>
    </row>
    <row r="57" spans="2:12" x14ac:dyDescent="0.25">
      <c r="B57" s="863">
        <v>2007</v>
      </c>
      <c r="C57" s="864" t="s">
        <v>3374</v>
      </c>
      <c r="D57" s="865">
        <v>0.28699999999999998</v>
      </c>
      <c r="E57" s="865">
        <v>5.5E-2</v>
      </c>
      <c r="F57" s="865">
        <f t="shared" si="0"/>
        <v>0.23199999999999998</v>
      </c>
      <c r="H57" s="866">
        <f t="shared" si="3"/>
        <v>1.2869999999999999</v>
      </c>
      <c r="I57" s="866">
        <f t="shared" si="3"/>
        <v>1.0549999999999999</v>
      </c>
      <c r="L57" s="867">
        <f t="shared" si="2"/>
        <v>6492576.5632425817</v>
      </c>
    </row>
    <row r="58" spans="2:12" x14ac:dyDescent="0.25">
      <c r="B58" s="863">
        <v>2008</v>
      </c>
      <c r="C58" s="864" t="s">
        <v>3374</v>
      </c>
      <c r="D58" s="865">
        <v>-0.318</v>
      </c>
      <c r="E58" s="865">
        <v>-0.37</v>
      </c>
      <c r="F58" s="865">
        <f t="shared" si="0"/>
        <v>5.1999999999999991E-2</v>
      </c>
      <c r="H58" s="866">
        <f t="shared" si="3"/>
        <v>0.68199999999999994</v>
      </c>
      <c r="I58" s="866">
        <f t="shared" si="3"/>
        <v>0.63</v>
      </c>
      <c r="L58" s="867">
        <f t="shared" si="2"/>
        <v>4427937.2161314404</v>
      </c>
    </row>
    <row r="59" spans="2:12" x14ac:dyDescent="0.25">
      <c r="B59" s="863">
        <v>2009</v>
      </c>
      <c r="C59" s="864" t="s">
        <v>3374</v>
      </c>
      <c r="D59" s="865">
        <v>2.7E-2</v>
      </c>
      <c r="E59" s="865">
        <v>0.26500000000000001</v>
      </c>
      <c r="F59" s="865">
        <f t="shared" si="0"/>
        <v>-0.23800000000000002</v>
      </c>
      <c r="H59" s="866">
        <f t="shared" si="3"/>
        <v>1.0269999999999999</v>
      </c>
      <c r="I59" s="866">
        <f t="shared" si="3"/>
        <v>1.2650000000000001</v>
      </c>
      <c r="L59" s="867">
        <f t="shared" si="2"/>
        <v>4547491.520966989</v>
      </c>
    </row>
    <row r="60" spans="2:12" x14ac:dyDescent="0.25">
      <c r="B60" s="863">
        <v>2010</v>
      </c>
      <c r="C60" s="864" t="s">
        <v>3374</v>
      </c>
      <c r="D60" s="865">
        <v>0.214</v>
      </c>
      <c r="E60" s="865">
        <v>0.151</v>
      </c>
      <c r="F60" s="865">
        <f t="shared" si="0"/>
        <v>6.3E-2</v>
      </c>
      <c r="H60" s="866">
        <f t="shared" si="3"/>
        <v>1.214</v>
      </c>
      <c r="I60" s="866">
        <f t="shared" si="3"/>
        <v>1.151</v>
      </c>
      <c r="L60" s="867">
        <f t="shared" si="2"/>
        <v>5520654.7064539241</v>
      </c>
    </row>
    <row r="61" spans="2:12" x14ac:dyDescent="0.25">
      <c r="B61" s="863">
        <v>2011</v>
      </c>
      <c r="C61" s="864" t="s">
        <v>3374</v>
      </c>
      <c r="D61" s="865">
        <v>-4.7E-2</v>
      </c>
      <c r="E61" s="865">
        <v>2.1000000000000001E-2</v>
      </c>
      <c r="F61" s="865">
        <f t="shared" si="0"/>
        <v>-6.8000000000000005E-2</v>
      </c>
      <c r="H61" s="866">
        <f t="shared" si="3"/>
        <v>0.95299999999999996</v>
      </c>
      <c r="I61" s="866">
        <f t="shared" si="3"/>
        <v>1.0209999999999999</v>
      </c>
      <c r="L61" s="867">
        <f t="shared" si="2"/>
        <v>5261183.9352505896</v>
      </c>
    </row>
    <row r="62" spans="2:12" x14ac:dyDescent="0.25">
      <c r="B62" s="863">
        <v>2012</v>
      </c>
      <c r="C62" s="864" t="s">
        <v>3374</v>
      </c>
      <c r="D62" s="865">
        <v>0.16800000000000001</v>
      </c>
      <c r="E62" s="865">
        <v>0.16</v>
      </c>
      <c r="F62" s="865">
        <f t="shared" si="0"/>
        <v>8.0000000000000071E-3</v>
      </c>
      <c r="H62" s="866">
        <f t="shared" si="3"/>
        <v>1.1679999999999999</v>
      </c>
      <c r="I62" s="866">
        <f t="shared" si="3"/>
        <v>1.1599999999999999</v>
      </c>
      <c r="L62" s="867">
        <f t="shared" si="2"/>
        <v>6145062.8363726884</v>
      </c>
    </row>
    <row r="63" spans="2:12" x14ac:dyDescent="0.25">
      <c r="B63" s="863">
        <v>2013</v>
      </c>
      <c r="C63" s="864" t="s">
        <v>3374</v>
      </c>
      <c r="D63" s="865">
        <v>0.32700000000000001</v>
      </c>
      <c r="E63" s="865">
        <v>0.32400000000000001</v>
      </c>
      <c r="F63" s="865">
        <f t="shared" si="0"/>
        <v>3.0000000000000027E-3</v>
      </c>
      <c r="H63" s="866">
        <f t="shared" si="3"/>
        <v>1.327</v>
      </c>
      <c r="I63" s="866">
        <f t="shared" si="3"/>
        <v>1.3240000000000001</v>
      </c>
      <c r="L63" s="867">
        <f t="shared" si="2"/>
        <v>8154498.3838665569</v>
      </c>
    </row>
    <row r="64" spans="2:12" x14ac:dyDescent="0.25">
      <c r="B64" s="863">
        <v>2014</v>
      </c>
      <c r="C64" s="864" t="s">
        <v>3374</v>
      </c>
      <c r="D64" s="865">
        <v>0.27</v>
      </c>
      <c r="E64" s="865">
        <v>0.13700000000000001</v>
      </c>
      <c r="F64" s="865">
        <f t="shared" si="0"/>
        <v>0.13300000000000001</v>
      </c>
      <c r="H64" s="866">
        <f t="shared" si="3"/>
        <v>1.27</v>
      </c>
      <c r="I64" s="866">
        <f t="shared" si="3"/>
        <v>1.137</v>
      </c>
      <c r="L64" s="867">
        <f t="shared" si="2"/>
        <v>10356212.947510527</v>
      </c>
    </row>
    <row r="65" spans="2:12" x14ac:dyDescent="0.25">
      <c r="B65" s="863">
        <v>2015</v>
      </c>
      <c r="C65" s="864" t="s">
        <v>3374</v>
      </c>
      <c r="D65" s="865">
        <v>-0.125</v>
      </c>
      <c r="E65" s="865">
        <v>1.4E-2</v>
      </c>
      <c r="F65" s="865">
        <f t="shared" si="0"/>
        <v>-0.13900000000000001</v>
      </c>
      <c r="H65" s="866">
        <f t="shared" si="3"/>
        <v>0.875</v>
      </c>
      <c r="I65" s="866">
        <f t="shared" si="3"/>
        <v>1.014</v>
      </c>
      <c r="L65" s="867">
        <f t="shared" si="2"/>
        <v>9061686.3290717117</v>
      </c>
    </row>
    <row r="66" spans="2:12" x14ac:dyDescent="0.25">
      <c r="B66" s="863">
        <v>2016</v>
      </c>
      <c r="C66" s="864" t="s">
        <v>3374</v>
      </c>
      <c r="D66" s="865">
        <v>0.23400000000000001</v>
      </c>
      <c r="E66" s="865">
        <v>0.12</v>
      </c>
      <c r="F66" s="865">
        <f t="shared" si="0"/>
        <v>0.11400000000000002</v>
      </c>
      <c r="H66" s="866">
        <f t="shared" si="3"/>
        <v>1.234</v>
      </c>
      <c r="I66" s="866">
        <f t="shared" si="3"/>
        <v>1.1200000000000001</v>
      </c>
      <c r="L66" s="867">
        <f t="shared" si="2"/>
        <v>11182120.930074492</v>
      </c>
    </row>
    <row r="67" spans="2:12" x14ac:dyDescent="0.25">
      <c r="B67" s="863">
        <v>2017</v>
      </c>
      <c r="C67" s="864" t="s">
        <v>3374</v>
      </c>
      <c r="D67" s="865">
        <v>0.219</v>
      </c>
      <c r="E67" s="865">
        <v>0.218</v>
      </c>
      <c r="F67" s="865">
        <f t="shared" si="0"/>
        <v>1.0000000000000009E-3</v>
      </c>
      <c r="H67" s="866">
        <f t="shared" si="3"/>
        <v>1.2190000000000001</v>
      </c>
      <c r="I67" s="866">
        <f t="shared" si="3"/>
        <v>1.218</v>
      </c>
      <c r="L67" s="867">
        <f t="shared" si="2"/>
        <v>13631005.413760807</v>
      </c>
    </row>
    <row r="68" spans="2:12" x14ac:dyDescent="0.25">
      <c r="B68" s="863">
        <v>2018</v>
      </c>
      <c r="C68" s="864" t="s">
        <v>3374</v>
      </c>
      <c r="D68" s="865">
        <v>2.8000000000000001E-2</v>
      </c>
      <c r="E68" s="865">
        <v>-4.3999999999999997E-2</v>
      </c>
      <c r="F68" s="865">
        <f t="shared" si="0"/>
        <v>7.1999999999999995E-2</v>
      </c>
      <c r="H68" s="866">
        <f t="shared" si="3"/>
        <v>1.028</v>
      </c>
      <c r="I68" s="866">
        <f t="shared" si="3"/>
        <v>0.95599999999999996</v>
      </c>
      <c r="L68" s="867">
        <f t="shared" si="2"/>
        <v>14012673.565346111</v>
      </c>
    </row>
    <row r="69" spans="2:12" x14ac:dyDescent="0.25">
      <c r="B69" s="863">
        <v>2019</v>
      </c>
      <c r="C69" s="864" t="s">
        <v>3374</v>
      </c>
      <c r="D69" s="865">
        <v>0.11</v>
      </c>
      <c r="E69" s="865">
        <v>0.315</v>
      </c>
      <c r="F69" s="865">
        <f t="shared" si="0"/>
        <v>-0.20500000000000002</v>
      </c>
      <c r="H69" s="866">
        <f t="shared" si="3"/>
        <v>1.1100000000000001</v>
      </c>
      <c r="I69" s="866">
        <f t="shared" si="3"/>
        <v>1.3149999999999999</v>
      </c>
      <c r="L69" s="867">
        <f t="shared" si="2"/>
        <v>15554067.657534184</v>
      </c>
    </row>
    <row r="70" spans="2:12" x14ac:dyDescent="0.25">
      <c r="B70" s="863">
        <v>2020</v>
      </c>
      <c r="C70" s="864" t="s">
        <v>3374</v>
      </c>
      <c r="D70" s="865">
        <v>2.4E-2</v>
      </c>
      <c r="E70" s="865">
        <v>0.184</v>
      </c>
      <c r="F70" s="865">
        <f t="shared" ref="F70:F74" si="4">D70-E70</f>
        <v>-0.16</v>
      </c>
      <c r="H70" s="866">
        <f t="shared" si="3"/>
        <v>1.024</v>
      </c>
      <c r="I70" s="866">
        <f t="shared" si="3"/>
        <v>1.1839999999999999</v>
      </c>
      <c r="L70" s="867">
        <f t="shared" si="2"/>
        <v>15927365.281315004</v>
      </c>
    </row>
    <row r="71" spans="2:12" x14ac:dyDescent="0.25">
      <c r="B71" s="863">
        <v>2021</v>
      </c>
      <c r="C71" s="864" t="s">
        <v>3374</v>
      </c>
      <c r="D71" s="865">
        <v>0.29599999999999999</v>
      </c>
      <c r="E71" s="865">
        <v>0.28699999999999998</v>
      </c>
      <c r="F71" s="865">
        <f t="shared" si="4"/>
        <v>9.000000000000008E-3</v>
      </c>
      <c r="H71" s="866">
        <f t="shared" si="3"/>
        <v>1.296</v>
      </c>
      <c r="I71" s="866">
        <f t="shared" si="3"/>
        <v>1.2869999999999999</v>
      </c>
      <c r="L71" s="867">
        <f t="shared" ref="L71:L74" si="5">L70*(1+D71)</f>
        <v>20641865.404584248</v>
      </c>
    </row>
    <row r="72" spans="2:12" x14ac:dyDescent="0.25">
      <c r="B72" s="863">
        <v>2022</v>
      </c>
      <c r="C72" s="864" t="s">
        <v>3374</v>
      </c>
      <c r="D72" s="865">
        <v>0.04</v>
      </c>
      <c r="E72" s="865">
        <v>-0.18099999999999999</v>
      </c>
      <c r="F72" s="865">
        <f t="shared" si="4"/>
        <v>0.221</v>
      </c>
      <c r="H72" s="866">
        <f t="shared" si="3"/>
        <v>1.04</v>
      </c>
      <c r="I72" s="866">
        <f t="shared" si="3"/>
        <v>0.81899999999999995</v>
      </c>
      <c r="L72" s="867">
        <f t="shared" si="5"/>
        <v>21467540.020767618</v>
      </c>
    </row>
    <row r="73" spans="2:12" x14ac:dyDescent="0.25">
      <c r="B73" s="863">
        <v>2023</v>
      </c>
      <c r="C73" s="864" t="s">
        <v>3374</v>
      </c>
      <c r="D73" s="865">
        <v>0.158</v>
      </c>
      <c r="E73" s="865">
        <v>0.26300000000000001</v>
      </c>
      <c r="F73" s="865">
        <f t="shared" si="4"/>
        <v>-0.10500000000000001</v>
      </c>
      <c r="H73" s="866">
        <f t="shared" si="3"/>
        <v>1.1579999999999999</v>
      </c>
      <c r="I73" s="866">
        <f t="shared" si="3"/>
        <v>1.2629999999999999</v>
      </c>
      <c r="L73" s="867">
        <f t="shared" si="5"/>
        <v>24859411.344048899</v>
      </c>
    </row>
    <row r="74" spans="2:12" x14ac:dyDescent="0.25">
      <c r="B74" s="863">
        <v>2024</v>
      </c>
      <c r="C74" s="864" t="s">
        <v>3374</v>
      </c>
      <c r="D74" s="865">
        <v>0.255</v>
      </c>
      <c r="E74" s="865">
        <v>0.25</v>
      </c>
      <c r="F74" s="865">
        <f t="shared" si="4"/>
        <v>5.0000000000000044E-3</v>
      </c>
      <c r="H74" s="866">
        <f t="shared" si="3"/>
        <v>1.2549999999999999</v>
      </c>
      <c r="I74" s="866">
        <f t="shared" si="3"/>
        <v>1.25</v>
      </c>
      <c r="L74" s="867">
        <f t="shared" si="5"/>
        <v>31198561.236781366</v>
      </c>
    </row>
    <row r="76" spans="2:12" x14ac:dyDescent="0.25">
      <c r="B76" s="870" t="s">
        <v>3698</v>
      </c>
      <c r="C76" s="861" t="s">
        <v>3699</v>
      </c>
      <c r="D76" s="871">
        <f>GEOMEAN(H6:H74)-1</f>
        <v>0.20122714759662474</v>
      </c>
      <c r="E76" s="871">
        <f>GEOMEAN(I6:I74)-1</f>
        <v>0.10498970624309467</v>
      </c>
      <c r="J76" s="193" t="s">
        <v>3700</v>
      </c>
      <c r="K76" s="872">
        <f>COUNT(B6:B74)</f>
        <v>69</v>
      </c>
      <c r="L76" s="873" t="s">
        <v>3701</v>
      </c>
    </row>
    <row r="78" spans="2:12" x14ac:dyDescent="0.25">
      <c r="D78" t="s">
        <v>3713</v>
      </c>
    </row>
    <row r="79" spans="2:12" x14ac:dyDescent="0.25">
      <c r="D79" s="862" t="s">
        <v>3375</v>
      </c>
      <c r="E79" s="862" t="s">
        <v>2846</v>
      </c>
      <c r="F79" s="862" t="s">
        <v>3702</v>
      </c>
    </row>
    <row r="80" spans="2:12" x14ac:dyDescent="0.25">
      <c r="D80" s="872" t="s">
        <v>3376</v>
      </c>
      <c r="E80" s="865">
        <f>GEOMEAN(H6:H9)-1</f>
        <v>0.18532949257703368</v>
      </c>
      <c r="F80" s="865">
        <f>GEOMEAN(I6:I9)-1</f>
        <v>0.11166084266805076</v>
      </c>
      <c r="H80" s="948">
        <f t="shared" ref="H80:H87" si="6">+E80-F80</f>
        <v>7.3668649908982919E-2</v>
      </c>
    </row>
    <row r="81" spans="2:9" x14ac:dyDescent="0.25">
      <c r="D81" s="872" t="s">
        <v>3377</v>
      </c>
      <c r="E81" s="865">
        <f>GEOMEAN(H10:H19)-1</f>
        <v>0.25891251615104549</v>
      </c>
      <c r="F81" s="865">
        <f>GEOMEAN(I10:I19)-1</f>
        <v>7.9725663722296947E-2</v>
      </c>
      <c r="H81" s="948">
        <f t="shared" si="6"/>
        <v>0.17918685242874854</v>
      </c>
      <c r="I81" s="847"/>
    </row>
    <row r="82" spans="2:9" x14ac:dyDescent="0.25">
      <c r="D82" s="872" t="s">
        <v>3378</v>
      </c>
      <c r="E82" s="865">
        <f>GEOMEAN(H20:H29)-1</f>
        <v>0.22237870243677649</v>
      </c>
      <c r="F82" s="865">
        <f>GEOMEAN(I20:I29)-1</f>
        <v>5.775286475457575E-2</v>
      </c>
      <c r="H82" s="948">
        <f t="shared" si="6"/>
        <v>0.16462583768220074</v>
      </c>
    </row>
    <row r="83" spans="2:9" x14ac:dyDescent="0.25">
      <c r="D83" s="872" t="s">
        <v>3379</v>
      </c>
      <c r="E83" s="865">
        <f>GEOMEAN(H30:H39)-1</f>
        <v>0.3909207952884608</v>
      </c>
      <c r="F83" s="865">
        <f>GEOMEAN(I30:I39)-1</f>
        <v>0.17441788324008844</v>
      </c>
      <c r="H83" s="948">
        <f t="shared" si="6"/>
        <v>0.21650291204837235</v>
      </c>
    </row>
    <row r="84" spans="2:9" x14ac:dyDescent="0.25">
      <c r="D84" s="872" t="s">
        <v>3380</v>
      </c>
      <c r="E84" s="865">
        <f>GEOMEAN(H40:H49)-1</f>
        <v>0.20510845747742157</v>
      </c>
      <c r="F84" s="865">
        <f>GEOMEAN(I40:I49)-1</f>
        <v>0.18218352806838367</v>
      </c>
      <c r="H84" s="949">
        <f t="shared" si="6"/>
        <v>2.2924929409037897E-2</v>
      </c>
    </row>
    <row r="85" spans="2:9" x14ac:dyDescent="0.25">
      <c r="D85" s="872" t="s">
        <v>3381</v>
      </c>
      <c r="E85" s="947">
        <f>GEOMEAN(H50:H59)-1</f>
        <v>5.855077196921421E-2</v>
      </c>
      <c r="F85" s="865">
        <f>GEOMEAN(I50:I59)-1</f>
        <v>-9.4520752283913101E-3</v>
      </c>
      <c r="H85" s="949">
        <f t="shared" si="6"/>
        <v>6.800284719760552E-2</v>
      </c>
    </row>
    <row r="86" spans="2:9" x14ac:dyDescent="0.25">
      <c r="D86" s="872" t="s">
        <v>3382</v>
      </c>
      <c r="E86" s="947">
        <f>GEOMEAN(H60:H69)-1</f>
        <v>0.13085574471157657</v>
      </c>
      <c r="F86" s="865">
        <f>GEOMEAN(I60:I69)-1</f>
        <v>0.13566290826119332</v>
      </c>
      <c r="H86" s="949">
        <f t="shared" si="6"/>
        <v>-4.8071635496167442E-3</v>
      </c>
    </row>
    <row r="87" spans="2:9" x14ac:dyDescent="0.25">
      <c r="D87" s="872" t="s">
        <v>3383</v>
      </c>
      <c r="E87" s="947">
        <f>GEOMEAN(H70:H74)-1</f>
        <v>0.1493653930013934</v>
      </c>
      <c r="F87" s="865">
        <f>GEOMEAN(I70:I74)-1</f>
        <v>0.14526371919356884</v>
      </c>
      <c r="H87" s="949">
        <f t="shared" si="6"/>
        <v>4.1016738078245574E-3</v>
      </c>
    </row>
    <row r="88" spans="2:9" x14ac:dyDescent="0.25">
      <c r="D88" s="872" t="s">
        <v>3703</v>
      </c>
      <c r="E88" s="874">
        <f>GEOMEAN(H6:H74)-1</f>
        <v>0.20122714759662474</v>
      </c>
      <c r="F88" s="874">
        <f>GEOMEAN(I6:I74)-1</f>
        <v>0.10498970624309467</v>
      </c>
    </row>
    <row r="91" spans="2:9" x14ac:dyDescent="0.25">
      <c r="B91" s="875" t="s">
        <v>3704</v>
      </c>
    </row>
    <row r="92" spans="2:9" x14ac:dyDescent="0.25">
      <c r="B92" s="876" t="s">
        <v>3705</v>
      </c>
    </row>
    <row r="93" spans="2:9" x14ac:dyDescent="0.25">
      <c r="B93" s="876" t="s">
        <v>3706</v>
      </c>
    </row>
    <row r="94" spans="2:9" x14ac:dyDescent="0.25">
      <c r="B94" s="876" t="s">
        <v>3707</v>
      </c>
    </row>
    <row r="95" spans="2:9" x14ac:dyDescent="0.25">
      <c r="B95" s="876" t="s">
        <v>3708</v>
      </c>
    </row>
    <row r="98" spans="10:10" x14ac:dyDescent="0.25">
      <c r="J98">
        <f>+(1.15/1)^(1/3)-1</f>
        <v>4.7689553171647248E-2</v>
      </c>
    </row>
  </sheetData>
  <hyperlinks>
    <hyperlink ref="A1" location="Inicio!A1" display="Inicio" xr:uid="{4C52A52B-141F-4A20-AE0D-90F21B707634}"/>
  </hyperlink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7D4DF-27F1-A846-8E90-62A050112737}">
  <sheetPr>
    <tabColor theme="8" tint="0.79998168889431442"/>
  </sheetPr>
  <dimension ref="A1:L217"/>
  <sheetViews>
    <sheetView showGridLines="0" topLeftCell="A197" zoomScaleNormal="150" zoomScaleSheetLayoutView="100" workbookViewId="0">
      <selection activeCell="J45" sqref="J45"/>
    </sheetView>
  </sheetViews>
  <sheetFormatPr defaultColWidth="9" defaultRowHeight="15" x14ac:dyDescent="0.25"/>
  <cols>
    <col min="1" max="1" width="14.7109375" customWidth="1"/>
    <col min="2" max="2" width="40.28515625" customWidth="1"/>
    <col min="3" max="3" width="44" customWidth="1"/>
    <col min="4" max="4" width="23.140625" customWidth="1"/>
    <col min="5" max="5" width="34.42578125" customWidth="1"/>
    <col min="6" max="6" width="18.28515625" customWidth="1"/>
    <col min="7" max="7" width="13.5703125" bestFit="1" customWidth="1"/>
    <col min="8" max="8" width="6.42578125" bestFit="1" customWidth="1"/>
    <col min="9" max="9" width="24.42578125" bestFit="1" customWidth="1"/>
    <col min="10" max="10" width="11.85546875" bestFit="1" customWidth="1"/>
    <col min="11" max="11" width="6.140625" bestFit="1" customWidth="1"/>
    <col min="12" max="12" width="31.42578125" bestFit="1" customWidth="1"/>
  </cols>
  <sheetData>
    <row r="1" spans="1:7" x14ac:dyDescent="0.25">
      <c r="A1" s="458" t="s">
        <v>2821</v>
      </c>
    </row>
    <row r="3" spans="1:7" x14ac:dyDescent="0.25">
      <c r="B3" s="162" t="s">
        <v>2835</v>
      </c>
      <c r="C3" s="162"/>
      <c r="D3" s="162"/>
      <c r="E3" s="162"/>
      <c r="F3" s="162"/>
      <c r="G3" s="162"/>
    </row>
    <row r="5" spans="1:7" x14ac:dyDescent="0.25">
      <c r="B5" s="165" t="s">
        <v>2833</v>
      </c>
      <c r="C5" s="164">
        <v>100</v>
      </c>
      <c r="D5" s="164">
        <v>1000</v>
      </c>
    </row>
    <row r="6" spans="1:7" x14ac:dyDescent="0.25">
      <c r="B6" s="165" t="s">
        <v>2710</v>
      </c>
      <c r="C6" s="164">
        <v>130</v>
      </c>
      <c r="D6" s="164">
        <v>1030</v>
      </c>
    </row>
    <row r="7" spans="1:7" x14ac:dyDescent="0.25">
      <c r="B7" s="168" t="s">
        <v>2834</v>
      </c>
      <c r="C7" s="877">
        <f>+C6-C5</f>
        <v>30</v>
      </c>
      <c r="D7" s="877">
        <f>+D6-D5</f>
        <v>30</v>
      </c>
    </row>
    <row r="9" spans="1:7" x14ac:dyDescent="0.25">
      <c r="B9" s="168" t="s">
        <v>2829</v>
      </c>
      <c r="C9" s="361">
        <f>+C6/C5-1</f>
        <v>0.30000000000000004</v>
      </c>
      <c r="D9" s="361">
        <f>+D6/D5-1</f>
        <v>3.0000000000000027E-2</v>
      </c>
    </row>
    <row r="11" spans="1:7" x14ac:dyDescent="0.25">
      <c r="B11" s="162" t="s">
        <v>2836</v>
      </c>
      <c r="C11" s="162"/>
      <c r="D11" s="162"/>
      <c r="E11" s="162"/>
      <c r="F11" s="162"/>
      <c r="G11" s="162"/>
    </row>
    <row r="13" spans="1:7" x14ac:dyDescent="0.25">
      <c r="B13" s="160" t="s">
        <v>2714</v>
      </c>
      <c r="C13" s="161" t="s">
        <v>2706</v>
      </c>
      <c r="D13" s="160" t="s">
        <v>2650</v>
      </c>
      <c r="E13" s="161" t="s">
        <v>2715</v>
      </c>
      <c r="F13" s="160" t="s">
        <v>2716</v>
      </c>
    </row>
    <row r="14" spans="1:7" x14ac:dyDescent="0.25">
      <c r="B14" s="158">
        <v>1</v>
      </c>
      <c r="C14" s="159">
        <v>100</v>
      </c>
      <c r="D14" s="157">
        <v>0.1</v>
      </c>
      <c r="E14" s="159">
        <f t="shared" ref="E14:E43" si="0">+C14*(1+D14)</f>
        <v>110.00000000000001</v>
      </c>
      <c r="F14" s="158">
        <f>+$C$14*(1+$D$14*B14)</f>
        <v>110.00000000000001</v>
      </c>
    </row>
    <row r="15" spans="1:7" x14ac:dyDescent="0.25">
      <c r="B15" s="155">
        <v>2</v>
      </c>
      <c r="C15" s="156">
        <f t="shared" ref="C15:C43" si="1">+E14</f>
        <v>110.00000000000001</v>
      </c>
      <c r="D15" s="157">
        <f t="shared" ref="D15:D43" si="2">+D14</f>
        <v>0.1</v>
      </c>
      <c r="E15" s="156">
        <f t="shared" si="0"/>
        <v>121.00000000000003</v>
      </c>
      <c r="F15" s="158">
        <f t="shared" ref="F15:F43" si="3">+$C$14*(1+$D$14*B15)</f>
        <v>120</v>
      </c>
    </row>
    <row r="16" spans="1:7" x14ac:dyDescent="0.25">
      <c r="B16" s="155">
        <v>3</v>
      </c>
      <c r="C16" s="156">
        <f t="shared" si="1"/>
        <v>121.00000000000003</v>
      </c>
      <c r="D16" s="157">
        <f t="shared" si="2"/>
        <v>0.1</v>
      </c>
      <c r="E16" s="156">
        <f t="shared" si="0"/>
        <v>133.10000000000005</v>
      </c>
      <c r="F16" s="158">
        <f t="shared" si="3"/>
        <v>130</v>
      </c>
    </row>
    <row r="17" spans="2:6" x14ac:dyDescent="0.25">
      <c r="B17" s="155">
        <v>4</v>
      </c>
      <c r="C17" s="156">
        <f t="shared" si="1"/>
        <v>133.10000000000005</v>
      </c>
      <c r="D17" s="157">
        <f t="shared" si="2"/>
        <v>0.1</v>
      </c>
      <c r="E17" s="156">
        <f t="shared" si="0"/>
        <v>146.41000000000008</v>
      </c>
      <c r="F17" s="158">
        <f t="shared" si="3"/>
        <v>140</v>
      </c>
    </row>
    <row r="18" spans="2:6" x14ac:dyDescent="0.25">
      <c r="B18" s="155">
        <v>5</v>
      </c>
      <c r="C18" s="156">
        <f t="shared" si="1"/>
        <v>146.41000000000008</v>
      </c>
      <c r="D18" s="157">
        <f t="shared" si="2"/>
        <v>0.1</v>
      </c>
      <c r="E18" s="156">
        <f t="shared" si="0"/>
        <v>161.0510000000001</v>
      </c>
      <c r="F18" s="158">
        <f t="shared" si="3"/>
        <v>150</v>
      </c>
    </row>
    <row r="19" spans="2:6" x14ac:dyDescent="0.25">
      <c r="B19" s="155">
        <v>6</v>
      </c>
      <c r="C19" s="156">
        <f t="shared" si="1"/>
        <v>161.0510000000001</v>
      </c>
      <c r="D19" s="157">
        <f t="shared" si="2"/>
        <v>0.1</v>
      </c>
      <c r="E19" s="156">
        <f t="shared" si="0"/>
        <v>177.15610000000012</v>
      </c>
      <c r="F19" s="158">
        <f t="shared" si="3"/>
        <v>160</v>
      </c>
    </row>
    <row r="20" spans="2:6" x14ac:dyDescent="0.25">
      <c r="B20" s="155">
        <v>7</v>
      </c>
      <c r="C20" s="156">
        <f t="shared" si="1"/>
        <v>177.15610000000012</v>
      </c>
      <c r="D20" s="157">
        <f t="shared" si="2"/>
        <v>0.1</v>
      </c>
      <c r="E20" s="156">
        <f t="shared" si="0"/>
        <v>194.87171000000015</v>
      </c>
      <c r="F20" s="158">
        <f t="shared" si="3"/>
        <v>170.00000000000003</v>
      </c>
    </row>
    <row r="21" spans="2:6" x14ac:dyDescent="0.25">
      <c r="B21" s="155">
        <v>8</v>
      </c>
      <c r="C21" s="156">
        <f t="shared" si="1"/>
        <v>194.87171000000015</v>
      </c>
      <c r="D21" s="157">
        <f t="shared" si="2"/>
        <v>0.1</v>
      </c>
      <c r="E21" s="156">
        <f t="shared" si="0"/>
        <v>214.3588810000002</v>
      </c>
      <c r="F21" s="158">
        <f t="shared" si="3"/>
        <v>180</v>
      </c>
    </row>
    <row r="22" spans="2:6" x14ac:dyDescent="0.25">
      <c r="B22" s="155">
        <v>9</v>
      </c>
      <c r="C22" s="156">
        <f t="shared" si="1"/>
        <v>214.3588810000002</v>
      </c>
      <c r="D22" s="157">
        <f t="shared" si="2"/>
        <v>0.1</v>
      </c>
      <c r="E22" s="156">
        <f t="shared" si="0"/>
        <v>235.79476910000022</v>
      </c>
      <c r="F22" s="158">
        <f t="shared" si="3"/>
        <v>190</v>
      </c>
    </row>
    <row r="23" spans="2:6" x14ac:dyDescent="0.25">
      <c r="B23" s="155">
        <v>10</v>
      </c>
      <c r="C23" s="156">
        <f t="shared" si="1"/>
        <v>235.79476910000022</v>
      </c>
      <c r="D23" s="157">
        <f t="shared" si="2"/>
        <v>0.1</v>
      </c>
      <c r="E23" s="156">
        <f t="shared" si="0"/>
        <v>259.37424601000026</v>
      </c>
      <c r="F23" s="158">
        <f t="shared" si="3"/>
        <v>200</v>
      </c>
    </row>
    <row r="24" spans="2:6" x14ac:dyDescent="0.25">
      <c r="B24" s="155">
        <v>11</v>
      </c>
      <c r="C24" s="156">
        <f t="shared" si="1"/>
        <v>259.37424601000026</v>
      </c>
      <c r="D24" s="157">
        <f t="shared" si="2"/>
        <v>0.1</v>
      </c>
      <c r="E24" s="156">
        <f t="shared" si="0"/>
        <v>285.3116706110003</v>
      </c>
      <c r="F24" s="158">
        <f t="shared" si="3"/>
        <v>210</v>
      </c>
    </row>
    <row r="25" spans="2:6" x14ac:dyDescent="0.25">
      <c r="B25" s="155">
        <v>12</v>
      </c>
      <c r="C25" s="156">
        <f t="shared" si="1"/>
        <v>285.3116706110003</v>
      </c>
      <c r="D25" s="157">
        <f t="shared" si="2"/>
        <v>0.1</v>
      </c>
      <c r="E25" s="156">
        <f t="shared" si="0"/>
        <v>313.84283767210036</v>
      </c>
      <c r="F25" s="158">
        <f t="shared" si="3"/>
        <v>220.00000000000003</v>
      </c>
    </row>
    <row r="26" spans="2:6" x14ac:dyDescent="0.25">
      <c r="B26" s="155">
        <v>13</v>
      </c>
      <c r="C26" s="156">
        <f t="shared" si="1"/>
        <v>313.84283767210036</v>
      </c>
      <c r="D26" s="157">
        <f t="shared" si="2"/>
        <v>0.1</v>
      </c>
      <c r="E26" s="156">
        <f t="shared" si="0"/>
        <v>345.22712143931039</v>
      </c>
      <c r="F26" s="158">
        <f t="shared" si="3"/>
        <v>229.99999999999997</v>
      </c>
    </row>
    <row r="27" spans="2:6" x14ac:dyDescent="0.25">
      <c r="B27" s="155">
        <v>14</v>
      </c>
      <c r="C27" s="156">
        <f t="shared" si="1"/>
        <v>345.22712143931039</v>
      </c>
      <c r="D27" s="157">
        <f t="shared" si="2"/>
        <v>0.1</v>
      </c>
      <c r="E27" s="156">
        <f t="shared" si="0"/>
        <v>379.74983358324147</v>
      </c>
      <c r="F27" s="158">
        <f t="shared" si="3"/>
        <v>240.00000000000003</v>
      </c>
    </row>
    <row r="28" spans="2:6" x14ac:dyDescent="0.25">
      <c r="B28" s="155">
        <v>15</v>
      </c>
      <c r="C28" s="156">
        <f t="shared" si="1"/>
        <v>379.74983358324147</v>
      </c>
      <c r="D28" s="157">
        <f t="shared" si="2"/>
        <v>0.1</v>
      </c>
      <c r="E28" s="156">
        <f t="shared" si="0"/>
        <v>417.72481694156562</v>
      </c>
      <c r="F28" s="158">
        <f t="shared" si="3"/>
        <v>250</v>
      </c>
    </row>
    <row r="29" spans="2:6" x14ac:dyDescent="0.25">
      <c r="B29" s="155">
        <v>16</v>
      </c>
      <c r="C29" s="156">
        <f t="shared" si="1"/>
        <v>417.72481694156562</v>
      </c>
      <c r="D29" s="157">
        <f t="shared" si="2"/>
        <v>0.1</v>
      </c>
      <c r="E29" s="156">
        <f t="shared" si="0"/>
        <v>459.49729863572225</v>
      </c>
      <c r="F29" s="158">
        <f t="shared" si="3"/>
        <v>260</v>
      </c>
    </row>
    <row r="30" spans="2:6" x14ac:dyDescent="0.25">
      <c r="B30" s="155">
        <v>17</v>
      </c>
      <c r="C30" s="156">
        <f t="shared" si="1"/>
        <v>459.49729863572225</v>
      </c>
      <c r="D30" s="157">
        <f t="shared" si="2"/>
        <v>0.1</v>
      </c>
      <c r="E30" s="156">
        <f t="shared" si="0"/>
        <v>505.4470284992945</v>
      </c>
      <c r="F30" s="158">
        <f t="shared" si="3"/>
        <v>270</v>
      </c>
    </row>
    <row r="31" spans="2:6" x14ac:dyDescent="0.25">
      <c r="B31" s="155">
        <v>18</v>
      </c>
      <c r="C31" s="156">
        <f t="shared" si="1"/>
        <v>505.4470284992945</v>
      </c>
      <c r="D31" s="157">
        <f t="shared" si="2"/>
        <v>0.1</v>
      </c>
      <c r="E31" s="156">
        <f t="shared" si="0"/>
        <v>555.99173134922398</v>
      </c>
      <c r="F31" s="158">
        <f t="shared" si="3"/>
        <v>280</v>
      </c>
    </row>
    <row r="32" spans="2:6" x14ac:dyDescent="0.25">
      <c r="B32" s="155">
        <v>19</v>
      </c>
      <c r="C32" s="156">
        <f t="shared" si="1"/>
        <v>555.99173134922398</v>
      </c>
      <c r="D32" s="157">
        <f t="shared" si="2"/>
        <v>0.1</v>
      </c>
      <c r="E32" s="156">
        <f t="shared" si="0"/>
        <v>611.59090448414645</v>
      </c>
      <c r="F32" s="158">
        <f t="shared" si="3"/>
        <v>290.00000000000006</v>
      </c>
    </row>
    <row r="33" spans="2:6" x14ac:dyDescent="0.25">
      <c r="B33" s="155">
        <v>20</v>
      </c>
      <c r="C33" s="156">
        <f t="shared" si="1"/>
        <v>611.59090448414645</v>
      </c>
      <c r="D33" s="157">
        <f t="shared" si="2"/>
        <v>0.1</v>
      </c>
      <c r="E33" s="156">
        <f t="shared" si="0"/>
        <v>672.74999493256109</v>
      </c>
      <c r="F33" s="158">
        <f t="shared" si="3"/>
        <v>300</v>
      </c>
    </row>
    <row r="34" spans="2:6" x14ac:dyDescent="0.25">
      <c r="B34" s="155">
        <v>21</v>
      </c>
      <c r="C34" s="156">
        <f t="shared" si="1"/>
        <v>672.74999493256109</v>
      </c>
      <c r="D34" s="157">
        <f t="shared" si="2"/>
        <v>0.1</v>
      </c>
      <c r="E34" s="156">
        <f t="shared" si="0"/>
        <v>740.02499442581723</v>
      </c>
      <c r="F34" s="158">
        <f t="shared" si="3"/>
        <v>310</v>
      </c>
    </row>
    <row r="35" spans="2:6" x14ac:dyDescent="0.25">
      <c r="B35" s="155">
        <v>22</v>
      </c>
      <c r="C35" s="156">
        <f t="shared" si="1"/>
        <v>740.02499442581723</v>
      </c>
      <c r="D35" s="157">
        <f t="shared" si="2"/>
        <v>0.1</v>
      </c>
      <c r="E35" s="156">
        <f t="shared" si="0"/>
        <v>814.02749386839901</v>
      </c>
      <c r="F35" s="158">
        <f t="shared" si="3"/>
        <v>320</v>
      </c>
    </row>
    <row r="36" spans="2:6" x14ac:dyDescent="0.25">
      <c r="B36" s="155">
        <v>23</v>
      </c>
      <c r="C36" s="156">
        <f t="shared" si="1"/>
        <v>814.02749386839901</v>
      </c>
      <c r="D36" s="157">
        <f t="shared" si="2"/>
        <v>0.1</v>
      </c>
      <c r="E36" s="156">
        <f t="shared" si="0"/>
        <v>895.43024325523902</v>
      </c>
      <c r="F36" s="158">
        <f t="shared" si="3"/>
        <v>330</v>
      </c>
    </row>
    <row r="37" spans="2:6" x14ac:dyDescent="0.25">
      <c r="B37" s="155">
        <v>24</v>
      </c>
      <c r="C37" s="156">
        <f t="shared" si="1"/>
        <v>895.43024325523902</v>
      </c>
      <c r="D37" s="157">
        <f t="shared" si="2"/>
        <v>0.1</v>
      </c>
      <c r="E37" s="156">
        <f t="shared" si="0"/>
        <v>984.97326758076304</v>
      </c>
      <c r="F37" s="158">
        <f t="shared" si="3"/>
        <v>340.00000000000006</v>
      </c>
    </row>
    <row r="38" spans="2:6" x14ac:dyDescent="0.25">
      <c r="B38" s="155">
        <v>25</v>
      </c>
      <c r="C38" s="156">
        <f t="shared" si="1"/>
        <v>984.97326758076304</v>
      </c>
      <c r="D38" s="157">
        <f t="shared" si="2"/>
        <v>0.1</v>
      </c>
      <c r="E38" s="156">
        <f t="shared" si="0"/>
        <v>1083.4705943388394</v>
      </c>
      <c r="F38" s="158">
        <f t="shared" si="3"/>
        <v>350</v>
      </c>
    </row>
    <row r="39" spans="2:6" x14ac:dyDescent="0.25">
      <c r="B39" s="155">
        <v>26</v>
      </c>
      <c r="C39" s="156">
        <f t="shared" si="1"/>
        <v>1083.4705943388394</v>
      </c>
      <c r="D39" s="157">
        <f t="shared" si="2"/>
        <v>0.1</v>
      </c>
      <c r="E39" s="156">
        <f t="shared" si="0"/>
        <v>1191.8176537727234</v>
      </c>
      <c r="F39" s="158">
        <f t="shared" si="3"/>
        <v>360</v>
      </c>
    </row>
    <row r="40" spans="2:6" x14ac:dyDescent="0.25">
      <c r="B40" s="155">
        <v>27</v>
      </c>
      <c r="C40" s="156">
        <f t="shared" si="1"/>
        <v>1191.8176537727234</v>
      </c>
      <c r="D40" s="157">
        <f t="shared" si="2"/>
        <v>0.1</v>
      </c>
      <c r="E40" s="156">
        <f t="shared" si="0"/>
        <v>1310.9994191499959</v>
      </c>
      <c r="F40" s="158">
        <f t="shared" si="3"/>
        <v>370</v>
      </c>
    </row>
    <row r="41" spans="2:6" x14ac:dyDescent="0.25">
      <c r="B41" s="155">
        <v>28</v>
      </c>
      <c r="C41" s="156">
        <f t="shared" si="1"/>
        <v>1310.9994191499959</v>
      </c>
      <c r="D41" s="157">
        <f t="shared" si="2"/>
        <v>0.1</v>
      </c>
      <c r="E41" s="156">
        <f t="shared" si="0"/>
        <v>1442.0993610649957</v>
      </c>
      <c r="F41" s="158">
        <f t="shared" si="3"/>
        <v>380</v>
      </c>
    </row>
    <row r="42" spans="2:6" x14ac:dyDescent="0.25">
      <c r="B42" s="155">
        <v>29</v>
      </c>
      <c r="C42" s="156">
        <f t="shared" si="1"/>
        <v>1442.0993610649957</v>
      </c>
      <c r="D42" s="157">
        <f t="shared" si="2"/>
        <v>0.1</v>
      </c>
      <c r="E42" s="156">
        <f t="shared" si="0"/>
        <v>1586.3092971714955</v>
      </c>
      <c r="F42" s="158">
        <f t="shared" si="3"/>
        <v>390.00000000000006</v>
      </c>
    </row>
    <row r="43" spans="2:6" x14ac:dyDescent="0.25">
      <c r="B43" s="155">
        <v>30</v>
      </c>
      <c r="C43" s="156">
        <f t="shared" si="1"/>
        <v>1586.3092971714955</v>
      </c>
      <c r="D43" s="157">
        <f t="shared" si="2"/>
        <v>0.1</v>
      </c>
      <c r="E43" s="156">
        <f t="shared" si="0"/>
        <v>1744.9402268886452</v>
      </c>
      <c r="F43" s="158">
        <f t="shared" si="3"/>
        <v>400</v>
      </c>
    </row>
    <row r="45" spans="2:6" x14ac:dyDescent="0.25">
      <c r="B45" s="169" t="s">
        <v>2837</v>
      </c>
      <c r="C45" s="107" t="s">
        <v>2838</v>
      </c>
    </row>
    <row r="46" spans="2:6" x14ac:dyDescent="0.25">
      <c r="B46" s="169" t="s">
        <v>2839</v>
      </c>
      <c r="C46" s="107" t="s">
        <v>2840</v>
      </c>
    </row>
    <row r="48" spans="2:6" x14ac:dyDescent="0.25">
      <c r="B48" s="170" t="s">
        <v>3392</v>
      </c>
      <c r="C48" s="171"/>
      <c r="D48" s="171"/>
      <c r="E48" s="171"/>
      <c r="F48" s="171"/>
    </row>
    <row r="50" spans="2:6" x14ac:dyDescent="0.25">
      <c r="C50" s="174" t="s">
        <v>3393</v>
      </c>
      <c r="D50" s="174" t="s">
        <v>3394</v>
      </c>
    </row>
    <row r="51" spans="2:6" x14ac:dyDescent="0.25">
      <c r="B51" s="160" t="s">
        <v>2706</v>
      </c>
      <c r="C51" s="156">
        <v>100</v>
      </c>
      <c r="D51" s="156">
        <v>100</v>
      </c>
    </row>
    <row r="52" spans="2:6" x14ac:dyDescent="0.25">
      <c r="B52" s="160" t="s">
        <v>2650</v>
      </c>
      <c r="C52" s="157">
        <v>0.1</v>
      </c>
      <c r="D52" s="157">
        <v>0.1</v>
      </c>
    </row>
    <row r="53" spans="2:6" x14ac:dyDescent="0.25">
      <c r="B53" s="160" t="s">
        <v>2750</v>
      </c>
      <c r="C53" s="156">
        <v>30</v>
      </c>
      <c r="D53" s="156">
        <v>30</v>
      </c>
    </row>
    <row r="54" spans="2:6" x14ac:dyDescent="0.25">
      <c r="B54" s="160" t="s">
        <v>2710</v>
      </c>
      <c r="C54" s="172">
        <f>+C51*(1+C52*C53)</f>
        <v>400</v>
      </c>
      <c r="D54" s="172">
        <f>+D51*(1+D52)^D53</f>
        <v>1744.9402268886445</v>
      </c>
    </row>
    <row r="56" spans="2:6" x14ac:dyDescent="0.25">
      <c r="B56" s="170" t="s">
        <v>2841</v>
      </c>
      <c r="C56" s="171"/>
      <c r="D56" s="171"/>
      <c r="E56" s="171"/>
      <c r="F56" s="171"/>
    </row>
    <row r="58" spans="2:6" x14ac:dyDescent="0.25">
      <c r="B58" s="160" t="s">
        <v>2706</v>
      </c>
      <c r="C58" s="156">
        <v>100</v>
      </c>
      <c r="D58" s="156">
        <v>100</v>
      </c>
    </row>
    <row r="59" spans="2:6" x14ac:dyDescent="0.25">
      <c r="B59" s="160" t="s">
        <v>2650</v>
      </c>
      <c r="C59" s="157">
        <v>0.2</v>
      </c>
      <c r="D59" s="157">
        <v>0.05</v>
      </c>
    </row>
    <row r="60" spans="2:6" x14ac:dyDescent="0.25">
      <c r="B60" s="160" t="s">
        <v>2750</v>
      </c>
      <c r="C60" s="156">
        <v>5</v>
      </c>
      <c r="D60" s="156">
        <v>20</v>
      </c>
    </row>
    <row r="61" spans="2:6" x14ac:dyDescent="0.25">
      <c r="B61" s="160" t="s">
        <v>2710</v>
      </c>
      <c r="C61" s="172">
        <f>+C58*(1+C59)^C60</f>
        <v>248.83199999999999</v>
      </c>
      <c r="D61" s="172">
        <f>+D58*(1+D59)^D60</f>
        <v>265.32977051444209</v>
      </c>
    </row>
    <row r="66" spans="2:4" x14ac:dyDescent="0.25">
      <c r="B66" s="160" t="s">
        <v>2750</v>
      </c>
      <c r="C66" s="173">
        <v>0.2</v>
      </c>
      <c r="D66" s="173">
        <v>0.05</v>
      </c>
    </row>
    <row r="67" spans="2:4" x14ac:dyDescent="0.25">
      <c r="B67" s="22">
        <v>1</v>
      </c>
      <c r="C67" s="77">
        <f>100*(1+$C$66)^B67</f>
        <v>120</v>
      </c>
      <c r="D67" s="77">
        <f>100*(1+$D$66)^B67</f>
        <v>105</v>
      </c>
    </row>
    <row r="68" spans="2:4" x14ac:dyDescent="0.25">
      <c r="B68" s="22">
        <v>2</v>
      </c>
      <c r="C68" s="77">
        <f>100*(1+$C$66)^B68</f>
        <v>144</v>
      </c>
      <c r="D68" s="77">
        <f t="shared" ref="D68:D86" si="4">100*(1+$D$66)^B68</f>
        <v>110.25</v>
      </c>
    </row>
    <row r="69" spans="2:4" x14ac:dyDescent="0.25">
      <c r="B69" s="22">
        <v>3</v>
      </c>
      <c r="C69" s="77">
        <f>100*(1+$C$66)^B69</f>
        <v>172.8</v>
      </c>
      <c r="D69" s="77">
        <f t="shared" si="4"/>
        <v>115.76250000000002</v>
      </c>
    </row>
    <row r="70" spans="2:4" x14ac:dyDescent="0.25">
      <c r="B70" s="22">
        <v>4</v>
      </c>
      <c r="C70" s="77">
        <f>100*(1+$C$66)^B70</f>
        <v>207.35999999999999</v>
      </c>
      <c r="D70" s="77">
        <f t="shared" si="4"/>
        <v>121.550625</v>
      </c>
    </row>
    <row r="71" spans="2:4" x14ac:dyDescent="0.25">
      <c r="B71" s="22">
        <v>5</v>
      </c>
      <c r="C71" s="77">
        <f>100*(1+$C$66)^B71</f>
        <v>248.83199999999999</v>
      </c>
      <c r="D71" s="77">
        <f t="shared" si="4"/>
        <v>127.62815625000002</v>
      </c>
    </row>
    <row r="72" spans="2:4" x14ac:dyDescent="0.25">
      <c r="B72" s="22">
        <v>6</v>
      </c>
      <c r="C72" s="74"/>
      <c r="D72" s="77">
        <f t="shared" si="4"/>
        <v>134.0095640625</v>
      </c>
    </row>
    <row r="73" spans="2:4" x14ac:dyDescent="0.25">
      <c r="B73" s="22">
        <v>7</v>
      </c>
      <c r="C73" s="74"/>
      <c r="D73" s="77">
        <f t="shared" si="4"/>
        <v>140.71004226562502</v>
      </c>
    </row>
    <row r="74" spans="2:4" x14ac:dyDescent="0.25">
      <c r="B74" s="22">
        <v>8</v>
      </c>
      <c r="C74" s="74"/>
      <c r="D74" s="77">
        <f t="shared" si="4"/>
        <v>147.74554437890626</v>
      </c>
    </row>
    <row r="75" spans="2:4" x14ac:dyDescent="0.25">
      <c r="B75" s="22">
        <v>9</v>
      </c>
      <c r="C75" s="74"/>
      <c r="D75" s="77">
        <f t="shared" si="4"/>
        <v>155.13282159785157</v>
      </c>
    </row>
    <row r="76" spans="2:4" x14ac:dyDescent="0.25">
      <c r="B76" s="22">
        <v>10</v>
      </c>
      <c r="C76" s="74"/>
      <c r="D76" s="77">
        <f t="shared" si="4"/>
        <v>162.88946267774415</v>
      </c>
    </row>
    <row r="77" spans="2:4" x14ac:dyDescent="0.25">
      <c r="B77" s="22">
        <v>11</v>
      </c>
      <c r="C77" s="74"/>
      <c r="D77" s="77">
        <f t="shared" si="4"/>
        <v>171.03393581163138</v>
      </c>
    </row>
    <row r="78" spans="2:4" x14ac:dyDescent="0.25">
      <c r="B78" s="22">
        <v>12</v>
      </c>
      <c r="C78" s="77"/>
      <c r="D78" s="77">
        <f t="shared" si="4"/>
        <v>179.58563260221291</v>
      </c>
    </row>
    <row r="79" spans="2:4" x14ac:dyDescent="0.25">
      <c r="B79" s="22">
        <v>13</v>
      </c>
      <c r="C79" s="74"/>
      <c r="D79" s="77">
        <f t="shared" si="4"/>
        <v>188.56491423232359</v>
      </c>
    </row>
    <row r="80" spans="2:4" x14ac:dyDescent="0.25">
      <c r="B80" s="22">
        <v>14</v>
      </c>
      <c r="C80" s="74"/>
      <c r="D80" s="77">
        <f t="shared" si="4"/>
        <v>197.99315994393973</v>
      </c>
    </row>
    <row r="81" spans="2:7" x14ac:dyDescent="0.25">
      <c r="B81" s="22">
        <v>15</v>
      </c>
      <c r="C81" s="74"/>
      <c r="D81" s="77">
        <f t="shared" si="4"/>
        <v>207.8928179411368</v>
      </c>
    </row>
    <row r="82" spans="2:7" x14ac:dyDescent="0.25">
      <c r="B82" s="22">
        <v>16</v>
      </c>
      <c r="C82" s="74"/>
      <c r="D82" s="77">
        <f t="shared" si="4"/>
        <v>218.2874588381936</v>
      </c>
    </row>
    <row r="83" spans="2:7" x14ac:dyDescent="0.25">
      <c r="B83" s="22">
        <v>17</v>
      </c>
      <c r="C83" s="74"/>
      <c r="D83" s="77">
        <f t="shared" si="4"/>
        <v>229.2018317801033</v>
      </c>
    </row>
    <row r="84" spans="2:7" x14ac:dyDescent="0.25">
      <c r="B84" s="22">
        <v>18</v>
      </c>
      <c r="C84" s="74"/>
      <c r="D84" s="77">
        <f t="shared" si="4"/>
        <v>240.66192336910848</v>
      </c>
    </row>
    <row r="85" spans="2:7" x14ac:dyDescent="0.25">
      <c r="B85" s="22">
        <v>19</v>
      </c>
      <c r="C85" s="74"/>
      <c r="D85" s="77">
        <f t="shared" si="4"/>
        <v>252.69501953756389</v>
      </c>
    </row>
    <row r="86" spans="2:7" x14ac:dyDescent="0.25">
      <c r="B86" s="22">
        <v>20</v>
      </c>
      <c r="C86" s="74"/>
      <c r="D86" s="77">
        <f t="shared" si="4"/>
        <v>265.32977051444209</v>
      </c>
    </row>
    <row r="89" spans="2:7" x14ac:dyDescent="0.25">
      <c r="B89" s="162" t="s">
        <v>2842</v>
      </c>
      <c r="C89" s="162"/>
      <c r="D89" s="162"/>
      <c r="E89" s="162"/>
      <c r="F89" s="162"/>
      <c r="G89" s="162"/>
    </row>
    <row r="91" spans="2:7" x14ac:dyDescent="0.25">
      <c r="B91" s="160" t="s">
        <v>2757</v>
      </c>
      <c r="C91" s="157">
        <f>+(C6/C5)^(1/10)-1</f>
        <v>2.6583631304232025E-2</v>
      </c>
      <c r="D91" t="s">
        <v>2843</v>
      </c>
    </row>
    <row r="92" spans="2:7" x14ac:dyDescent="0.25">
      <c r="B92" s="160" t="s">
        <v>2757</v>
      </c>
      <c r="C92" s="157">
        <f>+(1.15/1)^(1/3)-1</f>
        <v>4.7689553171647248E-2</v>
      </c>
      <c r="D92" t="s">
        <v>2844</v>
      </c>
    </row>
    <row r="95" spans="2:7" x14ac:dyDescent="0.25">
      <c r="C95" s="160" t="s">
        <v>2845</v>
      </c>
      <c r="D95" s="160" t="s">
        <v>2846</v>
      </c>
      <c r="E95" s="160" t="s">
        <v>2847</v>
      </c>
    </row>
    <row r="96" spans="2:7" x14ac:dyDescent="0.25">
      <c r="B96" s="160" t="s">
        <v>2757</v>
      </c>
      <c r="C96" s="157">
        <v>0.3</v>
      </c>
      <c r="D96" s="157">
        <v>0.2</v>
      </c>
      <c r="E96" s="157">
        <v>0.122</v>
      </c>
    </row>
    <row r="97" spans="2:7" x14ac:dyDescent="0.25">
      <c r="B97" s="160" t="s">
        <v>2707</v>
      </c>
      <c r="C97" s="156">
        <v>9</v>
      </c>
      <c r="D97" s="156">
        <v>59</v>
      </c>
      <c r="E97" s="156">
        <v>20</v>
      </c>
    </row>
    <row r="98" spans="2:7" x14ac:dyDescent="0.25">
      <c r="B98" s="160" t="s">
        <v>2706</v>
      </c>
      <c r="C98" s="156">
        <v>100000</v>
      </c>
      <c r="D98" s="156">
        <f>+C98</f>
        <v>100000</v>
      </c>
      <c r="E98" s="156">
        <f>+D98</f>
        <v>100000</v>
      </c>
    </row>
    <row r="99" spans="2:7" x14ac:dyDescent="0.25">
      <c r="B99" s="160" t="s">
        <v>2710</v>
      </c>
      <c r="C99" s="156">
        <f>+C98*(1+C96)^C97</f>
        <v>1060449.9373000003</v>
      </c>
      <c r="D99" s="156">
        <f>+D98*(1+D96)^D97</f>
        <v>4695626196.0972261</v>
      </c>
      <c r="E99" s="156">
        <f>+E98*(1+E96)^E97</f>
        <v>999671.10311448621</v>
      </c>
    </row>
    <row r="103" spans="2:7" x14ac:dyDescent="0.25">
      <c r="B103" s="162" t="s">
        <v>2848</v>
      </c>
      <c r="C103" s="162"/>
      <c r="D103" s="162"/>
      <c r="E103" s="162"/>
      <c r="F103" s="162"/>
      <c r="G103" s="162"/>
    </row>
    <row r="105" spans="2:7" ht="15.75" thickBot="1" x14ac:dyDescent="0.3"/>
    <row r="106" spans="2:7" ht="15.75" thickBot="1" x14ac:dyDescent="0.3">
      <c r="B106" s="960" t="s">
        <v>2828</v>
      </c>
      <c r="C106" s="961"/>
      <c r="D106" s="961"/>
      <c r="E106" s="961"/>
      <c r="F106" s="961"/>
      <c r="G106" s="962"/>
    </row>
    <row r="107" spans="2:7" x14ac:dyDescent="0.25">
      <c r="B107" s="167" t="s">
        <v>2717</v>
      </c>
      <c r="C107" s="167" t="s">
        <v>2825</v>
      </c>
      <c r="D107" s="167" t="s">
        <v>2822</v>
      </c>
      <c r="E107" s="167" t="s">
        <v>2823</v>
      </c>
      <c r="F107" s="167" t="s">
        <v>2824</v>
      </c>
      <c r="G107" s="167" t="s">
        <v>2710</v>
      </c>
    </row>
    <row r="108" spans="2:7" x14ac:dyDescent="0.25">
      <c r="B108" s="449">
        <v>1</v>
      </c>
      <c r="C108" s="231">
        <v>-100000</v>
      </c>
      <c r="D108" s="231">
        <v>100000</v>
      </c>
      <c r="E108" s="165">
        <v>0.08</v>
      </c>
      <c r="F108" s="231">
        <f t="shared" ref="F108:F117" si="5">+D108*E108</f>
        <v>8000</v>
      </c>
      <c r="G108" s="231">
        <f t="shared" ref="G108:G117" si="6">D108*(1+E108)</f>
        <v>108000</v>
      </c>
    </row>
    <row r="109" spans="2:7" x14ac:dyDescent="0.25">
      <c r="B109" s="449">
        <v>2</v>
      </c>
      <c r="C109" s="231">
        <v>0</v>
      </c>
      <c r="D109" s="231">
        <f>+G108</f>
        <v>108000</v>
      </c>
      <c r="E109" s="165">
        <v>-0.02</v>
      </c>
      <c r="F109" s="231">
        <f t="shared" si="5"/>
        <v>-2160</v>
      </c>
      <c r="G109" s="231">
        <f t="shared" si="6"/>
        <v>105840</v>
      </c>
    </row>
    <row r="110" spans="2:7" x14ac:dyDescent="0.25">
      <c r="B110" s="449">
        <v>3</v>
      </c>
      <c r="C110" s="231">
        <v>0</v>
      </c>
      <c r="D110" s="231">
        <f>+G109</f>
        <v>105840</v>
      </c>
      <c r="E110" s="165">
        <v>0.09</v>
      </c>
      <c r="F110" s="231">
        <f t="shared" si="5"/>
        <v>9525.6</v>
      </c>
      <c r="G110" s="231">
        <f t="shared" si="6"/>
        <v>115365.6</v>
      </c>
    </row>
    <row r="111" spans="2:7" x14ac:dyDescent="0.25">
      <c r="B111" s="449">
        <v>4</v>
      </c>
      <c r="C111" s="231">
        <v>0</v>
      </c>
      <c r="D111" s="231">
        <f t="shared" ref="D111:D117" si="7">+G110</f>
        <v>115365.6</v>
      </c>
      <c r="E111" s="165">
        <v>0.05</v>
      </c>
      <c r="F111" s="231">
        <f t="shared" si="5"/>
        <v>5768.2800000000007</v>
      </c>
      <c r="G111" s="231">
        <f t="shared" si="6"/>
        <v>121133.88</v>
      </c>
    </row>
    <row r="112" spans="2:7" x14ac:dyDescent="0.25">
      <c r="B112" s="449">
        <v>5</v>
      </c>
      <c r="C112" s="231">
        <v>0</v>
      </c>
      <c r="D112" s="231">
        <f t="shared" si="7"/>
        <v>121133.88</v>
      </c>
      <c r="E112" s="165">
        <v>-0.1</v>
      </c>
      <c r="F112" s="231">
        <f t="shared" si="5"/>
        <v>-12113.388000000001</v>
      </c>
      <c r="G112" s="231">
        <f t="shared" si="6"/>
        <v>109020.49200000001</v>
      </c>
    </row>
    <row r="113" spans="2:12" x14ac:dyDescent="0.25">
      <c r="B113" s="449">
        <v>6</v>
      </c>
      <c r="C113" s="231">
        <v>0</v>
      </c>
      <c r="D113" s="231">
        <f t="shared" si="7"/>
        <v>109020.49200000001</v>
      </c>
      <c r="E113" s="165">
        <v>0.15</v>
      </c>
      <c r="F113" s="231">
        <f t="shared" si="5"/>
        <v>16353.073800000002</v>
      </c>
      <c r="G113" s="231">
        <f t="shared" si="6"/>
        <v>125373.56580000001</v>
      </c>
    </row>
    <row r="114" spans="2:12" x14ac:dyDescent="0.25">
      <c r="B114" s="449">
        <v>7</v>
      </c>
      <c r="C114" s="231">
        <v>0</v>
      </c>
      <c r="D114" s="231">
        <f t="shared" si="7"/>
        <v>125373.56580000001</v>
      </c>
      <c r="E114" s="165">
        <v>0.08</v>
      </c>
      <c r="F114" s="231">
        <f t="shared" si="5"/>
        <v>10029.885264</v>
      </c>
      <c r="G114" s="231">
        <f t="shared" si="6"/>
        <v>135403.45106400002</v>
      </c>
    </row>
    <row r="115" spans="2:12" x14ac:dyDescent="0.25">
      <c r="B115" s="449">
        <v>8</v>
      </c>
      <c r="C115" s="231">
        <v>0</v>
      </c>
      <c r="D115" s="231">
        <f t="shared" si="7"/>
        <v>135403.45106400002</v>
      </c>
      <c r="E115" s="165">
        <v>-0.02</v>
      </c>
      <c r="F115" s="231">
        <f t="shared" si="5"/>
        <v>-2708.0690212800005</v>
      </c>
      <c r="G115" s="231">
        <f t="shared" si="6"/>
        <v>132695.38204272001</v>
      </c>
    </row>
    <row r="116" spans="2:12" x14ac:dyDescent="0.25">
      <c r="B116" s="449">
        <v>9</v>
      </c>
      <c r="C116" s="231">
        <v>0</v>
      </c>
      <c r="D116" s="231">
        <f t="shared" si="7"/>
        <v>132695.38204272001</v>
      </c>
      <c r="E116" s="165">
        <v>7.0000000000000007E-2</v>
      </c>
      <c r="F116" s="231">
        <f t="shared" si="5"/>
        <v>9288.6767429904012</v>
      </c>
      <c r="G116" s="231">
        <f t="shared" si="6"/>
        <v>141984.05878571043</v>
      </c>
    </row>
    <row r="117" spans="2:12" x14ac:dyDescent="0.25">
      <c r="B117" s="449">
        <v>10</v>
      </c>
      <c r="C117" s="231">
        <v>0</v>
      </c>
      <c r="D117" s="231">
        <f t="shared" si="7"/>
        <v>141984.05878571043</v>
      </c>
      <c r="E117" s="165">
        <v>0.12</v>
      </c>
      <c r="F117" s="231">
        <f t="shared" si="5"/>
        <v>17038.08705428525</v>
      </c>
      <c r="G117" s="231">
        <f t="shared" si="6"/>
        <v>159022.1458399957</v>
      </c>
    </row>
    <row r="118" spans="2:12" x14ac:dyDescent="0.25">
      <c r="B118" s="449">
        <v>11</v>
      </c>
      <c r="C118" s="231">
        <f>+G117</f>
        <v>159022.1458399957</v>
      </c>
      <c r="D118" s="108"/>
      <c r="E118" s="108"/>
      <c r="F118" s="108"/>
      <c r="G118" s="108"/>
      <c r="J118" s="168" t="s">
        <v>2851</v>
      </c>
      <c r="K118" s="168" t="s">
        <v>2852</v>
      </c>
      <c r="L118" s="168" t="s">
        <v>2854</v>
      </c>
    </row>
    <row r="119" spans="2:12" x14ac:dyDescent="0.25">
      <c r="F119" s="165" t="s">
        <v>2829</v>
      </c>
      <c r="G119" s="166">
        <f>+G117/D108-1</f>
        <v>0.59022145839995699</v>
      </c>
      <c r="H119" s="107"/>
      <c r="I119" s="168" t="s">
        <v>2827</v>
      </c>
      <c r="J119" s="166">
        <f>+G120</f>
        <v>4.748005164231528E-2</v>
      </c>
      <c r="K119" s="166">
        <f>+G141</f>
        <v>4.9174631520392476E-2</v>
      </c>
      <c r="L119" s="165" t="s">
        <v>2855</v>
      </c>
    </row>
    <row r="120" spans="2:12" x14ac:dyDescent="0.25">
      <c r="F120" s="165" t="s">
        <v>2827</v>
      </c>
      <c r="G120" s="166">
        <f>+IRR(C108:C118)</f>
        <v>4.748005164231528E-2</v>
      </c>
      <c r="H120" s="78"/>
      <c r="I120" s="168" t="s">
        <v>2853</v>
      </c>
      <c r="J120" s="166">
        <f>+G142</f>
        <v>4.7480051642298404E-2</v>
      </c>
      <c r="K120" s="166">
        <f>+G143</f>
        <v>4.7480051642298404E-2</v>
      </c>
      <c r="L120" s="165" t="s">
        <v>2856</v>
      </c>
    </row>
    <row r="121" spans="2:12" x14ac:dyDescent="0.25">
      <c r="E121" s="107"/>
      <c r="F121" s="165" t="s">
        <v>2858</v>
      </c>
      <c r="I121" s="168" t="s">
        <v>2757</v>
      </c>
      <c r="J121" s="166">
        <f>+G122</f>
        <v>4.7480051642298404E-2</v>
      </c>
      <c r="K121" s="166">
        <f>+J121</f>
        <v>4.7480051642298404E-2</v>
      </c>
      <c r="L121" s="165" t="s">
        <v>2857</v>
      </c>
    </row>
    <row r="122" spans="2:12" x14ac:dyDescent="0.25">
      <c r="F122" s="165" t="s">
        <v>2757</v>
      </c>
      <c r="G122" s="166">
        <f>+(G117/D108)^(0.1)-1</f>
        <v>4.7480051642298404E-2</v>
      </c>
    </row>
    <row r="125" spans="2:12" ht="15.75" thickBot="1" x14ac:dyDescent="0.3"/>
    <row r="126" spans="2:12" ht="15.75" thickBot="1" x14ac:dyDescent="0.3">
      <c r="B126" s="960" t="s">
        <v>2830</v>
      </c>
      <c r="C126" s="961"/>
      <c r="D126" s="961"/>
      <c r="E126" s="961"/>
      <c r="F126" s="961"/>
      <c r="G126" s="962"/>
    </row>
    <row r="127" spans="2:12" x14ac:dyDescent="0.25">
      <c r="B127" s="163" t="s">
        <v>2717</v>
      </c>
      <c r="C127" s="163" t="s">
        <v>2825</v>
      </c>
      <c r="D127" s="163" t="s">
        <v>2822</v>
      </c>
      <c r="E127" s="163" t="s">
        <v>2823</v>
      </c>
      <c r="F127" s="163" t="s">
        <v>2824</v>
      </c>
      <c r="G127" s="163" t="s">
        <v>2710</v>
      </c>
    </row>
    <row r="128" spans="2:12" x14ac:dyDescent="0.25">
      <c r="B128" s="449">
        <v>1</v>
      </c>
      <c r="C128" s="231">
        <v>-100000</v>
      </c>
      <c r="D128" s="231">
        <v>100000</v>
      </c>
      <c r="E128" s="165">
        <v>0.08</v>
      </c>
      <c r="F128" s="231">
        <f t="shared" ref="F128:F137" si="8">+D128*E128</f>
        <v>8000</v>
      </c>
      <c r="G128" s="231">
        <f t="shared" ref="G128:G137" si="9">D128*(1+E128)</f>
        <v>108000</v>
      </c>
    </row>
    <row r="129" spans="2:8" x14ac:dyDescent="0.25">
      <c r="B129" s="449">
        <v>2</v>
      </c>
      <c r="C129" s="231">
        <f>+(500*12)*-1</f>
        <v>-6000</v>
      </c>
      <c r="D129" s="231">
        <f t="shared" ref="D129:D137" si="10">+G128-C129</f>
        <v>114000</v>
      </c>
      <c r="E129" s="165">
        <v>-0.02</v>
      </c>
      <c r="F129" s="231">
        <f t="shared" si="8"/>
        <v>-2280</v>
      </c>
      <c r="G129" s="231">
        <f t="shared" si="9"/>
        <v>111720</v>
      </c>
    </row>
    <row r="130" spans="2:8" x14ac:dyDescent="0.25">
      <c r="B130" s="449">
        <v>3</v>
      </c>
      <c r="C130" s="231">
        <f>+C129*(1+3%)</f>
        <v>-6180</v>
      </c>
      <c r="D130" s="231">
        <f t="shared" si="10"/>
        <v>117900</v>
      </c>
      <c r="E130" s="165">
        <v>0.09</v>
      </c>
      <c r="F130" s="231">
        <f t="shared" si="8"/>
        <v>10611</v>
      </c>
      <c r="G130" s="231">
        <f t="shared" si="9"/>
        <v>128511.00000000001</v>
      </c>
    </row>
    <row r="131" spans="2:8" x14ac:dyDescent="0.25">
      <c r="B131" s="449">
        <v>4</v>
      </c>
      <c r="C131" s="231">
        <f t="shared" ref="C131:C137" si="11">+C130*(1+3%)</f>
        <v>-6365.4000000000005</v>
      </c>
      <c r="D131" s="231">
        <f t="shared" si="10"/>
        <v>134876.40000000002</v>
      </c>
      <c r="E131" s="165">
        <v>0.05</v>
      </c>
      <c r="F131" s="231">
        <f t="shared" si="8"/>
        <v>6743.8200000000015</v>
      </c>
      <c r="G131" s="231">
        <f t="shared" si="9"/>
        <v>141620.22000000003</v>
      </c>
    </row>
    <row r="132" spans="2:8" x14ac:dyDescent="0.25">
      <c r="B132" s="449">
        <v>5</v>
      </c>
      <c r="C132" s="231">
        <f t="shared" si="11"/>
        <v>-6556.362000000001</v>
      </c>
      <c r="D132" s="231">
        <f t="shared" si="10"/>
        <v>148176.58200000002</v>
      </c>
      <c r="E132" s="165">
        <v>-0.1</v>
      </c>
      <c r="F132" s="231">
        <f t="shared" si="8"/>
        <v>-14817.658200000003</v>
      </c>
      <c r="G132" s="231">
        <f t="shared" si="9"/>
        <v>133358.92380000002</v>
      </c>
    </row>
    <row r="133" spans="2:8" x14ac:dyDescent="0.25">
      <c r="B133" s="449">
        <v>6</v>
      </c>
      <c r="C133" s="231">
        <f t="shared" si="11"/>
        <v>-6753.0528600000016</v>
      </c>
      <c r="D133" s="231">
        <f t="shared" si="10"/>
        <v>140111.97666000001</v>
      </c>
      <c r="E133" s="165">
        <v>0.15</v>
      </c>
      <c r="F133" s="231">
        <f t="shared" si="8"/>
        <v>21016.796499</v>
      </c>
      <c r="G133" s="231">
        <f t="shared" si="9"/>
        <v>161128.773159</v>
      </c>
    </row>
    <row r="134" spans="2:8" x14ac:dyDescent="0.25">
      <c r="B134" s="449">
        <v>7</v>
      </c>
      <c r="C134" s="231">
        <f t="shared" si="11"/>
        <v>-6955.6444458000014</v>
      </c>
      <c r="D134" s="231">
        <f t="shared" si="10"/>
        <v>168084.41760479999</v>
      </c>
      <c r="E134" s="165">
        <v>0.08</v>
      </c>
      <c r="F134" s="231">
        <f t="shared" si="8"/>
        <v>13446.753408384</v>
      </c>
      <c r="G134" s="231">
        <f t="shared" si="9"/>
        <v>181531.17101318401</v>
      </c>
    </row>
    <row r="135" spans="2:8" x14ac:dyDescent="0.25">
      <c r="B135" s="449">
        <v>8</v>
      </c>
      <c r="C135" s="231">
        <f t="shared" si="11"/>
        <v>-7164.3137791740019</v>
      </c>
      <c r="D135" s="231">
        <f t="shared" si="10"/>
        <v>188695.48479235801</v>
      </c>
      <c r="E135" s="165">
        <v>-0.02</v>
      </c>
      <c r="F135" s="231">
        <f t="shared" si="8"/>
        <v>-3773.90969584716</v>
      </c>
      <c r="G135" s="231">
        <f t="shared" si="9"/>
        <v>184921.57509651085</v>
      </c>
    </row>
    <row r="136" spans="2:8" x14ac:dyDescent="0.25">
      <c r="B136" s="449">
        <v>9</v>
      </c>
      <c r="C136" s="231">
        <f t="shared" si="11"/>
        <v>-7379.2431925492219</v>
      </c>
      <c r="D136" s="231">
        <f t="shared" si="10"/>
        <v>192300.81828906006</v>
      </c>
      <c r="E136" s="165">
        <v>7.0000000000000007E-2</v>
      </c>
      <c r="F136" s="231">
        <f t="shared" si="8"/>
        <v>13461.057280234205</v>
      </c>
      <c r="G136" s="231">
        <f t="shared" si="9"/>
        <v>205761.87556929427</v>
      </c>
    </row>
    <row r="137" spans="2:8" x14ac:dyDescent="0.25">
      <c r="B137" s="449">
        <v>10</v>
      </c>
      <c r="C137" s="231">
        <f t="shared" si="11"/>
        <v>-7600.6204883256987</v>
      </c>
      <c r="D137" s="231">
        <f t="shared" si="10"/>
        <v>213362.49605761995</v>
      </c>
      <c r="E137" s="165">
        <v>0.12</v>
      </c>
      <c r="F137" s="231">
        <f t="shared" si="8"/>
        <v>25603.499526914395</v>
      </c>
      <c r="G137" s="231">
        <f t="shared" si="9"/>
        <v>238965.99558453436</v>
      </c>
    </row>
    <row r="138" spans="2:8" x14ac:dyDescent="0.25">
      <c r="B138" s="449">
        <v>11</v>
      </c>
      <c r="C138" s="231">
        <f>+G137</f>
        <v>238965.99558453436</v>
      </c>
      <c r="D138" s="450"/>
      <c r="E138" s="108"/>
      <c r="F138" s="108"/>
      <c r="G138" s="108"/>
    </row>
    <row r="139" spans="2:8" x14ac:dyDescent="0.25">
      <c r="F139" s="165" t="s">
        <v>3669</v>
      </c>
      <c r="G139" s="166">
        <f>+G137/D128-1</f>
        <v>1.3896599558453437</v>
      </c>
      <c r="H139" s="107"/>
    </row>
    <row r="140" spans="2:8" x14ac:dyDescent="0.25">
      <c r="C140" s="177"/>
      <c r="F140" s="165" t="s">
        <v>3670</v>
      </c>
      <c r="G140" s="166">
        <f>+G137/(D128-SUM(C129:C137))-1</f>
        <v>0.48467916418073487</v>
      </c>
    </row>
    <row r="141" spans="2:8" x14ac:dyDescent="0.25">
      <c r="C141" s="177"/>
      <c r="F141" s="165" t="s">
        <v>2827</v>
      </c>
      <c r="G141" s="166">
        <f>+IRR(C128:C138)</f>
        <v>4.9174631520392476E-2</v>
      </c>
    </row>
    <row r="142" spans="2:8" x14ac:dyDescent="0.25">
      <c r="B142" s="76"/>
      <c r="C142" s="178"/>
      <c r="F142" s="165" t="s">
        <v>2858</v>
      </c>
      <c r="G142" s="166">
        <f>+((1+E128)*(1+E129)*(1+E130)*(1+E131)*(1+E132)*(1+E133)*(1+E134)*(1+E135)*(1+E136)*(1+E137))^(1/10)-1</f>
        <v>4.7480051642298404E-2</v>
      </c>
    </row>
    <row r="143" spans="2:8" x14ac:dyDescent="0.25">
      <c r="F143" s="165" t="s">
        <v>2757</v>
      </c>
      <c r="G143" s="166">
        <f>+((1+E128)*(1+E129)*(1+E130)*(1+E131)*(1+E132)*(1+E133)*(1+E134)*(1+E135)*(1+E136)*(1+E137))^(1/10)-1</f>
        <v>4.7480051642298404E-2</v>
      </c>
    </row>
    <row r="146" spans="2:8" x14ac:dyDescent="0.25">
      <c r="B146" s="162" t="s">
        <v>3396</v>
      </c>
      <c r="C146" s="162"/>
      <c r="D146" s="162"/>
      <c r="E146" s="162"/>
      <c r="F146" s="162"/>
      <c r="G146" s="162"/>
      <c r="H146" s="456"/>
    </row>
    <row r="148" spans="2:8" x14ac:dyDescent="0.25">
      <c r="C148" s="163" t="s">
        <v>2717</v>
      </c>
      <c r="D148" s="163" t="s">
        <v>2823</v>
      </c>
      <c r="F148" s="163" t="s">
        <v>3397</v>
      </c>
      <c r="G148" s="453" t="s">
        <v>2706</v>
      </c>
      <c r="H148" s="455">
        <v>1</v>
      </c>
    </row>
    <row r="149" spans="2:8" x14ac:dyDescent="0.25">
      <c r="C149" s="449">
        <v>1</v>
      </c>
      <c r="D149" s="165">
        <v>0.08</v>
      </c>
      <c r="F149" s="165">
        <f>1+D149</f>
        <v>1.08</v>
      </c>
      <c r="H149" s="454">
        <f>+H148*(1+D149)</f>
        <v>1.08</v>
      </c>
    </row>
    <row r="150" spans="2:8" x14ac:dyDescent="0.25">
      <c r="C150" s="449">
        <v>2</v>
      </c>
      <c r="D150" s="165">
        <v>-0.02</v>
      </c>
      <c r="F150" s="165">
        <f t="shared" ref="F150:F158" si="12">1+D150</f>
        <v>0.98</v>
      </c>
      <c r="H150" s="454">
        <f t="shared" ref="H150:H158" si="13">+H149*(1+D150)</f>
        <v>1.0584</v>
      </c>
    </row>
    <row r="151" spans="2:8" x14ac:dyDescent="0.25">
      <c r="C151" s="449">
        <v>3</v>
      </c>
      <c r="D151" s="165">
        <v>0.09</v>
      </c>
      <c r="F151" s="165">
        <f t="shared" si="12"/>
        <v>1.0900000000000001</v>
      </c>
      <c r="H151" s="454">
        <f t="shared" si="13"/>
        <v>1.153656</v>
      </c>
    </row>
    <row r="152" spans="2:8" x14ac:dyDescent="0.25">
      <c r="C152" s="449">
        <v>4</v>
      </c>
      <c r="D152" s="165">
        <v>0.05</v>
      </c>
      <c r="F152" s="165">
        <f t="shared" si="12"/>
        <v>1.05</v>
      </c>
      <c r="H152" s="454">
        <f t="shared" si="13"/>
        <v>1.2113388</v>
      </c>
    </row>
    <row r="153" spans="2:8" x14ac:dyDescent="0.25">
      <c r="C153" s="449">
        <v>5</v>
      </c>
      <c r="D153" s="165">
        <v>-0.1</v>
      </c>
      <c r="F153" s="165">
        <f t="shared" si="12"/>
        <v>0.9</v>
      </c>
      <c r="H153" s="454">
        <f t="shared" si="13"/>
        <v>1.0902049200000001</v>
      </c>
    </row>
    <row r="154" spans="2:8" x14ac:dyDescent="0.25">
      <c r="C154" s="449">
        <v>6</v>
      </c>
      <c r="D154" s="165">
        <v>0.15</v>
      </c>
      <c r="F154" s="165">
        <f t="shared" si="12"/>
        <v>1.1499999999999999</v>
      </c>
      <c r="H154" s="454">
        <f t="shared" si="13"/>
        <v>1.2537356580000001</v>
      </c>
    </row>
    <row r="155" spans="2:8" x14ac:dyDescent="0.25">
      <c r="C155" s="449">
        <v>7</v>
      </c>
      <c r="D155" s="165">
        <v>0.08</v>
      </c>
      <c r="F155" s="165">
        <f t="shared" si="12"/>
        <v>1.08</v>
      </c>
      <c r="H155" s="454">
        <f t="shared" si="13"/>
        <v>1.3540345106400002</v>
      </c>
    </row>
    <row r="156" spans="2:8" x14ac:dyDescent="0.25">
      <c r="C156" s="449">
        <v>8</v>
      </c>
      <c r="D156" s="165">
        <v>-0.02</v>
      </c>
      <c r="F156" s="165">
        <f t="shared" si="12"/>
        <v>0.98</v>
      </c>
      <c r="H156" s="454">
        <f t="shared" si="13"/>
        <v>1.3269538204272002</v>
      </c>
    </row>
    <row r="157" spans="2:8" x14ac:dyDescent="0.25">
      <c r="C157" s="449">
        <v>9</v>
      </c>
      <c r="D157" s="165">
        <v>7.0000000000000007E-2</v>
      </c>
      <c r="F157" s="165">
        <f t="shared" si="12"/>
        <v>1.07</v>
      </c>
      <c r="H157" s="454">
        <f t="shared" si="13"/>
        <v>1.4198405878571043</v>
      </c>
    </row>
    <row r="158" spans="2:8" x14ac:dyDescent="0.25">
      <c r="C158" s="449">
        <v>10</v>
      </c>
      <c r="D158" s="165">
        <v>0.12</v>
      </c>
      <c r="F158" s="451">
        <f t="shared" si="12"/>
        <v>1.1200000000000001</v>
      </c>
      <c r="G158" s="453" t="s">
        <v>2710</v>
      </c>
      <c r="H158" s="454">
        <f t="shared" si="13"/>
        <v>1.590221458399957</v>
      </c>
    </row>
    <row r="159" spans="2:8" x14ac:dyDescent="0.25">
      <c r="E159" s="453" t="s">
        <v>2757</v>
      </c>
      <c r="F159" s="452">
        <f>+GEOMEAN(F149:F158)-1</f>
        <v>4.7480051642298404E-2</v>
      </c>
      <c r="G159" s="453" t="s">
        <v>2757</v>
      </c>
      <c r="H159" s="452">
        <f>+(H158/H148)^(1/10)-1</f>
        <v>4.7480051642298404E-2</v>
      </c>
    </row>
    <row r="160" spans="2:8" x14ac:dyDescent="0.25">
      <c r="F160" t="s">
        <v>3398</v>
      </c>
    </row>
    <row r="161" spans="2:4" x14ac:dyDescent="0.25">
      <c r="C161" s="177"/>
    </row>
    <row r="164" spans="2:4" x14ac:dyDescent="0.25">
      <c r="C164" s="163" t="s">
        <v>2831</v>
      </c>
      <c r="D164" s="163" t="s">
        <v>3395</v>
      </c>
    </row>
    <row r="165" spans="2:4" x14ac:dyDescent="0.25">
      <c r="C165" s="163" t="s">
        <v>2832</v>
      </c>
      <c r="D165" s="163" t="s">
        <v>2832</v>
      </c>
    </row>
    <row r="166" spans="2:4" x14ac:dyDescent="0.25">
      <c r="B166" s="164">
        <v>1</v>
      </c>
      <c r="C166" s="231">
        <v>-100000</v>
      </c>
      <c r="D166" s="231">
        <v>-100000</v>
      </c>
    </row>
    <row r="167" spans="2:4" x14ac:dyDescent="0.25">
      <c r="B167" s="164">
        <v>2</v>
      </c>
      <c r="C167" s="231">
        <v>0</v>
      </c>
      <c r="D167" s="231">
        <f>+(500*12)*-1</f>
        <v>-6000</v>
      </c>
    </row>
    <row r="168" spans="2:4" x14ac:dyDescent="0.25">
      <c r="B168" s="164">
        <v>3</v>
      </c>
      <c r="C168" s="231">
        <v>0</v>
      </c>
      <c r="D168" s="231">
        <f>+D167*(1+3%)</f>
        <v>-6180</v>
      </c>
    </row>
    <row r="169" spans="2:4" x14ac:dyDescent="0.25">
      <c r="B169" s="164">
        <v>4</v>
      </c>
      <c r="C169" s="231">
        <v>0</v>
      </c>
      <c r="D169" s="231">
        <f t="shared" ref="D169:D175" si="14">+D168*(1+3%)</f>
        <v>-6365.4000000000005</v>
      </c>
    </row>
    <row r="170" spans="2:4" x14ac:dyDescent="0.25">
      <c r="B170" s="164">
        <v>5</v>
      </c>
      <c r="C170" s="231">
        <v>0</v>
      </c>
      <c r="D170" s="231">
        <f>+D169*(1+3%)</f>
        <v>-6556.362000000001</v>
      </c>
    </row>
    <row r="171" spans="2:4" x14ac:dyDescent="0.25">
      <c r="B171" s="164">
        <v>6</v>
      </c>
      <c r="C171" s="231">
        <v>0</v>
      </c>
      <c r="D171" s="231">
        <f t="shared" si="14"/>
        <v>-6753.0528600000016</v>
      </c>
    </row>
    <row r="172" spans="2:4" x14ac:dyDescent="0.25">
      <c r="B172" s="164">
        <v>7</v>
      </c>
      <c r="C172" s="231">
        <v>0</v>
      </c>
      <c r="D172" s="231">
        <f t="shared" si="14"/>
        <v>-6955.6444458000014</v>
      </c>
    </row>
    <row r="173" spans="2:4" x14ac:dyDescent="0.25">
      <c r="B173" s="164">
        <v>8</v>
      </c>
      <c r="C173" s="231">
        <v>0</v>
      </c>
      <c r="D173" s="231">
        <f t="shared" si="14"/>
        <v>-7164.3137791740019</v>
      </c>
    </row>
    <row r="174" spans="2:4" x14ac:dyDescent="0.25">
      <c r="B174" s="164">
        <v>9</v>
      </c>
      <c r="C174" s="231">
        <v>0</v>
      </c>
      <c r="D174" s="231">
        <f t="shared" si="14"/>
        <v>-7379.2431925492219</v>
      </c>
    </row>
    <row r="175" spans="2:4" x14ac:dyDescent="0.25">
      <c r="B175" s="164">
        <v>10</v>
      </c>
      <c r="C175" s="231">
        <v>0</v>
      </c>
      <c r="D175" s="231">
        <f t="shared" si="14"/>
        <v>-7600.6204883256987</v>
      </c>
    </row>
    <row r="176" spans="2:4" x14ac:dyDescent="0.25">
      <c r="B176" s="164">
        <v>11</v>
      </c>
      <c r="C176" s="231">
        <f>+C118</f>
        <v>159022.1458399957</v>
      </c>
      <c r="D176" s="231">
        <f>+C138</f>
        <v>238965.99558453436</v>
      </c>
    </row>
    <row r="177" spans="2:7" x14ac:dyDescent="0.25">
      <c r="B177" s="163" t="s">
        <v>2826</v>
      </c>
      <c r="C177" s="166">
        <f>+IRR(C166:C176)</f>
        <v>4.748005164231528E-2</v>
      </c>
      <c r="D177" s="166">
        <f>+IRR(D166:D176)</f>
        <v>4.9174631520392476E-2</v>
      </c>
    </row>
    <row r="183" spans="2:7" x14ac:dyDescent="0.25">
      <c r="B183" s="162" t="s">
        <v>2859</v>
      </c>
      <c r="C183" s="162"/>
      <c r="D183" s="162"/>
      <c r="E183" s="162"/>
      <c r="F183" s="162"/>
      <c r="G183" s="162"/>
    </row>
    <row r="186" spans="2:7" x14ac:dyDescent="0.25">
      <c r="C186" s="163" t="s">
        <v>2860</v>
      </c>
      <c r="D186" s="163" t="s">
        <v>2861</v>
      </c>
      <c r="F186" s="163" t="s">
        <v>2862</v>
      </c>
    </row>
    <row r="187" spans="2:7" x14ac:dyDescent="0.25">
      <c r="C187" s="163" t="s">
        <v>2832</v>
      </c>
      <c r="D187" s="163" t="s">
        <v>2832</v>
      </c>
      <c r="F187" s="163" t="s">
        <v>2832</v>
      </c>
    </row>
    <row r="188" spans="2:7" x14ac:dyDescent="0.25">
      <c r="B188" s="164">
        <v>1</v>
      </c>
      <c r="C188" s="165">
        <v>0.1</v>
      </c>
      <c r="D188" s="164">
        <v>-100000</v>
      </c>
      <c r="E188" s="164">
        <f>-+D188*(1+C188)</f>
        <v>110000.00000000001</v>
      </c>
      <c r="F188" s="164">
        <v>-100000</v>
      </c>
      <c r="G188" s="164">
        <f>-+F188*(1+C188)</f>
        <v>110000.00000000001</v>
      </c>
    </row>
    <row r="189" spans="2:7" x14ac:dyDescent="0.25">
      <c r="B189" s="164">
        <v>2</v>
      </c>
      <c r="C189" s="165">
        <v>0.1</v>
      </c>
      <c r="D189" s="164"/>
      <c r="E189" s="164">
        <f>+E188*(1+C189)</f>
        <v>121000.00000000003</v>
      </c>
      <c r="F189" s="164"/>
      <c r="G189" s="164">
        <f>+G188*(1+C189)</f>
        <v>121000.00000000003</v>
      </c>
    </row>
    <row r="190" spans="2:7" x14ac:dyDescent="0.25">
      <c r="B190" s="164">
        <v>3</v>
      </c>
      <c r="C190" s="165">
        <v>0.1</v>
      </c>
      <c r="D190" s="164">
        <f>+D189*(1+3%)</f>
        <v>0</v>
      </c>
      <c r="E190" s="164">
        <f t="shared" ref="E190:E196" si="15">+E189*(1+C190)</f>
        <v>133100.00000000003</v>
      </c>
      <c r="F190" s="164">
        <f>+F189*(1+3%)</f>
        <v>0</v>
      </c>
      <c r="G190" s="164">
        <f t="shared" ref="G190:G196" si="16">+G189*(1+C190)</f>
        <v>133100.00000000003</v>
      </c>
    </row>
    <row r="191" spans="2:7" x14ac:dyDescent="0.25">
      <c r="B191" s="164">
        <v>4</v>
      </c>
      <c r="C191" s="165">
        <v>0.1</v>
      </c>
      <c r="D191" s="164">
        <f t="shared" ref="D191:F197" si="17">+D190*(1+3%)</f>
        <v>0</v>
      </c>
      <c r="E191" s="164">
        <f t="shared" si="15"/>
        <v>146410.00000000006</v>
      </c>
      <c r="F191" s="164">
        <f t="shared" si="17"/>
        <v>0</v>
      </c>
      <c r="G191" s="164">
        <f t="shared" si="16"/>
        <v>146410.00000000006</v>
      </c>
    </row>
    <row r="192" spans="2:7" x14ac:dyDescent="0.25">
      <c r="B192" s="164">
        <v>5</v>
      </c>
      <c r="C192" s="165">
        <v>0.1</v>
      </c>
      <c r="D192" s="164">
        <f t="shared" si="17"/>
        <v>0</v>
      </c>
      <c r="E192" s="164">
        <f t="shared" si="15"/>
        <v>161051.00000000009</v>
      </c>
      <c r="F192" s="164">
        <f t="shared" si="17"/>
        <v>0</v>
      </c>
      <c r="G192" s="164">
        <f t="shared" si="16"/>
        <v>161051.00000000009</v>
      </c>
    </row>
    <row r="193" spans="2:7" x14ac:dyDescent="0.25">
      <c r="B193" s="164">
        <v>6</v>
      </c>
      <c r="C193" s="165">
        <v>0.1</v>
      </c>
      <c r="D193" s="164">
        <f t="shared" si="17"/>
        <v>0</v>
      </c>
      <c r="E193" s="164">
        <f t="shared" si="15"/>
        <v>177156.10000000012</v>
      </c>
      <c r="F193" s="164">
        <f t="shared" si="17"/>
        <v>0</v>
      </c>
      <c r="G193" s="164">
        <f t="shared" si="16"/>
        <v>177156.10000000012</v>
      </c>
    </row>
    <row r="194" spans="2:7" x14ac:dyDescent="0.25">
      <c r="B194" s="164">
        <v>7</v>
      </c>
      <c r="C194" s="165">
        <v>0.1</v>
      </c>
      <c r="D194" s="164">
        <f t="shared" si="17"/>
        <v>0</v>
      </c>
      <c r="E194" s="164">
        <f t="shared" si="15"/>
        <v>194871.71000000014</v>
      </c>
      <c r="F194" s="164">
        <f t="shared" si="17"/>
        <v>0</v>
      </c>
      <c r="G194" s="164">
        <f t="shared" si="16"/>
        <v>194871.71000000014</v>
      </c>
    </row>
    <row r="195" spans="2:7" x14ac:dyDescent="0.25">
      <c r="B195" s="164">
        <v>8</v>
      </c>
      <c r="C195" s="165">
        <v>0.1</v>
      </c>
      <c r="D195" s="164">
        <f t="shared" si="17"/>
        <v>0</v>
      </c>
      <c r="E195" s="164">
        <f t="shared" si="15"/>
        <v>214358.88100000017</v>
      </c>
      <c r="F195" s="164">
        <f t="shared" si="17"/>
        <v>0</v>
      </c>
      <c r="G195" s="164">
        <f t="shared" si="16"/>
        <v>214358.88100000017</v>
      </c>
    </row>
    <row r="196" spans="2:7" x14ac:dyDescent="0.25">
      <c r="B196" s="164">
        <v>9</v>
      </c>
      <c r="C196" s="165">
        <v>0.1</v>
      </c>
      <c r="D196" s="164">
        <f t="shared" si="17"/>
        <v>0</v>
      </c>
      <c r="E196" s="164">
        <f t="shared" si="15"/>
        <v>235794.76910000021</v>
      </c>
      <c r="F196" s="164">
        <v>0</v>
      </c>
      <c r="G196" s="164">
        <f t="shared" si="16"/>
        <v>235794.76910000021</v>
      </c>
    </row>
    <row r="197" spans="2:7" x14ac:dyDescent="0.25">
      <c r="B197" s="164">
        <v>10</v>
      </c>
      <c r="C197" s="165">
        <v>-0.5</v>
      </c>
      <c r="D197" s="164">
        <f t="shared" si="17"/>
        <v>0</v>
      </c>
      <c r="E197" s="164">
        <f>+E196*(1+C197)</f>
        <v>117897.3845500001</v>
      </c>
      <c r="F197" s="164">
        <v>-50000</v>
      </c>
      <c r="G197" s="164">
        <f>+(G196-F197)*(1+C197)</f>
        <v>142897.3845500001</v>
      </c>
    </row>
    <row r="198" spans="2:7" x14ac:dyDescent="0.25">
      <c r="B198" s="164"/>
      <c r="C198" s="165"/>
      <c r="D198" s="164">
        <f>+E197</f>
        <v>117897.3845500001</v>
      </c>
      <c r="E198" s="164"/>
      <c r="F198" s="164">
        <f>+G197</f>
        <v>142897.3845500001</v>
      </c>
      <c r="G198" s="164"/>
    </row>
    <row r="199" spans="2:7" x14ac:dyDescent="0.25">
      <c r="B199" s="163" t="s">
        <v>2826</v>
      </c>
      <c r="C199" s="165"/>
      <c r="D199" s="166">
        <f>+IRR(D188:D198)</f>
        <v>1.846218351601947E-2</v>
      </c>
      <c r="E199" s="164"/>
      <c r="F199" s="166">
        <f>+IRR(F188:F198)</f>
        <v>-7.6969516221930823E-3</v>
      </c>
      <c r="G199" s="164"/>
    </row>
    <row r="203" spans="2:7" ht="24.75" customHeight="1" x14ac:dyDescent="0.25">
      <c r="C203" s="457" t="s">
        <v>3183</v>
      </c>
      <c r="D203" s="457" t="s">
        <v>3164</v>
      </c>
      <c r="E203" s="457" t="s">
        <v>3163</v>
      </c>
    </row>
    <row r="204" spans="2:7" ht="21" customHeight="1" x14ac:dyDescent="0.25">
      <c r="C204" s="305" t="s">
        <v>3162</v>
      </c>
      <c r="D204" s="305" t="s">
        <v>3165</v>
      </c>
      <c r="E204" s="305" t="s">
        <v>3668</v>
      </c>
    </row>
    <row r="205" spans="2:7" ht="22.5" customHeight="1" x14ac:dyDescent="0.25">
      <c r="C205" s="305" t="s">
        <v>2829</v>
      </c>
      <c r="D205" s="305" t="s">
        <v>3166</v>
      </c>
      <c r="E205" s="305" t="s">
        <v>3167</v>
      </c>
    </row>
    <row r="206" spans="2:7" ht="25.5" customHeight="1" x14ac:dyDescent="0.25">
      <c r="C206" s="305" t="s">
        <v>3169</v>
      </c>
      <c r="D206" s="305" t="s">
        <v>3168</v>
      </c>
      <c r="E206" s="305" t="s">
        <v>3170</v>
      </c>
    </row>
    <row r="207" spans="2:7" ht="23.25" customHeight="1" x14ac:dyDescent="0.25">
      <c r="C207" s="305" t="s">
        <v>3842</v>
      </c>
      <c r="D207" s="305" t="s">
        <v>3171</v>
      </c>
      <c r="E207" s="305" t="s">
        <v>3172</v>
      </c>
    </row>
    <row r="208" spans="2:7" ht="24.75" customHeight="1" x14ac:dyDescent="0.25">
      <c r="C208" s="305" t="s">
        <v>3176</v>
      </c>
      <c r="D208" s="305" t="s">
        <v>3173</v>
      </c>
      <c r="E208" s="305" t="s">
        <v>3174</v>
      </c>
    </row>
    <row r="209" spans="3:5" ht="23.25" customHeight="1" x14ac:dyDescent="0.25">
      <c r="C209" s="305" t="s">
        <v>3177</v>
      </c>
      <c r="D209" s="305" t="s">
        <v>3175</v>
      </c>
      <c r="E209" s="305" t="s">
        <v>3667</v>
      </c>
    </row>
    <row r="210" spans="3:5" ht="23.25" customHeight="1" x14ac:dyDescent="0.25">
      <c r="C210" s="305" t="s">
        <v>3179</v>
      </c>
      <c r="D210" s="305" t="s">
        <v>3178</v>
      </c>
      <c r="E210" s="305" t="s">
        <v>3685</v>
      </c>
    </row>
    <row r="211" spans="3:5" ht="29.25" customHeight="1" x14ac:dyDescent="0.25">
      <c r="C211" s="305" t="s">
        <v>3180</v>
      </c>
      <c r="D211" s="305" t="s">
        <v>2826</v>
      </c>
      <c r="E211" s="305" t="s">
        <v>3181</v>
      </c>
    </row>
    <row r="212" spans="3:5" ht="135" x14ac:dyDescent="0.25">
      <c r="C212" s="305" t="s">
        <v>3182</v>
      </c>
      <c r="D212" s="306" t="s">
        <v>3684</v>
      </c>
      <c r="E212" s="306" t="s">
        <v>3184</v>
      </c>
    </row>
    <row r="216" spans="3:5" x14ac:dyDescent="0.25">
      <c r="D216" s="78"/>
    </row>
    <row r="217" spans="3:5" x14ac:dyDescent="0.25">
      <c r="D217" s="231"/>
    </row>
  </sheetData>
  <mergeCells count="2">
    <mergeCell ref="B106:G106"/>
    <mergeCell ref="B126:G126"/>
  </mergeCells>
  <phoneticPr fontId="35" type="noConversion"/>
  <hyperlinks>
    <hyperlink ref="A1" location="Inicio!A1" display="Inicio" xr:uid="{D069F3F8-325D-4EFF-9028-B48AB0F2840B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5CA67-6A9D-FF41-ABBB-A4AE5B52EA3F}">
  <sheetPr>
    <tabColor theme="7" tint="0.79998168889431442"/>
  </sheetPr>
  <dimension ref="A1:O132"/>
  <sheetViews>
    <sheetView showGridLines="0" zoomScaleNormal="150" zoomScaleSheetLayoutView="100" workbookViewId="0"/>
  </sheetViews>
  <sheetFormatPr defaultColWidth="9" defaultRowHeight="15" x14ac:dyDescent="0.25"/>
  <cols>
    <col min="2" max="2" width="9" style="237"/>
    <col min="3" max="3" width="19.28515625" style="108" customWidth="1"/>
    <col min="4" max="4" width="30.28515625" style="108" bestFit="1" customWidth="1"/>
    <col min="5" max="5" width="16.28515625" style="108" customWidth="1"/>
    <col min="6" max="6" width="27.140625" style="108" customWidth="1"/>
    <col min="7" max="7" width="24.42578125" style="108" bestFit="1" customWidth="1"/>
    <col min="8" max="8" width="13.7109375" style="108" customWidth="1"/>
    <col min="9" max="9" width="14.28515625" style="114" customWidth="1"/>
    <col min="10" max="10" width="15" customWidth="1"/>
    <col min="11" max="11" width="20.5703125" bestFit="1" customWidth="1"/>
  </cols>
  <sheetData>
    <row r="1" spans="1:15" x14ac:dyDescent="0.25">
      <c r="A1" s="458" t="s">
        <v>2821</v>
      </c>
      <c r="B1" s="459"/>
      <c r="C1" s="108" t="s">
        <v>3716</v>
      </c>
    </row>
    <row r="2" spans="1:15" x14ac:dyDescent="0.25">
      <c r="C2" s="175" t="s">
        <v>2717</v>
      </c>
      <c r="D2" s="175" t="s">
        <v>2751</v>
      </c>
      <c r="E2" s="175" t="s">
        <v>2849</v>
      </c>
      <c r="F2" s="175" t="s">
        <v>2754</v>
      </c>
      <c r="G2" s="175" t="s">
        <v>2850</v>
      </c>
      <c r="H2" s="175" t="s">
        <v>2752</v>
      </c>
      <c r="I2" s="111"/>
      <c r="K2" s="22" t="s">
        <v>2751</v>
      </c>
      <c r="L2" s="22" t="s">
        <v>2753</v>
      </c>
      <c r="M2" s="22" t="s">
        <v>2754</v>
      </c>
      <c r="N2" s="22" t="s">
        <v>2755</v>
      </c>
      <c r="O2" s="22" t="s">
        <v>2752</v>
      </c>
    </row>
    <row r="3" spans="1:15" x14ac:dyDescent="0.25">
      <c r="C3" s="174">
        <v>1988</v>
      </c>
      <c r="D3" s="165">
        <v>0.27100000000000002</v>
      </c>
      <c r="E3" s="165">
        <v>0.29399999999999998</v>
      </c>
      <c r="F3" s="165">
        <v>0.248</v>
      </c>
      <c r="G3" s="165">
        <v>0.19600000000000001</v>
      </c>
      <c r="H3" s="165">
        <v>0.16600000000000001</v>
      </c>
      <c r="I3" s="112"/>
      <c r="K3" s="22">
        <f>1+D3</f>
        <v>1.2709999999999999</v>
      </c>
      <c r="L3" s="362">
        <f>1+E3</f>
        <v>1.294</v>
      </c>
      <c r="M3" s="22">
        <f t="shared" ref="L3:O18" si="0">1+F3</f>
        <v>1.248</v>
      </c>
      <c r="N3" s="22">
        <f t="shared" si="0"/>
        <v>1.196</v>
      </c>
      <c r="O3" s="22">
        <f t="shared" si="0"/>
        <v>1.1659999999999999</v>
      </c>
    </row>
    <row r="4" spans="1:15" x14ac:dyDescent="0.25">
      <c r="C4" s="174">
        <v>1989</v>
      </c>
      <c r="D4" s="165">
        <v>0.44600000000000001</v>
      </c>
      <c r="E4" s="165">
        <v>0.3</v>
      </c>
      <c r="F4" s="165">
        <v>0.18</v>
      </c>
      <c r="G4" s="165">
        <v>0.27600000000000002</v>
      </c>
      <c r="H4" s="165">
        <v>0.317</v>
      </c>
      <c r="I4" s="112"/>
      <c r="K4" s="22">
        <f t="shared" ref="K4:K19" si="1">1+D4</f>
        <v>1.446</v>
      </c>
      <c r="L4" s="22">
        <f t="shared" si="0"/>
        <v>1.3</v>
      </c>
      <c r="M4" s="22">
        <f t="shared" si="0"/>
        <v>1.18</v>
      </c>
      <c r="N4" s="22">
        <f t="shared" si="0"/>
        <v>1.276</v>
      </c>
      <c r="O4" s="22">
        <f t="shared" si="0"/>
        <v>1.3169999999999999</v>
      </c>
    </row>
    <row r="5" spans="1:15" x14ac:dyDescent="0.25">
      <c r="C5" s="174">
        <v>1990</v>
      </c>
      <c r="D5" s="165">
        <v>1.7000000000000001E-2</v>
      </c>
      <c r="E5" s="165">
        <v>-0.06</v>
      </c>
      <c r="F5" s="165">
        <v>-0.161</v>
      </c>
      <c r="G5" s="165">
        <v>-7.0999999999999994E-2</v>
      </c>
      <c r="H5" s="165">
        <v>-3.1E-2</v>
      </c>
      <c r="I5" s="112"/>
      <c r="K5" s="22">
        <f t="shared" si="1"/>
        <v>1.0169999999999999</v>
      </c>
      <c r="L5" s="22">
        <f t="shared" si="0"/>
        <v>0.94</v>
      </c>
      <c r="M5" s="22">
        <f t="shared" si="0"/>
        <v>0.83899999999999997</v>
      </c>
      <c r="N5" s="22">
        <f t="shared" si="0"/>
        <v>0.92900000000000005</v>
      </c>
      <c r="O5" s="22">
        <f t="shared" si="0"/>
        <v>0.96899999999999997</v>
      </c>
    </row>
    <row r="6" spans="1:15" x14ac:dyDescent="0.25">
      <c r="C6" s="174">
        <v>1991</v>
      </c>
      <c r="D6" s="165">
        <v>0.70599999999999996</v>
      </c>
      <c r="E6" s="165">
        <v>0.51500000000000001</v>
      </c>
      <c r="F6" s="165">
        <v>0.45600000000000002</v>
      </c>
      <c r="G6" s="165">
        <v>0.34399999999999997</v>
      </c>
      <c r="H6" s="165">
        <v>0.30499999999999999</v>
      </c>
      <c r="I6" s="112"/>
      <c r="K6" s="22">
        <f t="shared" si="1"/>
        <v>1.706</v>
      </c>
      <c r="L6" s="22">
        <f t="shared" si="0"/>
        <v>1.5150000000000001</v>
      </c>
      <c r="M6" s="22">
        <f t="shared" si="0"/>
        <v>1.456</v>
      </c>
      <c r="N6" s="22">
        <f t="shared" si="0"/>
        <v>1.3439999999999999</v>
      </c>
      <c r="O6" s="22">
        <f t="shared" si="0"/>
        <v>1.3049999999999999</v>
      </c>
    </row>
    <row r="7" spans="1:15" x14ac:dyDescent="0.25">
      <c r="C7" s="174">
        <v>1992</v>
      </c>
      <c r="D7" s="165">
        <v>0.32400000000000001</v>
      </c>
      <c r="E7" s="165">
        <v>0.16400000000000001</v>
      </c>
      <c r="F7" s="165">
        <v>0.114</v>
      </c>
      <c r="G7" s="165">
        <v>0.10299999999999999</v>
      </c>
      <c r="H7" s="165">
        <v>7.5999999999999998E-2</v>
      </c>
      <c r="I7" s="112"/>
      <c r="K7" s="22">
        <f t="shared" si="1"/>
        <v>1.3240000000000001</v>
      </c>
      <c r="L7" s="22">
        <f t="shared" si="0"/>
        <v>1.1639999999999999</v>
      </c>
      <c r="M7" s="22">
        <f t="shared" si="0"/>
        <v>1.1140000000000001</v>
      </c>
      <c r="N7" s="22">
        <f t="shared" si="0"/>
        <v>1.103</v>
      </c>
      <c r="O7" s="22">
        <f t="shared" si="0"/>
        <v>1.0760000000000001</v>
      </c>
    </row>
    <row r="8" spans="1:15" x14ac:dyDescent="0.25">
      <c r="C8" s="174">
        <v>1993</v>
      </c>
      <c r="D8" s="165">
        <v>0.17199999999999999</v>
      </c>
      <c r="E8" s="165">
        <v>5.0000000000000001E-3</v>
      </c>
      <c r="F8" s="165">
        <v>0.159</v>
      </c>
      <c r="G8" s="165">
        <v>0.14399999999999999</v>
      </c>
      <c r="H8" s="165">
        <v>0.10100000000000001</v>
      </c>
      <c r="I8" s="112"/>
      <c r="K8" s="22">
        <f t="shared" si="1"/>
        <v>1.1719999999999999</v>
      </c>
      <c r="L8" s="22">
        <f t="shared" si="0"/>
        <v>1.0049999999999999</v>
      </c>
      <c r="M8" s="22">
        <f t="shared" si="0"/>
        <v>1.159</v>
      </c>
      <c r="N8" s="22">
        <f t="shared" si="0"/>
        <v>1.1439999999999999</v>
      </c>
      <c r="O8" s="22">
        <f t="shared" si="0"/>
        <v>1.101</v>
      </c>
    </row>
    <row r="9" spans="1:15" x14ac:dyDescent="0.25">
      <c r="C9" s="174">
        <v>1994</v>
      </c>
      <c r="D9" s="165">
        <v>0.22</v>
      </c>
      <c r="E9" s="165">
        <v>0.153</v>
      </c>
      <c r="F9" s="165">
        <v>-4.4999999999999998E-2</v>
      </c>
      <c r="G9" s="165">
        <v>5.0000000000000001E-3</v>
      </c>
      <c r="H9" s="165">
        <v>1.2999999999999999E-2</v>
      </c>
      <c r="I9" s="112"/>
      <c r="K9" s="22">
        <f t="shared" si="1"/>
        <v>1.22</v>
      </c>
      <c r="L9" s="22">
        <f t="shared" si="0"/>
        <v>1.153</v>
      </c>
      <c r="M9" s="22">
        <f t="shared" si="0"/>
        <v>0.95499999999999996</v>
      </c>
      <c r="N9" s="22">
        <f t="shared" si="0"/>
        <v>1.0049999999999999</v>
      </c>
      <c r="O9" s="22">
        <f t="shared" si="0"/>
        <v>1.0129999999999999</v>
      </c>
    </row>
    <row r="10" spans="1:15" x14ac:dyDescent="0.25">
      <c r="C10" s="174">
        <v>1995</v>
      </c>
      <c r="D10" s="165">
        <v>0.34</v>
      </c>
      <c r="E10" s="165">
        <v>0.55900000000000005</v>
      </c>
      <c r="F10" s="165">
        <v>0.29099999999999998</v>
      </c>
      <c r="G10" s="165">
        <v>0.314</v>
      </c>
      <c r="H10" s="165">
        <v>0.376</v>
      </c>
      <c r="I10" s="112"/>
      <c r="K10" s="22">
        <f t="shared" si="1"/>
        <v>1.34</v>
      </c>
      <c r="L10" s="22">
        <f t="shared" si="0"/>
        <v>1.5590000000000002</v>
      </c>
      <c r="M10" s="22">
        <f t="shared" si="0"/>
        <v>1.2909999999999999</v>
      </c>
      <c r="N10" s="22">
        <f t="shared" si="0"/>
        <v>1.3140000000000001</v>
      </c>
      <c r="O10" s="22">
        <f t="shared" si="0"/>
        <v>1.3759999999999999</v>
      </c>
    </row>
    <row r="11" spans="1:15" x14ac:dyDescent="0.25">
      <c r="C11" s="174">
        <v>1996</v>
      </c>
      <c r="D11" s="165">
        <v>0.17299999999999999</v>
      </c>
      <c r="E11" s="165">
        <v>0.374</v>
      </c>
      <c r="F11" s="165">
        <v>0.14899999999999999</v>
      </c>
      <c r="G11" s="165">
        <v>0.16200000000000001</v>
      </c>
      <c r="H11" s="165">
        <v>0.23</v>
      </c>
      <c r="I11" s="112"/>
      <c r="K11" s="22">
        <f t="shared" si="1"/>
        <v>1.173</v>
      </c>
      <c r="L11" s="22">
        <f t="shared" si="0"/>
        <v>1.3740000000000001</v>
      </c>
      <c r="M11" s="22">
        <f t="shared" si="0"/>
        <v>1.149</v>
      </c>
      <c r="N11" s="22">
        <f t="shared" si="0"/>
        <v>1.1619999999999999</v>
      </c>
      <c r="O11" s="22">
        <f t="shared" si="0"/>
        <v>1.23</v>
      </c>
    </row>
    <row r="12" spans="1:15" x14ac:dyDescent="0.25">
      <c r="C12" s="174">
        <v>1997</v>
      </c>
      <c r="D12" s="165">
        <v>0.40400000000000003</v>
      </c>
      <c r="E12" s="165">
        <v>0.41</v>
      </c>
      <c r="F12" s="165">
        <v>0.16800000000000001</v>
      </c>
      <c r="G12" s="165">
        <v>0.19600000000000001</v>
      </c>
      <c r="H12" s="165">
        <v>0.33400000000000002</v>
      </c>
      <c r="I12" s="112"/>
      <c r="K12" s="22">
        <f t="shared" si="1"/>
        <v>1.4039999999999999</v>
      </c>
      <c r="L12" s="22">
        <f t="shared" si="0"/>
        <v>1.41</v>
      </c>
      <c r="M12" s="22">
        <f t="shared" si="0"/>
        <v>1.1679999999999999</v>
      </c>
      <c r="N12" s="22">
        <f t="shared" si="0"/>
        <v>1.196</v>
      </c>
      <c r="O12" s="22">
        <f t="shared" si="0"/>
        <v>1.3340000000000001</v>
      </c>
    </row>
    <row r="13" spans="1:15" x14ac:dyDescent="0.25">
      <c r="C13" s="174">
        <v>1998</v>
      </c>
      <c r="D13" s="165">
        <v>0.255</v>
      </c>
      <c r="E13" s="165">
        <v>0.32600000000000001</v>
      </c>
      <c r="F13" s="165">
        <v>-0.02</v>
      </c>
      <c r="G13" s="165">
        <v>9.9000000000000005E-2</v>
      </c>
      <c r="H13" s="165">
        <v>0.28599999999999998</v>
      </c>
      <c r="I13" s="112"/>
      <c r="K13" s="22">
        <f t="shared" si="1"/>
        <v>1.2549999999999999</v>
      </c>
      <c r="L13" s="22">
        <f t="shared" si="0"/>
        <v>1.3260000000000001</v>
      </c>
      <c r="M13" s="22">
        <f t="shared" si="0"/>
        <v>0.98</v>
      </c>
      <c r="N13" s="22">
        <f t="shared" si="0"/>
        <v>1.099</v>
      </c>
      <c r="O13" s="22">
        <f t="shared" si="0"/>
        <v>1.286</v>
      </c>
    </row>
    <row r="14" spans="1:15" x14ac:dyDescent="0.25">
      <c r="C14" s="174">
        <v>1999</v>
      </c>
      <c r="D14" s="165">
        <v>0.53</v>
      </c>
      <c r="E14" s="165">
        <v>0.14399999999999999</v>
      </c>
      <c r="F14" s="165">
        <v>0.36099999999999999</v>
      </c>
      <c r="G14" s="165">
        <v>0.35099999999999998</v>
      </c>
      <c r="H14" s="165">
        <v>0.21</v>
      </c>
      <c r="I14" s="112"/>
      <c r="K14" s="22">
        <f t="shared" si="1"/>
        <v>1.53</v>
      </c>
      <c r="L14" s="22">
        <f t="shared" si="0"/>
        <v>1.1439999999999999</v>
      </c>
      <c r="M14" s="22">
        <f t="shared" si="0"/>
        <v>1.361</v>
      </c>
      <c r="N14" s="22">
        <f t="shared" si="0"/>
        <v>1.351</v>
      </c>
      <c r="O14" s="22">
        <f t="shared" si="0"/>
        <v>1.21</v>
      </c>
    </row>
    <row r="15" spans="1:15" x14ac:dyDescent="0.25">
      <c r="C15" s="174">
        <v>2000</v>
      </c>
      <c r="D15" s="165">
        <v>7.9000000000000001E-2</v>
      </c>
      <c r="E15" s="165">
        <v>0.128</v>
      </c>
      <c r="F15" s="165">
        <v>-0.16800000000000001</v>
      </c>
      <c r="G15" s="165">
        <v>-0.14499999999999999</v>
      </c>
      <c r="H15" s="165">
        <v>-9.0999999999999998E-2</v>
      </c>
      <c r="I15" s="112"/>
      <c r="K15" s="22">
        <f t="shared" si="1"/>
        <v>1.079</v>
      </c>
      <c r="L15" s="22">
        <f t="shared" si="0"/>
        <v>1.1280000000000001</v>
      </c>
      <c r="M15" s="22">
        <f t="shared" si="0"/>
        <v>0.83199999999999996</v>
      </c>
      <c r="N15" s="22">
        <f t="shared" si="0"/>
        <v>0.85499999999999998</v>
      </c>
      <c r="O15" s="22">
        <f t="shared" si="0"/>
        <v>0.90900000000000003</v>
      </c>
    </row>
    <row r="16" spans="1:15" x14ac:dyDescent="0.25">
      <c r="C16" s="174">
        <v>2001</v>
      </c>
      <c r="D16" s="165">
        <v>0.69599999999999995</v>
      </c>
      <c r="E16" s="165">
        <v>0.38200000000000001</v>
      </c>
      <c r="F16" s="165">
        <v>0.115</v>
      </c>
      <c r="G16" s="165">
        <v>-9.1999999999999998E-2</v>
      </c>
      <c r="H16" s="165">
        <v>-0.11899999999999999</v>
      </c>
      <c r="I16" s="112"/>
      <c r="K16" s="22">
        <f t="shared" si="1"/>
        <v>1.696</v>
      </c>
      <c r="L16" s="22">
        <f t="shared" si="0"/>
        <v>1.3820000000000001</v>
      </c>
      <c r="M16" s="22">
        <f t="shared" si="0"/>
        <v>1.115</v>
      </c>
      <c r="N16" s="22">
        <f t="shared" si="0"/>
        <v>0.90800000000000003</v>
      </c>
      <c r="O16" s="22">
        <f t="shared" si="0"/>
        <v>0.88100000000000001</v>
      </c>
    </row>
    <row r="17" spans="3:15" x14ac:dyDescent="0.25">
      <c r="C17" s="174">
        <v>2002</v>
      </c>
      <c r="D17" s="165">
        <v>-0.04</v>
      </c>
      <c r="E17" s="165">
        <v>-0.253</v>
      </c>
      <c r="F17" s="165">
        <v>-0.24199999999999999</v>
      </c>
      <c r="G17" s="165">
        <v>-0.22700000000000001</v>
      </c>
      <c r="H17" s="165">
        <v>-0.221</v>
      </c>
      <c r="I17" s="112"/>
      <c r="K17" s="22">
        <f t="shared" si="1"/>
        <v>0.96</v>
      </c>
      <c r="L17" s="22">
        <f t="shared" si="0"/>
        <v>0.747</v>
      </c>
      <c r="M17" s="22">
        <f t="shared" si="0"/>
        <v>0.75800000000000001</v>
      </c>
      <c r="N17" s="22">
        <f t="shared" si="0"/>
        <v>0.77300000000000002</v>
      </c>
      <c r="O17" s="22">
        <f t="shared" si="0"/>
        <v>0.77900000000000003</v>
      </c>
    </row>
    <row r="18" spans="3:15" x14ac:dyDescent="0.25">
      <c r="C18" s="174">
        <v>2003</v>
      </c>
      <c r="D18" s="165">
        <v>0.79900000000000004</v>
      </c>
      <c r="E18" s="165">
        <v>0.505</v>
      </c>
      <c r="F18" s="165">
        <v>0.68799999999999994</v>
      </c>
      <c r="G18" s="165">
        <v>0.41399999999999998</v>
      </c>
      <c r="H18" s="165">
        <v>0.28699999999999998</v>
      </c>
      <c r="I18" s="112"/>
      <c r="K18" s="22">
        <f t="shared" si="1"/>
        <v>1.7989999999999999</v>
      </c>
      <c r="L18" s="22">
        <f t="shared" si="0"/>
        <v>1.5049999999999999</v>
      </c>
      <c r="M18" s="22">
        <f t="shared" si="0"/>
        <v>1.6879999999999999</v>
      </c>
      <c r="N18" s="22">
        <f t="shared" si="0"/>
        <v>1.4139999999999999</v>
      </c>
      <c r="O18" s="22">
        <f t="shared" si="0"/>
        <v>1.2869999999999999</v>
      </c>
    </row>
    <row r="19" spans="3:15" x14ac:dyDescent="0.25">
      <c r="C19" s="174">
        <v>2004</v>
      </c>
      <c r="D19" s="165">
        <v>0.193</v>
      </c>
      <c r="E19" s="165">
        <v>0.27600000000000002</v>
      </c>
      <c r="F19" s="165">
        <v>0.17799999999999999</v>
      </c>
      <c r="G19" s="165">
        <v>0.17299999999999999</v>
      </c>
      <c r="H19" s="165">
        <v>0.109</v>
      </c>
      <c r="I19" s="112"/>
      <c r="K19" s="22">
        <f t="shared" si="1"/>
        <v>1.1930000000000001</v>
      </c>
      <c r="L19" s="22">
        <f t="shared" ref="L19" si="2">1+E19</f>
        <v>1.276</v>
      </c>
      <c r="M19" s="22">
        <f t="shared" ref="M19" si="3">1+F19</f>
        <v>1.1779999999999999</v>
      </c>
      <c r="N19" s="22">
        <f t="shared" ref="N19" si="4">1+G19</f>
        <v>1.173</v>
      </c>
      <c r="O19" s="22">
        <f t="shared" ref="O19" si="5">1+H19</f>
        <v>1.109</v>
      </c>
    </row>
    <row r="20" spans="3:15" x14ac:dyDescent="0.25">
      <c r="C20" s="175" t="s">
        <v>2757</v>
      </c>
      <c r="D20" s="176">
        <f>++K21</f>
        <v>0.30834601270735673</v>
      </c>
      <c r="E20" s="176">
        <f>++L21</f>
        <v>0.22858905126197859</v>
      </c>
      <c r="F20" s="176">
        <f>++M21</f>
        <v>0.12283186193328932</v>
      </c>
      <c r="G20" s="176">
        <f>++N21</f>
        <v>0.11661050040263521</v>
      </c>
      <c r="H20" s="176">
        <f>++O21</f>
        <v>0.12395332600540687</v>
      </c>
      <c r="I20" s="113"/>
      <c r="J20" s="106"/>
      <c r="K20" s="22">
        <f>+PRODUCT(K3:K19)</f>
        <v>96.446052823853535</v>
      </c>
      <c r="L20" s="22">
        <f t="shared" ref="L20:N20" si="6">+PRODUCT(L3:L19)</f>
        <v>33.106471225592863</v>
      </c>
      <c r="M20" s="22">
        <f t="shared" si="6"/>
        <v>7.1672140265678523</v>
      </c>
      <c r="N20" s="22">
        <f t="shared" si="6"/>
        <v>6.5212226532877429</v>
      </c>
      <c r="O20" s="22">
        <f>+PRODUCT(O3:O19)</f>
        <v>7.2898854817941174</v>
      </c>
    </row>
    <row r="21" spans="3:15" x14ac:dyDescent="0.25">
      <c r="D21" s="107"/>
      <c r="E21" s="107"/>
      <c r="F21" s="107"/>
      <c r="G21" s="107"/>
      <c r="H21" s="107"/>
      <c r="I21" s="112"/>
      <c r="J21" s="66" t="s">
        <v>2756</v>
      </c>
      <c r="K21" s="106">
        <f>+(K20)^(1/17)-1</f>
        <v>0.30834601270735673</v>
      </c>
      <c r="L21" s="106">
        <f>+(L20)^(1/17)-1</f>
        <v>0.22858905126197859</v>
      </c>
      <c r="M21" s="106">
        <f t="shared" ref="M21:N21" si="7">+(M20)^(1/17)-1</f>
        <v>0.12283186193328932</v>
      </c>
      <c r="N21" s="106">
        <f t="shared" si="7"/>
        <v>0.11661050040263521</v>
      </c>
      <c r="O21" s="106">
        <f>+(O20)^(1/17)-1</f>
        <v>0.12395332600540687</v>
      </c>
    </row>
    <row r="22" spans="3:15" x14ac:dyDescent="0.25">
      <c r="D22" s="107"/>
      <c r="E22" s="107"/>
      <c r="F22" s="107"/>
      <c r="G22" s="107"/>
      <c r="H22" s="107"/>
      <c r="I22" s="112"/>
      <c r="J22" s="66"/>
      <c r="K22" s="106"/>
      <c r="L22" s="106"/>
      <c r="M22" s="106"/>
      <c r="N22" s="106"/>
      <c r="O22" s="106"/>
    </row>
    <row r="23" spans="3:15" x14ac:dyDescent="0.25">
      <c r="D23" s="107"/>
      <c r="E23" s="107"/>
      <c r="F23" s="107"/>
      <c r="G23" s="107"/>
      <c r="H23" s="107"/>
      <c r="I23" s="112"/>
      <c r="J23" s="66" t="s">
        <v>3719</v>
      </c>
      <c r="K23" s="106"/>
      <c r="L23" s="106"/>
      <c r="M23" s="106"/>
      <c r="N23" s="106"/>
      <c r="O23" s="106"/>
    </row>
    <row r="24" spans="3:15" x14ac:dyDescent="0.25">
      <c r="I24" s="112"/>
      <c r="J24" s="66"/>
      <c r="K24" s="106"/>
      <c r="L24" s="106"/>
      <c r="M24" s="106"/>
      <c r="N24" s="106"/>
      <c r="O24" s="106"/>
    </row>
    <row r="25" spans="3:15" x14ac:dyDescent="0.25">
      <c r="C25" s="175" t="s">
        <v>2717</v>
      </c>
      <c r="D25" s="175" t="s">
        <v>2751</v>
      </c>
      <c r="E25" s="175" t="s">
        <v>2849</v>
      </c>
      <c r="F25" s="175" t="s">
        <v>2754</v>
      </c>
      <c r="G25" s="175" t="s">
        <v>2850</v>
      </c>
      <c r="H25" s="175" t="s">
        <v>2752</v>
      </c>
      <c r="I25" s="112"/>
      <c r="J25" s="66"/>
      <c r="K25" s="106"/>
      <c r="L25" s="106"/>
      <c r="M25" s="106"/>
      <c r="N25" s="106"/>
      <c r="O25" s="106"/>
    </row>
    <row r="26" spans="3:15" x14ac:dyDescent="0.25">
      <c r="C26" s="174" t="s">
        <v>3054</v>
      </c>
      <c r="D26" s="231">
        <v>100000</v>
      </c>
      <c r="E26" s="231">
        <v>100000</v>
      </c>
      <c r="F26" s="231">
        <v>100000</v>
      </c>
      <c r="G26" s="231">
        <v>100000</v>
      </c>
      <c r="H26" s="231">
        <v>100000</v>
      </c>
      <c r="I26" s="112"/>
      <c r="J26" s="66"/>
      <c r="K26" s="106"/>
      <c r="L26" s="106"/>
      <c r="M26" s="106"/>
      <c r="N26" s="106"/>
      <c r="O26" s="106"/>
    </row>
    <row r="27" spans="3:15" x14ac:dyDescent="0.25">
      <c r="C27" s="174">
        <v>1988</v>
      </c>
      <c r="D27" s="231">
        <f t="shared" ref="D27:D43" si="8">+D26*(1+D3)</f>
        <v>127099.99999999999</v>
      </c>
      <c r="E27" s="231">
        <f t="shared" ref="E27:E43" si="9">+E26*(1+E3)</f>
        <v>129400</v>
      </c>
      <c r="F27" s="231">
        <f t="shared" ref="F27:F43" si="10">+F26*(1+F3)</f>
        <v>124800</v>
      </c>
      <c r="G27" s="231">
        <f t="shared" ref="G27:G43" si="11">+G26*(1+G3)</f>
        <v>119600</v>
      </c>
      <c r="H27" s="231">
        <f t="shared" ref="H27:H43" si="12">+H26*(1+H3)</f>
        <v>116599.99999999999</v>
      </c>
      <c r="I27" s="112"/>
      <c r="J27" s="66"/>
      <c r="K27" s="106"/>
      <c r="L27" s="106"/>
      <c r="M27" s="106"/>
      <c r="N27" s="106"/>
      <c r="O27" s="106"/>
    </row>
    <row r="28" spans="3:15" x14ac:dyDescent="0.25">
      <c r="C28" s="174">
        <v>1989</v>
      </c>
      <c r="D28" s="231">
        <f t="shared" si="8"/>
        <v>183786.59999999998</v>
      </c>
      <c r="E28" s="231">
        <f t="shared" si="9"/>
        <v>168220</v>
      </c>
      <c r="F28" s="231">
        <f t="shared" si="10"/>
        <v>147264</v>
      </c>
      <c r="G28" s="231">
        <f t="shared" si="11"/>
        <v>152609.60000000001</v>
      </c>
      <c r="H28" s="231">
        <f t="shared" si="12"/>
        <v>153562.19999999998</v>
      </c>
      <c r="I28" s="112"/>
      <c r="J28" s="66"/>
      <c r="K28" s="106"/>
      <c r="L28" s="106"/>
      <c r="M28" s="106"/>
      <c r="N28" s="106"/>
      <c r="O28" s="106"/>
    </row>
    <row r="29" spans="3:15" x14ac:dyDescent="0.25">
      <c r="C29" s="174">
        <v>1990</v>
      </c>
      <c r="D29" s="231">
        <f t="shared" si="8"/>
        <v>186910.97219999996</v>
      </c>
      <c r="E29" s="231">
        <f t="shared" si="9"/>
        <v>158126.79999999999</v>
      </c>
      <c r="F29" s="231">
        <f t="shared" si="10"/>
        <v>123554.496</v>
      </c>
      <c r="G29" s="231">
        <f t="shared" si="11"/>
        <v>141774.31840000002</v>
      </c>
      <c r="H29" s="231">
        <f t="shared" si="12"/>
        <v>148801.77179999999</v>
      </c>
      <c r="I29" s="112"/>
      <c r="J29" s="66"/>
      <c r="K29" s="106"/>
      <c r="L29" s="106"/>
      <c r="M29" s="106"/>
      <c r="N29" s="106"/>
      <c r="O29" s="106"/>
    </row>
    <row r="30" spans="3:15" x14ac:dyDescent="0.25">
      <c r="C30" s="174">
        <v>1991</v>
      </c>
      <c r="D30" s="231">
        <f t="shared" si="8"/>
        <v>318870.1185731999</v>
      </c>
      <c r="E30" s="231">
        <f t="shared" si="9"/>
        <v>239562.10200000001</v>
      </c>
      <c r="F30" s="231">
        <f t="shared" si="10"/>
        <v>179895.34617599999</v>
      </c>
      <c r="G30" s="231">
        <f t="shared" si="11"/>
        <v>190544.6839296</v>
      </c>
      <c r="H30" s="231">
        <f t="shared" si="12"/>
        <v>194186.31219899998</v>
      </c>
      <c r="I30" s="112"/>
      <c r="J30" s="66"/>
      <c r="K30" s="106"/>
      <c r="L30" s="106"/>
      <c r="M30" s="106"/>
      <c r="N30" s="106"/>
      <c r="O30" s="106"/>
    </row>
    <row r="31" spans="3:15" x14ac:dyDescent="0.25">
      <c r="C31" s="174">
        <v>1992</v>
      </c>
      <c r="D31" s="231">
        <f t="shared" si="8"/>
        <v>422184.03699091671</v>
      </c>
      <c r="E31" s="231">
        <f t="shared" si="9"/>
        <v>278850.28672799998</v>
      </c>
      <c r="F31" s="231">
        <f t="shared" si="10"/>
        <v>200403.41564006402</v>
      </c>
      <c r="G31" s="231">
        <f t="shared" si="11"/>
        <v>210170.7863743488</v>
      </c>
      <c r="H31" s="231">
        <f t="shared" si="12"/>
        <v>208944.47192612398</v>
      </c>
      <c r="I31" s="112"/>
      <c r="J31" s="66"/>
      <c r="K31" s="106"/>
      <c r="L31" s="106"/>
      <c r="M31" s="106"/>
      <c r="N31" s="106"/>
      <c r="O31" s="106"/>
    </row>
    <row r="32" spans="3:15" x14ac:dyDescent="0.25">
      <c r="C32" s="174">
        <v>1993</v>
      </c>
      <c r="D32" s="231">
        <f t="shared" si="8"/>
        <v>494799.69135335437</v>
      </c>
      <c r="E32" s="231">
        <f t="shared" si="9"/>
        <v>280244.53816163994</v>
      </c>
      <c r="F32" s="231">
        <f t="shared" si="10"/>
        <v>232267.55872683419</v>
      </c>
      <c r="G32" s="231">
        <f t="shared" si="11"/>
        <v>240435.379612255</v>
      </c>
      <c r="H32" s="231">
        <f t="shared" si="12"/>
        <v>230047.86359066248</v>
      </c>
      <c r="I32" s="112"/>
      <c r="J32" s="66"/>
      <c r="K32" s="106"/>
      <c r="L32" s="106"/>
      <c r="M32" s="106"/>
      <c r="N32" s="106"/>
      <c r="O32" s="106"/>
    </row>
    <row r="33" spans="3:15" x14ac:dyDescent="0.25">
      <c r="C33" s="174">
        <v>1994</v>
      </c>
      <c r="D33" s="231">
        <f t="shared" si="8"/>
        <v>603655.62345109228</v>
      </c>
      <c r="E33" s="231">
        <f t="shared" si="9"/>
        <v>323121.95250037085</v>
      </c>
      <c r="F33" s="231">
        <f t="shared" si="10"/>
        <v>221815.51858412664</v>
      </c>
      <c r="G33" s="231">
        <f t="shared" si="11"/>
        <v>241637.55651031624</v>
      </c>
      <c r="H33" s="231">
        <f t="shared" si="12"/>
        <v>233038.48581734108</v>
      </c>
      <c r="I33" s="112"/>
      <c r="J33" s="66"/>
      <c r="K33" s="106"/>
      <c r="L33" s="106"/>
      <c r="M33" s="106"/>
      <c r="N33" s="106"/>
      <c r="O33" s="106"/>
    </row>
    <row r="34" spans="3:15" x14ac:dyDescent="0.25">
      <c r="C34" s="174">
        <v>1995</v>
      </c>
      <c r="D34" s="231">
        <f t="shared" si="8"/>
        <v>808898.53542446368</v>
      </c>
      <c r="E34" s="231">
        <f t="shared" si="9"/>
        <v>503747.1239480782</v>
      </c>
      <c r="F34" s="231">
        <f t="shared" si="10"/>
        <v>286363.83449210745</v>
      </c>
      <c r="G34" s="231">
        <f t="shared" si="11"/>
        <v>317511.74925455556</v>
      </c>
      <c r="H34" s="231">
        <f t="shared" si="12"/>
        <v>320660.95648466132</v>
      </c>
      <c r="I34" s="112"/>
      <c r="J34" s="66"/>
      <c r="K34" s="106"/>
      <c r="L34" s="106"/>
      <c r="M34" s="106"/>
      <c r="N34" s="106"/>
      <c r="O34" s="106"/>
    </row>
    <row r="35" spans="3:15" x14ac:dyDescent="0.25">
      <c r="C35" s="174">
        <v>1996</v>
      </c>
      <c r="D35" s="231">
        <f t="shared" si="8"/>
        <v>948837.98205289594</v>
      </c>
      <c r="E35" s="231">
        <f t="shared" si="9"/>
        <v>692148.54830465955</v>
      </c>
      <c r="F35" s="231">
        <f t="shared" si="10"/>
        <v>329032.04583143146</v>
      </c>
      <c r="G35" s="231">
        <f t="shared" si="11"/>
        <v>368948.65263379354</v>
      </c>
      <c r="H35" s="231">
        <f t="shared" si="12"/>
        <v>394412.97647613339</v>
      </c>
      <c r="I35" s="112"/>
      <c r="J35" s="66"/>
      <c r="K35" s="106"/>
      <c r="L35" s="106"/>
      <c r="M35" s="106"/>
      <c r="N35" s="106"/>
      <c r="O35" s="106"/>
    </row>
    <row r="36" spans="3:15" x14ac:dyDescent="0.25">
      <c r="C36" s="174">
        <v>1997</v>
      </c>
      <c r="D36" s="231">
        <f t="shared" si="8"/>
        <v>1332168.5268022658</v>
      </c>
      <c r="E36" s="231">
        <f t="shared" si="9"/>
        <v>975929.45310956996</v>
      </c>
      <c r="F36" s="231">
        <f t="shared" si="10"/>
        <v>384309.42953111191</v>
      </c>
      <c r="G36" s="231">
        <f t="shared" si="11"/>
        <v>441262.58855001704</v>
      </c>
      <c r="H36" s="231">
        <f t="shared" si="12"/>
        <v>526146.91061916202</v>
      </c>
      <c r="I36" s="112"/>
      <c r="J36" s="66"/>
      <c r="K36" s="106"/>
      <c r="L36" s="106"/>
      <c r="M36" s="106"/>
      <c r="N36" s="106"/>
      <c r="O36" s="106"/>
    </row>
    <row r="37" spans="3:15" x14ac:dyDescent="0.25">
      <c r="C37" s="174">
        <v>1998</v>
      </c>
      <c r="D37" s="231">
        <f t="shared" si="8"/>
        <v>1671871.5011368433</v>
      </c>
      <c r="E37" s="231">
        <f t="shared" si="9"/>
        <v>1294082.4548232898</v>
      </c>
      <c r="F37" s="231">
        <f t="shared" si="10"/>
        <v>376623.24094048969</v>
      </c>
      <c r="G37" s="231">
        <f t="shared" si="11"/>
        <v>484947.5848164687</v>
      </c>
      <c r="H37" s="231">
        <f t="shared" si="12"/>
        <v>676624.92705624236</v>
      </c>
      <c r="I37" s="112"/>
      <c r="J37" s="66"/>
      <c r="K37" s="106"/>
      <c r="L37" s="106"/>
      <c r="M37" s="106"/>
      <c r="N37" s="106"/>
      <c r="O37" s="106"/>
    </row>
    <row r="38" spans="3:15" x14ac:dyDescent="0.25">
      <c r="C38" s="174">
        <v>1999</v>
      </c>
      <c r="D38" s="231">
        <f t="shared" si="8"/>
        <v>2557963.3967393702</v>
      </c>
      <c r="E38" s="231">
        <f t="shared" si="9"/>
        <v>1480430.3283178434</v>
      </c>
      <c r="F38" s="231">
        <f t="shared" si="10"/>
        <v>512584.23092000646</v>
      </c>
      <c r="G38" s="231">
        <f t="shared" si="11"/>
        <v>655164.18708704924</v>
      </c>
      <c r="H38" s="231">
        <f t="shared" si="12"/>
        <v>818716.1617380532</v>
      </c>
      <c r="I38" s="112"/>
      <c r="J38" s="66"/>
      <c r="K38" s="106"/>
      <c r="L38" s="106"/>
      <c r="M38" s="106"/>
      <c r="N38" s="106"/>
      <c r="O38" s="106"/>
    </row>
    <row r="39" spans="3:15" x14ac:dyDescent="0.25">
      <c r="C39" s="174">
        <v>2000</v>
      </c>
      <c r="D39" s="231">
        <f t="shared" si="8"/>
        <v>2760042.5050817803</v>
      </c>
      <c r="E39" s="231">
        <f t="shared" si="9"/>
        <v>1669925.4103425276</v>
      </c>
      <c r="F39" s="231">
        <f t="shared" si="10"/>
        <v>426470.08012544538</v>
      </c>
      <c r="G39" s="231">
        <f t="shared" si="11"/>
        <v>560165.37995942705</v>
      </c>
      <c r="H39" s="231">
        <f t="shared" si="12"/>
        <v>744212.99101989041</v>
      </c>
      <c r="I39" s="112"/>
      <c r="J39" s="66"/>
      <c r="K39" s="106"/>
      <c r="L39" s="106"/>
      <c r="M39" s="106"/>
      <c r="N39" s="106"/>
      <c r="O39" s="106"/>
    </row>
    <row r="40" spans="3:15" x14ac:dyDescent="0.25">
      <c r="C40" s="174">
        <v>2001</v>
      </c>
      <c r="D40" s="231">
        <f t="shared" si="8"/>
        <v>4681032.0886186995</v>
      </c>
      <c r="E40" s="231">
        <f t="shared" si="9"/>
        <v>2307836.9170933734</v>
      </c>
      <c r="F40" s="231">
        <f t="shared" si="10"/>
        <v>475514.13933987159</v>
      </c>
      <c r="G40" s="231">
        <f t="shared" si="11"/>
        <v>508630.16500315978</v>
      </c>
      <c r="H40" s="231">
        <f t="shared" si="12"/>
        <v>655651.64508852351</v>
      </c>
      <c r="I40" s="112"/>
      <c r="J40" s="66"/>
      <c r="K40" s="106"/>
      <c r="L40" s="106"/>
      <c r="M40" s="106"/>
      <c r="N40" s="106"/>
      <c r="O40" s="106"/>
    </row>
    <row r="41" spans="3:15" x14ac:dyDescent="0.25">
      <c r="C41" s="174">
        <v>2002</v>
      </c>
      <c r="D41" s="231">
        <f t="shared" si="8"/>
        <v>4493790.8050739514</v>
      </c>
      <c r="E41" s="231">
        <f t="shared" si="9"/>
        <v>1723954.1770687499</v>
      </c>
      <c r="F41" s="231">
        <f t="shared" si="10"/>
        <v>360439.71761962265</v>
      </c>
      <c r="G41" s="231">
        <f t="shared" si="11"/>
        <v>393171.1175474425</v>
      </c>
      <c r="H41" s="231">
        <f t="shared" si="12"/>
        <v>510752.6315239598</v>
      </c>
      <c r="I41" s="112"/>
      <c r="J41" s="66"/>
      <c r="K41" s="106"/>
      <c r="L41" s="106"/>
      <c r="M41" s="106"/>
      <c r="N41" s="106"/>
      <c r="O41" s="106"/>
    </row>
    <row r="42" spans="3:15" x14ac:dyDescent="0.25">
      <c r="C42" s="174">
        <v>2003</v>
      </c>
      <c r="D42" s="231">
        <f t="shared" si="8"/>
        <v>8084329.6583280386</v>
      </c>
      <c r="E42" s="231">
        <f t="shared" si="9"/>
        <v>2594551.0364884683</v>
      </c>
      <c r="F42" s="231">
        <f t="shared" si="10"/>
        <v>608422.24334192299</v>
      </c>
      <c r="G42" s="231">
        <f t="shared" si="11"/>
        <v>555943.96021208365</v>
      </c>
      <c r="H42" s="231">
        <f t="shared" si="12"/>
        <v>657338.6367713362</v>
      </c>
      <c r="I42" s="112"/>
      <c r="J42" s="66"/>
      <c r="K42" s="106"/>
      <c r="L42" s="106"/>
      <c r="M42" s="106"/>
      <c r="N42" s="106"/>
      <c r="O42" s="106"/>
    </row>
    <row r="43" spans="3:15" x14ac:dyDescent="0.25">
      <c r="C43" s="174">
        <v>2004</v>
      </c>
      <c r="D43" s="231">
        <f t="shared" si="8"/>
        <v>9644605.2823853511</v>
      </c>
      <c r="E43" s="231">
        <f t="shared" si="9"/>
        <v>3310647.1225592857</v>
      </c>
      <c r="F43" s="231">
        <f t="shared" si="10"/>
        <v>716721.40265678521</v>
      </c>
      <c r="G43" s="231">
        <f t="shared" si="11"/>
        <v>652122.26532877411</v>
      </c>
      <c r="H43" s="231">
        <f t="shared" si="12"/>
        <v>728988.54817941179</v>
      </c>
      <c r="I43" s="112"/>
      <c r="J43" s="66"/>
      <c r="K43" s="106"/>
      <c r="L43" s="106"/>
      <c r="M43" s="106"/>
      <c r="N43" s="106"/>
      <c r="O43" s="106"/>
    </row>
    <row r="44" spans="3:15" x14ac:dyDescent="0.25">
      <c r="C44" s="175" t="s">
        <v>2757</v>
      </c>
      <c r="D44" s="176">
        <f>+(D43/D26)^(0.0588235294117647)-1</f>
        <v>0.30834601270735673</v>
      </c>
      <c r="E44" s="176">
        <f t="shared" ref="E44:H44" si="13">+(E43/E26)^(0.0588235294117647)-1</f>
        <v>0.22858905126197859</v>
      </c>
      <c r="F44" s="176">
        <f t="shared" si="13"/>
        <v>0.12283186193328932</v>
      </c>
      <c r="G44" s="176">
        <f t="shared" si="13"/>
        <v>0.11661050040263521</v>
      </c>
      <c r="H44" s="176">
        <f t="shared" si="13"/>
        <v>0.12395332600540687</v>
      </c>
      <c r="I44" s="112"/>
      <c r="J44" s="66"/>
      <c r="K44" s="106"/>
      <c r="L44" s="106"/>
      <c r="M44" s="106"/>
      <c r="N44" s="106"/>
      <c r="O44" s="106"/>
    </row>
    <row r="45" spans="3:15" x14ac:dyDescent="0.25">
      <c r="D45" s="107"/>
      <c r="E45" s="107"/>
      <c r="F45" s="107"/>
      <c r="G45" s="107"/>
      <c r="H45" s="107"/>
      <c r="I45" s="112"/>
      <c r="J45" s="66"/>
      <c r="K45" s="106"/>
      <c r="L45" s="106"/>
      <c r="M45" s="106"/>
      <c r="N45" s="106"/>
      <c r="O45" s="106"/>
    </row>
    <row r="46" spans="3:15" x14ac:dyDescent="0.25">
      <c r="D46" s="107"/>
      <c r="E46" s="107"/>
      <c r="F46" s="107"/>
      <c r="G46" s="107"/>
      <c r="H46" s="107"/>
      <c r="I46" s="112"/>
      <c r="J46" s="66"/>
      <c r="K46" s="106"/>
      <c r="L46" s="106"/>
      <c r="M46" s="106"/>
      <c r="N46" s="106"/>
      <c r="O46" s="106"/>
    </row>
    <row r="47" spans="3:15" x14ac:dyDescent="0.25">
      <c r="D47" s="107" t="s">
        <v>3718</v>
      </c>
      <c r="E47" s="107"/>
      <c r="F47" s="107"/>
      <c r="G47" s="107"/>
      <c r="H47" s="107"/>
      <c r="I47" s="112"/>
      <c r="J47" s="66"/>
      <c r="K47" s="106"/>
      <c r="L47" s="106"/>
      <c r="M47" s="106"/>
      <c r="N47" s="106"/>
      <c r="O47" s="106"/>
    </row>
    <row r="48" spans="3:15" x14ac:dyDescent="0.25">
      <c r="D48" s="460" t="s">
        <v>2757</v>
      </c>
      <c r="E48" s="460" t="s">
        <v>2706</v>
      </c>
      <c r="F48" s="460" t="s">
        <v>2707</v>
      </c>
      <c r="G48" s="460" t="s">
        <v>2710</v>
      </c>
      <c r="H48" s="107"/>
      <c r="I48" s="112"/>
      <c r="J48" s="66"/>
      <c r="K48" s="106"/>
      <c r="L48" s="106"/>
      <c r="M48" s="106"/>
      <c r="N48" s="106"/>
      <c r="O48" s="106"/>
    </row>
    <row r="49" spans="3:15" x14ac:dyDescent="0.25">
      <c r="C49" s="462" t="s">
        <v>2751</v>
      </c>
      <c r="D49" s="461">
        <f>+D20</f>
        <v>0.30834601270735673</v>
      </c>
      <c r="E49" s="329">
        <v>100000</v>
      </c>
      <c r="F49" s="329">
        <v>17</v>
      </c>
      <c r="G49" s="329">
        <f>E49*(1+D49)^F49</f>
        <v>9644605.2823853381</v>
      </c>
      <c r="H49" s="107"/>
      <c r="I49" s="112"/>
      <c r="J49" s="66"/>
      <c r="K49" s="106"/>
      <c r="L49" s="106"/>
      <c r="M49" s="106"/>
      <c r="N49" s="106"/>
      <c r="O49" s="106"/>
    </row>
    <row r="50" spans="3:15" x14ac:dyDescent="0.25">
      <c r="C50" s="462" t="s">
        <v>2849</v>
      </c>
      <c r="D50" s="461">
        <f>+E20</f>
        <v>0.22858905126197859</v>
      </c>
      <c r="E50" s="329">
        <v>100000</v>
      </c>
      <c r="F50" s="329">
        <v>17</v>
      </c>
      <c r="G50" s="329">
        <f>E50*(1+D50)^F50</f>
        <v>3310647.1225592876</v>
      </c>
      <c r="H50" s="107"/>
      <c r="I50" s="112"/>
      <c r="J50" s="66"/>
      <c r="K50" s="106"/>
      <c r="L50" s="106"/>
      <c r="M50" s="106"/>
      <c r="N50" s="106"/>
      <c r="O50" s="106"/>
    </row>
    <row r="51" spans="3:15" x14ac:dyDescent="0.25">
      <c r="C51" s="462" t="s">
        <v>2754</v>
      </c>
      <c r="D51" s="461">
        <f>+F20</f>
        <v>0.12283186193328932</v>
      </c>
      <c r="E51" s="329">
        <v>100000</v>
      </c>
      <c r="F51" s="329">
        <v>17</v>
      </c>
      <c r="G51" s="329">
        <f>E51*(1+D51)^F51</f>
        <v>716721.40265678626</v>
      </c>
      <c r="H51" s="107"/>
      <c r="I51" s="112"/>
      <c r="J51" s="66"/>
      <c r="K51" s="106"/>
      <c r="L51" s="106"/>
      <c r="M51" s="106"/>
      <c r="N51" s="106"/>
      <c r="O51" s="106"/>
    </row>
    <row r="52" spans="3:15" x14ac:dyDescent="0.25">
      <c r="C52" s="462" t="s">
        <v>2850</v>
      </c>
      <c r="D52" s="461">
        <f>+G20</f>
        <v>0.11661050040263521</v>
      </c>
      <c r="E52" s="329">
        <v>100000</v>
      </c>
      <c r="F52" s="329">
        <v>17</v>
      </c>
      <c r="G52" s="329">
        <f>E52*(1+D52)^F52</f>
        <v>652122.26532877318</v>
      </c>
      <c r="H52" s="107"/>
      <c r="I52" s="112"/>
      <c r="J52" s="66"/>
      <c r="K52" s="106"/>
      <c r="L52" s="106"/>
      <c r="M52" s="106"/>
      <c r="N52" s="106"/>
      <c r="O52" s="106"/>
    </row>
    <row r="53" spans="3:15" x14ac:dyDescent="0.25">
      <c r="C53" s="462" t="s">
        <v>2752</v>
      </c>
      <c r="D53" s="461">
        <f>+H20</f>
        <v>0.12395332600540687</v>
      </c>
      <c r="E53" s="329">
        <v>100000</v>
      </c>
      <c r="F53" s="329">
        <v>17</v>
      </c>
      <c r="G53" s="329">
        <f>E53*(1+D53)^F53</f>
        <v>728988.54817941075</v>
      </c>
      <c r="H53" s="107"/>
      <c r="I53" s="112"/>
      <c r="J53" s="66"/>
      <c r="K53" s="106"/>
      <c r="L53" s="106"/>
      <c r="M53" s="106"/>
      <c r="N53" s="106"/>
      <c r="O53" s="106"/>
    </row>
    <row r="54" spans="3:15" x14ac:dyDescent="0.25">
      <c r="D54" s="107"/>
      <c r="E54" s="107"/>
      <c r="F54" s="107"/>
      <c r="G54" s="107"/>
      <c r="H54" s="107"/>
      <c r="I54" s="112"/>
      <c r="J54" s="66"/>
      <c r="K54" s="106"/>
      <c r="L54" s="106"/>
      <c r="M54" s="106"/>
      <c r="N54" s="106"/>
      <c r="O54" s="106"/>
    </row>
    <row r="55" spans="3:15" x14ac:dyDescent="0.25">
      <c r="D55" s="107"/>
      <c r="E55" s="107"/>
      <c r="F55" s="107"/>
      <c r="G55" s="107"/>
      <c r="H55" s="107"/>
      <c r="I55" s="112"/>
      <c r="J55" s="66"/>
      <c r="K55" s="106"/>
      <c r="L55" s="106"/>
      <c r="M55" s="106"/>
      <c r="N55" s="106"/>
      <c r="O55" s="106"/>
    </row>
    <row r="56" spans="3:15" x14ac:dyDescent="0.25">
      <c r="E56" s="107"/>
      <c r="F56" s="107"/>
      <c r="G56" s="107"/>
      <c r="H56" s="107"/>
      <c r="I56" s="112"/>
      <c r="J56" s="66"/>
      <c r="K56" s="106"/>
      <c r="L56" s="106"/>
      <c r="M56" s="106"/>
      <c r="N56" s="106"/>
      <c r="O56" s="106"/>
    </row>
    <row r="57" spans="3:15" x14ac:dyDescent="0.25">
      <c r="D57" s="109" t="s">
        <v>2757</v>
      </c>
      <c r="E57" s="107"/>
      <c r="F57" s="107"/>
      <c r="G57" s="107"/>
      <c r="H57" s="107"/>
      <c r="I57" s="112"/>
      <c r="J57" s="66"/>
      <c r="K57" s="106"/>
      <c r="L57" s="106"/>
      <c r="M57" s="106"/>
      <c r="N57" s="106"/>
      <c r="O57" s="106"/>
    </row>
    <row r="58" spans="3:15" x14ac:dyDescent="0.25">
      <c r="C58" s="109" t="s">
        <v>2758</v>
      </c>
      <c r="D58" s="107">
        <v>0.17899999999999999</v>
      </c>
      <c r="E58" s="107"/>
      <c r="F58" s="107"/>
      <c r="G58" s="107"/>
      <c r="H58" s="107"/>
      <c r="I58" s="112"/>
      <c r="J58" s="66"/>
      <c r="K58" s="106"/>
      <c r="L58" s="106"/>
      <c r="M58" s="106"/>
      <c r="N58" s="106"/>
      <c r="O58" s="106"/>
    </row>
    <row r="59" spans="3:15" x14ac:dyDescent="0.25">
      <c r="C59" s="109" t="s">
        <v>2759</v>
      </c>
      <c r="D59" s="107">
        <v>0.156</v>
      </c>
      <c r="E59" s="107"/>
      <c r="F59" s="107"/>
      <c r="G59" s="107"/>
      <c r="H59" s="107"/>
      <c r="I59" s="112"/>
      <c r="J59" s="66"/>
      <c r="K59" s="106"/>
      <c r="L59" s="106"/>
      <c r="M59" s="106"/>
      <c r="N59" s="106"/>
      <c r="O59" s="106"/>
    </row>
    <row r="60" spans="3:15" x14ac:dyDescent="0.25">
      <c r="C60" s="109" t="s">
        <v>2760</v>
      </c>
      <c r="D60" s="107">
        <v>0.14799999999999999</v>
      </c>
    </row>
    <row r="61" spans="3:15" x14ac:dyDescent="0.25">
      <c r="C61" s="109" t="s">
        <v>2761</v>
      </c>
      <c r="D61" s="107">
        <v>0.14199999999999999</v>
      </c>
    </row>
    <row r="62" spans="3:15" x14ac:dyDescent="0.25">
      <c r="C62" s="109" t="s">
        <v>2762</v>
      </c>
      <c r="D62" s="107">
        <v>0.14099999999999999</v>
      </c>
    </row>
    <row r="63" spans="3:15" x14ac:dyDescent="0.25">
      <c r="C63" s="109" t="s">
        <v>2763</v>
      </c>
      <c r="D63" s="107">
        <v>0.127</v>
      </c>
    </row>
    <row r="64" spans="3:15" x14ac:dyDescent="0.25">
      <c r="C64" s="109" t="s">
        <v>2764</v>
      </c>
      <c r="D64" s="107">
        <v>0.113</v>
      </c>
    </row>
    <row r="65" spans="3:11" x14ac:dyDescent="0.25">
      <c r="C65" s="109" t="s">
        <v>2765</v>
      </c>
      <c r="D65" s="107">
        <v>0.10100000000000001</v>
      </c>
    </row>
    <row r="66" spans="3:11" x14ac:dyDescent="0.25">
      <c r="C66" s="109" t="s">
        <v>2766</v>
      </c>
      <c r="D66" s="107">
        <v>5.1999999999999998E-2</v>
      </c>
    </row>
    <row r="67" spans="3:11" x14ac:dyDescent="0.25">
      <c r="C67" s="109" t="s">
        <v>2767</v>
      </c>
      <c r="D67" s="107">
        <v>2.5000000000000001E-2</v>
      </c>
    </row>
    <row r="70" spans="3:11" x14ac:dyDescent="0.25">
      <c r="G70" s="878"/>
    </row>
    <row r="71" spans="3:11" x14ac:dyDescent="0.25">
      <c r="C71" s="108" t="s">
        <v>3720</v>
      </c>
    </row>
    <row r="80" spans="3:11" x14ac:dyDescent="0.25">
      <c r="I80" s="846"/>
      <c r="K80" s="847"/>
    </row>
    <row r="96" spans="3:3" x14ac:dyDescent="0.25">
      <c r="C96" s="179" t="s">
        <v>2771</v>
      </c>
    </row>
    <row r="97" spans="3:5" x14ac:dyDescent="0.25">
      <c r="C97" s="110" t="s">
        <v>2768</v>
      </c>
      <c r="D97" s="110" t="s">
        <v>2769</v>
      </c>
      <c r="E97" s="110" t="s">
        <v>2770</v>
      </c>
    </row>
    <row r="98" spans="3:5" x14ac:dyDescent="0.25">
      <c r="C98" s="116">
        <v>36164</v>
      </c>
      <c r="D98" s="115">
        <v>100</v>
      </c>
      <c r="E98" s="115">
        <v>100</v>
      </c>
    </row>
    <row r="99" spans="3:5" x14ac:dyDescent="0.25">
      <c r="C99" s="116">
        <v>36528</v>
      </c>
      <c r="D99" s="115">
        <v>144</v>
      </c>
      <c r="E99" s="115">
        <v>120</v>
      </c>
    </row>
    <row r="100" spans="3:5" x14ac:dyDescent="0.25">
      <c r="C100" s="116">
        <v>36892</v>
      </c>
      <c r="D100" s="115">
        <v>162</v>
      </c>
      <c r="E100" s="115">
        <v>109</v>
      </c>
    </row>
    <row r="101" spans="3:5" x14ac:dyDescent="0.25">
      <c r="C101" s="116">
        <v>37257</v>
      </c>
      <c r="D101" s="115">
        <v>229</v>
      </c>
      <c r="E101" s="115">
        <v>96</v>
      </c>
    </row>
    <row r="102" spans="3:5" x14ac:dyDescent="0.25">
      <c r="C102" s="116">
        <v>37622</v>
      </c>
      <c r="D102" s="115">
        <v>257</v>
      </c>
      <c r="E102" s="115">
        <v>77</v>
      </c>
    </row>
    <row r="103" spans="3:5" x14ac:dyDescent="0.25">
      <c r="C103" s="116">
        <v>37987</v>
      </c>
      <c r="D103" s="115">
        <v>389</v>
      </c>
      <c r="E103" s="115">
        <v>96</v>
      </c>
    </row>
    <row r="104" spans="3:5" x14ac:dyDescent="0.25">
      <c r="C104" s="116">
        <v>38355</v>
      </c>
      <c r="D104" s="115">
        <v>547</v>
      </c>
      <c r="E104" s="115">
        <v>107</v>
      </c>
    </row>
    <row r="105" spans="3:5" x14ac:dyDescent="0.25">
      <c r="C105" s="116">
        <v>38719</v>
      </c>
      <c r="D105" s="115">
        <v>723</v>
      </c>
      <c r="E105" s="115">
        <v>112</v>
      </c>
    </row>
    <row r="106" spans="3:5" x14ac:dyDescent="0.25">
      <c r="C106" s="116">
        <v>39083</v>
      </c>
      <c r="D106" s="115">
        <v>787</v>
      </c>
      <c r="E106" s="115">
        <v>130</v>
      </c>
    </row>
    <row r="107" spans="3:5" x14ac:dyDescent="0.25">
      <c r="C107" s="116">
        <v>39448</v>
      </c>
      <c r="D107" s="115">
        <v>800</v>
      </c>
      <c r="E107" s="115">
        <v>137</v>
      </c>
    </row>
    <row r="108" spans="3:5" x14ac:dyDescent="0.25">
      <c r="C108" s="116">
        <v>39814</v>
      </c>
      <c r="D108" s="115">
        <v>467</v>
      </c>
      <c r="E108" s="115">
        <v>86</v>
      </c>
    </row>
    <row r="109" spans="3:5" x14ac:dyDescent="0.25">
      <c r="C109" s="116">
        <v>40179</v>
      </c>
      <c r="D109" s="115">
        <v>849</v>
      </c>
      <c r="E109" s="115">
        <v>110</v>
      </c>
    </row>
    <row r="110" spans="3:5" x14ac:dyDescent="0.25">
      <c r="C110" s="116">
        <v>40546</v>
      </c>
      <c r="D110" s="115">
        <v>1036</v>
      </c>
      <c r="E110" s="115">
        <v>126</v>
      </c>
    </row>
    <row r="111" spans="3:5" x14ac:dyDescent="0.25">
      <c r="C111" s="116">
        <v>40910</v>
      </c>
      <c r="D111" s="115">
        <v>1041</v>
      </c>
      <c r="E111" s="115">
        <v>130</v>
      </c>
    </row>
    <row r="112" spans="3:5" x14ac:dyDescent="0.25">
      <c r="C112" s="116">
        <v>41275</v>
      </c>
      <c r="D112" s="115">
        <v>1163</v>
      </c>
      <c r="E112" s="115">
        <v>151</v>
      </c>
    </row>
    <row r="113" spans="3:7" x14ac:dyDescent="0.25">
      <c r="C113" s="116">
        <v>41640</v>
      </c>
      <c r="D113" s="115">
        <v>1725</v>
      </c>
      <c r="E113" s="115">
        <v>195</v>
      </c>
    </row>
    <row r="114" spans="3:7" x14ac:dyDescent="0.25">
      <c r="C114" s="116">
        <v>42005</v>
      </c>
      <c r="D114" s="115">
        <v>1986</v>
      </c>
      <c r="E114" s="115">
        <v>223</v>
      </c>
    </row>
    <row r="115" spans="3:7" x14ac:dyDescent="0.25">
      <c r="C115" s="116">
        <v>42370</v>
      </c>
      <c r="D115" s="115">
        <v>1895</v>
      </c>
      <c r="E115" s="115">
        <v>221</v>
      </c>
    </row>
    <row r="116" spans="3:7" x14ac:dyDescent="0.25">
      <c r="C116" s="116">
        <v>42737</v>
      </c>
      <c r="D116" s="115">
        <v>2248</v>
      </c>
      <c r="E116" s="115">
        <v>254</v>
      </c>
      <c r="G116" s="111"/>
    </row>
    <row r="117" spans="3:7" x14ac:dyDescent="0.25">
      <c r="C117" s="116">
        <v>43101</v>
      </c>
      <c r="D117" s="115">
        <v>2749</v>
      </c>
      <c r="E117" s="115">
        <v>308</v>
      </c>
    </row>
    <row r="118" spans="3:7" x14ac:dyDescent="0.25">
      <c r="C118" s="116">
        <v>43466</v>
      </c>
      <c r="D118" s="115">
        <v>2190</v>
      </c>
      <c r="E118" s="115">
        <v>288</v>
      </c>
    </row>
    <row r="119" spans="3:7" x14ac:dyDescent="0.25">
      <c r="C119" s="116">
        <v>43831</v>
      </c>
      <c r="D119" s="115">
        <v>2715</v>
      </c>
      <c r="E119" s="115">
        <v>386</v>
      </c>
    </row>
    <row r="120" spans="3:7" x14ac:dyDescent="0.25">
      <c r="C120" s="116">
        <v>44197</v>
      </c>
      <c r="D120" s="115">
        <v>2993</v>
      </c>
      <c r="E120" s="115">
        <v>456</v>
      </c>
    </row>
    <row r="121" spans="3:7" x14ac:dyDescent="0.25">
      <c r="C121" s="116">
        <v>44564</v>
      </c>
      <c r="D121" s="115">
        <v>4500</v>
      </c>
      <c r="E121" s="115">
        <v>586</v>
      </c>
    </row>
    <row r="122" spans="3:7" x14ac:dyDescent="0.25">
      <c r="C122" s="116">
        <v>44643</v>
      </c>
      <c r="D122" s="115">
        <v>4582</v>
      </c>
      <c r="E122" s="115">
        <v>555</v>
      </c>
    </row>
    <row r="125" spans="3:7" ht="15.75" thickBot="1" x14ac:dyDescent="0.3">
      <c r="C125" s="182"/>
      <c r="D125" s="184" t="s">
        <v>2865</v>
      </c>
      <c r="E125" s="184" t="s">
        <v>2752</v>
      </c>
    </row>
    <row r="126" spans="3:7" x14ac:dyDescent="0.25">
      <c r="C126" s="179" t="s">
        <v>2706</v>
      </c>
      <c r="D126" s="115">
        <v>100000</v>
      </c>
      <c r="E126" s="115">
        <v>100000</v>
      </c>
    </row>
    <row r="127" spans="3:7" x14ac:dyDescent="0.25">
      <c r="C127" s="179" t="s">
        <v>2710</v>
      </c>
      <c r="D127" s="115">
        <v>120800.57</v>
      </c>
      <c r="E127" s="115">
        <v>118079.3</v>
      </c>
    </row>
    <row r="128" spans="3:7" x14ac:dyDescent="0.25">
      <c r="C128" s="179" t="s">
        <v>2192</v>
      </c>
      <c r="D128" s="181">
        <v>44655</v>
      </c>
      <c r="E128" s="181">
        <v>44655</v>
      </c>
    </row>
    <row r="129" spans="3:5" x14ac:dyDescent="0.25">
      <c r="C129" s="179" t="s">
        <v>2193</v>
      </c>
      <c r="D129" s="181">
        <v>45510</v>
      </c>
      <c r="E129" s="181">
        <v>45510</v>
      </c>
    </row>
    <row r="130" spans="3:5" x14ac:dyDescent="0.25">
      <c r="C130" s="179" t="s">
        <v>2863</v>
      </c>
      <c r="D130" s="183">
        <f>+(D129-D128)/365</f>
        <v>2.3424657534246576</v>
      </c>
      <c r="E130" s="183">
        <f>+(E129-E128)/365</f>
        <v>2.3424657534246576</v>
      </c>
    </row>
    <row r="131" spans="3:5" x14ac:dyDescent="0.25">
      <c r="C131" s="179" t="s">
        <v>2757</v>
      </c>
      <c r="D131" s="107">
        <f>(D127/D126)^(1/D130)-1</f>
        <v>8.4015013195033461E-2</v>
      </c>
      <c r="E131" s="107">
        <f>(E127/E126)^(1/E130)-1</f>
        <v>7.3522186842417625E-2</v>
      </c>
    </row>
    <row r="132" spans="3:5" x14ac:dyDescent="0.25">
      <c r="C132" s="179" t="s">
        <v>2864</v>
      </c>
      <c r="D132" s="107">
        <f>+D127/D126-1</f>
        <v>0.20800569999999996</v>
      </c>
      <c r="E132" s="107">
        <f>+E127/E126-1</f>
        <v>0.18079299999999998</v>
      </c>
    </row>
  </sheetData>
  <hyperlinks>
    <hyperlink ref="A1" location="Inicio!A1" display="Inicio" xr:uid="{B6453C7E-99DD-4141-AA47-E6A98DF2864B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BAD39-3A9E-E84D-A703-63DD95E05ED8}">
  <sheetPr>
    <tabColor theme="7" tint="0.79998168889431442"/>
  </sheetPr>
  <dimension ref="A1:I25"/>
  <sheetViews>
    <sheetView showGridLines="0" zoomScaleNormal="150" zoomScaleSheetLayoutView="100" workbookViewId="0"/>
  </sheetViews>
  <sheetFormatPr defaultColWidth="9" defaultRowHeight="15" x14ac:dyDescent="0.25"/>
  <sheetData>
    <row r="1" spans="1:9" x14ac:dyDescent="0.25">
      <c r="A1" s="458" t="s">
        <v>2821</v>
      </c>
    </row>
    <row r="4" spans="1:9" x14ac:dyDescent="0.25">
      <c r="C4" s="175" t="s">
        <v>2866</v>
      </c>
      <c r="D4" s="175" t="s">
        <v>2867</v>
      </c>
    </row>
    <row r="5" spans="1:9" x14ac:dyDescent="0.25">
      <c r="B5" s="174">
        <v>0</v>
      </c>
      <c r="C5" s="231">
        <v>100</v>
      </c>
      <c r="D5" s="231">
        <v>100</v>
      </c>
      <c r="I5" t="s">
        <v>3721</v>
      </c>
    </row>
    <row r="6" spans="1:9" x14ac:dyDescent="0.25">
      <c r="B6" s="174">
        <v>1</v>
      </c>
      <c r="C6" s="231">
        <v>150</v>
      </c>
      <c r="D6" s="231">
        <v>110</v>
      </c>
      <c r="F6" s="165">
        <f>+C6/C5-1</f>
        <v>0.5</v>
      </c>
      <c r="G6" s="165">
        <f>+D6/D5-1</f>
        <v>0.10000000000000009</v>
      </c>
    </row>
    <row r="7" spans="1:9" x14ac:dyDescent="0.25">
      <c r="B7" s="174">
        <v>2</v>
      </c>
      <c r="C7" s="231">
        <v>50</v>
      </c>
      <c r="D7" s="231">
        <v>105</v>
      </c>
      <c r="F7" s="165">
        <f t="shared" ref="F7:F25" si="0">+C7/C6-1</f>
        <v>-0.66666666666666674</v>
      </c>
      <c r="G7" s="165">
        <f t="shared" ref="G7:G24" si="1">+D7/D6-1</f>
        <v>-4.5454545454545414E-2</v>
      </c>
    </row>
    <row r="8" spans="1:9" x14ac:dyDescent="0.25">
      <c r="B8" s="174">
        <v>3</v>
      </c>
      <c r="C8" s="231">
        <v>180</v>
      </c>
      <c r="D8" s="231">
        <v>115</v>
      </c>
      <c r="F8" s="165">
        <f t="shared" si="0"/>
        <v>2.6</v>
      </c>
      <c r="G8" s="165">
        <f t="shared" si="1"/>
        <v>9.5238095238095344E-2</v>
      </c>
    </row>
    <row r="9" spans="1:9" x14ac:dyDescent="0.25">
      <c r="B9" s="174">
        <v>4</v>
      </c>
      <c r="C9" s="231">
        <v>75</v>
      </c>
      <c r="D9" s="231">
        <v>110</v>
      </c>
      <c r="F9" s="165">
        <f t="shared" si="0"/>
        <v>-0.58333333333333326</v>
      </c>
      <c r="G9" s="165">
        <f t="shared" si="1"/>
        <v>-4.3478260869565188E-2</v>
      </c>
    </row>
    <row r="10" spans="1:9" x14ac:dyDescent="0.25">
      <c r="B10" s="174">
        <v>5</v>
      </c>
      <c r="C10" s="231">
        <v>190</v>
      </c>
      <c r="D10" s="231">
        <v>120</v>
      </c>
      <c r="F10" s="165">
        <f t="shared" si="0"/>
        <v>1.5333333333333332</v>
      </c>
      <c r="G10" s="165">
        <f t="shared" si="1"/>
        <v>9.0909090909090828E-2</v>
      </c>
    </row>
    <row r="11" spans="1:9" x14ac:dyDescent="0.25">
      <c r="B11" s="174">
        <v>6</v>
      </c>
      <c r="C11" s="231">
        <v>100</v>
      </c>
      <c r="D11" s="231">
        <v>140</v>
      </c>
      <c r="F11" s="165">
        <f t="shared" si="0"/>
        <v>-0.47368421052631582</v>
      </c>
      <c r="G11" s="165">
        <f t="shared" si="1"/>
        <v>0.16666666666666674</v>
      </c>
    </row>
    <row r="12" spans="1:9" x14ac:dyDescent="0.25">
      <c r="B12" s="174">
        <v>7</v>
      </c>
      <c r="C12" s="231">
        <v>50</v>
      </c>
      <c r="D12" s="231">
        <v>150</v>
      </c>
      <c r="F12" s="165">
        <f t="shared" si="0"/>
        <v>-0.5</v>
      </c>
      <c r="G12" s="165">
        <f t="shared" si="1"/>
        <v>7.1428571428571397E-2</v>
      </c>
    </row>
    <row r="13" spans="1:9" x14ac:dyDescent="0.25">
      <c r="B13" s="174">
        <v>8</v>
      </c>
      <c r="C13" s="231">
        <v>250</v>
      </c>
      <c r="D13" s="231">
        <v>130</v>
      </c>
      <c r="F13" s="165">
        <f t="shared" si="0"/>
        <v>4</v>
      </c>
      <c r="G13" s="165">
        <f t="shared" si="1"/>
        <v>-0.1333333333333333</v>
      </c>
    </row>
    <row r="14" spans="1:9" x14ac:dyDescent="0.25">
      <c r="B14" s="174">
        <v>9</v>
      </c>
      <c r="C14" s="231">
        <v>100</v>
      </c>
      <c r="D14" s="231">
        <v>160</v>
      </c>
      <c r="F14" s="165">
        <f t="shared" si="0"/>
        <v>-0.6</v>
      </c>
      <c r="G14" s="165">
        <f t="shared" si="1"/>
        <v>0.23076923076923084</v>
      </c>
    </row>
    <row r="15" spans="1:9" x14ac:dyDescent="0.25">
      <c r="B15" s="174">
        <v>10</v>
      </c>
      <c r="C15" s="231">
        <v>200</v>
      </c>
      <c r="D15" s="231">
        <v>145</v>
      </c>
      <c r="F15" s="165">
        <f t="shared" si="0"/>
        <v>1</v>
      </c>
      <c r="G15" s="165">
        <f t="shared" si="1"/>
        <v>-9.375E-2</v>
      </c>
    </row>
    <row r="16" spans="1:9" x14ac:dyDescent="0.25">
      <c r="B16" s="174">
        <v>11</v>
      </c>
      <c r="C16" s="231">
        <v>200</v>
      </c>
      <c r="D16" s="231">
        <v>175</v>
      </c>
      <c r="F16" s="165">
        <f t="shared" si="0"/>
        <v>0</v>
      </c>
      <c r="G16" s="165">
        <f t="shared" si="1"/>
        <v>0.2068965517241379</v>
      </c>
    </row>
    <row r="17" spans="2:7" x14ac:dyDescent="0.25">
      <c r="B17" s="174">
        <v>12</v>
      </c>
      <c r="C17" s="231">
        <v>100</v>
      </c>
      <c r="D17" s="231">
        <v>160</v>
      </c>
      <c r="F17" s="165">
        <f t="shared" si="0"/>
        <v>-0.5</v>
      </c>
      <c r="G17" s="165">
        <f t="shared" si="1"/>
        <v>-8.5714285714285743E-2</v>
      </c>
    </row>
    <row r="18" spans="2:7" x14ac:dyDescent="0.25">
      <c r="B18" s="174">
        <v>13</v>
      </c>
      <c r="C18" s="231">
        <v>300</v>
      </c>
      <c r="D18" s="231">
        <v>180</v>
      </c>
      <c r="F18" s="165">
        <f t="shared" si="0"/>
        <v>2</v>
      </c>
      <c r="G18" s="165">
        <f t="shared" si="1"/>
        <v>0.125</v>
      </c>
    </row>
    <row r="19" spans="2:7" x14ac:dyDescent="0.25">
      <c r="B19" s="174">
        <v>14</v>
      </c>
      <c r="C19" s="231">
        <v>80</v>
      </c>
      <c r="D19" s="231">
        <v>175</v>
      </c>
      <c r="F19" s="165">
        <f t="shared" si="0"/>
        <v>-0.73333333333333339</v>
      </c>
      <c r="G19" s="165">
        <f t="shared" si="1"/>
        <v>-2.777777777777779E-2</v>
      </c>
    </row>
    <row r="20" spans="2:7" x14ac:dyDescent="0.25">
      <c r="B20" s="174">
        <v>15</v>
      </c>
      <c r="C20" s="231">
        <v>80</v>
      </c>
      <c r="D20" s="231">
        <v>190</v>
      </c>
      <c r="F20" s="165">
        <f t="shared" si="0"/>
        <v>0</v>
      </c>
      <c r="G20" s="165">
        <f t="shared" si="1"/>
        <v>8.5714285714285632E-2</v>
      </c>
    </row>
    <row r="21" spans="2:7" x14ac:dyDescent="0.25">
      <c r="B21" s="174">
        <v>16</v>
      </c>
      <c r="C21" s="231">
        <v>125</v>
      </c>
      <c r="D21" s="231">
        <v>180</v>
      </c>
      <c r="F21" s="165">
        <f t="shared" si="0"/>
        <v>0.5625</v>
      </c>
      <c r="G21" s="165">
        <f t="shared" si="1"/>
        <v>-5.2631578947368474E-2</v>
      </c>
    </row>
    <row r="22" spans="2:7" x14ac:dyDescent="0.25">
      <c r="B22" s="174">
        <v>17</v>
      </c>
      <c r="C22" s="231">
        <v>175</v>
      </c>
      <c r="D22" s="231">
        <v>200</v>
      </c>
      <c r="F22" s="165">
        <f t="shared" si="0"/>
        <v>0.39999999999999991</v>
      </c>
      <c r="G22" s="165">
        <f t="shared" si="1"/>
        <v>0.11111111111111116</v>
      </c>
    </row>
    <row r="23" spans="2:7" x14ac:dyDescent="0.25">
      <c r="B23" s="174">
        <v>18</v>
      </c>
      <c r="C23" s="231">
        <v>100</v>
      </c>
      <c r="D23" s="231">
        <v>205</v>
      </c>
      <c r="F23" s="165">
        <f t="shared" si="0"/>
        <v>-0.4285714285714286</v>
      </c>
      <c r="G23" s="165">
        <f t="shared" si="1"/>
        <v>2.4999999999999911E-2</v>
      </c>
    </row>
    <row r="24" spans="2:7" x14ac:dyDescent="0.25">
      <c r="B24" s="174">
        <v>19</v>
      </c>
      <c r="C24" s="231">
        <v>200</v>
      </c>
      <c r="D24" s="231">
        <v>200</v>
      </c>
      <c r="F24" s="165">
        <f t="shared" si="0"/>
        <v>1</v>
      </c>
      <c r="G24" s="165">
        <f t="shared" si="1"/>
        <v>-2.4390243902439046E-2</v>
      </c>
    </row>
    <row r="25" spans="2:7" x14ac:dyDescent="0.25">
      <c r="F25" s="165">
        <f t="shared" si="0"/>
        <v>-1</v>
      </c>
      <c r="G25" s="165"/>
    </row>
  </sheetData>
  <hyperlinks>
    <hyperlink ref="A1" location="Inicio!A1" display="Inicio" xr:uid="{EE97C2EB-91FD-49B4-8FE8-3FC5BD96C106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36561-387C-4979-8397-ED387EE331C8}">
  <sheetPr>
    <tabColor theme="5" tint="0.79998168889431442"/>
  </sheetPr>
  <dimension ref="A1:J33"/>
  <sheetViews>
    <sheetView showGridLines="0" workbookViewId="0"/>
  </sheetViews>
  <sheetFormatPr defaultColWidth="12.42578125" defaultRowHeight="15.75" x14ac:dyDescent="0.25"/>
  <cols>
    <col min="1" max="1" width="12.42578125" style="89"/>
    <col min="2" max="2" width="24.85546875" style="89" customWidth="1"/>
    <col min="3" max="5" width="12.42578125" style="89"/>
    <col min="6" max="6" width="16.5703125" style="89" customWidth="1"/>
    <col min="7" max="7" width="70.140625" style="89" customWidth="1"/>
    <col min="8" max="8" width="12.42578125" style="89"/>
    <col min="9" max="9" width="39.28515625" style="89" customWidth="1"/>
    <col min="10" max="10" width="46" style="89" customWidth="1"/>
    <col min="11" max="16384" width="12.42578125" style="89"/>
  </cols>
  <sheetData>
    <row r="1" spans="1:10" x14ac:dyDescent="0.25">
      <c r="A1" s="458" t="s">
        <v>2821</v>
      </c>
    </row>
    <row r="3" spans="1:10" ht="16.5" thickBot="1" x14ac:dyDescent="0.3">
      <c r="B3"/>
      <c r="C3" t="s">
        <v>3725</v>
      </c>
      <c r="D3"/>
      <c r="E3"/>
      <c r="G3" s="89" t="s">
        <v>3730</v>
      </c>
      <c r="I3" s="89" t="s">
        <v>3731</v>
      </c>
    </row>
    <row r="4" spans="1:10" ht="16.5" thickBot="1" x14ac:dyDescent="0.3">
      <c r="B4"/>
      <c r="C4" s="134">
        <v>2022</v>
      </c>
      <c r="D4" s="134">
        <v>2023</v>
      </c>
      <c r="E4" s="134">
        <v>2024</v>
      </c>
      <c r="G4" s="464" t="s">
        <v>3400</v>
      </c>
      <c r="I4" s="469" t="s">
        <v>3416</v>
      </c>
      <c r="J4" s="469" t="s">
        <v>3417</v>
      </c>
    </row>
    <row r="5" spans="1:10" ht="16.5" thickBot="1" x14ac:dyDescent="0.3">
      <c r="B5" s="187" t="s">
        <v>2868</v>
      </c>
      <c r="C5" s="132">
        <v>52300</v>
      </c>
      <c r="D5" s="132">
        <f>+C5*(1+3%)</f>
        <v>53869</v>
      </c>
      <c r="E5" s="132">
        <f>+D5*(1+3%)</f>
        <v>55485.07</v>
      </c>
      <c r="G5" s="463" t="s">
        <v>3401</v>
      </c>
      <c r="I5" s="473" t="s">
        <v>3410</v>
      </c>
      <c r="J5" s="473" t="s">
        <v>3411</v>
      </c>
    </row>
    <row r="6" spans="1:10" ht="16.5" thickBot="1" x14ac:dyDescent="0.3">
      <c r="B6" s="187" t="s">
        <v>2869</v>
      </c>
      <c r="C6" s="132">
        <f>+SUM(C7:C10)*-1</f>
        <v>-16200</v>
      </c>
      <c r="D6" s="132">
        <f>+SUM(D7:D10)*-1</f>
        <v>-16860</v>
      </c>
      <c r="E6" s="132">
        <f>+SUM(E7:E10)*-1</f>
        <v>-17376.239999999998</v>
      </c>
      <c r="G6" s="465" t="s">
        <v>3402</v>
      </c>
      <c r="I6" s="473" t="s">
        <v>3412</v>
      </c>
      <c r="J6" s="473" t="s">
        <v>3413</v>
      </c>
    </row>
    <row r="7" spans="1:10" ht="16.5" thickBot="1" x14ac:dyDescent="0.3">
      <c r="B7" s="185" t="s">
        <v>2870</v>
      </c>
      <c r="C7" s="186">
        <f>450*12</f>
        <v>5400</v>
      </c>
      <c r="D7" s="186">
        <f>475*12</f>
        <v>5700</v>
      </c>
      <c r="E7" s="186">
        <f>487*12</f>
        <v>5844</v>
      </c>
      <c r="G7" s="463" t="s">
        <v>3403</v>
      </c>
      <c r="I7" s="473" t="s">
        <v>3414</v>
      </c>
      <c r="J7" s="473" t="s">
        <v>3415</v>
      </c>
    </row>
    <row r="8" spans="1:10" ht="16.5" thickBot="1" x14ac:dyDescent="0.3">
      <c r="B8" s="185" t="s">
        <v>2871</v>
      </c>
      <c r="C8" s="186">
        <f>300*12</f>
        <v>3600</v>
      </c>
      <c r="D8" s="186">
        <f>+C8*(1+4%)</f>
        <v>3744</v>
      </c>
      <c r="E8" s="186">
        <f>+D8*(1+4%)</f>
        <v>3893.76</v>
      </c>
      <c r="G8" s="465" t="s">
        <v>3404</v>
      </c>
    </row>
    <row r="9" spans="1:10" ht="16.5" thickBot="1" x14ac:dyDescent="0.3">
      <c r="B9" s="185" t="s">
        <v>2872</v>
      </c>
      <c r="C9" s="186">
        <f>500*12</f>
        <v>6000</v>
      </c>
      <c r="D9" s="186">
        <f t="shared" ref="D9:E11" si="0">+C9*(1+3%)</f>
        <v>6180</v>
      </c>
      <c r="E9" s="186">
        <f t="shared" si="0"/>
        <v>6365.4000000000005</v>
      </c>
      <c r="G9" s="463" t="s">
        <v>3405</v>
      </c>
    </row>
    <row r="10" spans="1:10" ht="16.5" thickBot="1" x14ac:dyDescent="0.3">
      <c r="B10" s="185" t="s">
        <v>2873</v>
      </c>
      <c r="C10" s="186">
        <f>100*12</f>
        <v>1200</v>
      </c>
      <c r="D10" s="186">
        <f t="shared" si="0"/>
        <v>1236</v>
      </c>
      <c r="E10" s="186">
        <f t="shared" si="0"/>
        <v>1273.08</v>
      </c>
      <c r="G10" s="465" t="s">
        <v>3406</v>
      </c>
    </row>
    <row r="11" spans="1:10" ht="16.5" thickBot="1" x14ac:dyDescent="0.3">
      <c r="B11" s="187" t="s">
        <v>2874</v>
      </c>
      <c r="C11" s="132">
        <f>-200*12</f>
        <v>-2400</v>
      </c>
      <c r="D11" s="132">
        <f t="shared" si="0"/>
        <v>-2472</v>
      </c>
      <c r="E11" s="132">
        <f t="shared" si="0"/>
        <v>-2546.16</v>
      </c>
      <c r="G11" s="463" t="s">
        <v>2795</v>
      </c>
    </row>
    <row r="12" spans="1:10" ht="16.5" thickBot="1" x14ac:dyDescent="0.3">
      <c r="B12" s="187" t="s">
        <v>2875</v>
      </c>
      <c r="C12" s="132">
        <f>+SUM(C13:C15)*-1</f>
        <v>-16200</v>
      </c>
      <c r="D12" s="132">
        <f>+SUM(D13:D15)*-1</f>
        <v>-16686</v>
      </c>
      <c r="E12" s="132">
        <f>+SUM(E13:E15)*-1</f>
        <v>-17186.580000000002</v>
      </c>
      <c r="G12" s="466" t="s">
        <v>2796</v>
      </c>
    </row>
    <row r="13" spans="1:10" x14ac:dyDescent="0.25">
      <c r="B13" s="185" t="s">
        <v>2876</v>
      </c>
      <c r="C13" s="186">
        <f>1000*12</f>
        <v>12000</v>
      </c>
      <c r="D13" s="186">
        <f t="shared" ref="D13:E15" si="1">+C13*(1+3%)</f>
        <v>12360</v>
      </c>
      <c r="E13" s="186">
        <f t="shared" si="1"/>
        <v>12730.800000000001</v>
      </c>
    </row>
    <row r="14" spans="1:10" x14ac:dyDescent="0.25">
      <c r="B14" s="185" t="s">
        <v>2877</v>
      </c>
      <c r="C14" s="186">
        <f>300*12</f>
        <v>3600</v>
      </c>
      <c r="D14" s="186">
        <f t="shared" si="1"/>
        <v>3708</v>
      </c>
      <c r="E14" s="186">
        <f t="shared" si="1"/>
        <v>3819.2400000000002</v>
      </c>
    </row>
    <row r="15" spans="1:10" x14ac:dyDescent="0.25">
      <c r="B15" s="185" t="s">
        <v>2878</v>
      </c>
      <c r="C15" s="186">
        <f>50*12</f>
        <v>600</v>
      </c>
      <c r="D15" s="186">
        <f t="shared" si="1"/>
        <v>618</v>
      </c>
      <c r="E15" s="186">
        <f t="shared" si="1"/>
        <v>636.54</v>
      </c>
    </row>
    <row r="16" spans="1:10" x14ac:dyDescent="0.25">
      <c r="B16" s="187" t="s">
        <v>2879</v>
      </c>
      <c r="C16" s="132">
        <v>-7530</v>
      </c>
      <c r="D16" s="132">
        <f>+C16*(1+4%)</f>
        <v>-7831.2</v>
      </c>
      <c r="E16" s="132">
        <f>+D16*(1+4%)</f>
        <v>-8144.4480000000003</v>
      </c>
    </row>
    <row r="17" spans="2:7" x14ac:dyDescent="0.25">
      <c r="B17" s="187" t="s">
        <v>2880</v>
      </c>
      <c r="C17" s="132">
        <f>+C16+C12+C11+C6</f>
        <v>-42330</v>
      </c>
      <c r="D17" s="132">
        <f>+D16+D12+D11+D6</f>
        <v>-43849.2</v>
      </c>
      <c r="E17" s="132">
        <f>+E16+E12+E11+E6</f>
        <v>-45253.428</v>
      </c>
    </row>
    <row r="18" spans="2:7" x14ac:dyDescent="0.25">
      <c r="B18" s="187" t="s">
        <v>2881</v>
      </c>
      <c r="C18" s="132">
        <f>+C5+C17</f>
        <v>9970</v>
      </c>
      <c r="D18" s="132">
        <f>+D5+D17</f>
        <v>10019.800000000003</v>
      </c>
      <c r="E18" s="132">
        <f>+E5+E17</f>
        <v>10231.642</v>
      </c>
    </row>
    <row r="22" spans="2:7" x14ac:dyDescent="0.25">
      <c r="B22" s="89" t="s">
        <v>3728</v>
      </c>
      <c r="G22" s="89" t="s">
        <v>3732</v>
      </c>
    </row>
    <row r="23" spans="2:7" x14ac:dyDescent="0.25">
      <c r="B23" s="310"/>
      <c r="C23" s="469">
        <v>2024</v>
      </c>
      <c r="D23" s="469">
        <v>2025</v>
      </c>
      <c r="G23" s="476" t="s">
        <v>3400</v>
      </c>
    </row>
    <row r="24" spans="2:7" x14ac:dyDescent="0.25">
      <c r="B24" s="467" t="s">
        <v>3087</v>
      </c>
      <c r="C24" s="412">
        <v>150000</v>
      </c>
      <c r="D24" s="470">
        <v>200000</v>
      </c>
      <c r="G24" s="474" t="s">
        <v>3737</v>
      </c>
    </row>
    <row r="25" spans="2:7" x14ac:dyDescent="0.25">
      <c r="B25" s="467" t="s">
        <v>3407</v>
      </c>
      <c r="C25" s="245">
        <v>-1000000</v>
      </c>
      <c r="D25" s="246">
        <v>0</v>
      </c>
      <c r="G25" s="310" t="s">
        <v>3402</v>
      </c>
    </row>
    <row r="26" spans="2:7" x14ac:dyDescent="0.25">
      <c r="B26" s="468" t="s">
        <v>3207</v>
      </c>
      <c r="C26" s="471" t="s">
        <v>3408</v>
      </c>
      <c r="D26" s="472">
        <v>200000</v>
      </c>
      <c r="G26" s="474" t="s">
        <v>3403</v>
      </c>
    </row>
    <row r="27" spans="2:7" x14ac:dyDescent="0.25">
      <c r="G27" s="475" t="s">
        <v>3418</v>
      </c>
    </row>
    <row r="28" spans="2:7" x14ac:dyDescent="0.25">
      <c r="B28" s="89" t="s">
        <v>3729</v>
      </c>
      <c r="G28" s="474" t="s">
        <v>3419</v>
      </c>
    </row>
    <row r="29" spans="2:7" x14ac:dyDescent="0.25">
      <c r="B29" s="310"/>
      <c r="C29" s="469">
        <v>2024</v>
      </c>
      <c r="D29" s="469">
        <v>2025</v>
      </c>
      <c r="G29" s="310" t="s">
        <v>3404</v>
      </c>
    </row>
    <row r="30" spans="2:7" x14ac:dyDescent="0.25">
      <c r="B30" s="467" t="s">
        <v>3087</v>
      </c>
      <c r="C30" s="412">
        <v>150000</v>
      </c>
      <c r="D30" s="470">
        <v>200000</v>
      </c>
      <c r="G30" s="474" t="s">
        <v>3405</v>
      </c>
    </row>
    <row r="31" spans="2:7" x14ac:dyDescent="0.25">
      <c r="B31" s="467" t="s">
        <v>3409</v>
      </c>
      <c r="C31" s="245">
        <v>50000</v>
      </c>
      <c r="D31" s="246">
        <v>50000</v>
      </c>
      <c r="G31" s="310" t="s">
        <v>3406</v>
      </c>
    </row>
    <row r="32" spans="2:7" x14ac:dyDescent="0.25">
      <c r="B32" s="468" t="s">
        <v>3005</v>
      </c>
      <c r="C32" s="471">
        <v>100000</v>
      </c>
      <c r="D32" s="472">
        <v>150000</v>
      </c>
      <c r="G32" s="474" t="s">
        <v>2795</v>
      </c>
    </row>
    <row r="33" spans="7:7" x14ac:dyDescent="0.25">
      <c r="G33" s="476" t="s">
        <v>2796</v>
      </c>
    </row>
  </sheetData>
  <hyperlinks>
    <hyperlink ref="A1" location="Inicio!A1" display="Inicio" xr:uid="{909E8256-8318-4FE6-8B6E-C829667C00F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635FE-05A4-4D26-9703-57C04BD6B16E}">
  <sheetPr>
    <tabColor theme="5" tint="0.79998168889431442"/>
  </sheetPr>
  <dimension ref="A1:G12"/>
  <sheetViews>
    <sheetView showGridLines="0" zoomScale="120" zoomScaleNormal="120" zoomScaleSheetLayoutView="100" workbookViewId="0">
      <selection activeCell="D11" sqref="D11"/>
    </sheetView>
  </sheetViews>
  <sheetFormatPr defaultColWidth="9" defaultRowHeight="15" x14ac:dyDescent="0.25"/>
  <cols>
    <col min="1" max="1" width="6.7109375" bestFit="1" customWidth="1"/>
    <col min="2" max="2" width="35.5703125" customWidth="1"/>
    <col min="3" max="3" width="17.7109375" bestFit="1" customWidth="1"/>
    <col min="4" max="4" width="10" customWidth="1"/>
    <col min="5" max="5" width="13.28515625" bestFit="1" customWidth="1"/>
    <col min="6" max="6" width="10.85546875" customWidth="1"/>
    <col min="7" max="7" width="9.85546875" customWidth="1"/>
  </cols>
  <sheetData>
    <row r="1" spans="1:7" s="153" customFormat="1" ht="15.75" x14ac:dyDescent="0.25">
      <c r="A1" s="458" t="s">
        <v>2821</v>
      </c>
      <c r="B1" s="152"/>
    </row>
    <row r="2" spans="1:7" x14ac:dyDescent="0.25">
      <c r="B2" t="s">
        <v>3733</v>
      </c>
    </row>
    <row r="3" spans="1:7" ht="15.75" x14ac:dyDescent="0.25">
      <c r="B3" s="151"/>
      <c r="C3" s="477">
        <v>2021</v>
      </c>
      <c r="D3" s="477">
        <v>2022</v>
      </c>
      <c r="E3" s="477">
        <v>2023</v>
      </c>
      <c r="F3" s="477">
        <v>2024</v>
      </c>
      <c r="G3" s="477">
        <v>2025</v>
      </c>
    </row>
    <row r="4" spans="1:7" ht="15.75" x14ac:dyDescent="0.25">
      <c r="B4" s="345" t="s">
        <v>2788</v>
      </c>
      <c r="C4" s="103">
        <v>365817</v>
      </c>
      <c r="D4" s="103">
        <v>394328</v>
      </c>
      <c r="E4" s="103">
        <v>383285</v>
      </c>
      <c r="F4" s="103">
        <v>391035</v>
      </c>
      <c r="G4" s="103">
        <v>416161</v>
      </c>
    </row>
    <row r="5" spans="1:7" ht="15.75" x14ac:dyDescent="0.25">
      <c r="B5" s="334" t="s">
        <v>2789</v>
      </c>
      <c r="C5" s="100">
        <f>-(192266+20715)</f>
        <v>-212981</v>
      </c>
      <c r="D5" s="100">
        <f>-(201471+22075)</f>
        <v>-223546</v>
      </c>
      <c r="E5" s="100">
        <f>-(189282+24855)</f>
        <v>-214137</v>
      </c>
      <c r="F5" s="100">
        <v>-210352</v>
      </c>
      <c r="G5" s="100">
        <v>-220960</v>
      </c>
    </row>
    <row r="6" spans="1:7" ht="15.75" x14ac:dyDescent="0.25">
      <c r="B6" s="345" t="s">
        <v>2790</v>
      </c>
      <c r="C6" s="103">
        <f>+C4+C5</f>
        <v>152836</v>
      </c>
      <c r="D6" s="103">
        <f>+D4+D5</f>
        <v>170782</v>
      </c>
      <c r="E6" s="103">
        <f>+E4+E5</f>
        <v>169148</v>
      </c>
      <c r="F6" s="103">
        <f>+F4+F5</f>
        <v>180683</v>
      </c>
      <c r="G6" s="103">
        <f>+G4+G5</f>
        <v>195201</v>
      </c>
    </row>
    <row r="7" spans="1:7" ht="15.75" x14ac:dyDescent="0.25">
      <c r="B7" s="344" t="s">
        <v>2791</v>
      </c>
      <c r="C7" s="100">
        <f>-(21914+21973)</f>
        <v>-43887</v>
      </c>
      <c r="D7" s="100">
        <f>-(26251+25094)</f>
        <v>-51345</v>
      </c>
      <c r="E7" s="100">
        <f>-(29915+24932)</f>
        <v>-54847</v>
      </c>
      <c r="F7" s="100">
        <f>-26097-31370</f>
        <v>-57467</v>
      </c>
      <c r="G7" s="100">
        <f>-34550-27601</f>
        <v>-62151</v>
      </c>
    </row>
    <row r="8" spans="1:7" ht="15.75" x14ac:dyDescent="0.25">
      <c r="B8" s="345" t="s">
        <v>2792</v>
      </c>
      <c r="C8" s="103">
        <f>+C6+C7</f>
        <v>108949</v>
      </c>
      <c r="D8" s="103">
        <f>+D6+D7</f>
        <v>119437</v>
      </c>
      <c r="E8" s="103">
        <f>+E6+E7</f>
        <v>114301</v>
      </c>
      <c r="F8" s="103">
        <f>+F6+F7</f>
        <v>123216</v>
      </c>
      <c r="G8" s="103">
        <f>+G6+G7</f>
        <v>133050</v>
      </c>
    </row>
    <row r="9" spans="1:7" ht="15.75" x14ac:dyDescent="0.25">
      <c r="B9" s="344" t="s">
        <v>2793</v>
      </c>
      <c r="C9" s="100">
        <v>258</v>
      </c>
      <c r="D9" s="100">
        <v>-334</v>
      </c>
      <c r="E9" s="100">
        <v>-565</v>
      </c>
      <c r="F9" s="100">
        <v>269</v>
      </c>
      <c r="G9" s="100">
        <v>-321</v>
      </c>
    </row>
    <row r="10" spans="1:7" ht="31.5" x14ac:dyDescent="0.25">
      <c r="B10" s="345" t="s">
        <v>2794</v>
      </c>
      <c r="C10" s="103">
        <f>+C8+C9</f>
        <v>109207</v>
      </c>
      <c r="D10" s="103">
        <f>+D8+D9</f>
        <v>119103</v>
      </c>
      <c r="E10" s="103">
        <f>+E8+E9</f>
        <v>113736</v>
      </c>
      <c r="F10" s="103">
        <f>+F8+F9</f>
        <v>123485</v>
      </c>
      <c r="G10" s="103">
        <f>+G8+G9</f>
        <v>132729</v>
      </c>
    </row>
    <row r="11" spans="1:7" ht="15.75" x14ac:dyDescent="0.25">
      <c r="B11" s="344" t="s">
        <v>2795</v>
      </c>
      <c r="C11" s="100">
        <v>-14527</v>
      </c>
      <c r="D11" s="100">
        <v>-19300</v>
      </c>
      <c r="E11" s="100">
        <v>-16741</v>
      </c>
      <c r="F11" s="100">
        <v>-29749</v>
      </c>
      <c r="G11" s="100">
        <v>-20719</v>
      </c>
    </row>
    <row r="12" spans="1:7" ht="15.75" x14ac:dyDescent="0.25">
      <c r="B12" s="347" t="s">
        <v>2796</v>
      </c>
      <c r="C12" s="338">
        <f>+C10+C11</f>
        <v>94680</v>
      </c>
      <c r="D12" s="338">
        <f>+D10+D11</f>
        <v>99803</v>
      </c>
      <c r="E12" s="338">
        <f>+E10+E11</f>
        <v>96995</v>
      </c>
      <c r="F12" s="338">
        <f>+F10+F11</f>
        <v>93736</v>
      </c>
      <c r="G12" s="338">
        <f>+G10+G11</f>
        <v>112010</v>
      </c>
    </row>
  </sheetData>
  <hyperlinks>
    <hyperlink ref="A1" location="Inicio!A1" display="Inicio" xr:uid="{C1854A38-5BC1-46ED-AC7C-433A1AC38799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5EFD6-E27F-C04A-8F87-5380CA199F80}">
  <sheetPr>
    <tabColor theme="5" tint="0.79998168889431442"/>
  </sheetPr>
  <dimension ref="A1:E13"/>
  <sheetViews>
    <sheetView showGridLines="0" zoomScaleNormal="150" zoomScaleSheetLayoutView="100" workbookViewId="0"/>
  </sheetViews>
  <sheetFormatPr defaultColWidth="9" defaultRowHeight="15" x14ac:dyDescent="0.25"/>
  <cols>
    <col min="2" max="2" width="17.7109375" customWidth="1"/>
    <col min="3" max="3" width="13.28515625" customWidth="1"/>
    <col min="4" max="4" width="20.28515625" customWidth="1"/>
  </cols>
  <sheetData>
    <row r="1" spans="1:5" x14ac:dyDescent="0.25">
      <c r="A1" s="458" t="s">
        <v>2821</v>
      </c>
    </row>
    <row r="3" spans="1:5" x14ac:dyDescent="0.25">
      <c r="B3" t="s">
        <v>3738</v>
      </c>
    </row>
    <row r="4" spans="1:5" ht="15.75" thickBot="1" x14ac:dyDescent="0.3">
      <c r="B4" s="117" t="s">
        <v>2773</v>
      </c>
    </row>
    <row r="5" spans="1:5" ht="15.75" thickBot="1" x14ac:dyDescent="0.3">
      <c r="B5" s="842" t="s">
        <v>2772</v>
      </c>
      <c r="C5" s="843"/>
      <c r="D5" s="844" t="s">
        <v>2787</v>
      </c>
      <c r="E5" s="845"/>
    </row>
    <row r="6" spans="1:5" x14ac:dyDescent="0.25">
      <c r="B6" s="118" t="s">
        <v>2774</v>
      </c>
      <c r="C6" s="76">
        <v>20000</v>
      </c>
      <c r="D6" s="120" t="s">
        <v>2782</v>
      </c>
      <c r="E6" s="121">
        <v>125000</v>
      </c>
    </row>
    <row r="7" spans="1:5" x14ac:dyDescent="0.25">
      <c r="B7" s="118" t="s">
        <v>2781</v>
      </c>
      <c r="C7" s="76">
        <v>80000</v>
      </c>
      <c r="D7" s="122" t="s">
        <v>2783</v>
      </c>
      <c r="E7" s="123"/>
    </row>
    <row r="8" spans="1:5" x14ac:dyDescent="0.25">
      <c r="B8" s="118" t="s">
        <v>2775</v>
      </c>
      <c r="C8" s="76">
        <v>200000</v>
      </c>
      <c r="D8" s="118" t="s">
        <v>2784</v>
      </c>
      <c r="E8" s="119">
        <f>+C13-(E6+E9)</f>
        <v>192000</v>
      </c>
    </row>
    <row r="9" spans="1:5" x14ac:dyDescent="0.25">
      <c r="B9" s="118" t="s">
        <v>2776</v>
      </c>
      <c r="C9" s="76">
        <v>15000</v>
      </c>
      <c r="D9" s="118" t="s">
        <v>2785</v>
      </c>
      <c r="E9" s="119">
        <v>15000</v>
      </c>
    </row>
    <row r="10" spans="1:5" x14ac:dyDescent="0.25">
      <c r="B10" s="118" t="s">
        <v>2777</v>
      </c>
      <c r="C10" s="76">
        <v>5000</v>
      </c>
      <c r="D10" s="118"/>
      <c r="E10" s="124"/>
    </row>
    <row r="11" spans="1:5" x14ac:dyDescent="0.25">
      <c r="B11" s="118" t="s">
        <v>2778</v>
      </c>
      <c r="C11" s="76">
        <v>2000</v>
      </c>
      <c r="D11" s="118"/>
      <c r="E11" s="124"/>
    </row>
    <row r="12" spans="1:5" x14ac:dyDescent="0.25">
      <c r="B12" s="118" t="s">
        <v>2779</v>
      </c>
      <c r="C12" s="76">
        <v>10000</v>
      </c>
      <c r="D12" s="118"/>
      <c r="E12" s="124"/>
    </row>
    <row r="13" spans="1:5" ht="15.75" thickBot="1" x14ac:dyDescent="0.3">
      <c r="B13" s="125" t="s">
        <v>2780</v>
      </c>
      <c r="C13" s="126">
        <f>+SUM(C6:C12)</f>
        <v>332000</v>
      </c>
      <c r="D13" s="127" t="s">
        <v>2786</v>
      </c>
      <c r="E13" s="128">
        <f>+E6+E8+E9</f>
        <v>332000</v>
      </c>
    </row>
  </sheetData>
  <hyperlinks>
    <hyperlink ref="A1" location="Inicio!A1" display="Inicio" xr:uid="{5ED723FC-3ADB-4613-BC68-2BF3699FF326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A95B1-4FD7-4976-BE16-7528075851AB}">
  <sheetPr>
    <tabColor theme="5" tint="0.79998168889431442"/>
  </sheetPr>
  <dimension ref="A1:G14"/>
  <sheetViews>
    <sheetView showGridLines="0" zoomScale="120" zoomScaleNormal="120" zoomScaleSheetLayoutView="100" workbookViewId="0">
      <selection activeCell="F21" sqref="F21"/>
    </sheetView>
  </sheetViews>
  <sheetFormatPr defaultColWidth="9" defaultRowHeight="15" x14ac:dyDescent="0.25"/>
  <cols>
    <col min="1" max="1" width="6.7109375" bestFit="1" customWidth="1"/>
    <col min="2" max="2" width="34.5703125" customWidth="1"/>
    <col min="3" max="3" width="14.7109375" customWidth="1"/>
    <col min="4" max="4" width="4" customWidth="1"/>
    <col min="5" max="5" width="37.5703125" customWidth="1"/>
    <col min="6" max="6" width="10.85546875" customWidth="1"/>
    <col min="7" max="7" width="9.85546875" customWidth="1"/>
    <col min="9" max="9" width="28.85546875" customWidth="1"/>
  </cols>
  <sheetData>
    <row r="1" spans="1:7" x14ac:dyDescent="0.25">
      <c r="A1" s="458" t="s">
        <v>2821</v>
      </c>
    </row>
    <row r="2" spans="1:7" ht="15.75" thickBot="1" x14ac:dyDescent="0.3"/>
    <row r="3" spans="1:7" ht="16.5" thickBot="1" x14ac:dyDescent="0.3">
      <c r="B3" s="956" t="s">
        <v>2819</v>
      </c>
      <c r="C3" s="957"/>
      <c r="E3" s="956" t="s">
        <v>2818</v>
      </c>
      <c r="F3" s="957"/>
      <c r="G3" s="243"/>
    </row>
    <row r="4" spans="1:7" ht="15.75" x14ac:dyDescent="0.25">
      <c r="B4" s="138" t="s">
        <v>2797</v>
      </c>
      <c r="C4" s="139">
        <f>+'EEFF Apple y cálculo ratios'!G17</f>
        <v>35934</v>
      </c>
      <c r="E4" s="142" t="s">
        <v>2815</v>
      </c>
      <c r="F4" s="143">
        <f>+'EEFF Apple y cálculo ratios'!G36</f>
        <v>73733</v>
      </c>
      <c r="G4" s="103"/>
    </row>
    <row r="5" spans="1:7" ht="15.75" x14ac:dyDescent="0.25">
      <c r="B5" s="138" t="s">
        <v>2798</v>
      </c>
      <c r="C5" s="139">
        <f>+'EEFF Apple y cálculo ratios'!G18</f>
        <v>18763</v>
      </c>
      <c r="E5" s="144"/>
      <c r="F5" s="124"/>
      <c r="G5" s="100"/>
    </row>
    <row r="6" spans="1:7" ht="15.75" x14ac:dyDescent="0.25">
      <c r="B6" s="138" t="s">
        <v>2799</v>
      </c>
      <c r="C6" s="139">
        <f>+'EEFF Apple y cálculo ratios'!G19</f>
        <v>39777</v>
      </c>
      <c r="E6" s="138" t="s">
        <v>2808</v>
      </c>
      <c r="F6" s="139">
        <f>+'EEFF Apple y cálculo ratios'!G28</f>
        <v>69860</v>
      </c>
      <c r="G6" s="103"/>
    </row>
    <row r="7" spans="1:7" ht="15.75" x14ac:dyDescent="0.25">
      <c r="B7" s="138" t="s">
        <v>2801</v>
      </c>
      <c r="C7" s="139">
        <f>+'EEFF Apple y cálculo ratios'!G20</f>
        <v>5718</v>
      </c>
      <c r="E7" s="138" t="s">
        <v>2809</v>
      </c>
      <c r="F7" s="139">
        <f>+'EEFF Apple y cálculo ratios'!G29</f>
        <v>20329</v>
      </c>
      <c r="G7" s="100"/>
    </row>
    <row r="8" spans="1:7" ht="15.75" x14ac:dyDescent="0.25">
      <c r="B8" s="138" t="s">
        <v>2800</v>
      </c>
      <c r="C8" s="139">
        <f>+'EEFF Apple y cálculo ratios'!G21</f>
        <v>47765</v>
      </c>
      <c r="E8" s="138" t="s">
        <v>2810</v>
      </c>
      <c r="F8" s="139">
        <f>+'EEFF Apple y cálculo ratios'!G30</f>
        <v>75442</v>
      </c>
      <c r="G8" s="103"/>
    </row>
    <row r="9" spans="1:7" ht="15.75" x14ac:dyDescent="0.25">
      <c r="B9" s="140" t="s">
        <v>2802</v>
      </c>
      <c r="C9" s="141">
        <f>+SUM(C4:C8)</f>
        <v>147957</v>
      </c>
      <c r="E9" s="145" t="s">
        <v>2811</v>
      </c>
      <c r="F9" s="141">
        <f>+SUM(F5:F8)</f>
        <v>165631</v>
      </c>
      <c r="G9" s="100"/>
    </row>
    <row r="10" spans="1:7" ht="15.75" x14ac:dyDescent="0.25">
      <c r="B10" s="138" t="s">
        <v>2803</v>
      </c>
      <c r="C10" s="139">
        <f>+'EEFF Apple y cálculo ratios'!G23</f>
        <v>77723</v>
      </c>
      <c r="E10" s="138" t="s">
        <v>2812</v>
      </c>
      <c r="F10" s="139">
        <f>+'EEFF Apple y cálculo ratios'!G32</f>
        <v>78328</v>
      </c>
      <c r="G10" s="103"/>
    </row>
    <row r="11" spans="1:7" ht="15.75" x14ac:dyDescent="0.25">
      <c r="B11" s="138" t="s">
        <v>2804</v>
      </c>
      <c r="C11" s="139">
        <f>+'EEFF Apple y cálculo ratios'!G24</f>
        <v>49834</v>
      </c>
      <c r="E11" s="138" t="s">
        <v>2813</v>
      </c>
      <c r="F11" s="139">
        <f>+'EEFF Apple y cálculo ratios'!G33</f>
        <v>41549</v>
      </c>
      <c r="G11" s="100"/>
    </row>
    <row r="12" spans="1:7" ht="15.75" x14ac:dyDescent="0.25">
      <c r="B12" s="138" t="s">
        <v>2805</v>
      </c>
      <c r="C12" s="139">
        <f>+'EEFF Apple y cálculo ratios'!G25</f>
        <v>83727</v>
      </c>
      <c r="E12" s="145" t="s">
        <v>2814</v>
      </c>
      <c r="F12" s="141">
        <f>+SUM(F10:F11)</f>
        <v>119877</v>
      </c>
      <c r="G12" s="103"/>
    </row>
    <row r="13" spans="1:7" x14ac:dyDescent="0.25">
      <c r="B13" s="140" t="s">
        <v>2806</v>
      </c>
      <c r="C13" s="141">
        <f>+SUM(C10:C12)</f>
        <v>211284</v>
      </c>
      <c r="E13" s="146" t="s">
        <v>2817</v>
      </c>
      <c r="F13" s="147">
        <f>+F12+F9</f>
        <v>285508</v>
      </c>
    </row>
    <row r="14" spans="1:7" ht="15.75" thickBot="1" x14ac:dyDescent="0.3">
      <c r="B14" s="148" t="s">
        <v>2807</v>
      </c>
      <c r="C14" s="149">
        <f>+C13+C9</f>
        <v>359241</v>
      </c>
      <c r="E14" s="148" t="s">
        <v>2816</v>
      </c>
      <c r="F14" s="149">
        <f>+F13+F4</f>
        <v>359241</v>
      </c>
    </row>
  </sheetData>
  <mergeCells count="2">
    <mergeCell ref="B3:C3"/>
    <mergeCell ref="E3:F3"/>
  </mergeCells>
  <hyperlinks>
    <hyperlink ref="A1" location="Inicio!A1" display="Inicio" xr:uid="{EDF3B578-A586-4FC5-9D32-8F3713AF399B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55E6E-91B9-4313-8495-9E12DC55C0F7}">
  <sheetPr>
    <tabColor theme="5" tint="0.79998168889431442"/>
  </sheetPr>
  <dimension ref="A1:F12"/>
  <sheetViews>
    <sheetView showGridLines="0" workbookViewId="0">
      <selection activeCell="B4" sqref="B4:F5"/>
    </sheetView>
  </sheetViews>
  <sheetFormatPr defaultRowHeight="15" x14ac:dyDescent="0.25"/>
  <cols>
    <col min="2" max="2" width="18.28515625" customWidth="1"/>
  </cols>
  <sheetData>
    <row r="1" spans="1:6" x14ac:dyDescent="0.25">
      <c r="A1" s="458" t="s">
        <v>2821</v>
      </c>
    </row>
    <row r="3" spans="1:6" x14ac:dyDescent="0.25">
      <c r="B3" s="22" t="s">
        <v>3747</v>
      </c>
      <c r="C3" s="22"/>
      <c r="D3" s="22"/>
      <c r="E3" s="22"/>
      <c r="F3" s="22"/>
    </row>
    <row r="4" spans="1:6" x14ac:dyDescent="0.25">
      <c r="B4" s="22"/>
      <c r="C4" s="496">
        <v>2022</v>
      </c>
      <c r="D4" s="496">
        <v>2023</v>
      </c>
      <c r="E4" s="496">
        <v>2024</v>
      </c>
      <c r="F4" s="496">
        <v>2025</v>
      </c>
    </row>
    <row r="5" spans="1:6" x14ac:dyDescent="0.25">
      <c r="B5" s="897" t="s">
        <v>2820</v>
      </c>
      <c r="C5" s="898">
        <f>+'EEFF Apple y cálculo ratios'!D70</f>
        <v>0.28292440929256851</v>
      </c>
      <c r="D5" s="898">
        <f>+'EEFF Apple y cálculo ratios'!E70</f>
        <v>0.27509834563776475</v>
      </c>
      <c r="E5" s="898">
        <f>+'EEFF Apple y cálculo ratios'!F70</f>
        <v>0.25682503150857583</v>
      </c>
      <c r="F5" s="898">
        <f>+'EEFF Apple y cálculo ratios'!G70</f>
        <v>0.31179625933565491</v>
      </c>
    </row>
    <row r="6" spans="1:6" x14ac:dyDescent="0.25">
      <c r="B6" s="22"/>
      <c r="C6" s="22"/>
      <c r="D6" s="22"/>
      <c r="E6" s="22"/>
      <c r="F6" s="22"/>
    </row>
    <row r="7" spans="1:6" x14ac:dyDescent="0.25">
      <c r="B7" s="22" t="s">
        <v>3749</v>
      </c>
      <c r="C7" s="22"/>
      <c r="D7" s="22"/>
      <c r="E7" s="22"/>
      <c r="F7" s="22"/>
    </row>
    <row r="8" spans="1:6" x14ac:dyDescent="0.25">
      <c r="B8" s="22"/>
      <c r="C8" s="496">
        <v>2022</v>
      </c>
      <c r="D8" s="496">
        <v>2023</v>
      </c>
      <c r="E8" s="496">
        <v>2024</v>
      </c>
      <c r="F8" s="496">
        <v>2025</v>
      </c>
    </row>
    <row r="9" spans="1:6" x14ac:dyDescent="0.25">
      <c r="B9" s="899" t="s">
        <v>3185</v>
      </c>
      <c r="C9" s="329">
        <f>+'EEFF Apple y cálculo ratios'!D74</f>
        <v>99803</v>
      </c>
      <c r="D9" s="329">
        <f>+'EEFF Apple y cálculo ratios'!E74</f>
        <v>96995</v>
      </c>
      <c r="E9" s="329">
        <f>+'EEFF Apple y cálculo ratios'!F74</f>
        <v>93736</v>
      </c>
      <c r="F9" s="329">
        <f>+'EEFF Apple y cálculo ratios'!G74</f>
        <v>112010</v>
      </c>
    </row>
    <row r="10" spans="1:6" x14ac:dyDescent="0.25">
      <c r="B10" s="899" t="s">
        <v>3186</v>
      </c>
      <c r="C10" s="329">
        <f>+'EEFF Apple y cálculo ratios'!D75</f>
        <v>352755</v>
      </c>
      <c r="D10" s="329">
        <f>+'EEFF Apple y cálculo ratios'!E75</f>
        <v>352583</v>
      </c>
      <c r="E10" s="329">
        <f>+'EEFF Apple y cálculo ratios'!F75</f>
        <v>364980</v>
      </c>
      <c r="F10" s="329">
        <f>+'EEFF Apple y cálculo ratios'!G75</f>
        <v>359241</v>
      </c>
    </row>
    <row r="11" spans="1:6" x14ac:dyDescent="0.25">
      <c r="B11" s="897" t="s">
        <v>2820</v>
      </c>
      <c r="C11" s="900"/>
      <c r="D11" s="901">
        <f>+D9/AVERAGE(C10:D10)</f>
        <v>0.27503126160790997</v>
      </c>
      <c r="E11" s="901">
        <f>+E9/AVERAGE(D10:E10)</f>
        <v>0.26126207733676349</v>
      </c>
      <c r="F11" s="901">
        <f>+F9/AVERAGE(E10:F10)</f>
        <v>0.3093254683307996</v>
      </c>
    </row>
    <row r="12" spans="1:6" x14ac:dyDescent="0.25">
      <c r="B12" s="22" t="s">
        <v>3748</v>
      </c>
      <c r="C12" s="22"/>
      <c r="D12" s="22"/>
      <c r="E12" s="22"/>
      <c r="F12" s="22"/>
    </row>
  </sheetData>
  <hyperlinks>
    <hyperlink ref="A1" location="Inicio!A1" display="Inicio" xr:uid="{29E179EF-2CE0-4867-A017-20560905624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A27D6-0DCB-6347-A7C4-1D840909F7FE}">
  <sheetPr>
    <tabColor theme="5" tint="0.79998168889431442"/>
  </sheetPr>
  <dimension ref="A1:K37"/>
  <sheetViews>
    <sheetView showGridLines="0" zoomScaleNormal="150" zoomScaleSheetLayoutView="100" workbookViewId="0"/>
  </sheetViews>
  <sheetFormatPr defaultColWidth="9" defaultRowHeight="15" x14ac:dyDescent="0.25"/>
  <cols>
    <col min="1" max="1" width="9" style="479"/>
    <col min="2" max="2" width="29.42578125" style="479" customWidth="1"/>
    <col min="3" max="3" width="9.85546875" style="479" bestFit="1" customWidth="1"/>
    <col min="4" max="4" width="2.28515625" style="479" customWidth="1"/>
    <col min="5" max="5" width="29.85546875" style="479" customWidth="1"/>
    <col min="6" max="6" width="10.7109375" style="479" customWidth="1"/>
    <col min="7" max="7" width="2.5703125" style="479" customWidth="1"/>
    <col min="8" max="8" width="20.7109375" style="479" customWidth="1"/>
    <col min="9" max="16384" width="9" style="479"/>
  </cols>
  <sheetData>
    <row r="1" spans="1:6" x14ac:dyDescent="0.25">
      <c r="A1" s="458" t="s">
        <v>2821</v>
      </c>
    </row>
    <row r="2" spans="1:6" ht="15.75" thickBot="1" x14ac:dyDescent="0.3">
      <c r="B2" s="479" t="s">
        <v>3752</v>
      </c>
    </row>
    <row r="3" spans="1:6" ht="15.75" thickBot="1" x14ac:dyDescent="0.3">
      <c r="B3" s="963" t="s">
        <v>2885</v>
      </c>
      <c r="C3" s="964"/>
      <c r="E3" s="965" t="s">
        <v>3423</v>
      </c>
      <c r="F3" s="966"/>
    </row>
    <row r="4" spans="1:6" x14ac:dyDescent="0.25">
      <c r="B4" s="480" t="s">
        <v>2797</v>
      </c>
      <c r="C4" s="139">
        <v>75000</v>
      </c>
      <c r="E4" s="484" t="s">
        <v>2931</v>
      </c>
      <c r="F4" s="485">
        <f>+C12</f>
        <v>735000</v>
      </c>
    </row>
    <row r="5" spans="1:6" x14ac:dyDescent="0.25">
      <c r="B5" s="480" t="s">
        <v>2799</v>
      </c>
      <c r="C5" s="139">
        <v>100000</v>
      </c>
      <c r="E5" s="486"/>
      <c r="F5" s="487"/>
    </row>
    <row r="6" spans="1:6" x14ac:dyDescent="0.25">
      <c r="B6" s="480" t="s">
        <v>3425</v>
      </c>
      <c r="C6" s="139">
        <v>250000</v>
      </c>
      <c r="E6" s="486"/>
      <c r="F6" s="487"/>
    </row>
    <row r="7" spans="1:6" x14ac:dyDescent="0.25">
      <c r="B7" s="480" t="s">
        <v>2800</v>
      </c>
      <c r="C7" s="139">
        <v>35000</v>
      </c>
      <c r="E7" s="486"/>
      <c r="F7" s="487"/>
    </row>
    <row r="8" spans="1:6" x14ac:dyDescent="0.25">
      <c r="B8" s="482" t="s">
        <v>2802</v>
      </c>
      <c r="C8" s="141">
        <f>+SUM(C4:C7)</f>
        <v>460000</v>
      </c>
      <c r="E8" s="486"/>
      <c r="F8" s="487"/>
    </row>
    <row r="9" spans="1:6" x14ac:dyDescent="0.25">
      <c r="B9" s="480" t="s">
        <v>2882</v>
      </c>
      <c r="C9" s="139">
        <v>200000</v>
      </c>
      <c r="E9" s="486"/>
      <c r="F9" s="487"/>
    </row>
    <row r="10" spans="1:6" x14ac:dyDescent="0.25">
      <c r="B10" s="480" t="s">
        <v>2805</v>
      </c>
      <c r="C10" s="139">
        <v>75000</v>
      </c>
      <c r="E10" s="486"/>
      <c r="F10" s="487"/>
    </row>
    <row r="11" spans="1:6" x14ac:dyDescent="0.25">
      <c r="B11" s="482" t="s">
        <v>2806</v>
      </c>
      <c r="C11" s="141">
        <f>+SUM(C9:C10)</f>
        <v>275000</v>
      </c>
      <c r="E11" s="486"/>
      <c r="F11" s="487"/>
    </row>
    <row r="12" spans="1:6" ht="15.75" thickBot="1" x14ac:dyDescent="0.3">
      <c r="B12" s="483" t="s">
        <v>2807</v>
      </c>
      <c r="C12" s="149">
        <f>+C11+C8</f>
        <v>735000</v>
      </c>
      <c r="E12" s="488" t="s">
        <v>3422</v>
      </c>
      <c r="F12" s="489">
        <f>+F4</f>
        <v>735000</v>
      </c>
    </row>
    <row r="14" spans="1:6" ht="15.75" thickBot="1" x14ac:dyDescent="0.3">
      <c r="B14" s="479" t="s">
        <v>3753</v>
      </c>
    </row>
    <row r="15" spans="1:6" ht="15.75" thickBot="1" x14ac:dyDescent="0.3">
      <c r="B15" s="963" t="s">
        <v>2884</v>
      </c>
      <c r="C15" s="964"/>
      <c r="E15" s="965" t="s">
        <v>3421</v>
      </c>
      <c r="F15" s="966"/>
    </row>
    <row r="16" spans="1:6" x14ac:dyDescent="0.25">
      <c r="B16" s="480" t="s">
        <v>2797</v>
      </c>
      <c r="C16" s="139">
        <v>3000000</v>
      </c>
      <c r="E16" s="484" t="s">
        <v>2931</v>
      </c>
      <c r="F16" s="485">
        <f>+C24</f>
        <v>4100000</v>
      </c>
    </row>
    <row r="17" spans="2:11" x14ac:dyDescent="0.25">
      <c r="B17" s="480" t="s">
        <v>2799</v>
      </c>
      <c r="C17" s="139">
        <v>230000</v>
      </c>
      <c r="E17" s="486"/>
      <c r="F17" s="487"/>
    </row>
    <row r="18" spans="2:11" x14ac:dyDescent="0.25">
      <c r="B18" s="480" t="s">
        <v>3424</v>
      </c>
      <c r="C18" s="139">
        <v>350000</v>
      </c>
      <c r="E18" s="486"/>
      <c r="F18" s="487"/>
    </row>
    <row r="19" spans="2:11" x14ac:dyDescent="0.25">
      <c r="B19" s="480" t="s">
        <v>2800</v>
      </c>
      <c r="C19" s="139">
        <v>40000</v>
      </c>
      <c r="E19" s="486"/>
      <c r="F19" s="487"/>
    </row>
    <row r="20" spans="2:11" x14ac:dyDescent="0.25">
      <c r="B20" s="482" t="s">
        <v>2802</v>
      </c>
      <c r="C20" s="141">
        <f>+SUM(C16:C19)</f>
        <v>3620000</v>
      </c>
      <c r="E20" s="486"/>
      <c r="F20" s="487"/>
    </row>
    <row r="21" spans="2:11" x14ac:dyDescent="0.25">
      <c r="B21" s="480" t="s">
        <v>2882</v>
      </c>
      <c r="C21" s="139">
        <v>400000</v>
      </c>
      <c r="E21" s="486"/>
      <c r="F21" s="487"/>
    </row>
    <row r="22" spans="2:11" x14ac:dyDescent="0.25">
      <c r="B22" s="480" t="s">
        <v>2805</v>
      </c>
      <c r="C22" s="139">
        <v>80000</v>
      </c>
      <c r="E22" s="486"/>
      <c r="F22" s="487"/>
    </row>
    <row r="23" spans="2:11" x14ac:dyDescent="0.25">
      <c r="B23" s="482" t="s">
        <v>2806</v>
      </c>
      <c r="C23" s="141">
        <f>+SUM(C21:C22)</f>
        <v>480000</v>
      </c>
      <c r="E23" s="486"/>
      <c r="F23" s="487"/>
    </row>
    <row r="24" spans="2:11" ht="15.75" thickBot="1" x14ac:dyDescent="0.3">
      <c r="B24" s="483" t="s">
        <v>2807</v>
      </c>
      <c r="C24" s="149">
        <f>+C23+C20</f>
        <v>4100000</v>
      </c>
      <c r="E24" s="488" t="s">
        <v>3422</v>
      </c>
      <c r="F24" s="489">
        <f>+F16</f>
        <v>4100000</v>
      </c>
    </row>
    <row r="26" spans="2:11" ht="15.75" thickBot="1" x14ac:dyDescent="0.3">
      <c r="B26" s="479" t="s">
        <v>3751</v>
      </c>
    </row>
    <row r="27" spans="2:11" ht="15.75" thickBot="1" x14ac:dyDescent="0.3">
      <c r="B27" s="963" t="s">
        <v>2886</v>
      </c>
      <c r="C27" s="964"/>
      <c r="E27" s="965" t="s">
        <v>3426</v>
      </c>
      <c r="F27" s="966"/>
    </row>
    <row r="28" spans="2:11" x14ac:dyDescent="0.25">
      <c r="B28" s="480" t="s">
        <v>2797</v>
      </c>
      <c r="C28" s="139">
        <f>+C4+C16-2000000</f>
        <v>1075000</v>
      </c>
      <c r="E28" s="484" t="s">
        <v>2931</v>
      </c>
      <c r="F28" s="485">
        <f>+C37</f>
        <v>4100000</v>
      </c>
    </row>
    <row r="29" spans="2:11" x14ac:dyDescent="0.25">
      <c r="B29" s="480" t="s">
        <v>2799</v>
      </c>
      <c r="C29" s="139">
        <f>+C5+C17</f>
        <v>330000</v>
      </c>
      <c r="E29" s="486"/>
      <c r="F29" s="487"/>
    </row>
    <row r="30" spans="2:11" x14ac:dyDescent="0.25">
      <c r="B30" s="480" t="s">
        <v>2883</v>
      </c>
      <c r="C30" s="139">
        <f>+C6+C18</f>
        <v>600000</v>
      </c>
      <c r="E30" s="486"/>
      <c r="F30" s="487"/>
    </row>
    <row r="31" spans="2:11" x14ac:dyDescent="0.25">
      <c r="B31" s="480" t="s">
        <v>2800</v>
      </c>
      <c r="C31" s="139">
        <f>+C7+C19</f>
        <v>75000</v>
      </c>
      <c r="E31" s="486"/>
      <c r="F31" s="487"/>
      <c r="K31" s="490">
        <f>+F37-C37</f>
        <v>0</v>
      </c>
    </row>
    <row r="32" spans="2:11" x14ac:dyDescent="0.25">
      <c r="B32" s="482" t="s">
        <v>2802</v>
      </c>
      <c r="C32" s="141">
        <f>+SUM(C28:C31)</f>
        <v>2080000</v>
      </c>
      <c r="E32" s="486"/>
      <c r="F32" s="487"/>
    </row>
    <row r="33" spans="2:6" x14ac:dyDescent="0.25">
      <c r="B33" s="480" t="s">
        <v>2882</v>
      </c>
      <c r="C33" s="139">
        <f>+C21+C9</f>
        <v>600000</v>
      </c>
      <c r="E33" s="486"/>
      <c r="F33" s="487"/>
    </row>
    <row r="34" spans="2:6" x14ac:dyDescent="0.25">
      <c r="B34" s="480" t="s">
        <v>2887</v>
      </c>
      <c r="C34" s="139">
        <f>2000000-C12</f>
        <v>1265000</v>
      </c>
      <c r="E34" s="486"/>
      <c r="F34" s="487"/>
    </row>
    <row r="35" spans="2:6" x14ac:dyDescent="0.25">
      <c r="B35" s="480" t="s">
        <v>2805</v>
      </c>
      <c r="C35" s="139">
        <f>+C22+C10</f>
        <v>155000</v>
      </c>
      <c r="D35" s="481"/>
      <c r="E35" s="486"/>
      <c r="F35" s="487"/>
    </row>
    <row r="36" spans="2:6" x14ac:dyDescent="0.25">
      <c r="B36" s="482" t="s">
        <v>2806</v>
      </c>
      <c r="C36" s="141">
        <f>+SUM(C33:C35)</f>
        <v>2020000</v>
      </c>
      <c r="E36" s="486"/>
      <c r="F36" s="487"/>
    </row>
    <row r="37" spans="2:6" ht="15.75" thickBot="1" x14ac:dyDescent="0.3">
      <c r="B37" s="483" t="s">
        <v>2807</v>
      </c>
      <c r="C37" s="149">
        <f>+C36+C32</f>
        <v>4100000</v>
      </c>
      <c r="E37" s="488" t="s">
        <v>3422</v>
      </c>
      <c r="F37" s="489">
        <f>+F28</f>
        <v>4100000</v>
      </c>
    </row>
  </sheetData>
  <mergeCells count="6">
    <mergeCell ref="B15:C15"/>
    <mergeCell ref="B3:C3"/>
    <mergeCell ref="B27:C27"/>
    <mergeCell ref="E3:F3"/>
    <mergeCell ref="E15:F15"/>
    <mergeCell ref="E27:F27"/>
  </mergeCells>
  <hyperlinks>
    <hyperlink ref="A1" location="Inicio!A1" display="Inicio" xr:uid="{87193196-BEDA-44E0-8D93-58954A59EFB9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CACFE-11CF-4125-85D2-36767D4F81E1}">
  <sheetPr>
    <tabColor theme="5" tint="0.79998168889431442"/>
  </sheetPr>
  <dimension ref="A1:G26"/>
  <sheetViews>
    <sheetView showGridLines="0" workbookViewId="0">
      <selection activeCell="B4" sqref="B4:G14"/>
    </sheetView>
  </sheetViews>
  <sheetFormatPr defaultRowHeight="15" x14ac:dyDescent="0.25"/>
  <cols>
    <col min="2" max="2" width="38.42578125" customWidth="1"/>
  </cols>
  <sheetData>
    <row r="1" spans="1:7" x14ac:dyDescent="0.25">
      <c r="A1" s="458" t="s">
        <v>2821</v>
      </c>
    </row>
    <row r="3" spans="1:7" x14ac:dyDescent="0.25">
      <c r="B3" s="22" t="s">
        <v>3742</v>
      </c>
      <c r="C3" s="22"/>
      <c r="D3" s="22"/>
      <c r="E3" s="22"/>
      <c r="F3" s="22"/>
      <c r="G3" s="22"/>
    </row>
    <row r="4" spans="1:7" x14ac:dyDescent="0.25">
      <c r="B4" s="191" t="s">
        <v>2891</v>
      </c>
      <c r="C4" s="192">
        <v>2021</v>
      </c>
      <c r="D4" s="192">
        <v>2022</v>
      </c>
      <c r="E4" s="192">
        <v>2023</v>
      </c>
      <c r="F4" s="192">
        <v>2024</v>
      </c>
      <c r="G4" s="192">
        <v>2025</v>
      </c>
    </row>
    <row r="5" spans="1:7" x14ac:dyDescent="0.25">
      <c r="B5" s="239" t="str">
        <f>+'EEFF Apple y cálculo ratios'!B82</f>
        <v>Caja y equivalentes</v>
      </c>
      <c r="C5" s="180"/>
      <c r="D5" s="180">
        <f>+'EEFF Apple y cálculo ratios'!D82</f>
        <v>1182.3</v>
      </c>
      <c r="E5" s="180">
        <f>+'EEFF Apple y cálculo ratios'!E82</f>
        <v>1498.25</v>
      </c>
      <c r="F5" s="180">
        <f>+'EEFF Apple y cálculo ratios'!F82</f>
        <v>1497.15</v>
      </c>
      <c r="G5" s="180">
        <f>+'EEFF Apple y cálculo ratios'!G82</f>
        <v>1796.7</v>
      </c>
    </row>
    <row r="6" spans="1:7" x14ac:dyDescent="0.25">
      <c r="B6" s="239" t="str">
        <f>+'EEFF Apple y cálculo ratios'!B83</f>
        <v>Clientes</v>
      </c>
      <c r="C6" s="180"/>
      <c r="D6" s="180">
        <f>+'EEFF Apple y cálculo ratios'!D83</f>
        <v>28184</v>
      </c>
      <c r="E6" s="180">
        <f>+'EEFF Apple y cálculo ratios'!E83</f>
        <v>29508</v>
      </c>
      <c r="F6" s="180">
        <f>+'EEFF Apple y cálculo ratios'!F83</f>
        <v>33410</v>
      </c>
      <c r="G6" s="180">
        <f>+'EEFF Apple y cálculo ratios'!G83</f>
        <v>39777</v>
      </c>
    </row>
    <row r="7" spans="1:7" x14ac:dyDescent="0.25">
      <c r="B7" s="239" t="str">
        <f>+'EEFF Apple y cálculo ratios'!B84</f>
        <v>Inventarios</v>
      </c>
      <c r="C7" s="180"/>
      <c r="D7" s="180">
        <f>+'EEFF Apple y cálculo ratios'!D84</f>
        <v>4946</v>
      </c>
      <c r="E7" s="180">
        <f>+'EEFF Apple y cálculo ratios'!E84</f>
        <v>6331</v>
      </c>
      <c r="F7" s="180">
        <f>+'EEFF Apple y cálculo ratios'!F84</f>
        <v>7286</v>
      </c>
      <c r="G7" s="180">
        <f>+'EEFF Apple y cálculo ratios'!G84</f>
        <v>5718</v>
      </c>
    </row>
    <row r="8" spans="1:7" x14ac:dyDescent="0.25">
      <c r="B8" s="239" t="str">
        <f>+'EEFF Apple y cálculo ratios'!B85</f>
        <v>Otros activos corrientes</v>
      </c>
      <c r="C8" s="180"/>
      <c r="D8" s="180">
        <f>+'EEFF Apple y cálculo ratios'!D85</f>
        <v>53971</v>
      </c>
      <c r="E8" s="180">
        <f>+'EEFF Apple y cálculo ratios'!E85</f>
        <v>46172</v>
      </c>
      <c r="F8" s="180">
        <f>+'EEFF Apple y cálculo ratios'!F85</f>
        <v>47120</v>
      </c>
      <c r="G8" s="180">
        <f>+'EEFF Apple y cálculo ratios'!G85</f>
        <v>47765</v>
      </c>
    </row>
    <row r="9" spans="1:7" x14ac:dyDescent="0.25">
      <c r="B9" s="895" t="s">
        <v>2888</v>
      </c>
      <c r="C9" s="188"/>
      <c r="D9" s="188">
        <f>+SUM(D5:D8)</f>
        <v>88283.3</v>
      </c>
      <c r="E9" s="188">
        <f>+SUM(E5:E8)</f>
        <v>83509.25</v>
      </c>
      <c r="F9" s="188">
        <f>+SUM(F5:F8)</f>
        <v>89313.15</v>
      </c>
      <c r="G9" s="188">
        <f>+SUM(G5:G8)</f>
        <v>95056.7</v>
      </c>
    </row>
    <row r="10" spans="1:7" x14ac:dyDescent="0.25">
      <c r="B10" s="239" t="str">
        <f>+'EEFF Apple y cálculo ratios'!B87</f>
        <v>Proveedores</v>
      </c>
      <c r="C10" s="180"/>
      <c r="D10" s="180">
        <f>+'EEFF Apple y cálculo ratios'!D87</f>
        <v>64115</v>
      </c>
      <c r="E10" s="180">
        <f>+'EEFF Apple y cálculo ratios'!E87</f>
        <v>62611</v>
      </c>
      <c r="F10" s="180">
        <f>+'EEFF Apple y cálculo ratios'!F87</f>
        <v>68960</v>
      </c>
      <c r="G10" s="180">
        <f>+'EEFF Apple y cálculo ratios'!G87</f>
        <v>69860</v>
      </c>
    </row>
    <row r="11" spans="1:7" x14ac:dyDescent="0.25">
      <c r="B11" s="239" t="str">
        <f>+'EEFF Apple y cálculo ratios'!B88</f>
        <v>Otros pasivos corrientes</v>
      </c>
      <c r="C11" s="180"/>
      <c r="D11" s="180">
        <f>+'EEFF Apple y cálculo ratios'!D88</f>
        <v>67094</v>
      </c>
      <c r="E11" s="180">
        <f>+'EEFF Apple y cálculo ratios'!E88</f>
        <v>65315</v>
      </c>
      <c r="F11" s="180">
        <f>+'EEFF Apple y cálculo ratios'!F88</f>
        <v>84921</v>
      </c>
      <c r="G11" s="180">
        <f>+'EEFF Apple y cálculo ratios'!G88</f>
        <v>75442</v>
      </c>
    </row>
    <row r="12" spans="1:7" x14ac:dyDescent="0.25">
      <c r="B12" s="895" t="s">
        <v>2889</v>
      </c>
      <c r="C12" s="188"/>
      <c r="D12" s="188">
        <f>+SUM(D10:D11)</f>
        <v>131209</v>
      </c>
      <c r="E12" s="188">
        <f>+SUM(E10:E11)</f>
        <v>127926</v>
      </c>
      <c r="F12" s="188">
        <f>+SUM(F10:F11)</f>
        <v>153881</v>
      </c>
      <c r="G12" s="188">
        <f>+SUM(G10:G11)</f>
        <v>145302</v>
      </c>
    </row>
    <row r="13" spans="1:7" x14ac:dyDescent="0.25">
      <c r="B13" s="891" t="s">
        <v>2890</v>
      </c>
      <c r="C13" s="189"/>
      <c r="D13" s="189">
        <f>+D9-D12</f>
        <v>-42925.7</v>
      </c>
      <c r="E13" s="189">
        <f>+E9-E12</f>
        <v>-44416.75</v>
      </c>
      <c r="F13" s="189">
        <f>+F9-F12</f>
        <v>-64567.850000000006</v>
      </c>
      <c r="G13" s="189">
        <f>+G9-G12</f>
        <v>-50245.3</v>
      </c>
    </row>
    <row r="14" spans="1:7" x14ac:dyDescent="0.25">
      <c r="B14" s="22" t="s">
        <v>3568</v>
      </c>
      <c r="C14" s="22"/>
      <c r="D14" s="22"/>
      <c r="E14" s="180">
        <f>-(E13-D13)</f>
        <v>1491.0500000000029</v>
      </c>
      <c r="F14" s="180">
        <f>-(F13-E13)</f>
        <v>20151.100000000006</v>
      </c>
      <c r="G14" s="180">
        <f>-(G13-F13)</f>
        <v>-14322.550000000003</v>
      </c>
    </row>
    <row r="15" spans="1:7" x14ac:dyDescent="0.25">
      <c r="B15" s="22"/>
      <c r="C15" s="22"/>
      <c r="D15" s="22"/>
      <c r="E15" s="22"/>
      <c r="F15" s="22"/>
      <c r="G15" s="22"/>
    </row>
    <row r="16" spans="1:7" x14ac:dyDescent="0.25">
      <c r="B16" s="22" t="s">
        <v>3755</v>
      </c>
      <c r="C16" s="22"/>
      <c r="D16" s="22"/>
      <c r="E16" s="22"/>
      <c r="F16" s="22"/>
      <c r="G16" s="22"/>
    </row>
    <row r="17" spans="2:7" x14ac:dyDescent="0.25">
      <c r="C17" s="192">
        <v>2021</v>
      </c>
      <c r="D17" s="192">
        <v>2022</v>
      </c>
      <c r="E17" s="192">
        <v>2023</v>
      </c>
      <c r="F17" s="192">
        <v>2024</v>
      </c>
      <c r="G17" s="192">
        <v>2025</v>
      </c>
    </row>
    <row r="18" spans="2:7" x14ac:dyDescent="0.25">
      <c r="B18" s="239" t="s">
        <v>3087</v>
      </c>
      <c r="C18" s="180"/>
      <c r="D18" s="180">
        <f>+'EEFF Apple y cálculo ratios'!D95</f>
        <v>394328</v>
      </c>
      <c r="E18" s="180">
        <f>+'EEFF Apple y cálculo ratios'!E95</f>
        <v>383285</v>
      </c>
      <c r="F18" s="180">
        <f>+'EEFF Apple y cálculo ratios'!F95</f>
        <v>391035</v>
      </c>
      <c r="G18" s="180">
        <f>+'EEFF Apple y cálculo ratios'!G95</f>
        <v>416161</v>
      </c>
    </row>
    <row r="19" spans="2:7" x14ac:dyDescent="0.25">
      <c r="B19" s="239" t="s">
        <v>3427</v>
      </c>
      <c r="C19" s="180"/>
      <c r="D19" s="180">
        <f>+'EEFF Apple y cálculo ratios'!D96</f>
        <v>28184</v>
      </c>
      <c r="E19" s="180">
        <f>+'EEFF Apple y cálculo ratios'!E96</f>
        <v>29508</v>
      </c>
      <c r="F19" s="180">
        <f>+'EEFF Apple y cálculo ratios'!F96</f>
        <v>33410</v>
      </c>
      <c r="G19" s="180">
        <f>+'EEFF Apple y cálculo ratios'!G96</f>
        <v>39777</v>
      </c>
    </row>
    <row r="20" spans="2:7" x14ac:dyDescent="0.25">
      <c r="B20" s="892" t="s">
        <v>3429</v>
      </c>
      <c r="C20" s="491"/>
      <c r="D20" s="491">
        <f>+(D19/D18)*365</f>
        <v>26.087825363656648</v>
      </c>
      <c r="E20" s="491">
        <f t="shared" ref="E20:G20" si="0">+(E19/E18)*365</f>
        <v>28.100290906244702</v>
      </c>
      <c r="F20" s="491">
        <f>+(F19/F18)*365</f>
        <v>31.185571624023428</v>
      </c>
      <c r="G20" s="491">
        <f t="shared" si="0"/>
        <v>34.886990852098108</v>
      </c>
    </row>
    <row r="21" spans="2:7" x14ac:dyDescent="0.25">
      <c r="B21" s="239" t="s">
        <v>3743</v>
      </c>
      <c r="C21" s="180"/>
      <c r="D21" s="180">
        <f>+'EEFF Apple y cálculo ratios'!D98</f>
        <v>223546</v>
      </c>
      <c r="E21" s="180">
        <f>+'EEFF Apple y cálculo ratios'!E98</f>
        <v>214137</v>
      </c>
      <c r="F21" s="180">
        <f>+'EEFF Apple y cálculo ratios'!F98</f>
        <v>210352</v>
      </c>
      <c r="G21" s="180">
        <f>+'EEFF Apple y cálculo ratios'!G98</f>
        <v>220960</v>
      </c>
    </row>
    <row r="22" spans="2:7" x14ac:dyDescent="0.25">
      <c r="B22" s="239" t="s">
        <v>3428</v>
      </c>
      <c r="C22" s="180"/>
      <c r="D22" s="180">
        <f>+'EEFF Apple y cálculo ratios'!D99</f>
        <v>64115</v>
      </c>
      <c r="E22" s="180">
        <f>+'EEFF Apple y cálculo ratios'!E99</f>
        <v>62611</v>
      </c>
      <c r="F22" s="180">
        <f>+'EEFF Apple y cálculo ratios'!F99</f>
        <v>68960</v>
      </c>
      <c r="G22" s="180">
        <f>+'EEFF Apple y cálculo ratios'!G99</f>
        <v>69860</v>
      </c>
    </row>
    <row r="23" spans="2:7" x14ac:dyDescent="0.25">
      <c r="B23" s="892" t="s">
        <v>3430</v>
      </c>
      <c r="C23" s="491"/>
      <c r="D23" s="491">
        <f>+(D22/D21)*365</f>
        <v>104.68527730310539</v>
      </c>
      <c r="E23" s="491">
        <f t="shared" ref="E23:G23" si="1">+(E22/E21)*365</f>
        <v>106.72146803214764</v>
      </c>
      <c r="F23" s="491">
        <f t="shared" si="1"/>
        <v>119.65847721913744</v>
      </c>
      <c r="G23" s="491">
        <f t="shared" si="1"/>
        <v>115.40052498189718</v>
      </c>
    </row>
    <row r="24" spans="2:7" x14ac:dyDescent="0.25">
      <c r="B24" s="239" t="s">
        <v>3743</v>
      </c>
      <c r="C24" s="180"/>
      <c r="D24" s="180">
        <f>+'EEFF Apple y cálculo ratios'!D101</f>
        <v>223546</v>
      </c>
      <c r="E24" s="180">
        <f>+'EEFF Apple y cálculo ratios'!E101</f>
        <v>214137</v>
      </c>
      <c r="F24" s="180">
        <f>+'EEFF Apple y cálculo ratios'!F101</f>
        <v>210352</v>
      </c>
      <c r="G24" s="180">
        <f>+'EEFF Apple y cálculo ratios'!G101</f>
        <v>220960</v>
      </c>
    </row>
    <row r="25" spans="2:7" x14ac:dyDescent="0.25">
      <c r="B25" s="239" t="s">
        <v>3431</v>
      </c>
      <c r="C25" s="180"/>
      <c r="D25" s="180">
        <f>+'EEFF Apple y cálculo ratios'!D102</f>
        <v>4946</v>
      </c>
      <c r="E25" s="180">
        <f>+'EEFF Apple y cálculo ratios'!E102</f>
        <v>6331</v>
      </c>
      <c r="F25" s="180">
        <f>+'EEFF Apple y cálculo ratios'!F102</f>
        <v>7286</v>
      </c>
      <c r="G25" s="180">
        <f>+'EEFF Apple y cálculo ratios'!G102</f>
        <v>5718</v>
      </c>
    </row>
    <row r="26" spans="2:7" x14ac:dyDescent="0.25">
      <c r="B26" s="892" t="s">
        <v>3432</v>
      </c>
      <c r="C26" s="491"/>
      <c r="D26" s="491">
        <f>+(D25/D24)*365</f>
        <v>8.0756980666171607</v>
      </c>
      <c r="E26" s="491">
        <f t="shared" ref="E26:G26" si="2">+(E25/E24)*365</f>
        <v>10.791292490321617</v>
      </c>
      <c r="F26" s="491">
        <f t="shared" si="2"/>
        <v>12.642570548414087</v>
      </c>
      <c r="G26" s="491">
        <f t="shared" si="2"/>
        <v>9.4454652425778427</v>
      </c>
    </row>
  </sheetData>
  <hyperlinks>
    <hyperlink ref="A1" location="Inicio!A1" display="Inicio" xr:uid="{35122FA5-CC74-4396-A22F-31310AB4AE2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5377E-A114-453C-AC65-B1FDABD0A63D}">
  <sheetPr>
    <tabColor theme="5" tint="0.79998168889431442"/>
  </sheetPr>
  <dimension ref="A1:F21"/>
  <sheetViews>
    <sheetView showGridLines="0" workbookViewId="0"/>
  </sheetViews>
  <sheetFormatPr defaultRowHeight="15" x14ac:dyDescent="0.25"/>
  <cols>
    <col min="2" max="2" width="40" customWidth="1"/>
    <col min="6" max="6" width="8" bestFit="1" customWidth="1"/>
  </cols>
  <sheetData>
    <row r="1" spans="1:6" x14ac:dyDescent="0.25">
      <c r="A1" s="458" t="s">
        <v>2821</v>
      </c>
    </row>
    <row r="4" spans="1:6" x14ac:dyDescent="0.25">
      <c r="B4" s="22" t="s">
        <v>3757</v>
      </c>
      <c r="C4" s="22"/>
      <c r="D4" s="22"/>
      <c r="E4" s="22"/>
      <c r="F4" s="22"/>
    </row>
    <row r="5" spans="1:6" x14ac:dyDescent="0.25">
      <c r="B5" s="191" t="s">
        <v>3188</v>
      </c>
      <c r="C5" s="192">
        <v>2022</v>
      </c>
      <c r="D5" s="192">
        <v>2023</v>
      </c>
      <c r="E5" s="192">
        <v>2024</v>
      </c>
      <c r="F5" s="192">
        <v>2025</v>
      </c>
    </row>
    <row r="6" spans="1:6" x14ac:dyDescent="0.25">
      <c r="B6" s="208" t="s">
        <v>2892</v>
      </c>
      <c r="C6" s="190">
        <f>+'EEFF Apple y cálculo ratios'!D109</f>
        <v>217350</v>
      </c>
      <c r="D6" s="190">
        <f>+'EEFF Apple y cálculo ratios'!E109</f>
        <v>209017</v>
      </c>
      <c r="E6" s="190">
        <f>+'EEFF Apple y cálculo ratios'!F109</f>
        <v>211993</v>
      </c>
      <c r="F6" s="190">
        <f>+'EEFF Apple y cálculo ratios'!G109</f>
        <v>211284</v>
      </c>
    </row>
    <row r="7" spans="1:6" x14ac:dyDescent="0.25">
      <c r="B7" s="239" t="s">
        <v>2803</v>
      </c>
      <c r="C7" s="180">
        <f>+'EEFF Apple y cálculo ratios'!D110</f>
        <v>120805</v>
      </c>
      <c r="D7" s="180">
        <f>+'EEFF Apple y cálculo ratios'!E110</f>
        <v>100544</v>
      </c>
      <c r="E7" s="180">
        <f>+'EEFF Apple y cálculo ratios'!F110</f>
        <v>91479</v>
      </c>
      <c r="F7" s="180">
        <f>+'EEFF Apple y cálculo ratios'!G110</f>
        <v>77723</v>
      </c>
    </row>
    <row r="8" spans="1:6" x14ac:dyDescent="0.25">
      <c r="B8" s="239" t="s">
        <v>2804</v>
      </c>
      <c r="C8" s="180">
        <f>+'EEFF Apple y cálculo ratios'!D111</f>
        <v>42117</v>
      </c>
      <c r="D8" s="180">
        <f>+'EEFF Apple y cálculo ratios'!E111</f>
        <v>43715</v>
      </c>
      <c r="E8" s="180">
        <f>+'EEFF Apple y cálculo ratios'!F111</f>
        <v>45680</v>
      </c>
      <c r="F8" s="180">
        <f>+'EEFF Apple y cálculo ratios'!G111</f>
        <v>49834</v>
      </c>
    </row>
    <row r="9" spans="1:6" x14ac:dyDescent="0.25">
      <c r="B9" s="239" t="s">
        <v>2805</v>
      </c>
      <c r="C9" s="180">
        <f>+'EEFF Apple y cálculo ratios'!D112</f>
        <v>54428</v>
      </c>
      <c r="D9" s="180">
        <f>+'EEFF Apple y cálculo ratios'!E112</f>
        <v>64758</v>
      </c>
      <c r="E9" s="180">
        <f>+'EEFF Apple y cálculo ratios'!F112</f>
        <v>74834</v>
      </c>
      <c r="F9" s="180">
        <f>+'EEFF Apple y cálculo ratios'!G112</f>
        <v>83727</v>
      </c>
    </row>
    <row r="10" spans="1:6" ht="15.75" thickBot="1" x14ac:dyDescent="0.3">
      <c r="B10" s="309" t="s">
        <v>2893</v>
      </c>
      <c r="C10" s="198">
        <f>+'EEFF Apple y cálculo ratios'!D113</f>
        <v>-42925.7</v>
      </c>
      <c r="D10" s="198">
        <f>+'EEFF Apple y cálculo ratios'!E113</f>
        <v>-44416.75</v>
      </c>
      <c r="E10" s="198">
        <f>+'EEFF Apple y cálculo ratios'!F113</f>
        <v>-64567.850000000006</v>
      </c>
      <c r="F10" s="198">
        <f>+'EEFF Apple y cálculo ratios'!G113</f>
        <v>-50245.3</v>
      </c>
    </row>
    <row r="11" spans="1:6" x14ac:dyDescent="0.25">
      <c r="B11" s="208" t="s">
        <v>2894</v>
      </c>
      <c r="C11" s="190">
        <f>+'EEFF Apple y cálculo ratios'!D114</f>
        <v>174424.3</v>
      </c>
      <c r="D11" s="190">
        <f>+'EEFF Apple y cálculo ratios'!E114</f>
        <v>164600.25</v>
      </c>
      <c r="E11" s="190">
        <f>+'EEFF Apple y cálculo ratios'!F114</f>
        <v>147425.15</v>
      </c>
      <c r="F11" s="190">
        <f>+'EEFF Apple y cálculo ratios'!G114</f>
        <v>161038.70000000001</v>
      </c>
    </row>
    <row r="12" spans="1:6" x14ac:dyDescent="0.25">
      <c r="B12" s="22"/>
      <c r="C12" s="22"/>
      <c r="D12" s="22"/>
      <c r="E12" s="22"/>
      <c r="F12" s="22"/>
    </row>
    <row r="13" spans="1:6" x14ac:dyDescent="0.25">
      <c r="B13" s="208" t="s">
        <v>2895</v>
      </c>
      <c r="C13" s="190">
        <f>+'EEFF Apple y cálculo ratios'!D116</f>
        <v>119437</v>
      </c>
      <c r="D13" s="190">
        <f>+'EEFF Apple y cálculo ratios'!E116</f>
        <v>114301</v>
      </c>
      <c r="E13" s="190">
        <f>+'EEFF Apple y cálculo ratios'!F116</f>
        <v>123216</v>
      </c>
      <c r="F13" s="190">
        <f>+'EEFF Apple y cálculo ratios'!G116</f>
        <v>133050</v>
      </c>
    </row>
    <row r="14" spans="1:6" ht="15.75" thickBot="1" x14ac:dyDescent="0.3">
      <c r="B14" s="22"/>
      <c r="C14" s="22"/>
      <c r="D14" s="22"/>
      <c r="E14" s="22"/>
      <c r="F14" s="22"/>
    </row>
    <row r="15" spans="1:6" ht="15.75" thickBot="1" x14ac:dyDescent="0.3">
      <c r="B15" s="493" t="s">
        <v>3433</v>
      </c>
      <c r="C15" s="880">
        <f>+C13/C11</f>
        <v>0.68474977397071402</v>
      </c>
      <c r="D15" s="880">
        <f>+D13/D11</f>
        <v>0.69441571322036266</v>
      </c>
      <c r="E15" s="880">
        <f>+E13/E11</f>
        <v>0.83578683827013234</v>
      </c>
      <c r="F15" s="881">
        <f>+F13/F11</f>
        <v>0.82619891988695882</v>
      </c>
    </row>
    <row r="19" spans="2:6" x14ac:dyDescent="0.25">
      <c r="B19" s="22"/>
      <c r="C19" s="496">
        <v>2022</v>
      </c>
      <c r="D19" s="496">
        <v>2023</v>
      </c>
      <c r="E19" s="496">
        <v>2024</v>
      </c>
      <c r="F19" s="496">
        <v>2025</v>
      </c>
    </row>
    <row r="20" spans="2:6" x14ac:dyDescent="0.25">
      <c r="B20" s="897" t="s">
        <v>3433</v>
      </c>
      <c r="C20" s="898">
        <f>+C15</f>
        <v>0.68474977397071402</v>
      </c>
      <c r="D20" s="898">
        <f>+D15</f>
        <v>0.69441571322036266</v>
      </c>
      <c r="E20" s="898">
        <f>+E15</f>
        <v>0.83578683827013234</v>
      </c>
      <c r="F20" s="898">
        <f>+F15</f>
        <v>0.82619891988695882</v>
      </c>
    </row>
    <row r="21" spans="2:6" x14ac:dyDescent="0.25">
      <c r="B21" s="897" t="s">
        <v>2820</v>
      </c>
      <c r="C21" s="898">
        <f>+'EEFF Apple y cálculo ratios'!D70</f>
        <v>0.28292440929256851</v>
      </c>
      <c r="D21" s="898">
        <f>+'EEFF Apple y cálculo ratios'!E70</f>
        <v>0.27509834563776475</v>
      </c>
      <c r="E21" s="898">
        <f>+'EEFF Apple y cálculo ratios'!F70</f>
        <v>0.25682503150857583</v>
      </c>
      <c r="F21" s="898">
        <f>+'EEFF Apple y cálculo ratios'!G70</f>
        <v>0.31179625933565491</v>
      </c>
    </row>
  </sheetData>
  <hyperlinks>
    <hyperlink ref="A1" location="Inicio!A1" display="Inicio" xr:uid="{6E45DBC4-23F8-4A0F-BB0B-7F6C655C801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9440A-CF0F-49C0-BA72-1FB0431D0FAD}">
  <sheetPr>
    <tabColor theme="5" tint="0.79998168889431442"/>
  </sheetPr>
  <dimension ref="A1:N50"/>
  <sheetViews>
    <sheetView showGridLines="0" workbookViewId="0"/>
  </sheetViews>
  <sheetFormatPr defaultColWidth="9" defaultRowHeight="15" x14ac:dyDescent="0.25"/>
  <cols>
    <col min="2" max="2" width="31.42578125" bestFit="1" customWidth="1"/>
    <col min="3" max="7" width="14.85546875" bestFit="1" customWidth="1"/>
    <col min="8" max="11" width="16.42578125" bestFit="1" customWidth="1"/>
    <col min="12" max="12" width="16.28515625" customWidth="1"/>
    <col min="13" max="13" width="14" bestFit="1" customWidth="1"/>
    <col min="14" max="14" width="13" bestFit="1" customWidth="1"/>
    <col min="15" max="15" width="8.5703125" bestFit="1" customWidth="1"/>
  </cols>
  <sheetData>
    <row r="1" spans="1:14" x14ac:dyDescent="0.25">
      <c r="A1" s="458" t="s">
        <v>2821</v>
      </c>
    </row>
    <row r="2" spans="1:14" x14ac:dyDescent="0.25">
      <c r="B2" s="187" t="s">
        <v>2904</v>
      </c>
      <c r="C2" s="194">
        <v>2015</v>
      </c>
      <c r="D2" s="194">
        <v>2016</v>
      </c>
      <c r="E2" s="194">
        <v>2017</v>
      </c>
      <c r="F2" s="194">
        <v>2018</v>
      </c>
      <c r="G2" s="194">
        <v>2019</v>
      </c>
      <c r="H2" s="194">
        <v>2020</v>
      </c>
      <c r="I2" s="194">
        <v>2021</v>
      </c>
      <c r="J2" s="194">
        <v>2022</v>
      </c>
      <c r="K2" s="194">
        <v>2023</v>
      </c>
      <c r="L2" s="194">
        <v>2024</v>
      </c>
      <c r="N2" s="194" t="s">
        <v>2757</v>
      </c>
    </row>
    <row r="3" spans="1:14" x14ac:dyDescent="0.25">
      <c r="B3" s="195" t="s">
        <v>1486</v>
      </c>
      <c r="C3" s="180" cm="1">
        <f t="array" ref="C3:L9">+_xldudf_WISE(B3:B9,$B$2,C2:L2)</f>
        <v>8067000000</v>
      </c>
      <c r="D3" s="180">
        <v>10045000000</v>
      </c>
      <c r="E3" s="180">
        <v>11581000000</v>
      </c>
      <c r="F3" s="180">
        <v>14236000000</v>
      </c>
      <c r="G3" s="180">
        <v>16217000000</v>
      </c>
      <c r="H3" s="180">
        <v>18752000000</v>
      </c>
      <c r="I3" s="180">
        <v>21914000000</v>
      </c>
      <c r="J3" s="180">
        <v>26251000000</v>
      </c>
      <c r="K3" s="180">
        <v>29915000000</v>
      </c>
      <c r="L3" s="180">
        <v>31370000000</v>
      </c>
      <c r="N3" s="196">
        <f t="shared" ref="N3:N9" si="0">+(K3/C3)^(1/8)-1</f>
        <v>0.1780049592508457</v>
      </c>
    </row>
    <row r="4" spans="1:14" x14ac:dyDescent="0.25">
      <c r="B4" s="195" t="s">
        <v>1612</v>
      </c>
      <c r="C4" s="180">
        <v>12046000000</v>
      </c>
      <c r="D4" s="180">
        <v>11988000000</v>
      </c>
      <c r="E4" s="180">
        <v>13037000000</v>
      </c>
      <c r="F4" s="180">
        <v>14726000000</v>
      </c>
      <c r="G4" s="180">
        <v>16876000000</v>
      </c>
      <c r="H4" s="180">
        <v>19269000000</v>
      </c>
      <c r="I4" s="180">
        <v>20716000000</v>
      </c>
      <c r="J4" s="180">
        <v>24512000000</v>
      </c>
      <c r="K4" s="180">
        <v>27195000000</v>
      </c>
      <c r="L4" s="180">
        <v>29510000000</v>
      </c>
      <c r="N4" s="196">
        <f t="shared" si="0"/>
        <v>0.10714824392823652</v>
      </c>
    </row>
    <row r="5" spans="1:14" x14ac:dyDescent="0.25">
      <c r="B5" s="195" t="s">
        <v>1034</v>
      </c>
      <c r="C5" s="180">
        <v>4816000000</v>
      </c>
      <c r="D5" s="180">
        <v>5919000000</v>
      </c>
      <c r="E5" s="180">
        <v>7754000000</v>
      </c>
      <c r="F5" s="180">
        <v>10273000000</v>
      </c>
      <c r="G5" s="180">
        <v>13600000000</v>
      </c>
      <c r="H5" s="180">
        <v>18447000000</v>
      </c>
      <c r="I5" s="180">
        <v>24655000000</v>
      </c>
      <c r="J5" s="180">
        <v>35338000000</v>
      </c>
      <c r="K5" s="180">
        <v>38483000000</v>
      </c>
      <c r="L5" s="180">
        <v>43873000000</v>
      </c>
      <c r="N5" s="196">
        <f t="shared" si="0"/>
        <v>0.29665012221841147</v>
      </c>
    </row>
    <row r="6" spans="1:14" x14ac:dyDescent="0.25">
      <c r="B6" s="195" t="s">
        <v>2018</v>
      </c>
      <c r="C6" s="180">
        <v>12540000000</v>
      </c>
      <c r="D6" s="180">
        <v>16085000000</v>
      </c>
      <c r="E6" s="180">
        <v>22620000000</v>
      </c>
      <c r="F6" s="180">
        <v>28837000000</v>
      </c>
      <c r="G6" s="180">
        <v>35931000000</v>
      </c>
      <c r="H6" s="180">
        <v>42740000000</v>
      </c>
      <c r="I6" s="180">
        <v>56052000000</v>
      </c>
      <c r="J6" s="180">
        <v>73213000000</v>
      </c>
      <c r="K6" s="180">
        <v>85622000000</v>
      </c>
      <c r="L6" s="180">
        <v>88544000000</v>
      </c>
      <c r="N6" s="196">
        <f t="shared" si="0"/>
        <v>0.27141104217381273</v>
      </c>
    </row>
    <row r="7" spans="1:14" x14ac:dyDescent="0.25">
      <c r="B7" s="195" t="s">
        <v>2208</v>
      </c>
      <c r="C7" s="180">
        <v>12282000000</v>
      </c>
      <c r="D7" s="180">
        <v>13948000000</v>
      </c>
      <c r="E7" s="180">
        <v>16625000000</v>
      </c>
      <c r="F7" s="180">
        <v>21419000000</v>
      </c>
      <c r="G7" s="180">
        <v>26018000000</v>
      </c>
      <c r="H7" s="180">
        <v>27573000000</v>
      </c>
      <c r="I7" s="180">
        <v>31562000000</v>
      </c>
      <c r="J7" s="180">
        <v>39500000000</v>
      </c>
      <c r="K7" s="180">
        <v>45427000000</v>
      </c>
      <c r="L7" s="180">
        <v>49326000000</v>
      </c>
      <c r="N7" s="196">
        <f t="shared" si="0"/>
        <v>0.17762121378432782</v>
      </c>
    </row>
    <row r="8" spans="1:14" x14ac:dyDescent="0.25">
      <c r="B8" s="195" t="s">
        <v>1997</v>
      </c>
      <c r="C8" s="180">
        <v>1360000000</v>
      </c>
      <c r="D8" s="180">
        <v>1331000000</v>
      </c>
      <c r="E8" s="180">
        <v>1463000000</v>
      </c>
      <c r="F8" s="180">
        <v>1797000000</v>
      </c>
      <c r="G8" s="180">
        <v>2376000000</v>
      </c>
      <c r="H8" s="180">
        <v>2829000000</v>
      </c>
      <c r="I8" s="180">
        <v>3924000000</v>
      </c>
      <c r="J8" s="180">
        <v>5268000000</v>
      </c>
      <c r="K8" s="180">
        <v>7339000000</v>
      </c>
      <c r="L8" s="180">
        <v>8675000000</v>
      </c>
      <c r="N8" s="196">
        <f t="shared" si="0"/>
        <v>0.23456013016176414</v>
      </c>
    </row>
    <row r="9" spans="1:14" x14ac:dyDescent="0.25">
      <c r="B9" s="195" t="s">
        <v>2048</v>
      </c>
      <c r="C9" s="180">
        <v>717900000</v>
      </c>
      <c r="D9" s="180">
        <v>834408000</v>
      </c>
      <c r="E9" s="180">
        <v>1378000000</v>
      </c>
      <c r="F9" s="180">
        <v>1460370000</v>
      </c>
      <c r="G9" s="180">
        <v>1343000000</v>
      </c>
      <c r="H9" s="180">
        <v>1491000000</v>
      </c>
      <c r="I9" s="180">
        <v>2593000000</v>
      </c>
      <c r="J9" s="180">
        <v>3075000000</v>
      </c>
      <c r="K9" s="180">
        <v>3969000000</v>
      </c>
      <c r="L9" s="180">
        <v>4540000000</v>
      </c>
      <c r="N9" s="196">
        <f t="shared" si="0"/>
        <v>0.23830362192278964</v>
      </c>
    </row>
    <row r="10" spans="1:14" x14ac:dyDescent="0.25">
      <c r="B10" s="195"/>
      <c r="C10" s="180">
        <f>+SUM(C3:C9)</f>
        <v>51828900000</v>
      </c>
      <c r="D10" s="180">
        <f t="shared" ref="D10:L10" si="1">+SUM(D3:D9)</f>
        <v>60150408000</v>
      </c>
      <c r="E10" s="180">
        <f t="shared" si="1"/>
        <v>74458000000</v>
      </c>
      <c r="F10" s="180">
        <f t="shared" si="1"/>
        <v>92748370000</v>
      </c>
      <c r="G10" s="180">
        <f t="shared" si="1"/>
        <v>112361000000</v>
      </c>
      <c r="H10" s="180">
        <f t="shared" si="1"/>
        <v>131101000000</v>
      </c>
      <c r="I10" s="180">
        <f t="shared" si="1"/>
        <v>161416000000</v>
      </c>
      <c r="J10" s="180">
        <f t="shared" si="1"/>
        <v>207157000000</v>
      </c>
      <c r="K10" s="180">
        <f t="shared" si="1"/>
        <v>237950000000</v>
      </c>
      <c r="L10" s="180">
        <f t="shared" si="1"/>
        <v>255838000000</v>
      </c>
      <c r="N10" s="196"/>
    </row>
    <row r="11" spans="1:14" x14ac:dyDescent="0.25">
      <c r="B11" s="193"/>
    </row>
    <row r="12" spans="1:14" x14ac:dyDescent="0.25">
      <c r="B12" s="187" t="s">
        <v>2644</v>
      </c>
      <c r="C12" s="194">
        <v>2015</v>
      </c>
      <c r="D12" s="194">
        <v>2016</v>
      </c>
      <c r="E12" s="194">
        <v>2017</v>
      </c>
      <c r="F12" s="194">
        <v>2018</v>
      </c>
      <c r="G12" s="194">
        <v>2019</v>
      </c>
      <c r="H12" s="194">
        <v>2020</v>
      </c>
      <c r="I12" s="194">
        <v>2021</v>
      </c>
      <c r="J12" s="194">
        <v>2022</v>
      </c>
      <c r="K12" s="194">
        <v>2023</v>
      </c>
      <c r="L12" s="194">
        <v>2024</v>
      </c>
      <c r="N12" s="194" t="s">
        <v>2757</v>
      </c>
    </row>
    <row r="13" spans="1:14" x14ac:dyDescent="0.25">
      <c r="B13" s="195" t="s">
        <v>1486</v>
      </c>
      <c r="C13" s="180" cm="1">
        <f t="array" ref="C13:L19">+_xldudf_WISE(B13:B19,$B$12,C12:L12)</f>
        <v>233715000000</v>
      </c>
      <c r="D13" s="180">
        <v>215639000000</v>
      </c>
      <c r="E13" s="180">
        <v>229234000000</v>
      </c>
      <c r="F13" s="180">
        <v>265595000000</v>
      </c>
      <c r="G13" s="180">
        <v>260174000000</v>
      </c>
      <c r="H13" s="180">
        <v>274515000000</v>
      </c>
      <c r="I13" s="180">
        <v>365817000000</v>
      </c>
      <c r="J13" s="180">
        <v>394328000000</v>
      </c>
      <c r="K13" s="180">
        <v>383285000000</v>
      </c>
      <c r="L13">
        <v>391035000000</v>
      </c>
      <c r="N13" s="196">
        <f t="shared" ref="N13:N19" si="2">+(K13/C13)^(1/8)-1</f>
        <v>6.3786328507496437E-2</v>
      </c>
    </row>
    <row r="14" spans="1:14" x14ac:dyDescent="0.25">
      <c r="B14" s="195" t="s">
        <v>1612</v>
      </c>
      <c r="C14" s="180">
        <v>93580000000</v>
      </c>
      <c r="D14" s="180">
        <v>91154000000</v>
      </c>
      <c r="E14" s="180">
        <v>96571000000</v>
      </c>
      <c r="F14" s="180">
        <v>110360000000</v>
      </c>
      <c r="G14" s="180">
        <v>125843000000</v>
      </c>
      <c r="H14" s="180">
        <v>143015000000</v>
      </c>
      <c r="I14" s="180">
        <v>168088000000</v>
      </c>
      <c r="J14" s="180">
        <v>198270000000</v>
      </c>
      <c r="K14" s="180">
        <v>211915000000</v>
      </c>
      <c r="L14">
        <v>245122000000</v>
      </c>
      <c r="N14" s="196">
        <f t="shared" si="2"/>
        <v>0.10757292877605495</v>
      </c>
    </row>
    <row r="15" spans="1:14" x14ac:dyDescent="0.25">
      <c r="B15" s="195" t="s">
        <v>1034</v>
      </c>
      <c r="C15" s="180">
        <v>17928000000</v>
      </c>
      <c r="D15" s="180">
        <v>27638000000</v>
      </c>
      <c r="E15" s="180">
        <v>40653000000</v>
      </c>
      <c r="F15" s="180">
        <v>55838000000</v>
      </c>
      <c r="G15" s="180">
        <v>70697000000</v>
      </c>
      <c r="H15" s="180">
        <v>85965000000</v>
      </c>
      <c r="I15" s="180">
        <v>117929000000</v>
      </c>
      <c r="J15" s="180">
        <v>116609000000</v>
      </c>
      <c r="K15" s="180">
        <v>134902000000</v>
      </c>
      <c r="L15">
        <v>164501000000</v>
      </c>
      <c r="N15" s="196">
        <f t="shared" si="2"/>
        <v>0.28694746307631847</v>
      </c>
    </row>
    <row r="16" spans="1:14" x14ac:dyDescent="0.25">
      <c r="B16" s="195" t="s">
        <v>2018</v>
      </c>
      <c r="C16" s="180">
        <v>107006000000</v>
      </c>
      <c r="D16" s="180">
        <v>135987000000</v>
      </c>
      <c r="E16" s="180">
        <v>177866000000</v>
      </c>
      <c r="F16" s="180">
        <v>232887000000</v>
      </c>
      <c r="G16" s="180">
        <v>280522000000</v>
      </c>
      <c r="H16" s="180">
        <v>386064000000</v>
      </c>
      <c r="I16" s="180">
        <v>469822000000</v>
      </c>
      <c r="J16" s="180">
        <v>513983000000</v>
      </c>
      <c r="K16" s="180">
        <v>574785000000</v>
      </c>
      <c r="L16">
        <v>637959000000</v>
      </c>
      <c r="N16" s="196">
        <f t="shared" si="2"/>
        <v>0.23384942205603232</v>
      </c>
    </row>
    <row r="17" spans="2:14" x14ac:dyDescent="0.25">
      <c r="B17" s="195" t="s">
        <v>2208</v>
      </c>
      <c r="C17" s="180">
        <v>74989000000</v>
      </c>
      <c r="D17" s="180">
        <v>90272000000</v>
      </c>
      <c r="E17" s="180">
        <v>110855000000</v>
      </c>
      <c r="F17" s="180">
        <v>136819000000</v>
      </c>
      <c r="G17" s="180">
        <v>161857000000</v>
      </c>
      <c r="H17" s="180">
        <v>182527000000</v>
      </c>
      <c r="I17" s="180">
        <v>257637000000</v>
      </c>
      <c r="J17" s="180">
        <v>282836000000</v>
      </c>
      <c r="K17" s="180">
        <v>307394000000</v>
      </c>
      <c r="L17">
        <v>350018000000</v>
      </c>
      <c r="N17" s="196">
        <f t="shared" si="2"/>
        <v>0.19285382639067361</v>
      </c>
    </row>
    <row r="18" spans="2:14" x14ac:dyDescent="0.25">
      <c r="B18" s="195" t="s">
        <v>1997</v>
      </c>
      <c r="C18" s="180">
        <v>4682000000</v>
      </c>
      <c r="D18" s="180">
        <v>5010000000</v>
      </c>
      <c r="E18" s="180">
        <v>6910000000</v>
      </c>
      <c r="F18" s="180">
        <v>9714000000</v>
      </c>
      <c r="G18" s="180">
        <v>11716000000</v>
      </c>
      <c r="H18" s="180">
        <v>10918000000</v>
      </c>
      <c r="I18" s="180">
        <v>16675000000</v>
      </c>
      <c r="J18" s="180">
        <v>26914000000</v>
      </c>
      <c r="K18" s="180">
        <v>26974000000</v>
      </c>
      <c r="L18">
        <v>60922000000</v>
      </c>
      <c r="N18" s="196">
        <f t="shared" si="2"/>
        <v>0.24469872011105798</v>
      </c>
    </row>
    <row r="19" spans="2:14" x14ac:dyDescent="0.25">
      <c r="B19" s="195" t="s">
        <v>2048</v>
      </c>
      <c r="C19" s="180">
        <v>4046025000</v>
      </c>
      <c r="D19" s="180">
        <v>7000132000</v>
      </c>
      <c r="E19" s="180">
        <v>11759000000</v>
      </c>
      <c r="F19" s="180">
        <v>21461268000</v>
      </c>
      <c r="G19" s="180">
        <v>24578000000</v>
      </c>
      <c r="H19" s="180">
        <v>31536000000</v>
      </c>
      <c r="I19" s="180">
        <v>53823000000</v>
      </c>
      <c r="J19" s="180">
        <v>81462000000</v>
      </c>
      <c r="K19" s="180">
        <v>96773000000</v>
      </c>
      <c r="L19">
        <v>97690000000</v>
      </c>
      <c r="N19" s="196">
        <f t="shared" si="2"/>
        <v>0.48710182065524199</v>
      </c>
    </row>
    <row r="20" spans="2:14" x14ac:dyDescent="0.25">
      <c r="B20" s="193"/>
      <c r="C20" s="137">
        <f>+SUM(C13:C19)</f>
        <v>535946025000</v>
      </c>
      <c r="D20" s="137">
        <f t="shared" ref="D20:L20" si="3">+SUM(D13:D19)</f>
        <v>572700132000</v>
      </c>
      <c r="E20" s="137">
        <f t="shared" si="3"/>
        <v>673848000000</v>
      </c>
      <c r="F20" s="137">
        <f t="shared" si="3"/>
        <v>832674268000</v>
      </c>
      <c r="G20" s="137">
        <f t="shared" si="3"/>
        <v>935387000000</v>
      </c>
      <c r="H20" s="137">
        <f t="shared" si="3"/>
        <v>1114540000000</v>
      </c>
      <c r="I20" s="137">
        <f t="shared" si="3"/>
        <v>1449791000000</v>
      </c>
      <c r="J20" s="137">
        <f t="shared" si="3"/>
        <v>1614402000000</v>
      </c>
      <c r="K20" s="137">
        <f t="shared" si="3"/>
        <v>1736028000000</v>
      </c>
      <c r="L20" s="137">
        <f t="shared" si="3"/>
        <v>1947247000000</v>
      </c>
    </row>
    <row r="21" spans="2:14" x14ac:dyDescent="0.25">
      <c r="B21" s="193"/>
    </row>
    <row r="22" spans="2:14" x14ac:dyDescent="0.25">
      <c r="B22" s="187" t="s">
        <v>2905</v>
      </c>
      <c r="C22" s="194">
        <v>2015</v>
      </c>
      <c r="D22" s="194">
        <v>2016</v>
      </c>
      <c r="E22" s="194">
        <v>2017</v>
      </c>
      <c r="F22" s="194">
        <v>2018</v>
      </c>
      <c r="G22" s="194">
        <v>2019</v>
      </c>
      <c r="H22" s="194">
        <v>2020</v>
      </c>
      <c r="I22" s="194">
        <v>2021</v>
      </c>
      <c r="J22" s="194">
        <v>2022</v>
      </c>
      <c r="K22" s="194">
        <v>2023</v>
      </c>
      <c r="L22" s="194" t="s">
        <v>2209</v>
      </c>
    </row>
    <row r="23" spans="2:14" x14ac:dyDescent="0.25">
      <c r="B23" s="195" t="s">
        <v>1486</v>
      </c>
      <c r="C23" s="13">
        <f t="shared" ref="C23:C29" si="4">+C3/C13</f>
        <v>3.4516398177267184E-2</v>
      </c>
      <c r="D23" s="13">
        <f t="shared" ref="D23:K23" si="5">+D3/D13</f>
        <v>4.6582482760539605E-2</v>
      </c>
      <c r="E23" s="13">
        <f t="shared" si="5"/>
        <v>5.0520428906706681E-2</v>
      </c>
      <c r="F23" s="13">
        <f t="shared" si="5"/>
        <v>5.3600406634161032E-2</v>
      </c>
      <c r="G23" s="13">
        <f t="shared" si="5"/>
        <v>6.233136285716482E-2</v>
      </c>
      <c r="H23" s="13">
        <f t="shared" si="5"/>
        <v>6.8309564140393061E-2</v>
      </c>
      <c r="I23" s="13">
        <f t="shared" si="5"/>
        <v>5.9904269074427925E-2</v>
      </c>
      <c r="J23" s="13">
        <f t="shared" si="5"/>
        <v>6.657148363798665E-2</v>
      </c>
      <c r="K23" s="13">
        <f t="shared" si="5"/>
        <v>7.8048971392045086E-2</v>
      </c>
      <c r="L23" s="13">
        <f t="shared" ref="L23:L29" si="6">+F33</f>
        <v>8.8689133930826114E-2</v>
      </c>
    </row>
    <row r="24" spans="2:14" x14ac:dyDescent="0.25">
      <c r="B24" s="195" t="s">
        <v>1612</v>
      </c>
      <c r="C24" s="13">
        <f t="shared" si="4"/>
        <v>0.12872408634323573</v>
      </c>
      <c r="D24" s="13">
        <f t="shared" ref="D24:K29" si="7">+D4/D14</f>
        <v>0.13151370208657875</v>
      </c>
      <c r="E24" s="13">
        <f t="shared" si="7"/>
        <v>0.13499911981857907</v>
      </c>
      <c r="F24" s="13">
        <f t="shared" si="7"/>
        <v>0.13343602754621239</v>
      </c>
      <c r="G24" s="13">
        <f t="shared" si="7"/>
        <v>0.13410360528595155</v>
      </c>
      <c r="H24" s="13">
        <f t="shared" si="7"/>
        <v>0.1347341187987274</v>
      </c>
      <c r="I24" s="13">
        <f t="shared" si="7"/>
        <v>0.12324496692208843</v>
      </c>
      <c r="J24" s="13">
        <f t="shared" si="7"/>
        <v>0.12362939426035205</v>
      </c>
      <c r="K24" s="13">
        <f t="shared" si="7"/>
        <v>0.12832975485454073</v>
      </c>
      <c r="L24" s="13">
        <f t="shared" si="6"/>
        <v>0.10806446038463835</v>
      </c>
    </row>
    <row r="25" spans="2:14" x14ac:dyDescent="0.25">
      <c r="B25" s="195" t="s">
        <v>1034</v>
      </c>
      <c r="C25" s="13">
        <f t="shared" si="4"/>
        <v>0.26863007585899151</v>
      </c>
      <c r="D25" s="13">
        <f t="shared" si="7"/>
        <v>0.21416166148057023</v>
      </c>
      <c r="E25" s="13">
        <f t="shared" si="7"/>
        <v>0.19073623102846038</v>
      </c>
      <c r="F25" s="13">
        <f t="shared" si="7"/>
        <v>0.18397865253053475</v>
      </c>
      <c r="G25" s="13">
        <f t="shared" si="7"/>
        <v>0.19237025616362788</v>
      </c>
      <c r="H25" s="13">
        <f t="shared" si="7"/>
        <v>0.21458733205374281</v>
      </c>
      <c r="I25" s="13">
        <f t="shared" si="7"/>
        <v>0.20906647219937419</v>
      </c>
      <c r="J25" s="13">
        <f t="shared" si="7"/>
        <v>0.30304693462768739</v>
      </c>
      <c r="K25" s="13">
        <f t="shared" si="7"/>
        <v>0.28526634149234259</v>
      </c>
      <c r="L25" s="13">
        <f t="shared" si="6"/>
        <v>0.29270618664607395</v>
      </c>
    </row>
    <row r="26" spans="2:14" x14ac:dyDescent="0.25">
      <c r="B26" s="195" t="s">
        <v>2018</v>
      </c>
      <c r="C26" s="13">
        <f t="shared" si="4"/>
        <v>0.11718969029774032</v>
      </c>
      <c r="D26" s="13">
        <f t="shared" si="7"/>
        <v>0.11828336532168517</v>
      </c>
      <c r="E26" s="13">
        <f t="shared" si="7"/>
        <v>0.12717438970910686</v>
      </c>
      <c r="F26" s="13">
        <f t="shared" si="7"/>
        <v>0.12382400048091993</v>
      </c>
      <c r="G26" s="13">
        <f t="shared" si="7"/>
        <v>0.12808621070718162</v>
      </c>
      <c r="H26" s="13">
        <f t="shared" si="7"/>
        <v>0.11070703303079282</v>
      </c>
      <c r="I26" s="13">
        <f t="shared" si="7"/>
        <v>0.11930475797216818</v>
      </c>
      <c r="J26" s="13">
        <f t="shared" si="7"/>
        <v>0.14244245432241923</v>
      </c>
      <c r="K26" s="13">
        <f t="shared" si="7"/>
        <v>0.14896352549214054</v>
      </c>
      <c r="L26" s="13">
        <f t="shared" si="6"/>
        <v>0.15495115620321603</v>
      </c>
    </row>
    <row r="27" spans="2:14" x14ac:dyDescent="0.25">
      <c r="B27" s="195" t="s">
        <v>2208</v>
      </c>
      <c r="C27" s="13">
        <f t="shared" si="4"/>
        <v>0.16378402165650963</v>
      </c>
      <c r="D27" s="13">
        <f t="shared" si="7"/>
        <v>0.15451081176887629</v>
      </c>
      <c r="E27" s="13">
        <f t="shared" si="7"/>
        <v>0.14997068242298497</v>
      </c>
      <c r="F27" s="13">
        <f t="shared" si="7"/>
        <v>0.15654989438601363</v>
      </c>
      <c r="G27" s="13">
        <f t="shared" si="7"/>
        <v>0.16074683208016954</v>
      </c>
      <c r="H27" s="13">
        <f t="shared" si="7"/>
        <v>0.15106258252203783</v>
      </c>
      <c r="I27" s="13">
        <f t="shared" si="7"/>
        <v>0.12250569599863374</v>
      </c>
      <c r="J27" s="13">
        <f t="shared" si="7"/>
        <v>0.13965690364734334</v>
      </c>
      <c r="K27" s="13">
        <f t="shared" si="7"/>
        <v>0.14778102370247956</v>
      </c>
      <c r="L27" s="13">
        <f t="shared" si="6"/>
        <v>0.15278796685014887</v>
      </c>
    </row>
    <row r="28" spans="2:14" x14ac:dyDescent="0.25">
      <c r="B28" s="195" t="s">
        <v>1997</v>
      </c>
      <c r="C28" s="13">
        <f t="shared" si="4"/>
        <v>0.29047415634344298</v>
      </c>
      <c r="D28" s="13">
        <f t="shared" si="7"/>
        <v>0.26566866267465072</v>
      </c>
      <c r="E28" s="13">
        <f t="shared" si="7"/>
        <v>0.21172214182344429</v>
      </c>
      <c r="F28" s="13">
        <f t="shared" si="7"/>
        <v>0.18499073502161828</v>
      </c>
      <c r="G28" s="13">
        <f t="shared" si="7"/>
        <v>0.20279959030385797</v>
      </c>
      <c r="H28" s="13">
        <f t="shared" si="7"/>
        <v>0.25911339073090311</v>
      </c>
      <c r="I28" s="13">
        <f t="shared" si="7"/>
        <v>0.2353223388305847</v>
      </c>
      <c r="J28" s="13">
        <f t="shared" si="7"/>
        <v>0.19573456193802483</v>
      </c>
      <c r="K28" s="13">
        <f t="shared" si="7"/>
        <v>0.27207681471046191</v>
      </c>
      <c r="L28" s="13">
        <f t="shared" si="6"/>
        <v>8.2168597701693546E-2</v>
      </c>
    </row>
    <row r="29" spans="2:14" x14ac:dyDescent="0.25">
      <c r="B29" s="195" t="s">
        <v>2048</v>
      </c>
      <c r="C29" s="13">
        <f t="shared" si="4"/>
        <v>0.17743340686229075</v>
      </c>
      <c r="D29" s="13">
        <f t="shared" si="7"/>
        <v>0.11919889510654942</v>
      </c>
      <c r="E29" s="13">
        <f t="shared" si="7"/>
        <v>0.1171868356152734</v>
      </c>
      <c r="F29" s="13">
        <f t="shared" si="7"/>
        <v>6.8046771514152851E-2</v>
      </c>
      <c r="G29" s="13">
        <f t="shared" si="7"/>
        <v>5.4642363088941333E-2</v>
      </c>
      <c r="H29" s="13">
        <f t="shared" si="7"/>
        <v>4.7279299847792999E-2</v>
      </c>
      <c r="I29" s="13">
        <f t="shared" si="7"/>
        <v>4.817643015067908E-2</v>
      </c>
      <c r="J29" s="13">
        <f t="shared" si="7"/>
        <v>3.7747661486337188E-2</v>
      </c>
      <c r="K29" s="13">
        <f t="shared" si="7"/>
        <v>4.1013505833238609E-2</v>
      </c>
      <c r="L29" s="13">
        <f t="shared" si="6"/>
        <v>7.0985604675160144E-2</v>
      </c>
    </row>
    <row r="32" spans="2:14" ht="39" x14ac:dyDescent="0.25">
      <c r="D32" s="194" t="s">
        <v>2644</v>
      </c>
      <c r="E32" s="194" t="s">
        <v>2904</v>
      </c>
      <c r="F32" s="194" t="s">
        <v>2905</v>
      </c>
    </row>
    <row r="33" spans="2:12" x14ac:dyDescent="0.25">
      <c r="B33" s="131" t="s">
        <v>2897</v>
      </c>
      <c r="C33" s="130" t="s">
        <v>1486</v>
      </c>
      <c r="D33" s="180" cm="1">
        <f t="array" ref="D33">+_xldudf_WISE($C33,D$32,"TTM")</f>
        <v>451442000000</v>
      </c>
      <c r="E33" s="180" cm="1">
        <f t="array" ref="E33">+_xldudf_WISE($C33,E$32,"TTM")</f>
        <v>40038000000</v>
      </c>
      <c r="F33" s="6">
        <f>+E33/D33</f>
        <v>8.8689133930826114E-2</v>
      </c>
    </row>
    <row r="34" spans="2:12" x14ac:dyDescent="0.25">
      <c r="B34" s="131" t="s">
        <v>2898</v>
      </c>
      <c r="C34" s="130" t="s">
        <v>1612</v>
      </c>
      <c r="D34" s="180" cm="1">
        <f t="array" ref="D34">+_xldudf_WISE($C34,D$32,"TTM")</f>
        <v>318273000000</v>
      </c>
      <c r="E34" s="180" cm="1">
        <f t="array" ref="E34">+_xldudf_WISE($C34,E$32,"TTM")</f>
        <v>34394000000</v>
      </c>
      <c r="F34" s="6">
        <f t="shared" ref="F34:F39" si="8">+E34/D34</f>
        <v>0.10806446038463835</v>
      </c>
    </row>
    <row r="35" spans="2:12" x14ac:dyDescent="0.25">
      <c r="B35" s="131" t="s">
        <v>2899</v>
      </c>
      <c r="C35" s="130" t="s">
        <v>1034</v>
      </c>
      <c r="D35" s="180" cm="1">
        <f t="array" ref="D35">+_xldudf_WISE($C35,D$32,"TTM")</f>
        <v>214963000000</v>
      </c>
      <c r="E35" s="180" cm="1">
        <f t="array" ref="E35">+_xldudf_WISE($C35,E$32,"TTM")</f>
        <v>62921000000</v>
      </c>
      <c r="F35" s="6">
        <f t="shared" si="8"/>
        <v>0.29270618664607395</v>
      </c>
    </row>
    <row r="36" spans="2:12" x14ac:dyDescent="0.25">
      <c r="B36" s="131" t="s">
        <v>2900</v>
      </c>
      <c r="C36" s="130" t="s">
        <v>2018</v>
      </c>
      <c r="D36" s="180" cm="1">
        <f t="array" ref="D36">+_xldudf_WISE($C36,D$32,"TTM")</f>
        <v>742776000000</v>
      </c>
      <c r="E36" s="180" cm="1">
        <f t="array" ref="E36">+_xldudf_WISE($C36,E$32,"TTM")</f>
        <v>115094000000</v>
      </c>
      <c r="F36" s="6">
        <f t="shared" si="8"/>
        <v>0.15495115620321603</v>
      </c>
    </row>
    <row r="37" spans="2:12" x14ac:dyDescent="0.25">
      <c r="B37" s="131" t="s">
        <v>2901</v>
      </c>
      <c r="C37" s="130" t="s">
        <v>2208</v>
      </c>
      <c r="D37" s="180" cm="1">
        <f t="array" ref="D37">+_xldudf_WISE($C37,D$32,"TTM")</f>
        <v>422566000000</v>
      </c>
      <c r="E37" s="180" cm="1">
        <f t="array" ref="E37">+_xldudf_WISE($C37,E$32,"TTM")</f>
        <v>64563000000</v>
      </c>
      <c r="F37" s="6">
        <f t="shared" si="8"/>
        <v>0.15278796685014887</v>
      </c>
    </row>
    <row r="38" spans="2:12" x14ac:dyDescent="0.25">
      <c r="B38" s="131" t="s">
        <v>2902</v>
      </c>
      <c r="C38" s="130" t="s">
        <v>1997</v>
      </c>
      <c r="D38" s="180" cm="1">
        <f t="array" ref="D38">+_xldudf_WISE($C38,D$32,"TTM")</f>
        <v>253491000000</v>
      </c>
      <c r="E38" s="180" cm="1">
        <f t="array" ref="E38">+_xldudf_WISE($C38,E$32,"TTM")</f>
        <v>20829000000</v>
      </c>
      <c r="F38" s="6">
        <f t="shared" si="8"/>
        <v>8.2168597701693546E-2</v>
      </c>
    </row>
    <row r="39" spans="2:12" x14ac:dyDescent="0.25">
      <c r="B39" s="131" t="s">
        <v>2903</v>
      </c>
      <c r="C39" s="130" t="s">
        <v>2048</v>
      </c>
      <c r="D39" s="180" cm="1">
        <f t="array" ref="D39">+_xldudf_WISE($C39,D$32,"TTM")</f>
        <v>97879000000</v>
      </c>
      <c r="E39" s="180" cm="1">
        <f t="array" ref="E39">+_xldudf_WISE($C39,E$32,"TTM")</f>
        <v>6948000000</v>
      </c>
      <c r="F39" s="6">
        <f t="shared" si="8"/>
        <v>7.0985604675160144E-2</v>
      </c>
    </row>
    <row r="42" spans="2:12" x14ac:dyDescent="0.25">
      <c r="B42" s="187" t="s">
        <v>2904</v>
      </c>
      <c r="C42" s="194">
        <v>2015</v>
      </c>
      <c r="D42" s="194">
        <v>2016</v>
      </c>
      <c r="E42" s="194">
        <v>2017</v>
      </c>
      <c r="F42" s="194">
        <v>2018</v>
      </c>
      <c r="G42" s="194">
        <v>2019</v>
      </c>
      <c r="H42" s="194">
        <v>2020</v>
      </c>
      <c r="I42" s="194">
        <v>2021</v>
      </c>
      <c r="J42" s="194">
        <v>2022</v>
      </c>
      <c r="K42" s="194">
        <v>2023</v>
      </c>
      <c r="L42" s="194">
        <v>2024</v>
      </c>
    </row>
    <row r="43" spans="2:12" x14ac:dyDescent="0.25">
      <c r="B43" s="195" t="s">
        <v>1486</v>
      </c>
      <c r="C43" s="180">
        <v>8067000000</v>
      </c>
      <c r="D43" s="180">
        <v>10045000000</v>
      </c>
      <c r="E43" s="180">
        <v>11581000000</v>
      </c>
      <c r="F43" s="180">
        <v>14236000000</v>
      </c>
      <c r="G43" s="180">
        <v>16217000000</v>
      </c>
      <c r="H43" s="180">
        <v>18752000000</v>
      </c>
      <c r="I43" s="180">
        <v>21914000000</v>
      </c>
      <c r="J43" s="180">
        <v>26251000000</v>
      </c>
      <c r="K43" s="180">
        <v>29915000000</v>
      </c>
      <c r="L43">
        <v>31370000000</v>
      </c>
    </row>
    <row r="44" spans="2:12" x14ac:dyDescent="0.25">
      <c r="B44" s="195" t="s">
        <v>1612</v>
      </c>
      <c r="C44" s="180">
        <v>12046000000</v>
      </c>
      <c r="D44" s="180">
        <v>11988000000</v>
      </c>
      <c r="E44" s="180">
        <v>13037000000</v>
      </c>
      <c r="F44" s="180">
        <v>14726000000</v>
      </c>
      <c r="G44" s="180">
        <v>16876000000</v>
      </c>
      <c r="H44" s="180">
        <v>19269000000</v>
      </c>
      <c r="I44" s="180">
        <v>20716000000</v>
      </c>
      <c r="J44" s="180">
        <v>24512000000</v>
      </c>
      <c r="K44" s="180">
        <v>27195000000</v>
      </c>
      <c r="L44">
        <v>29510000000</v>
      </c>
    </row>
    <row r="45" spans="2:12" x14ac:dyDescent="0.25">
      <c r="B45" s="195" t="s">
        <v>1034</v>
      </c>
      <c r="C45" s="180">
        <v>4816000000</v>
      </c>
      <c r="D45" s="180">
        <v>5919000000</v>
      </c>
      <c r="E45" s="180">
        <v>7754000000</v>
      </c>
      <c r="F45" s="180">
        <v>10273000000</v>
      </c>
      <c r="G45" s="180">
        <v>13600000000</v>
      </c>
      <c r="H45" s="180">
        <v>18447000000</v>
      </c>
      <c r="I45" s="180">
        <v>24655000000</v>
      </c>
      <c r="J45" s="180">
        <v>35338000000</v>
      </c>
      <c r="K45" s="180">
        <v>38483000000</v>
      </c>
      <c r="L45">
        <v>43873000000</v>
      </c>
    </row>
    <row r="46" spans="2:12" x14ac:dyDescent="0.25">
      <c r="B46" s="195" t="s">
        <v>2018</v>
      </c>
      <c r="C46" s="180">
        <v>12540000000</v>
      </c>
      <c r="D46" s="180">
        <v>16085000000</v>
      </c>
      <c r="E46" s="180">
        <v>22620000000</v>
      </c>
      <c r="F46" s="180">
        <v>28837000000</v>
      </c>
      <c r="G46" s="180">
        <v>35931000000</v>
      </c>
      <c r="H46" s="180">
        <v>42740000000</v>
      </c>
      <c r="I46" s="180">
        <v>56052000000</v>
      </c>
      <c r="J46" s="180">
        <v>73213000000</v>
      </c>
      <c r="K46" s="180">
        <v>85622000000</v>
      </c>
      <c r="L46">
        <v>88544000000</v>
      </c>
    </row>
    <row r="47" spans="2:12" x14ac:dyDescent="0.25">
      <c r="B47" s="195" t="s">
        <v>2208</v>
      </c>
      <c r="C47" s="180">
        <v>12282000000</v>
      </c>
      <c r="D47" s="180">
        <v>13948000000</v>
      </c>
      <c r="E47" s="180">
        <v>16625000000</v>
      </c>
      <c r="F47" s="180">
        <v>21419000000</v>
      </c>
      <c r="G47" s="180">
        <v>26018000000</v>
      </c>
      <c r="H47" s="180">
        <v>27573000000</v>
      </c>
      <c r="I47" s="180">
        <v>31562000000</v>
      </c>
      <c r="J47" s="180">
        <v>39500000000</v>
      </c>
      <c r="K47" s="180">
        <v>45427000000</v>
      </c>
      <c r="L47">
        <v>49326000000</v>
      </c>
    </row>
    <row r="48" spans="2:12" x14ac:dyDescent="0.25">
      <c r="B48" s="195" t="s">
        <v>1997</v>
      </c>
      <c r="C48" s="180">
        <v>1360000000</v>
      </c>
      <c r="D48" s="180">
        <v>1331000000</v>
      </c>
      <c r="E48" s="180">
        <v>1463000000</v>
      </c>
      <c r="F48" s="180">
        <v>1797000000</v>
      </c>
      <c r="G48" s="180">
        <v>2376000000</v>
      </c>
      <c r="H48" s="180">
        <v>2829000000</v>
      </c>
      <c r="I48" s="180">
        <v>3924000000</v>
      </c>
      <c r="J48" s="180">
        <v>5268000000</v>
      </c>
      <c r="K48" s="180">
        <v>7339000000</v>
      </c>
      <c r="L48">
        <v>8675000000</v>
      </c>
    </row>
    <row r="49" spans="2:12" x14ac:dyDescent="0.25">
      <c r="B49" s="195" t="s">
        <v>2048</v>
      </c>
      <c r="C49" s="180">
        <v>717900000</v>
      </c>
      <c r="D49" s="180">
        <v>834408000</v>
      </c>
      <c r="E49" s="180">
        <v>1378000000</v>
      </c>
      <c r="F49" s="180">
        <v>1460000000</v>
      </c>
      <c r="G49" s="180">
        <v>1343000000</v>
      </c>
      <c r="H49" s="180">
        <v>1491000000</v>
      </c>
      <c r="I49" s="180">
        <v>2593000000</v>
      </c>
      <c r="J49" s="180">
        <v>3075000000</v>
      </c>
      <c r="K49" s="180">
        <v>3969000000</v>
      </c>
      <c r="L49">
        <v>4540000000</v>
      </c>
    </row>
    <row r="50" spans="2:12" x14ac:dyDescent="0.25">
      <c r="B50" s="195" t="s">
        <v>3434</v>
      </c>
      <c r="C50" s="497">
        <f t="shared" ref="C50:L50" si="9">+C10/C20</f>
        <v>9.6705447157668531E-2</v>
      </c>
      <c r="D50" s="497">
        <f t="shared" si="9"/>
        <v>0.10502949910268224</v>
      </c>
      <c r="E50" s="497">
        <f t="shared" si="9"/>
        <v>0.1104967292327053</v>
      </c>
      <c r="F50" s="497">
        <f t="shared" si="9"/>
        <v>0.11138613688972553</v>
      </c>
      <c r="G50" s="497">
        <f t="shared" si="9"/>
        <v>0.12012247337198401</v>
      </c>
      <c r="H50" s="497">
        <f t="shared" si="9"/>
        <v>0.11762790029967521</v>
      </c>
      <c r="I50" s="497">
        <f t="shared" si="9"/>
        <v>0.11133742725675631</v>
      </c>
      <c r="J50" s="497">
        <f t="shared" si="9"/>
        <v>0.12831810168718819</v>
      </c>
      <c r="K50" s="497">
        <f t="shared" si="9"/>
        <v>0.1370657616121399</v>
      </c>
      <c r="L50" s="497">
        <f t="shared" si="9"/>
        <v>0.13138446226903933</v>
      </c>
    </row>
  </sheetData>
  <hyperlinks>
    <hyperlink ref="A1" location="Inicio!A1" display="Inicio" xr:uid="{8E467A7B-5B74-449E-AB77-AB5324317130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6B581-9C02-4297-86F9-B23FAF92ACBC}">
  <sheetPr>
    <tabColor theme="5" tint="0.79998168889431442"/>
  </sheetPr>
  <dimension ref="A1:O90"/>
  <sheetViews>
    <sheetView showGridLines="0" topLeftCell="C2" zoomScale="120" zoomScaleNormal="120" workbookViewId="0">
      <selection activeCell="F20" sqref="F20"/>
    </sheetView>
  </sheetViews>
  <sheetFormatPr defaultRowHeight="15" x14ac:dyDescent="0.25"/>
  <cols>
    <col min="2" max="2" width="35.42578125" customWidth="1"/>
    <col min="3" max="3" width="14.5703125" customWidth="1"/>
    <col min="4" max="4" width="14.140625" customWidth="1"/>
    <col min="8" max="8" width="9.5703125" customWidth="1"/>
    <col min="9" max="9" width="15.85546875" customWidth="1"/>
  </cols>
  <sheetData>
    <row r="1" spans="1:9" x14ac:dyDescent="0.25">
      <c r="A1" s="458" t="s">
        <v>2821</v>
      </c>
    </row>
    <row r="4" spans="1:9" x14ac:dyDescent="0.25">
      <c r="B4" t="s">
        <v>3762</v>
      </c>
    </row>
    <row r="5" spans="1:9" ht="15.75" x14ac:dyDescent="0.25">
      <c r="D5" s="967" t="s">
        <v>3194</v>
      </c>
      <c r="E5" s="968"/>
      <c r="F5" s="968"/>
      <c r="G5" s="968"/>
      <c r="H5" s="969"/>
    </row>
    <row r="6" spans="1:9" ht="31.5" x14ac:dyDescent="0.25">
      <c r="B6" s="197"/>
      <c r="C6" s="498" t="s">
        <v>3238</v>
      </c>
      <c r="D6" s="498">
        <v>2021</v>
      </c>
      <c r="E6" s="499">
        <v>2022</v>
      </c>
      <c r="F6" s="499">
        <v>2023</v>
      </c>
      <c r="G6" s="500">
        <v>2024</v>
      </c>
      <c r="H6" s="501">
        <v>2025</v>
      </c>
    </row>
    <row r="7" spans="1:9" ht="15.75" x14ac:dyDescent="0.25">
      <c r="B7" s="506" t="s">
        <v>2907</v>
      </c>
      <c r="C7" s="368">
        <f>-'Capital Allocation Apple'!I7</f>
        <v>21914</v>
      </c>
      <c r="D7" s="312">
        <f>+$C$7/$C$12</f>
        <v>7304.666666666667</v>
      </c>
      <c r="E7" s="312">
        <f>+$C$7/$C$12</f>
        <v>7304.666666666667</v>
      </c>
      <c r="F7" s="312">
        <f>+$C$7/$C$12</f>
        <v>7304.666666666667</v>
      </c>
      <c r="G7" s="312">
        <v>0</v>
      </c>
      <c r="H7" s="364">
        <v>0</v>
      </c>
    </row>
    <row r="8" spans="1:9" ht="15.75" x14ac:dyDescent="0.25">
      <c r="B8" s="507" t="s">
        <v>2908</v>
      </c>
      <c r="C8" s="368">
        <f>-'Capital Allocation Apple'!J7</f>
        <v>26251</v>
      </c>
      <c r="D8" s="312"/>
      <c r="E8" s="312">
        <f>+$C$8/$C$12</f>
        <v>8750.3333333333339</v>
      </c>
      <c r="F8" s="312">
        <f>+$C$8/$C$12</f>
        <v>8750.3333333333339</v>
      </c>
      <c r="G8" s="312">
        <f>+$C$8/$C$12</f>
        <v>8750.3333333333339</v>
      </c>
      <c r="H8" s="364">
        <v>0</v>
      </c>
    </row>
    <row r="9" spans="1:9" ht="15.75" x14ac:dyDescent="0.25">
      <c r="B9" s="507" t="s">
        <v>2906</v>
      </c>
      <c r="C9" s="368">
        <f>-'Capital Allocation Apple'!K7</f>
        <v>29915</v>
      </c>
      <c r="D9" s="312"/>
      <c r="E9" s="312"/>
      <c r="F9" s="312">
        <f>+$C$9/$C$12</f>
        <v>9971.6666666666661</v>
      </c>
      <c r="G9" s="312">
        <f>+$C$9/$C$12</f>
        <v>9971.6666666666661</v>
      </c>
      <c r="H9" s="364">
        <f>+G9</f>
        <v>9971.6666666666661</v>
      </c>
    </row>
    <row r="10" spans="1:9" ht="15.75" x14ac:dyDescent="0.25">
      <c r="B10" s="507" t="s">
        <v>3093</v>
      </c>
      <c r="C10" s="368">
        <f>-'Capital Allocation Apple'!L7</f>
        <v>31370</v>
      </c>
      <c r="D10" s="312"/>
      <c r="E10" s="312"/>
      <c r="F10" s="312"/>
      <c r="G10" s="312">
        <f>+$C$10/$C$12</f>
        <v>10456.666666666666</v>
      </c>
      <c r="H10" s="364">
        <f>+G10</f>
        <v>10456.666666666666</v>
      </c>
    </row>
    <row r="11" spans="1:9" ht="15.75" x14ac:dyDescent="0.25">
      <c r="B11" s="507" t="s">
        <v>3239</v>
      </c>
      <c r="C11" s="368">
        <f>-'Capital Allocation Apple'!M7</f>
        <v>34550</v>
      </c>
      <c r="H11" s="364">
        <f>+C11/3</f>
        <v>11516.666666666666</v>
      </c>
      <c r="I11" s="363"/>
    </row>
    <row r="12" spans="1:9" ht="15.75" x14ac:dyDescent="0.25">
      <c r="B12" s="508" t="s">
        <v>3192</v>
      </c>
      <c r="C12" s="509">
        <v>3</v>
      </c>
      <c r="D12" s="502"/>
      <c r="E12" s="502"/>
      <c r="F12" s="503"/>
      <c r="G12" s="504" t="s">
        <v>3240</v>
      </c>
      <c r="H12" s="505">
        <f>+SUM(H7:H11)</f>
        <v>31945</v>
      </c>
    </row>
    <row r="13" spans="1:9" s="237" customFormat="1" ht="15.75" x14ac:dyDescent="0.25">
      <c r="D13" s="365"/>
      <c r="E13" s="365"/>
      <c r="G13" s="366"/>
      <c r="H13" s="367"/>
    </row>
    <row r="14" spans="1:9" ht="15.75" x14ac:dyDescent="0.25">
      <c r="B14" t="s">
        <v>3763</v>
      </c>
      <c r="H14" s="311"/>
    </row>
    <row r="15" spans="1:9" ht="15.75" x14ac:dyDescent="0.25">
      <c r="C15" s="510">
        <v>2023</v>
      </c>
      <c r="D15" s="510">
        <v>2024</v>
      </c>
      <c r="E15" s="510">
        <v>2025</v>
      </c>
    </row>
    <row r="16" spans="1:9" x14ac:dyDescent="0.25">
      <c r="B16" s="314" t="s">
        <v>2909</v>
      </c>
      <c r="C16" s="315">
        <f>+'EEFF Apple y cálculo ratios'!E8</f>
        <v>114301</v>
      </c>
      <c r="D16" s="315">
        <f>+'EEFF Apple y cálculo ratios'!F8</f>
        <v>123216</v>
      </c>
      <c r="E16" s="315">
        <f>+'EEFF Apple y cálculo ratios'!G8</f>
        <v>133050</v>
      </c>
    </row>
    <row r="17" spans="2:15" x14ac:dyDescent="0.25">
      <c r="B17" s="313" t="s">
        <v>3437</v>
      </c>
      <c r="C17" s="180">
        <f>+C9</f>
        <v>29915</v>
      </c>
      <c r="D17" s="180">
        <f>+C10</f>
        <v>31370</v>
      </c>
      <c r="E17" s="180">
        <f>+C11</f>
        <v>34550</v>
      </c>
    </row>
    <row r="18" spans="2:15" x14ac:dyDescent="0.25">
      <c r="B18" s="313" t="s">
        <v>3438</v>
      </c>
      <c r="C18" s="180">
        <f>-SUM(F7:F11)</f>
        <v>-26026.666666666664</v>
      </c>
      <c r="D18" s="180">
        <f>-SUM(G7:G11)</f>
        <v>-29178.666666666664</v>
      </c>
      <c r="E18" s="180">
        <f>-H12</f>
        <v>-31945</v>
      </c>
      <c r="G18" s="137">
        <f>+E17+E18</f>
        <v>2605</v>
      </c>
    </row>
    <row r="19" spans="2:15" x14ac:dyDescent="0.25">
      <c r="B19" s="314" t="s">
        <v>2910</v>
      </c>
      <c r="C19" s="315">
        <f t="shared" ref="C19" si="0">+SUM(C16:C18)</f>
        <v>118189.33333333334</v>
      </c>
      <c r="D19" s="315">
        <f>+SUM(D16:D18)</f>
        <v>125407.33333333334</v>
      </c>
      <c r="E19" s="315">
        <f>+SUM(E16:E18)</f>
        <v>135655</v>
      </c>
    </row>
    <row r="20" spans="2:15" x14ac:dyDescent="0.25">
      <c r="I20" t="s">
        <v>3764</v>
      </c>
    </row>
    <row r="22" spans="2:15" ht="63" x14ac:dyDescent="0.25">
      <c r="D22" s="970" t="s">
        <v>3194</v>
      </c>
      <c r="E22" s="971"/>
      <c r="F22" s="971"/>
      <c r="G22" s="971"/>
      <c r="H22" s="972"/>
      <c r="I22" s="511" t="s">
        <v>3096</v>
      </c>
      <c r="J22" s="469" t="s">
        <v>3241</v>
      </c>
      <c r="L22" s="511" t="s">
        <v>3442</v>
      </c>
      <c r="M22" s="469" t="s">
        <v>3439</v>
      </c>
      <c r="N22" s="511" t="s">
        <v>3441</v>
      </c>
      <c r="O22" s="469" t="s">
        <v>3440</v>
      </c>
    </row>
    <row r="23" spans="2:15" ht="31.5" x14ac:dyDescent="0.25">
      <c r="B23" s="197"/>
      <c r="C23" s="512" t="s">
        <v>3193</v>
      </c>
      <c r="D23" s="321">
        <v>2021</v>
      </c>
      <c r="E23" s="316">
        <v>2022</v>
      </c>
      <c r="F23" s="316">
        <v>2023</v>
      </c>
      <c r="G23" s="317">
        <v>2024</v>
      </c>
      <c r="H23" s="317">
        <v>2025</v>
      </c>
      <c r="I23" s="318" t="s">
        <v>3097</v>
      </c>
      <c r="J23" s="318"/>
      <c r="M23" s="233"/>
    </row>
    <row r="24" spans="2:15" ht="15.75" x14ac:dyDescent="0.25">
      <c r="B24" s="512">
        <v>2021</v>
      </c>
      <c r="C24" s="322">
        <f>+C7</f>
        <v>21914</v>
      </c>
      <c r="D24" s="231">
        <f>+$C24/$C$12</f>
        <v>7304.666666666667</v>
      </c>
      <c r="E24" s="231">
        <f>+$C24/$C$12</f>
        <v>7304.666666666667</v>
      </c>
      <c r="F24" s="231">
        <f>+$C24/$C$12</f>
        <v>7304.666666666667</v>
      </c>
      <c r="G24" s="231">
        <v>0</v>
      </c>
      <c r="H24" s="231">
        <v>0</v>
      </c>
      <c r="I24" s="233">
        <f>+SUM(D24:H24)</f>
        <v>21914</v>
      </c>
      <c r="J24" s="233">
        <f>+C24-I24</f>
        <v>0</v>
      </c>
      <c r="L24" s="233">
        <f>+SUM(D24:F24)</f>
        <v>21914</v>
      </c>
      <c r="M24" s="233">
        <f>+C24-L24</f>
        <v>0</v>
      </c>
      <c r="N24" s="233"/>
      <c r="O24" s="233"/>
    </row>
    <row r="25" spans="2:15" ht="15.75" x14ac:dyDescent="0.25">
      <c r="B25" s="512">
        <v>2022</v>
      </c>
      <c r="C25" s="322">
        <f t="shared" ref="C25:C28" si="1">+C8</f>
        <v>26251</v>
      </c>
      <c r="D25" s="231"/>
      <c r="E25" s="231">
        <f>+$C25/$C$12</f>
        <v>8750.3333333333339</v>
      </c>
      <c r="F25" s="231">
        <f>+$C25/$C$12</f>
        <v>8750.3333333333339</v>
      </c>
      <c r="G25" s="231">
        <f>+$C25/$C$12</f>
        <v>8750.3333333333339</v>
      </c>
      <c r="H25" s="231">
        <v>0</v>
      </c>
      <c r="I25" s="233">
        <f>+SUM(D25:H25)</f>
        <v>26251</v>
      </c>
      <c r="J25" s="233">
        <f>+C25-I25</f>
        <v>0</v>
      </c>
      <c r="L25" s="233">
        <f>+SUM(D25:F25)</f>
        <v>17500.666666666668</v>
      </c>
      <c r="M25" s="233">
        <f>+C25-L25</f>
        <v>8750.3333333333321</v>
      </c>
      <c r="N25" s="233"/>
      <c r="O25" s="233"/>
    </row>
    <row r="26" spans="2:15" ht="15.75" x14ac:dyDescent="0.25">
      <c r="B26" s="512">
        <v>2023</v>
      </c>
      <c r="C26" s="322">
        <f t="shared" si="1"/>
        <v>29915</v>
      </c>
      <c r="D26" s="231"/>
      <c r="E26" s="231"/>
      <c r="F26" s="231">
        <f>+$C26/$C$12</f>
        <v>9971.6666666666661</v>
      </c>
      <c r="G26" s="231">
        <f>+$C26/$C$12</f>
        <v>9971.6666666666661</v>
      </c>
      <c r="H26" s="231">
        <f>+G26</f>
        <v>9971.6666666666661</v>
      </c>
      <c r="I26" s="233">
        <f>+SUM(D26:H26)</f>
        <v>29915</v>
      </c>
      <c r="J26" s="233">
        <f>+C26-I26</f>
        <v>0</v>
      </c>
      <c r="L26" s="233">
        <f>+SUM(D26:F26)</f>
        <v>9971.6666666666661</v>
      </c>
      <c r="M26" s="233">
        <f t="shared" ref="M26" si="2">+C26-L26</f>
        <v>19943.333333333336</v>
      </c>
      <c r="N26" s="233">
        <f>+SUM(E26:G26)</f>
        <v>19943.333333333332</v>
      </c>
      <c r="O26" s="233">
        <f t="shared" ref="O26:O27" si="3">+C26-N26</f>
        <v>9971.6666666666679</v>
      </c>
    </row>
    <row r="27" spans="2:15" ht="15.75" x14ac:dyDescent="0.25">
      <c r="B27" s="513">
        <v>2024</v>
      </c>
      <c r="C27" s="322">
        <f t="shared" si="1"/>
        <v>31370</v>
      </c>
      <c r="D27" s="231"/>
      <c r="E27" s="231"/>
      <c r="F27" s="231"/>
      <c r="G27" s="231">
        <f>+$C$27/$C$12</f>
        <v>10456.666666666666</v>
      </c>
      <c r="H27" s="231">
        <f>+G27</f>
        <v>10456.666666666666</v>
      </c>
      <c r="I27" s="233">
        <f>+SUM(D27:H27)</f>
        <v>20913.333333333332</v>
      </c>
      <c r="J27" s="233">
        <f>+C27-I27</f>
        <v>10456.666666666668</v>
      </c>
      <c r="L27" s="233"/>
      <c r="M27" s="233"/>
      <c r="N27" s="233">
        <f>+SUM(E27:G27)</f>
        <v>10456.666666666666</v>
      </c>
      <c r="O27" s="233">
        <f t="shared" si="3"/>
        <v>20913.333333333336</v>
      </c>
    </row>
    <row r="28" spans="2:15" ht="15.75" x14ac:dyDescent="0.25">
      <c r="B28" s="513">
        <v>2025</v>
      </c>
      <c r="C28" s="322">
        <f t="shared" si="1"/>
        <v>34550</v>
      </c>
      <c r="D28" s="231"/>
      <c r="E28" s="231"/>
      <c r="F28" s="231"/>
      <c r="G28" s="231"/>
      <c r="H28" s="231">
        <f>+C28/3</f>
        <v>11516.666666666666</v>
      </c>
      <c r="I28" s="233">
        <f>+SUM(D28:H28)</f>
        <v>11516.666666666666</v>
      </c>
      <c r="J28" s="233">
        <f>+C28-I28</f>
        <v>23033.333333333336</v>
      </c>
      <c r="L28" s="233"/>
      <c r="M28" s="233"/>
      <c r="N28" s="233"/>
      <c r="O28" s="233"/>
    </row>
    <row r="29" spans="2:15" x14ac:dyDescent="0.25">
      <c r="B29" s="320" t="s">
        <v>3095</v>
      </c>
      <c r="C29" s="319">
        <f>+SUM(C24:C28)</f>
        <v>144000</v>
      </c>
      <c r="D29" s="180"/>
      <c r="E29" s="180"/>
      <c r="F29" s="190"/>
      <c r="I29" s="319">
        <f>+SUM(I24:I28)</f>
        <v>110510</v>
      </c>
      <c r="J29" s="319">
        <f>+SUM(J24:J28)</f>
        <v>33490</v>
      </c>
      <c r="M29" s="319">
        <f>+SUM(M24:M28)</f>
        <v>28693.666666666668</v>
      </c>
      <c r="O29" s="319">
        <f>+SUM(O24:O28)</f>
        <v>30885.000000000004</v>
      </c>
    </row>
    <row r="30" spans="2:15" x14ac:dyDescent="0.25">
      <c r="B30" s="232" t="s">
        <v>3096</v>
      </c>
      <c r="C30" s="180">
        <f>+SUM(I24:I28)</f>
        <v>110510</v>
      </c>
      <c r="D30" s="197"/>
      <c r="E30" s="197"/>
      <c r="F30" s="197"/>
    </row>
    <row r="31" spans="2:15" x14ac:dyDescent="0.25">
      <c r="B31" s="320" t="s">
        <v>3242</v>
      </c>
      <c r="C31" s="323">
        <f>+C29-C30</f>
        <v>33490</v>
      </c>
      <c r="D31" s="197"/>
      <c r="E31" s="197"/>
      <c r="F31" s="197"/>
      <c r="G31" s="190"/>
      <c r="H31" s="197"/>
    </row>
    <row r="33" spans="2:4" x14ac:dyDescent="0.25">
      <c r="B33" t="s">
        <v>3765</v>
      </c>
    </row>
    <row r="34" spans="2:4" x14ac:dyDescent="0.25">
      <c r="C34" s="521" t="s">
        <v>3435</v>
      </c>
      <c r="D34" s="521" t="s">
        <v>3436</v>
      </c>
    </row>
    <row r="35" spans="2:4" x14ac:dyDescent="0.25">
      <c r="B35" s="514" t="s">
        <v>2797</v>
      </c>
      <c r="C35" s="522" t="e">
        <f>+#REF!</f>
        <v>#REF!</v>
      </c>
      <c r="D35" s="522" t="e">
        <f t="shared" ref="D35:D44" si="4">+C35</f>
        <v>#REF!</v>
      </c>
    </row>
    <row r="36" spans="2:4" x14ac:dyDescent="0.25">
      <c r="B36" s="515" t="s">
        <v>2798</v>
      </c>
      <c r="C36" s="523" t="e">
        <f>+#REF!</f>
        <v>#REF!</v>
      </c>
      <c r="D36" s="523" t="e">
        <f t="shared" si="4"/>
        <v>#REF!</v>
      </c>
    </row>
    <row r="37" spans="2:4" x14ac:dyDescent="0.25">
      <c r="B37" s="515" t="s">
        <v>2799</v>
      </c>
      <c r="C37" s="523" t="e">
        <f>+#REF!</f>
        <v>#REF!</v>
      </c>
      <c r="D37" s="523" t="e">
        <f t="shared" si="4"/>
        <v>#REF!</v>
      </c>
    </row>
    <row r="38" spans="2:4" x14ac:dyDescent="0.25">
      <c r="B38" s="515" t="s">
        <v>2801</v>
      </c>
      <c r="C38" s="523" t="e">
        <f>+#REF!</f>
        <v>#REF!</v>
      </c>
      <c r="D38" s="523" t="e">
        <f t="shared" si="4"/>
        <v>#REF!</v>
      </c>
    </row>
    <row r="39" spans="2:4" x14ac:dyDescent="0.25">
      <c r="B39" s="515" t="s">
        <v>2800</v>
      </c>
      <c r="C39" s="523" t="e">
        <f>+#REF!</f>
        <v>#REF!</v>
      </c>
      <c r="D39" s="523" t="e">
        <f t="shared" si="4"/>
        <v>#REF!</v>
      </c>
    </row>
    <row r="40" spans="2:4" x14ac:dyDescent="0.25">
      <c r="B40" s="517" t="s">
        <v>2802</v>
      </c>
      <c r="C40" s="524" t="e">
        <f>+SUM(C35:C39)</f>
        <v>#REF!</v>
      </c>
      <c r="D40" s="524" t="e">
        <f t="shared" si="4"/>
        <v>#REF!</v>
      </c>
    </row>
    <row r="41" spans="2:4" x14ac:dyDescent="0.25">
      <c r="B41" s="515" t="s">
        <v>2803</v>
      </c>
      <c r="C41" s="523" t="e">
        <f>+#REF!</f>
        <v>#REF!</v>
      </c>
      <c r="D41" s="523" t="e">
        <f t="shared" si="4"/>
        <v>#REF!</v>
      </c>
    </row>
    <row r="42" spans="2:4" x14ac:dyDescent="0.25">
      <c r="B42" s="515" t="s">
        <v>2804</v>
      </c>
      <c r="C42" s="523" t="e">
        <f>+#REF!</f>
        <v>#REF!</v>
      </c>
      <c r="D42" s="523" t="e">
        <f t="shared" si="4"/>
        <v>#REF!</v>
      </c>
    </row>
    <row r="43" spans="2:4" x14ac:dyDescent="0.25">
      <c r="B43" s="525" t="s">
        <v>2911</v>
      </c>
      <c r="C43" s="526"/>
      <c r="D43" s="526">
        <f>+C31</f>
        <v>33490</v>
      </c>
    </row>
    <row r="44" spans="2:4" x14ac:dyDescent="0.25">
      <c r="B44" s="515" t="s">
        <v>2805</v>
      </c>
      <c r="C44" s="523" t="e">
        <f>+#REF!</f>
        <v>#REF!</v>
      </c>
      <c r="D44" s="523" t="e">
        <f t="shared" si="4"/>
        <v>#REF!</v>
      </c>
    </row>
    <row r="45" spans="2:4" x14ac:dyDescent="0.25">
      <c r="B45" s="517" t="s">
        <v>2806</v>
      </c>
      <c r="C45" s="524" t="e">
        <f>+SUM(C41:C44)</f>
        <v>#REF!</v>
      </c>
      <c r="D45" s="524" t="e">
        <f>+SUM(D41:D44)</f>
        <v>#REF!</v>
      </c>
    </row>
    <row r="46" spans="2:4" x14ac:dyDescent="0.25">
      <c r="B46" s="519" t="s">
        <v>2807</v>
      </c>
      <c r="C46" s="325" t="e">
        <f>+C45+C40</f>
        <v>#REF!</v>
      </c>
      <c r="D46" s="325" t="e">
        <f>+D45+D40</f>
        <v>#REF!</v>
      </c>
    </row>
    <row r="47" spans="2:4" x14ac:dyDescent="0.25">
      <c r="B47" s="515" t="s">
        <v>2808</v>
      </c>
      <c r="C47" s="523" t="e">
        <f>+#REF!</f>
        <v>#REF!</v>
      </c>
      <c r="D47" s="523" t="e">
        <f>+C47</f>
        <v>#REF!</v>
      </c>
    </row>
    <row r="48" spans="2:4" x14ac:dyDescent="0.25">
      <c r="B48" s="515" t="s">
        <v>2809</v>
      </c>
      <c r="C48" s="523" t="e">
        <f>+#REF!</f>
        <v>#REF!</v>
      </c>
      <c r="D48" s="523" t="e">
        <f>+C48</f>
        <v>#REF!</v>
      </c>
    </row>
    <row r="49" spans="2:7" x14ac:dyDescent="0.25">
      <c r="B49" s="515" t="s">
        <v>2810</v>
      </c>
      <c r="C49" s="523" t="e">
        <f>+#REF!</f>
        <v>#REF!</v>
      </c>
      <c r="D49" s="523" t="e">
        <f>+C49</f>
        <v>#REF!</v>
      </c>
    </row>
    <row r="50" spans="2:7" x14ac:dyDescent="0.25">
      <c r="B50" s="520" t="s">
        <v>2811</v>
      </c>
      <c r="C50" s="524" t="e">
        <f>+SUM(C47:C49)</f>
        <v>#REF!</v>
      </c>
      <c r="D50" s="524" t="e">
        <f>+SUM(D47:D49)</f>
        <v>#REF!</v>
      </c>
    </row>
    <row r="51" spans="2:7" x14ac:dyDescent="0.25">
      <c r="B51" s="515" t="s">
        <v>2812</v>
      </c>
      <c r="C51" s="523" t="e">
        <f>+#REF!</f>
        <v>#REF!</v>
      </c>
      <c r="D51" s="523" t="e">
        <f>+C51</f>
        <v>#REF!</v>
      </c>
    </row>
    <row r="52" spans="2:7" x14ac:dyDescent="0.25">
      <c r="B52" s="525" t="s">
        <v>3101</v>
      </c>
      <c r="C52" s="526"/>
      <c r="D52" s="526">
        <f>+D43</f>
        <v>33490</v>
      </c>
    </row>
    <row r="53" spans="2:7" x14ac:dyDescent="0.25">
      <c r="B53" s="515" t="s">
        <v>2813</v>
      </c>
      <c r="C53" s="523" t="e">
        <f>+#REF!</f>
        <v>#REF!</v>
      </c>
      <c r="D53" s="523" t="e">
        <f>+C53</f>
        <v>#REF!</v>
      </c>
    </row>
    <row r="54" spans="2:7" x14ac:dyDescent="0.25">
      <c r="B54" s="520" t="s">
        <v>2814</v>
      </c>
      <c r="C54" s="524" t="e">
        <f>+SUM(C51:C53)</f>
        <v>#REF!</v>
      </c>
      <c r="D54" s="524" t="e">
        <f>+SUM(D51:D53)</f>
        <v>#REF!</v>
      </c>
    </row>
    <row r="55" spans="2:7" x14ac:dyDescent="0.25">
      <c r="B55" s="519" t="s">
        <v>2817</v>
      </c>
      <c r="C55" s="325" t="e">
        <f>+C54+C50</f>
        <v>#REF!</v>
      </c>
      <c r="D55" s="325" t="e">
        <f>+D54+D50</f>
        <v>#REF!</v>
      </c>
    </row>
    <row r="56" spans="2:7" x14ac:dyDescent="0.25">
      <c r="B56" s="520" t="s">
        <v>2815</v>
      </c>
      <c r="C56" s="524" t="e">
        <f>+#REF!</f>
        <v>#REF!</v>
      </c>
      <c r="D56" s="524" t="e">
        <f>+C56</f>
        <v>#REF!</v>
      </c>
    </row>
    <row r="57" spans="2:7" x14ac:dyDescent="0.25">
      <c r="B57" s="519" t="s">
        <v>2816</v>
      </c>
      <c r="C57" s="325" t="e">
        <f>+C56+C55</f>
        <v>#REF!</v>
      </c>
      <c r="D57" s="325" t="e">
        <f>+D56+D55</f>
        <v>#REF!</v>
      </c>
      <c r="G57" s="137"/>
    </row>
    <row r="61" spans="2:7" x14ac:dyDescent="0.25">
      <c r="B61" s="202" t="s">
        <v>2992</v>
      </c>
      <c r="C61" s="203">
        <v>45565</v>
      </c>
      <c r="D61" s="203" t="s">
        <v>3098</v>
      </c>
    </row>
    <row r="62" spans="2:7" x14ac:dyDescent="0.25">
      <c r="B62" s="129" t="s">
        <v>2993</v>
      </c>
      <c r="C62" s="180">
        <f>+'Capital Allocation Apple'!L3</f>
        <v>391035</v>
      </c>
      <c r="D62" s="180">
        <f>+C62</f>
        <v>391035</v>
      </c>
    </row>
    <row r="63" spans="2:7" x14ac:dyDescent="0.25">
      <c r="B63" s="129" t="s">
        <v>2994</v>
      </c>
      <c r="C63" s="180">
        <f>+'Capital Allocation Apple'!L4</f>
        <v>-210352</v>
      </c>
      <c r="D63" s="180">
        <f>+C63</f>
        <v>-210352</v>
      </c>
    </row>
    <row r="64" spans="2:7" x14ac:dyDescent="0.25">
      <c r="B64" s="201" t="s">
        <v>2995</v>
      </c>
      <c r="C64" s="190">
        <f>+SUM(C62:C63)</f>
        <v>180683</v>
      </c>
      <c r="D64" s="190">
        <f>+C64</f>
        <v>180683</v>
      </c>
    </row>
    <row r="65" spans="2:4" x14ac:dyDescent="0.25">
      <c r="B65" s="129" t="s">
        <v>2996</v>
      </c>
      <c r="C65" s="180">
        <f>+'Capital Allocation Apple'!L6</f>
        <v>-26097</v>
      </c>
      <c r="D65" s="180">
        <f>+C65</f>
        <v>-26097</v>
      </c>
    </row>
    <row r="66" spans="2:4" x14ac:dyDescent="0.25">
      <c r="B66" s="129" t="s">
        <v>2997</v>
      </c>
      <c r="C66" s="180">
        <f>+'Capital Allocation Apple'!L7</f>
        <v>-31370</v>
      </c>
      <c r="D66" s="180">
        <v>0</v>
      </c>
    </row>
    <row r="67" spans="2:4" x14ac:dyDescent="0.25">
      <c r="B67" s="234" t="s">
        <v>3094</v>
      </c>
      <c r="C67" s="235"/>
      <c r="D67" s="236" t="e">
        <f>-#REF!</f>
        <v>#REF!</v>
      </c>
    </row>
    <row r="68" spans="2:4" x14ac:dyDescent="0.25">
      <c r="B68" s="201" t="s">
        <v>2998</v>
      </c>
      <c r="C68" s="190">
        <f>+SUM(C64:C66)</f>
        <v>123216</v>
      </c>
      <c r="D68" s="238" t="e">
        <f>+SUM(D64:D67)</f>
        <v>#REF!</v>
      </c>
    </row>
    <row r="69" spans="2:4" x14ac:dyDescent="0.25">
      <c r="B69" s="201" t="s">
        <v>3090</v>
      </c>
      <c r="C69" s="223">
        <f>+C68/C62</f>
        <v>0.31510222870075566</v>
      </c>
      <c r="D69" s="223" t="e">
        <f>+D68/D62</f>
        <v>#REF!</v>
      </c>
    </row>
    <row r="70" spans="2:4" x14ac:dyDescent="0.25">
      <c r="B70" s="129" t="s">
        <v>2999</v>
      </c>
      <c r="C70" s="180">
        <f>+'Capital Allocation Apple'!L10</f>
        <v>269</v>
      </c>
      <c r="D70" s="180">
        <f>+C70</f>
        <v>269</v>
      </c>
    </row>
    <row r="71" spans="2:4" x14ac:dyDescent="0.25">
      <c r="B71" s="129" t="s">
        <v>3000</v>
      </c>
      <c r="C71" s="180"/>
      <c r="D71" s="190">
        <f>+C71</f>
        <v>0</v>
      </c>
    </row>
    <row r="72" spans="2:4" x14ac:dyDescent="0.25">
      <c r="B72" s="129" t="s">
        <v>3001</v>
      </c>
      <c r="C72" s="180"/>
      <c r="D72" s="180">
        <f>+C72</f>
        <v>0</v>
      </c>
    </row>
    <row r="73" spans="2:4" x14ac:dyDescent="0.25">
      <c r="B73" s="201" t="s">
        <v>3003</v>
      </c>
      <c r="C73" s="190">
        <f>+SUM(C68:C72)</f>
        <v>123485.31510222871</v>
      </c>
      <c r="D73" s="189" t="e">
        <f>+D68+D70+D71+D72</f>
        <v>#REF!</v>
      </c>
    </row>
    <row r="74" spans="2:4" x14ac:dyDescent="0.25">
      <c r="B74" s="129" t="s">
        <v>3002</v>
      </c>
      <c r="C74" s="180">
        <f>+'Capital Allocation Apple'!L14</f>
        <v>-29749</v>
      </c>
      <c r="D74" s="180" t="e">
        <f>+C74+D79</f>
        <v>#REF!</v>
      </c>
    </row>
    <row r="75" spans="2:4" x14ac:dyDescent="0.25">
      <c r="B75" s="129"/>
      <c r="C75" s="223">
        <f>-C74/C73</f>
        <v>0.24091123689786073</v>
      </c>
      <c r="D75" s="223" t="e">
        <f>-D74/D73</f>
        <v>#REF!</v>
      </c>
    </row>
    <row r="76" spans="2:4" x14ac:dyDescent="0.25">
      <c r="B76" s="201" t="s">
        <v>3004</v>
      </c>
      <c r="C76" s="190">
        <f>+SUM(C73:C74)</f>
        <v>93736.315102228706</v>
      </c>
      <c r="D76" s="190" t="e">
        <f>+D73+D74</f>
        <v>#REF!</v>
      </c>
    </row>
    <row r="78" spans="2:4" x14ac:dyDescent="0.25">
      <c r="B78" s="129" t="s">
        <v>3099</v>
      </c>
      <c r="D78" s="180" t="e">
        <f>+-(D67-C66)</f>
        <v>#REF!</v>
      </c>
    </row>
    <row r="79" spans="2:4" x14ac:dyDescent="0.25">
      <c r="B79" s="129" t="s">
        <v>3100</v>
      </c>
      <c r="D79" s="180" t="e">
        <f>+D78*0.21</f>
        <v>#REF!</v>
      </c>
    </row>
    <row r="81" spans="2:5" x14ac:dyDescent="0.25">
      <c r="B81" t="s">
        <v>3767</v>
      </c>
    </row>
    <row r="82" spans="2:5" x14ac:dyDescent="0.25">
      <c r="B82" s="326" t="s">
        <v>3196</v>
      </c>
      <c r="C82" s="327">
        <v>2023</v>
      </c>
      <c r="D82" s="327">
        <v>2024</v>
      </c>
      <c r="E82" s="327">
        <v>2025</v>
      </c>
    </row>
    <row r="83" spans="2:5" x14ac:dyDescent="0.25">
      <c r="B83" s="129" t="s">
        <v>3197</v>
      </c>
      <c r="C83" s="180">
        <f t="shared" ref="C83" si="5">+C17</f>
        <v>29915</v>
      </c>
      <c r="D83" s="180">
        <f>+D17</f>
        <v>31370</v>
      </c>
      <c r="E83" s="180">
        <f>+E17</f>
        <v>34550</v>
      </c>
    </row>
    <row r="84" spans="2:5" x14ac:dyDescent="0.25">
      <c r="B84" s="129" t="s">
        <v>3198</v>
      </c>
      <c r="C84" s="180">
        <f t="shared" ref="C84:D84" si="6">+C18</f>
        <v>-26026.666666666664</v>
      </c>
      <c r="D84" s="180">
        <f t="shared" si="6"/>
        <v>-29178.666666666664</v>
      </c>
      <c r="E84" s="180">
        <f>+E18</f>
        <v>-31945</v>
      </c>
    </row>
    <row r="85" spans="2:5" x14ac:dyDescent="0.25">
      <c r="B85" s="129" t="s">
        <v>3199</v>
      </c>
      <c r="C85" s="180">
        <f t="shared" ref="C85:D85" si="7">+C83+C84</f>
        <v>3888.3333333333358</v>
      </c>
      <c r="D85" s="180">
        <f t="shared" si="7"/>
        <v>2191.3333333333358</v>
      </c>
      <c r="E85" s="180">
        <f>+E83+E84</f>
        <v>2605</v>
      </c>
    </row>
    <row r="86" spans="2:5" x14ac:dyDescent="0.25">
      <c r="B86" s="129" t="s">
        <v>3200</v>
      </c>
      <c r="C86" s="63">
        <v>0.21</v>
      </c>
      <c r="D86" s="63">
        <v>0.21</v>
      </c>
      <c r="E86" s="63">
        <v>0.21</v>
      </c>
    </row>
    <row r="87" spans="2:5" x14ac:dyDescent="0.25">
      <c r="B87" s="324" t="s">
        <v>3201</v>
      </c>
      <c r="C87" s="325">
        <f t="shared" ref="C87:D87" si="8">+C85*C86</f>
        <v>816.55000000000052</v>
      </c>
      <c r="D87" s="325">
        <f t="shared" si="8"/>
        <v>460.18000000000052</v>
      </c>
      <c r="E87" s="325">
        <f>+E85*E86</f>
        <v>547.04999999999995</v>
      </c>
    </row>
    <row r="89" spans="2:5" x14ac:dyDescent="0.25">
      <c r="B89" s="328" t="s">
        <v>3202</v>
      </c>
      <c r="C89" s="329" t="e">
        <f>+#REF!</f>
        <v>#REF!</v>
      </c>
      <c r="D89" s="329" t="e">
        <f>+#REF!</f>
        <v>#REF!</v>
      </c>
      <c r="E89" s="329" t="e">
        <f>+#REF!</f>
        <v>#REF!</v>
      </c>
    </row>
    <row r="90" spans="2:5" x14ac:dyDescent="0.25">
      <c r="B90" s="330" t="s">
        <v>3203</v>
      </c>
      <c r="C90" s="331" t="e">
        <f t="shared" ref="C90:D90" si="9">+C89-C87</f>
        <v>#REF!</v>
      </c>
      <c r="D90" s="331" t="e">
        <f t="shared" si="9"/>
        <v>#REF!</v>
      </c>
      <c r="E90" s="331" t="e">
        <f>+E89-E87</f>
        <v>#REF!</v>
      </c>
    </row>
  </sheetData>
  <mergeCells count="2">
    <mergeCell ref="D5:H5"/>
    <mergeCell ref="D22:H22"/>
  </mergeCells>
  <phoneticPr fontId="35" type="noConversion"/>
  <hyperlinks>
    <hyperlink ref="A1" location="Inicio!A1" display="Inicio" xr:uid="{3C434F02-600C-44D3-946D-1313DB9A580C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8A1A8-FAF4-4886-B958-E0BDBCE135FB}">
  <sheetPr>
    <tabColor theme="5" tint="0.79998168889431442"/>
  </sheetPr>
  <dimension ref="A1:E19"/>
  <sheetViews>
    <sheetView showGridLines="0" workbookViewId="0">
      <selection activeCell="E10" sqref="E10"/>
    </sheetView>
  </sheetViews>
  <sheetFormatPr defaultRowHeight="15" x14ac:dyDescent="0.25"/>
  <cols>
    <col min="2" max="2" width="56" customWidth="1"/>
  </cols>
  <sheetData>
    <row r="1" spans="1:5" x14ac:dyDescent="0.25">
      <c r="A1" s="458" t="s">
        <v>2821</v>
      </c>
    </row>
    <row r="3" spans="1:5" x14ac:dyDescent="0.25">
      <c r="B3" s="22" t="s">
        <v>3769</v>
      </c>
      <c r="C3" s="22"/>
      <c r="D3" s="22"/>
      <c r="E3" s="22"/>
    </row>
    <row r="4" spans="1:5" x14ac:dyDescent="0.25">
      <c r="B4" s="495" t="s">
        <v>2913</v>
      </c>
      <c r="C4" s="528">
        <v>2023</v>
      </c>
      <c r="D4" s="528">
        <v>2024</v>
      </c>
      <c r="E4" s="529">
        <v>2025</v>
      </c>
    </row>
    <row r="5" spans="1:5" x14ac:dyDescent="0.25">
      <c r="B5" s="629" t="s">
        <v>2910</v>
      </c>
      <c r="C5" s="180">
        <f>+'EEFF Apple y cálculo ratios'!E147</f>
        <v>118189.33333333334</v>
      </c>
      <c r="D5" s="180">
        <f>+'EEFF Apple y cálculo ratios'!F147</f>
        <v>125407.33333333334</v>
      </c>
      <c r="E5" s="516">
        <f>+'EEFF Apple y cálculo ratios'!G147</f>
        <v>135655</v>
      </c>
    </row>
    <row r="6" spans="1:5" x14ac:dyDescent="0.25">
      <c r="B6" s="629" t="s">
        <v>3443</v>
      </c>
      <c r="C6" s="180">
        <f>+'EEFF Apple y cálculo ratios'!E148</f>
        <v>-16741</v>
      </c>
      <c r="D6" s="180">
        <f>+'EEFF Apple y cálculo ratios'!F148</f>
        <v>-29749</v>
      </c>
      <c r="E6" s="516">
        <f>+'EEFF Apple y cálculo ratios'!G148</f>
        <v>-20719</v>
      </c>
    </row>
    <row r="7" spans="1:5" x14ac:dyDescent="0.25">
      <c r="B7" s="629" t="s">
        <v>3444</v>
      </c>
      <c r="C7" s="180">
        <f>+'EEFF Apple y cálculo ratios'!E149</f>
        <v>-816.55000000000052</v>
      </c>
      <c r="D7" s="180">
        <f>+'EEFF Apple y cálculo ratios'!F149</f>
        <v>-460.18000000000052</v>
      </c>
      <c r="E7" s="516">
        <f>+'EEFF Apple y cálculo ratios'!G149</f>
        <v>-547.04999999999995</v>
      </c>
    </row>
    <row r="8" spans="1:5" x14ac:dyDescent="0.25">
      <c r="B8" s="630" t="s">
        <v>2915</v>
      </c>
      <c r="C8" s="315">
        <f>+SUM(C5:C7)</f>
        <v>100631.78333333334</v>
      </c>
      <c r="D8" s="315">
        <f>+SUM(D5:D7)</f>
        <v>95198.153333333335</v>
      </c>
      <c r="E8" s="531">
        <f>+SUM(E5:E7)</f>
        <v>114388.95</v>
      </c>
    </row>
    <row r="9" spans="1:5" x14ac:dyDescent="0.25">
      <c r="B9" s="629"/>
      <c r="C9" s="180"/>
      <c r="D9" s="180"/>
      <c r="E9" s="516"/>
    </row>
    <row r="10" spans="1:5" x14ac:dyDescent="0.25">
      <c r="B10" s="629" t="s">
        <v>2803</v>
      </c>
      <c r="C10" s="180">
        <v>0</v>
      </c>
      <c r="D10" s="180">
        <v>0</v>
      </c>
      <c r="E10" s="516">
        <v>0</v>
      </c>
    </row>
    <row r="11" spans="1:5" x14ac:dyDescent="0.25">
      <c r="B11" s="629" t="s">
        <v>2804</v>
      </c>
      <c r="C11" s="180">
        <f>+'EEFF Apple y cálculo ratios'!E153</f>
        <v>43715</v>
      </c>
      <c r="D11" s="180">
        <f>+'EEFF Apple y cálculo ratios'!F153</f>
        <v>45680</v>
      </c>
      <c r="E11" s="516">
        <f>+'EEFF Apple y cálculo ratios'!G153</f>
        <v>49834</v>
      </c>
    </row>
    <row r="12" spans="1:5" x14ac:dyDescent="0.25">
      <c r="B12" s="732" t="s">
        <v>2911</v>
      </c>
      <c r="C12" s="180">
        <f>+'EEFF Apple y cálculo ratios'!E154</f>
        <v>28693.666666666668</v>
      </c>
      <c r="D12" s="180">
        <f>+'EEFF Apple y cálculo ratios'!F154</f>
        <v>30885.000000000004</v>
      </c>
      <c r="E12" s="516">
        <f>+'EEFF Apple y cálculo ratios'!G154</f>
        <v>33490</v>
      </c>
    </row>
    <row r="13" spans="1:5" x14ac:dyDescent="0.25">
      <c r="B13" s="629" t="s">
        <v>2805</v>
      </c>
      <c r="C13" s="180">
        <f>+'EEFF Apple y cálculo ratios'!E155</f>
        <v>64758</v>
      </c>
      <c r="D13" s="180">
        <f>+'EEFF Apple y cálculo ratios'!F155</f>
        <v>74834</v>
      </c>
      <c r="E13" s="516">
        <f>+'EEFF Apple y cálculo ratios'!G155</f>
        <v>83727</v>
      </c>
    </row>
    <row r="14" spans="1:5" x14ac:dyDescent="0.25">
      <c r="B14" s="733" t="s">
        <v>2912</v>
      </c>
      <c r="C14" s="190">
        <f>+SUM(C10:C13)</f>
        <v>137166.66666666669</v>
      </c>
      <c r="D14" s="190">
        <f>+SUM(D10:D13)</f>
        <v>151399</v>
      </c>
      <c r="E14" s="518">
        <f>+SUM(E10:E13)</f>
        <v>167051</v>
      </c>
    </row>
    <row r="15" spans="1:5" x14ac:dyDescent="0.25">
      <c r="B15" s="629"/>
      <c r="C15" s="180"/>
      <c r="D15" s="180"/>
      <c r="E15" s="516"/>
    </row>
    <row r="16" spans="1:5" ht="15.75" thickBot="1" x14ac:dyDescent="0.3">
      <c r="B16" s="884" t="s">
        <v>2893</v>
      </c>
      <c r="C16" s="198">
        <f>+'EEFF Apple y cálculo ratios'!E158</f>
        <v>-44416.75</v>
      </c>
      <c r="D16" s="198">
        <f>+'EEFF Apple y cálculo ratios'!F158</f>
        <v>-64567.850000000006</v>
      </c>
      <c r="E16" s="198">
        <f>+'EEFF Apple y cálculo ratios'!G158</f>
        <v>-50245.3</v>
      </c>
    </row>
    <row r="17" spans="2:5" x14ac:dyDescent="0.25">
      <c r="B17" s="630" t="s">
        <v>2894</v>
      </c>
      <c r="C17" s="315">
        <f>+C16+C14</f>
        <v>92749.916666666686</v>
      </c>
      <c r="D17" s="315">
        <f>+D16+D14</f>
        <v>86831.15</v>
      </c>
      <c r="E17" s="531">
        <f>+E16+E14</f>
        <v>116805.7</v>
      </c>
    </row>
    <row r="18" spans="2:5" ht="15.75" thickBot="1" x14ac:dyDescent="0.3">
      <c r="B18" s="629"/>
      <c r="C18" s="180"/>
      <c r="D18" s="180"/>
      <c r="E18" s="516"/>
    </row>
    <row r="19" spans="2:5" x14ac:dyDescent="0.25">
      <c r="B19" s="886" t="s">
        <v>2699</v>
      </c>
      <c r="C19" s="887">
        <f>C8/C17</f>
        <v>1.0849797708713125</v>
      </c>
      <c r="D19" s="887">
        <f>D8/D17</f>
        <v>1.096359467003873</v>
      </c>
      <c r="E19" s="888">
        <f>E8/E17</f>
        <v>0.97930965697735639</v>
      </c>
    </row>
  </sheetData>
  <hyperlinks>
    <hyperlink ref="A1" location="Inicio!A1" display="Inicio" xr:uid="{1AD4BEC4-A116-4EC6-9894-5F074BDD0FE4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2DD52-FEC8-4F62-9152-235618AAD2D1}">
  <sheetPr>
    <tabColor theme="5" tint="0.79998168889431442"/>
  </sheetPr>
  <dimension ref="A1:J19"/>
  <sheetViews>
    <sheetView showGridLines="0" workbookViewId="0">
      <selection activeCell="G25" sqref="G25"/>
    </sheetView>
  </sheetViews>
  <sheetFormatPr defaultRowHeight="15" x14ac:dyDescent="0.25"/>
  <cols>
    <col min="2" max="2" width="42.5703125" customWidth="1"/>
    <col min="3" max="3" width="20.28515625" customWidth="1"/>
    <col min="6" max="6" width="3" customWidth="1"/>
    <col min="7" max="7" width="51.28515625" customWidth="1"/>
  </cols>
  <sheetData>
    <row r="1" spans="1:10" x14ac:dyDescent="0.25">
      <c r="A1" s="458" t="s">
        <v>2821</v>
      </c>
    </row>
    <row r="2" spans="1:10" x14ac:dyDescent="0.25">
      <c r="B2" t="s">
        <v>3779</v>
      </c>
    </row>
    <row r="4" spans="1:10" x14ac:dyDescent="0.25">
      <c r="B4" s="495" t="s">
        <v>2913</v>
      </c>
      <c r="C4" s="528">
        <v>2023</v>
      </c>
      <c r="D4" s="528">
        <v>2024</v>
      </c>
      <c r="E4" s="529">
        <v>2025</v>
      </c>
      <c r="G4" s="495" t="s">
        <v>3023</v>
      </c>
      <c r="H4" s="528">
        <v>2023</v>
      </c>
      <c r="I4" s="528">
        <v>2024</v>
      </c>
      <c r="J4" s="529">
        <v>2025</v>
      </c>
    </row>
    <row r="5" spans="1:10" x14ac:dyDescent="0.25">
      <c r="B5" s="629" t="s">
        <v>2910</v>
      </c>
      <c r="C5" s="180">
        <f>+'EEFF Apple y cálculo ratios'!E147</f>
        <v>118189.33333333334</v>
      </c>
      <c r="D5" s="180">
        <f>+'EEFF Apple y cálculo ratios'!F147</f>
        <v>125407.33333333334</v>
      </c>
      <c r="E5" s="516">
        <f>+'EEFF Apple y cálculo ratios'!G147</f>
        <v>135655</v>
      </c>
      <c r="G5" s="629" t="s">
        <v>2910</v>
      </c>
      <c r="H5" s="180">
        <f>+'EEFF Apple y cálculo ratios'!E165</f>
        <v>118189.33333333334</v>
      </c>
      <c r="I5" s="180">
        <f>+'EEFF Apple y cálculo ratios'!F165</f>
        <v>125407.33333333334</v>
      </c>
      <c r="J5" s="516">
        <f>+'EEFF Apple y cálculo ratios'!G165</f>
        <v>135655</v>
      </c>
    </row>
    <row r="6" spans="1:10" x14ac:dyDescent="0.25">
      <c r="B6" s="629" t="s">
        <v>3443</v>
      </c>
      <c r="C6" s="180">
        <f>+'EEFF Apple y cálculo ratios'!E148</f>
        <v>-16741</v>
      </c>
      <c r="D6" s="180">
        <f>+'EEFF Apple y cálculo ratios'!F148</f>
        <v>-29749</v>
      </c>
      <c r="E6" s="516">
        <f>+'EEFF Apple y cálculo ratios'!G148</f>
        <v>-20719</v>
      </c>
      <c r="G6" s="629" t="s">
        <v>2914</v>
      </c>
      <c r="H6" s="180">
        <f>+'EEFF Apple y cálculo ratios'!E166</f>
        <v>-17557.55</v>
      </c>
      <c r="I6" s="180">
        <f>+'EEFF Apple y cálculo ratios'!F166</f>
        <v>-30209.18</v>
      </c>
      <c r="J6" s="516">
        <f>+'EEFF Apple y cálculo ratios'!G166</f>
        <v>-21266.05</v>
      </c>
    </row>
    <row r="7" spans="1:10" x14ac:dyDescent="0.25">
      <c r="B7" s="629" t="s">
        <v>3444</v>
      </c>
      <c r="C7" s="180">
        <f>+'EEFF Apple y cálculo ratios'!E149</f>
        <v>-816.55000000000052</v>
      </c>
      <c r="D7" s="180">
        <f>+'EEFF Apple y cálculo ratios'!F149</f>
        <v>-460.18000000000052</v>
      </c>
      <c r="E7" s="516">
        <f>+'EEFF Apple y cálculo ratios'!G149</f>
        <v>-547.04999999999995</v>
      </c>
      <c r="G7" s="630" t="s">
        <v>2915</v>
      </c>
      <c r="H7" s="315">
        <f>+SUM(H5:H6)</f>
        <v>100631.78333333334</v>
      </c>
      <c r="I7" s="315">
        <f>+SUM(I5:I6)</f>
        <v>95198.15333333335</v>
      </c>
      <c r="J7" s="531">
        <f>+SUM(J5:J6)</f>
        <v>114388.95</v>
      </c>
    </row>
    <row r="8" spans="1:10" x14ac:dyDescent="0.25">
      <c r="B8" s="630" t="s">
        <v>2915</v>
      </c>
      <c r="C8" s="315">
        <f>+SUM(C5:C7)</f>
        <v>100631.78333333334</v>
      </c>
      <c r="D8" s="315">
        <f>+SUM(D5:D7)</f>
        <v>95198.153333333335</v>
      </c>
      <c r="E8" s="531">
        <f>+SUM(E5:E7)</f>
        <v>114388.95</v>
      </c>
      <c r="G8" s="629"/>
      <c r="H8" s="180"/>
      <c r="I8" s="180"/>
      <c r="J8" s="516"/>
    </row>
    <row r="9" spans="1:10" x14ac:dyDescent="0.25">
      <c r="B9" s="629"/>
      <c r="C9" s="180"/>
      <c r="D9" s="180"/>
      <c r="E9" s="516"/>
      <c r="G9" s="733" t="s">
        <v>2931</v>
      </c>
      <c r="H9" s="190">
        <f>+'EEFF Apple y cálculo ratios'!E169</f>
        <v>62146</v>
      </c>
      <c r="I9" s="190">
        <f>+'EEFF Apple y cálculo ratios'!F169</f>
        <v>56950</v>
      </c>
      <c r="J9" s="518">
        <f>+'EEFF Apple y cálculo ratios'!G169</f>
        <v>73733</v>
      </c>
    </row>
    <row r="10" spans="1:10" x14ac:dyDescent="0.25">
      <c r="B10" s="629" t="s">
        <v>2803</v>
      </c>
      <c r="C10" s="180">
        <f>+'EEFF Apple y cálculo ratios'!E152</f>
        <v>0</v>
      </c>
      <c r="D10" s="180">
        <f>+'EEFF Apple y cálculo ratios'!F152</f>
        <v>0</v>
      </c>
      <c r="E10" s="516">
        <f>+'EEFF Apple y cálculo ratios'!G152</f>
        <v>0</v>
      </c>
      <c r="G10" s="629" t="str">
        <f>+'EEFF Apple y cálculo ratios'!B170</f>
        <v>Deuda a corto plazo</v>
      </c>
      <c r="H10" s="180">
        <f>+'EEFF Apple y cálculo ratios'!E170</f>
        <v>17382</v>
      </c>
      <c r="I10" s="180">
        <f>+'EEFF Apple y cálculo ratios'!F170</f>
        <v>22511</v>
      </c>
      <c r="J10" s="516">
        <f>+'EEFF Apple y cálculo ratios'!G170</f>
        <v>20329</v>
      </c>
    </row>
    <row r="11" spans="1:10" x14ac:dyDescent="0.25">
      <c r="B11" s="629" t="s">
        <v>2804</v>
      </c>
      <c r="C11" s="180">
        <f>+'EEFF Apple y cálculo ratios'!E153</f>
        <v>43715</v>
      </c>
      <c r="D11" s="180">
        <f>+'EEFF Apple y cálculo ratios'!F153</f>
        <v>45680</v>
      </c>
      <c r="E11" s="516">
        <f>+'EEFF Apple y cálculo ratios'!G153</f>
        <v>49834</v>
      </c>
      <c r="G11" s="629" t="str">
        <f>+'EEFF Apple y cálculo ratios'!B171</f>
        <v>Deuda a largo plazo</v>
      </c>
      <c r="H11" s="180">
        <f>+'EEFF Apple y cálculo ratios'!E171</f>
        <v>95281</v>
      </c>
      <c r="I11" s="180">
        <f>+'EEFF Apple y cálculo ratios'!F171</f>
        <v>96548</v>
      </c>
      <c r="J11" s="516">
        <f>+'EEFF Apple y cálculo ratios'!G171</f>
        <v>78328</v>
      </c>
    </row>
    <row r="12" spans="1:10" x14ac:dyDescent="0.25">
      <c r="B12" s="732" t="s">
        <v>2911</v>
      </c>
      <c r="C12" s="180">
        <f>+'EEFF Apple y cálculo ratios'!E154</f>
        <v>28693.666666666668</v>
      </c>
      <c r="D12" s="180">
        <f>+'EEFF Apple y cálculo ratios'!F154</f>
        <v>30885.000000000004</v>
      </c>
      <c r="E12" s="516">
        <f>+'EEFF Apple y cálculo ratios'!G154</f>
        <v>33490</v>
      </c>
      <c r="G12" s="629" t="str">
        <f>+'EEFF Apple y cálculo ratios'!B172</f>
        <v>(-) Caja ociosa + inversiones financieras no operativas</v>
      </c>
      <c r="H12" s="180">
        <f>+'EEFF Apple y cálculo ratios'!E172</f>
        <v>-160600.75</v>
      </c>
      <c r="I12" s="180">
        <f>+'EEFF Apple y cálculo ratios'!F172</f>
        <v>-155152.85</v>
      </c>
      <c r="J12" s="516">
        <f>+'EEFF Apple y cálculo ratios'!G172</f>
        <v>-130623.29999999999</v>
      </c>
    </row>
    <row r="13" spans="1:10" x14ac:dyDescent="0.25">
      <c r="B13" s="629" t="s">
        <v>2805</v>
      </c>
      <c r="C13" s="180">
        <f>+'EEFF Apple y cálculo ratios'!E155</f>
        <v>64758</v>
      </c>
      <c r="D13" s="180">
        <f>+'EEFF Apple y cálculo ratios'!F155</f>
        <v>74834</v>
      </c>
      <c r="E13" s="516">
        <f>+'EEFF Apple y cálculo ratios'!G155</f>
        <v>83727</v>
      </c>
      <c r="G13" s="733" t="s">
        <v>2924</v>
      </c>
      <c r="H13" s="190">
        <f>+'EEFF Apple y cálculo ratios'!E173</f>
        <v>-47937.75</v>
      </c>
      <c r="I13" s="190">
        <f>+'EEFF Apple y cálculo ratios'!F173</f>
        <v>-36093.850000000006</v>
      </c>
      <c r="J13" s="518">
        <f>+'EEFF Apple y cálculo ratios'!G173</f>
        <v>-31966.299999999988</v>
      </c>
    </row>
    <row r="14" spans="1:10" x14ac:dyDescent="0.25">
      <c r="B14" s="733" t="s">
        <v>2912</v>
      </c>
      <c r="C14" s="190">
        <f>+SUM(C10:C13)</f>
        <v>137166.66666666669</v>
      </c>
      <c r="D14" s="190">
        <f>+SUM(D10:D13)</f>
        <v>151399</v>
      </c>
      <c r="E14" s="518">
        <f>+SUM(E10:E13)</f>
        <v>167051</v>
      </c>
      <c r="G14" s="733" t="s">
        <v>2932</v>
      </c>
      <c r="H14" s="180">
        <f>+'EEFF Apple y cálculo ratios'!E174</f>
        <v>49848</v>
      </c>
      <c r="I14" s="180">
        <f>+'EEFF Apple y cálculo ratios'!F174</f>
        <v>35090</v>
      </c>
      <c r="J14" s="516">
        <f>+'EEFF Apple y cálculo ratios'!G174</f>
        <v>41549</v>
      </c>
    </row>
    <row r="15" spans="1:10" x14ac:dyDescent="0.25">
      <c r="B15" s="629"/>
      <c r="C15" s="180"/>
      <c r="D15" s="180"/>
      <c r="E15" s="516"/>
      <c r="G15" s="733" t="s">
        <v>2933</v>
      </c>
      <c r="H15" s="190">
        <f>+'EEFF Apple y cálculo ratios'!E175</f>
        <v>28693.666666666668</v>
      </c>
      <c r="I15" s="190">
        <f>+'EEFF Apple y cálculo ratios'!F175</f>
        <v>30885.000000000004</v>
      </c>
      <c r="J15" s="518">
        <f>+'EEFF Apple y cálculo ratios'!G175</f>
        <v>33490</v>
      </c>
    </row>
    <row r="16" spans="1:10" ht="15.75" thickBot="1" x14ac:dyDescent="0.3">
      <c r="B16" s="884" t="s">
        <v>2893</v>
      </c>
      <c r="C16" s="198">
        <f>+'EEFF Apple y cálculo ratios'!E158</f>
        <v>-44416.75</v>
      </c>
      <c r="D16" s="198">
        <f>+'EEFF Apple y cálculo ratios'!F158</f>
        <v>-64567.850000000006</v>
      </c>
      <c r="E16" s="530">
        <f>+'EEFF Apple y cálculo ratios'!G158</f>
        <v>-50245.3</v>
      </c>
      <c r="G16" s="537"/>
      <c r="H16" s="22"/>
      <c r="I16" s="22"/>
      <c r="J16" s="885"/>
    </row>
    <row r="17" spans="2:10" x14ac:dyDescent="0.25">
      <c r="B17" s="630" t="s">
        <v>2894</v>
      </c>
      <c r="C17" s="315">
        <f>+C16+C14</f>
        <v>92749.916666666686</v>
      </c>
      <c r="D17" s="315">
        <f>+D16+D14</f>
        <v>86831.15</v>
      </c>
      <c r="E17" s="531">
        <f>+E16+E14</f>
        <v>116805.7</v>
      </c>
      <c r="G17" s="630" t="s">
        <v>2185</v>
      </c>
      <c r="H17" s="315">
        <f>+H13+H9+H14+H15</f>
        <v>92749.916666666672</v>
      </c>
      <c r="I17" s="315">
        <f>+I13+I9+I14+I15</f>
        <v>86831.15</v>
      </c>
      <c r="J17" s="531">
        <f>+J13+J9+J14+J15</f>
        <v>116805.70000000001</v>
      </c>
    </row>
    <row r="18" spans="2:10" ht="15.75" thickBot="1" x14ac:dyDescent="0.3">
      <c r="B18" s="629"/>
      <c r="C18" s="180"/>
      <c r="D18" s="180"/>
      <c r="E18" s="516"/>
      <c r="G18" s="629"/>
      <c r="H18" s="180"/>
      <c r="I18" s="180"/>
      <c r="J18" s="516"/>
    </row>
    <row r="19" spans="2:10" x14ac:dyDescent="0.25">
      <c r="B19" s="886" t="s">
        <v>2699</v>
      </c>
      <c r="C19" s="887">
        <f>C8/C17</f>
        <v>1.0849797708713125</v>
      </c>
      <c r="D19" s="887">
        <f>D8/D17</f>
        <v>1.096359467003873</v>
      </c>
      <c r="E19" s="888">
        <f>E8/E17</f>
        <v>0.97930965697735639</v>
      </c>
      <c r="G19" s="886" t="s">
        <v>2173</v>
      </c>
      <c r="H19" s="887">
        <f>+H7/H17</f>
        <v>1.0849797708713125</v>
      </c>
      <c r="I19" s="887">
        <f>+I7/I17</f>
        <v>1.0963594670038732</v>
      </c>
      <c r="J19" s="888">
        <f>+J7/J17</f>
        <v>0.97930965697735628</v>
      </c>
    </row>
  </sheetData>
  <hyperlinks>
    <hyperlink ref="A1" location="Inicio!A1" display="Inicio" xr:uid="{AFDDCEE7-D8CC-4D27-B45D-4B337E5391F2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B0D6-4CF2-7E4E-8C2F-FC747B7F9805}">
  <sheetPr>
    <tabColor theme="5" tint="0.79998168889431442"/>
  </sheetPr>
  <dimension ref="A1:J47"/>
  <sheetViews>
    <sheetView showGridLines="0" zoomScale="130" zoomScaleNormal="130" zoomScaleSheetLayoutView="100" workbookViewId="0"/>
  </sheetViews>
  <sheetFormatPr defaultColWidth="9" defaultRowHeight="15" x14ac:dyDescent="0.25"/>
  <cols>
    <col min="1" max="1" width="9" style="22"/>
    <col min="2" max="2" width="35.140625" style="22" customWidth="1"/>
    <col min="3" max="3" width="10" style="22" bestFit="1" customWidth="1"/>
    <col min="4" max="4" width="5.7109375" style="22" customWidth="1"/>
    <col min="5" max="5" width="27" style="22" customWidth="1"/>
    <col min="6" max="6" width="8.85546875" style="22" bestFit="1" customWidth="1"/>
    <col min="7" max="7" width="2.7109375" style="22" customWidth="1"/>
    <col min="8" max="8" width="28.140625" style="22" customWidth="1"/>
    <col min="9" max="16384" width="9" style="22"/>
  </cols>
  <sheetData>
    <row r="1" spans="1:9" x14ac:dyDescent="0.25">
      <c r="A1" s="879" t="s">
        <v>2821</v>
      </c>
    </row>
    <row r="3" spans="1:9" ht="30.75" thickBot="1" x14ac:dyDescent="0.3">
      <c r="B3" s="309" t="s">
        <v>3204</v>
      </c>
      <c r="C3" s="930"/>
      <c r="D3" s="893"/>
      <c r="E3" s="893"/>
      <c r="F3" s="893"/>
      <c r="G3" s="893"/>
      <c r="H3" s="893"/>
      <c r="I3" s="893"/>
    </row>
    <row r="4" spans="1:9" x14ac:dyDescent="0.25">
      <c r="B4" s="208"/>
      <c r="C4" s="239"/>
    </row>
    <row r="5" spans="1:9" ht="15.75" thickBot="1" x14ac:dyDescent="0.3">
      <c r="B5" s="22" t="s">
        <v>3771</v>
      </c>
      <c r="E5" s="22" t="s">
        <v>3772</v>
      </c>
    </row>
    <row r="6" spans="1:9" ht="15.75" thickBot="1" x14ac:dyDescent="0.3">
      <c r="C6" s="890" t="s">
        <v>3445</v>
      </c>
      <c r="E6" s="963" t="s">
        <v>2819</v>
      </c>
      <c r="F6" s="964"/>
      <c r="H6" s="963" t="s">
        <v>2818</v>
      </c>
      <c r="I6" s="964"/>
    </row>
    <row r="7" spans="1:9" x14ac:dyDescent="0.25">
      <c r="B7" s="208" t="s">
        <v>2788</v>
      </c>
      <c r="C7" s="132">
        <v>3400000</v>
      </c>
      <c r="E7" s="480" t="s">
        <v>2797</v>
      </c>
      <c r="F7" s="139">
        <v>350000</v>
      </c>
      <c r="H7" s="480" t="s">
        <v>2815</v>
      </c>
      <c r="I7" s="139">
        <v>505000</v>
      </c>
    </row>
    <row r="8" spans="1:9" ht="30" x14ac:dyDescent="0.25">
      <c r="B8" s="239" t="s">
        <v>2789</v>
      </c>
      <c r="C8" s="33">
        <v>-1500000</v>
      </c>
      <c r="E8" s="480" t="s">
        <v>2798</v>
      </c>
      <c r="F8" s="139">
        <v>30000</v>
      </c>
      <c r="H8" s="928"/>
      <c r="I8" s="929"/>
    </row>
    <row r="9" spans="1:9" x14ac:dyDescent="0.25">
      <c r="B9" s="208" t="s">
        <v>2790</v>
      </c>
      <c r="C9" s="132">
        <f>+C7+C8</f>
        <v>1900000</v>
      </c>
      <c r="E9" s="480" t="s">
        <v>2799</v>
      </c>
      <c r="F9" s="139">
        <v>125000</v>
      </c>
      <c r="H9" s="480" t="s">
        <v>2808</v>
      </c>
      <c r="I9" s="139">
        <v>175000</v>
      </c>
    </row>
    <row r="10" spans="1:9" x14ac:dyDescent="0.25">
      <c r="B10" s="239" t="s">
        <v>2791</v>
      </c>
      <c r="C10" s="33">
        <v>-1500000</v>
      </c>
      <c r="E10" s="480" t="s">
        <v>2801</v>
      </c>
      <c r="F10" s="139">
        <v>25000</v>
      </c>
      <c r="H10" s="480" t="s">
        <v>2809</v>
      </c>
      <c r="I10" s="139">
        <v>35000</v>
      </c>
    </row>
    <row r="11" spans="1:9" x14ac:dyDescent="0.25">
      <c r="B11" s="208" t="s">
        <v>2792</v>
      </c>
      <c r="C11" s="132">
        <f>+C9+C10</f>
        <v>400000</v>
      </c>
      <c r="E11" s="480" t="s">
        <v>2800</v>
      </c>
      <c r="F11" s="139">
        <v>15000</v>
      </c>
      <c r="H11" s="480" t="s">
        <v>2810</v>
      </c>
      <c r="I11" s="139">
        <v>20000</v>
      </c>
    </row>
    <row r="12" spans="1:9" x14ac:dyDescent="0.25">
      <c r="B12" s="239" t="s">
        <v>2793</v>
      </c>
      <c r="C12" s="33">
        <v>-75000</v>
      </c>
      <c r="E12" s="482" t="s">
        <v>2802</v>
      </c>
      <c r="F12" s="141">
        <f>+SUM(F7:F11)</f>
        <v>545000</v>
      </c>
      <c r="H12" s="482" t="s">
        <v>2811</v>
      </c>
      <c r="I12" s="141">
        <f>+SUM(I9:I11)</f>
        <v>230000</v>
      </c>
    </row>
    <row r="13" spans="1:9" ht="30" x14ac:dyDescent="0.25">
      <c r="B13" s="208" t="s">
        <v>2794</v>
      </c>
      <c r="C13" s="132">
        <f>+C11+C12</f>
        <v>325000</v>
      </c>
      <c r="E13" s="480" t="s">
        <v>2803</v>
      </c>
      <c r="F13" s="139">
        <v>50000</v>
      </c>
      <c r="H13" s="480" t="s">
        <v>2812</v>
      </c>
      <c r="I13" s="139">
        <v>365000</v>
      </c>
    </row>
    <row r="14" spans="1:9" ht="30" x14ac:dyDescent="0.25">
      <c r="B14" s="239" t="s">
        <v>2795</v>
      </c>
      <c r="C14" s="33">
        <f>+C13*0.25*-1</f>
        <v>-81250</v>
      </c>
      <c r="E14" s="480" t="s">
        <v>2804</v>
      </c>
      <c r="F14" s="139">
        <v>500000</v>
      </c>
      <c r="H14" s="480" t="s">
        <v>2813</v>
      </c>
      <c r="I14" s="139">
        <v>45000</v>
      </c>
    </row>
    <row r="15" spans="1:9" x14ac:dyDescent="0.25">
      <c r="B15" s="891" t="s">
        <v>2796</v>
      </c>
      <c r="C15" s="133">
        <f>+C13+C14</f>
        <v>243750</v>
      </c>
      <c r="E15" s="480" t="s">
        <v>2805</v>
      </c>
      <c r="F15" s="139">
        <v>50000</v>
      </c>
      <c r="H15" s="482" t="s">
        <v>2814</v>
      </c>
      <c r="I15" s="141">
        <f>+SUM(I13:I14)</f>
        <v>410000</v>
      </c>
    </row>
    <row r="16" spans="1:9" x14ac:dyDescent="0.25">
      <c r="E16" s="482" t="s">
        <v>2806</v>
      </c>
      <c r="F16" s="141">
        <f>+SUM(F13:F15)</f>
        <v>600000</v>
      </c>
      <c r="H16" s="931" t="s">
        <v>2817</v>
      </c>
      <c r="I16" s="147">
        <f>+I15+I12</f>
        <v>640000</v>
      </c>
    </row>
    <row r="17" spans="2:9" ht="15.75" thickBot="1" x14ac:dyDescent="0.3">
      <c r="C17" s="33"/>
      <c r="E17" s="483" t="s">
        <v>2807</v>
      </c>
      <c r="F17" s="149">
        <f>+F16+F12</f>
        <v>1145000</v>
      </c>
      <c r="H17" s="483" t="s">
        <v>2816</v>
      </c>
      <c r="I17" s="149">
        <f>+I16+I7</f>
        <v>1145000</v>
      </c>
    </row>
    <row r="20" spans="2:9" ht="15.75" thickBot="1" x14ac:dyDescent="0.3">
      <c r="B20" s="309" t="s">
        <v>2919</v>
      </c>
      <c r="C20" s="930"/>
      <c r="E20" s="309" t="s">
        <v>2926</v>
      </c>
      <c r="F20" s="930"/>
      <c r="I20" s="33"/>
    </row>
    <row r="22" spans="2:9" x14ac:dyDescent="0.25">
      <c r="B22" s="22" t="s">
        <v>3773</v>
      </c>
      <c r="F22" s="360"/>
    </row>
    <row r="23" spans="2:9" x14ac:dyDescent="0.25">
      <c r="B23" s="495" t="s">
        <v>2917</v>
      </c>
      <c r="C23" s="529" t="s">
        <v>3445</v>
      </c>
      <c r="H23" s="33">
        <f>+F17-I17</f>
        <v>0</v>
      </c>
    </row>
    <row r="24" spans="2:9" x14ac:dyDescent="0.25">
      <c r="B24" s="629" t="s">
        <v>2929</v>
      </c>
      <c r="C24" s="516">
        <f>+C7*2%</f>
        <v>68000</v>
      </c>
    </row>
    <row r="25" spans="2:9" x14ac:dyDescent="0.25">
      <c r="B25" s="629" t="str">
        <f t="shared" ref="B25:C27" si="0">+E9</f>
        <v>Clientes</v>
      </c>
      <c r="C25" s="516">
        <f t="shared" si="0"/>
        <v>125000</v>
      </c>
    </row>
    <row r="26" spans="2:9" x14ac:dyDescent="0.25">
      <c r="B26" s="629" t="str">
        <f t="shared" si="0"/>
        <v>Inventarios</v>
      </c>
      <c r="C26" s="516">
        <f t="shared" si="0"/>
        <v>25000</v>
      </c>
    </row>
    <row r="27" spans="2:9" x14ac:dyDescent="0.25">
      <c r="B27" s="629" t="str">
        <f t="shared" si="0"/>
        <v>Otros activos corrientes</v>
      </c>
      <c r="C27" s="516">
        <f t="shared" si="0"/>
        <v>15000</v>
      </c>
    </row>
    <row r="28" spans="2:9" x14ac:dyDescent="0.25">
      <c r="B28" s="932" t="s">
        <v>2888</v>
      </c>
      <c r="C28" s="533">
        <f>+SUM(C24:C27)</f>
        <v>233000</v>
      </c>
    </row>
    <row r="29" spans="2:9" x14ac:dyDescent="0.25">
      <c r="B29" s="629" t="str">
        <f>+H9</f>
        <v>Proveedores</v>
      </c>
      <c r="C29" s="516">
        <f>+I9</f>
        <v>175000</v>
      </c>
    </row>
    <row r="30" spans="2:9" x14ac:dyDescent="0.25">
      <c r="B30" s="629" t="str">
        <f>+H11</f>
        <v>Otros pasivos corrientes</v>
      </c>
      <c r="C30" s="516">
        <f>+I11</f>
        <v>20000</v>
      </c>
    </row>
    <row r="31" spans="2:9" x14ac:dyDescent="0.25">
      <c r="B31" s="932" t="s">
        <v>2889</v>
      </c>
      <c r="C31" s="533">
        <f>+SUM(C29:C30)</f>
        <v>195000</v>
      </c>
    </row>
    <row r="32" spans="2:9" x14ac:dyDescent="0.25">
      <c r="B32" s="494" t="s">
        <v>2893</v>
      </c>
      <c r="C32" s="534">
        <f>+C28-C31</f>
        <v>38000</v>
      </c>
    </row>
    <row r="34" spans="2:10" x14ac:dyDescent="0.25">
      <c r="B34" s="22" t="s">
        <v>3774</v>
      </c>
      <c r="E34" s="22" t="s">
        <v>3775</v>
      </c>
    </row>
    <row r="35" spans="2:10" x14ac:dyDescent="0.25">
      <c r="B35" s="191" t="s">
        <v>2916</v>
      </c>
      <c r="C35" s="529" t="s">
        <v>3445</v>
      </c>
      <c r="E35" s="923" t="s">
        <v>2920</v>
      </c>
      <c r="F35" s="529" t="s">
        <v>3445</v>
      </c>
    </row>
    <row r="36" spans="2:10" x14ac:dyDescent="0.25">
      <c r="B36" s="239" t="s">
        <v>2893</v>
      </c>
      <c r="C36" s="180">
        <f>+C32</f>
        <v>38000</v>
      </c>
      <c r="E36" s="208" t="s">
        <v>2815</v>
      </c>
      <c r="F36" s="190">
        <f>+I7</f>
        <v>505000</v>
      </c>
    </row>
    <row r="37" spans="2:10" x14ac:dyDescent="0.25">
      <c r="B37" s="239" t="s">
        <v>2804</v>
      </c>
      <c r="C37" s="180">
        <f>+F14</f>
        <v>500000</v>
      </c>
      <c r="E37" s="239" t="s">
        <v>2921</v>
      </c>
      <c r="F37" s="180">
        <f>+I10</f>
        <v>35000</v>
      </c>
    </row>
    <row r="38" spans="2:10" x14ac:dyDescent="0.25">
      <c r="B38" s="239" t="s">
        <v>2805</v>
      </c>
      <c r="C38" s="180">
        <f>++F15</f>
        <v>50000</v>
      </c>
      <c r="E38" s="239" t="s">
        <v>2922</v>
      </c>
      <c r="F38" s="180">
        <f>+I13</f>
        <v>365000</v>
      </c>
    </row>
    <row r="39" spans="2:10" x14ac:dyDescent="0.25">
      <c r="B39" s="891" t="s">
        <v>2918</v>
      </c>
      <c r="C39" s="189">
        <f>+SUM(C36:C38)</f>
        <v>588000</v>
      </c>
      <c r="E39" s="239" t="s">
        <v>2923</v>
      </c>
      <c r="F39" s="180">
        <f>-(F7-C24)-F8-F13</f>
        <v>-362000</v>
      </c>
      <c r="H39" s="33"/>
    </row>
    <row r="40" spans="2:10" x14ac:dyDescent="0.25">
      <c r="E40" s="208" t="s">
        <v>2924</v>
      </c>
      <c r="F40" s="190">
        <f>+SUM(F37:F39)</f>
        <v>38000</v>
      </c>
    </row>
    <row r="41" spans="2:10" x14ac:dyDescent="0.25">
      <c r="E41" s="208" t="s">
        <v>2927</v>
      </c>
      <c r="F41" s="190">
        <f>+I14</f>
        <v>45000</v>
      </c>
    </row>
    <row r="42" spans="2:10" x14ac:dyDescent="0.25">
      <c r="E42" s="891" t="s">
        <v>2925</v>
      </c>
      <c r="F42" s="189">
        <f>+F40+F36+F41</f>
        <v>588000</v>
      </c>
    </row>
    <row r="43" spans="2:10" x14ac:dyDescent="0.25">
      <c r="J43" s="22" t="s">
        <v>2928</v>
      </c>
    </row>
    <row r="45" spans="2:10" x14ac:dyDescent="0.25">
      <c r="B45" s="191" t="s">
        <v>2919</v>
      </c>
      <c r="C45" s="192">
        <v>2023</v>
      </c>
      <c r="E45" s="191" t="s">
        <v>2926</v>
      </c>
      <c r="F45" s="192">
        <v>2023</v>
      </c>
    </row>
    <row r="46" spans="2:10" x14ac:dyDescent="0.25">
      <c r="B46" s="239" t="s">
        <v>2915</v>
      </c>
      <c r="C46" s="180">
        <f>+C11+C14</f>
        <v>318750</v>
      </c>
      <c r="E46" s="239" t="s">
        <v>2915</v>
      </c>
      <c r="F46" s="180">
        <f>+C11+C14</f>
        <v>318750</v>
      </c>
    </row>
    <row r="47" spans="2:10" x14ac:dyDescent="0.25">
      <c r="B47" s="891" t="s">
        <v>2699</v>
      </c>
      <c r="C47" s="933">
        <f>+C46/C39</f>
        <v>0.54209183673469385</v>
      </c>
      <c r="E47" s="891" t="s">
        <v>2699</v>
      </c>
      <c r="F47" s="933">
        <f>+F46/F42</f>
        <v>0.54209183673469385</v>
      </c>
    </row>
  </sheetData>
  <mergeCells count="2">
    <mergeCell ref="E6:F6"/>
    <mergeCell ref="H6:I6"/>
  </mergeCells>
  <hyperlinks>
    <hyperlink ref="A1" location="Inicio!A1" display="Inicio" xr:uid="{AB33CBAA-1512-449E-8F6D-52166A19761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A724E-51A2-492A-95A0-FA3B68227D3D}">
  <sheetPr>
    <tabColor theme="5" tint="0.79998168889431442"/>
  </sheetPr>
  <dimension ref="A1:I31"/>
  <sheetViews>
    <sheetView showGridLines="0" workbookViewId="0"/>
  </sheetViews>
  <sheetFormatPr defaultRowHeight="15" x14ac:dyDescent="0.25"/>
  <cols>
    <col min="1" max="1" width="9.140625" style="22"/>
    <col min="2" max="2" width="4.28515625" style="22" customWidth="1"/>
    <col min="3" max="3" width="54.42578125" style="22" bestFit="1" customWidth="1"/>
    <col min="4" max="4" width="9.140625" style="22"/>
    <col min="5" max="5" width="3.28515625" style="22" customWidth="1"/>
    <col min="6" max="7" width="9.140625" style="22"/>
    <col min="8" max="8" width="33.42578125" style="22" bestFit="1" customWidth="1"/>
    <col min="9" max="16384" width="9.140625" style="22"/>
  </cols>
  <sheetData>
    <row r="1" spans="1:9" x14ac:dyDescent="0.25">
      <c r="A1" s="879" t="s">
        <v>2821</v>
      </c>
    </row>
    <row r="2" spans="1:9" ht="12.75" customHeight="1" thickBot="1" x14ac:dyDescent="0.3">
      <c r="C2" s="22" t="s">
        <v>3784</v>
      </c>
      <c r="H2" s="22" t="s">
        <v>3786</v>
      </c>
    </row>
    <row r="3" spans="1:9" x14ac:dyDescent="0.25">
      <c r="B3" s="550"/>
      <c r="C3" s="551"/>
      <c r="D3" s="551"/>
      <c r="E3" s="543"/>
    </row>
    <row r="4" spans="1:9" x14ac:dyDescent="0.25">
      <c r="B4" s="540"/>
      <c r="C4" s="553" t="s">
        <v>3463</v>
      </c>
      <c r="D4" s="554">
        <v>2025</v>
      </c>
      <c r="E4" s="541"/>
      <c r="H4" s="560" t="s">
        <v>3226</v>
      </c>
      <c r="I4" s="560" t="s">
        <v>3445</v>
      </c>
    </row>
    <row r="5" spans="1:9" x14ac:dyDescent="0.25">
      <c r="B5" s="540"/>
      <c r="C5" s="537" t="s">
        <v>3446</v>
      </c>
      <c r="D5" s="539">
        <v>85000</v>
      </c>
      <c r="E5" s="541"/>
      <c r="H5" s="548" t="s">
        <v>3105</v>
      </c>
      <c r="I5" s="561">
        <v>1000000</v>
      </c>
    </row>
    <row r="6" spans="1:9" x14ac:dyDescent="0.25">
      <c r="B6" s="540"/>
      <c r="C6" s="537" t="s">
        <v>3448</v>
      </c>
      <c r="D6" s="539">
        <v>-40000</v>
      </c>
      <c r="E6" s="541"/>
      <c r="H6" s="537" t="s">
        <v>3469</v>
      </c>
      <c r="I6" s="562">
        <v>-700000</v>
      </c>
    </row>
    <row r="7" spans="1:9" x14ac:dyDescent="0.25">
      <c r="B7" s="540"/>
      <c r="C7" s="537" t="s">
        <v>3449</v>
      </c>
      <c r="D7" s="539">
        <v>-15000</v>
      </c>
      <c r="E7" s="541"/>
      <c r="H7" s="537" t="s">
        <v>3470</v>
      </c>
      <c r="I7" s="562">
        <v>-100000</v>
      </c>
    </row>
    <row r="8" spans="1:9" x14ac:dyDescent="0.25">
      <c r="B8" s="540"/>
      <c r="C8" s="537" t="s">
        <v>3450</v>
      </c>
      <c r="D8" s="539">
        <v>-10000</v>
      </c>
      <c r="E8" s="541"/>
      <c r="H8" s="546" t="s">
        <v>3207</v>
      </c>
      <c r="I8" s="563">
        <f>+SUM(I5:I7)</f>
        <v>200000</v>
      </c>
    </row>
    <row r="9" spans="1:9" x14ac:dyDescent="0.25">
      <c r="B9" s="540"/>
      <c r="C9" s="537" t="s">
        <v>3447</v>
      </c>
      <c r="D9" s="539">
        <v>-5000</v>
      </c>
      <c r="E9" s="541"/>
    </row>
    <row r="10" spans="1:9" x14ac:dyDescent="0.25">
      <c r="B10" s="540"/>
      <c r="C10" s="538" t="s">
        <v>3451</v>
      </c>
      <c r="D10" s="555">
        <f>+SUM(D5:D9)</f>
        <v>15000</v>
      </c>
      <c r="E10" s="541"/>
      <c r="H10" s="553" t="s">
        <v>3471</v>
      </c>
      <c r="I10" s="560" t="s">
        <v>3445</v>
      </c>
    </row>
    <row r="11" spans="1:9" x14ac:dyDescent="0.25">
      <c r="B11" s="540"/>
      <c r="C11" s="537" t="s">
        <v>3452</v>
      </c>
      <c r="D11" s="539">
        <v>-2000</v>
      </c>
      <c r="E11" s="541"/>
      <c r="H11" s="537" t="s">
        <v>3207</v>
      </c>
      <c r="I11" s="562">
        <f>+I8</f>
        <v>200000</v>
      </c>
    </row>
    <row r="12" spans="1:9" x14ac:dyDescent="0.25">
      <c r="B12" s="540"/>
      <c r="C12" s="537" t="s">
        <v>3453</v>
      </c>
      <c r="D12" s="539">
        <v>-1000</v>
      </c>
      <c r="E12" s="541"/>
      <c r="H12" s="537" t="s">
        <v>3472</v>
      </c>
      <c r="I12" s="562">
        <v>100000</v>
      </c>
    </row>
    <row r="13" spans="1:9" x14ac:dyDescent="0.25">
      <c r="B13" s="540"/>
      <c r="C13" s="537" t="s">
        <v>3454</v>
      </c>
      <c r="D13" s="539">
        <v>-5000</v>
      </c>
      <c r="E13" s="541"/>
      <c r="H13" s="546" t="s">
        <v>3473</v>
      </c>
      <c r="I13" s="563">
        <f>+SUM(I11:I12)</f>
        <v>300000</v>
      </c>
    </row>
    <row r="14" spans="1:9" x14ac:dyDescent="0.25">
      <c r="B14" s="540"/>
      <c r="C14" s="538" t="s">
        <v>3455</v>
      </c>
      <c r="D14" s="555">
        <f>+SUM(D11:D13)</f>
        <v>-8000</v>
      </c>
      <c r="E14" s="541"/>
    </row>
    <row r="15" spans="1:9" x14ac:dyDescent="0.25">
      <c r="B15" s="540"/>
      <c r="C15" s="537" t="s">
        <v>3456</v>
      </c>
      <c r="D15" s="539">
        <v>-2000</v>
      </c>
      <c r="E15" s="541"/>
    </row>
    <row r="16" spans="1:9" x14ac:dyDescent="0.25">
      <c r="B16" s="540"/>
      <c r="C16" s="537" t="s">
        <v>3458</v>
      </c>
      <c r="D16" s="539">
        <v>-600</v>
      </c>
      <c r="E16" s="541"/>
    </row>
    <row r="17" spans="2:5" x14ac:dyDescent="0.25">
      <c r="B17" s="540"/>
      <c r="C17" s="537" t="s">
        <v>3459</v>
      </c>
      <c r="D17" s="539">
        <v>-2000</v>
      </c>
      <c r="E17" s="541"/>
    </row>
    <row r="18" spans="2:5" x14ac:dyDescent="0.25">
      <c r="B18" s="540"/>
      <c r="C18" s="556" t="s">
        <v>3457</v>
      </c>
      <c r="D18" s="557">
        <f>+SUM(D15:D17)</f>
        <v>-4600</v>
      </c>
      <c r="E18" s="541"/>
    </row>
    <row r="19" spans="2:5" x14ac:dyDescent="0.25">
      <c r="B19" s="540"/>
      <c r="D19" s="33"/>
      <c r="E19" s="541"/>
    </row>
    <row r="20" spans="2:5" x14ac:dyDescent="0.25">
      <c r="B20" s="540"/>
      <c r="C20" s="548" t="s">
        <v>3460</v>
      </c>
      <c r="D20" s="549">
        <f>+D10+D14+D18</f>
        <v>2400</v>
      </c>
      <c r="E20" s="541"/>
    </row>
    <row r="21" spans="2:5" x14ac:dyDescent="0.25">
      <c r="B21" s="540"/>
      <c r="C21" s="537" t="s">
        <v>3461</v>
      </c>
      <c r="D21" s="539">
        <v>23450</v>
      </c>
      <c r="E21" s="541"/>
    </row>
    <row r="22" spans="2:5" x14ac:dyDescent="0.25">
      <c r="B22" s="540"/>
      <c r="C22" s="546" t="s">
        <v>3462</v>
      </c>
      <c r="D22" s="547">
        <f>+D20+D21</f>
        <v>25850</v>
      </c>
      <c r="E22" s="541"/>
    </row>
    <row r="23" spans="2:5" ht="15.75" thickBot="1" x14ac:dyDescent="0.3">
      <c r="B23" s="542"/>
      <c r="C23" s="544"/>
      <c r="D23" s="552"/>
      <c r="E23" s="545"/>
    </row>
    <row r="31" spans="2:5" x14ac:dyDescent="0.25">
      <c r="D31" s="33"/>
    </row>
  </sheetData>
  <hyperlinks>
    <hyperlink ref="A1" location="Inicio!A1" display="Inicio" xr:uid="{A21FFC4A-6506-40F7-B6A5-4339457E61B1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75AC0-6D90-4B6E-BAC4-2AE1DEE73DB7}">
  <sheetPr>
    <tabColor theme="5" tint="0.79998168889431442"/>
  </sheetPr>
  <dimension ref="A1:E9"/>
  <sheetViews>
    <sheetView showGridLines="0" zoomScale="120" zoomScaleNormal="120" workbookViewId="0"/>
  </sheetViews>
  <sheetFormatPr defaultColWidth="44.85546875" defaultRowHeight="15" x14ac:dyDescent="0.25"/>
  <cols>
    <col min="1" max="1" width="10.42578125" style="22" customWidth="1"/>
    <col min="2" max="2" width="44.85546875" style="22"/>
    <col min="3" max="3" width="41.7109375" style="22" bestFit="1" customWidth="1"/>
    <col min="4" max="4" width="43.140625" style="22" bestFit="1" customWidth="1"/>
    <col min="5" max="5" width="19.140625" style="22" bestFit="1" customWidth="1"/>
    <col min="6" max="16384" width="44.85546875" style="22"/>
  </cols>
  <sheetData>
    <row r="1" spans="1:5" x14ac:dyDescent="0.25">
      <c r="A1" s="879" t="s">
        <v>2821</v>
      </c>
    </row>
    <row r="4" spans="1:5" ht="15.75" thickBot="1" x14ac:dyDescent="0.3"/>
    <row r="5" spans="1:5" ht="15.75" thickBot="1" x14ac:dyDescent="0.3">
      <c r="B5" s="564" t="s">
        <v>3474</v>
      </c>
      <c r="C5" s="565" t="s">
        <v>3475</v>
      </c>
      <c r="D5" s="565" t="s">
        <v>3476</v>
      </c>
      <c r="E5" s="566" t="s">
        <v>3477</v>
      </c>
    </row>
    <row r="6" spans="1:5" ht="45" x14ac:dyDescent="0.25">
      <c r="B6" s="572" t="s">
        <v>3478</v>
      </c>
      <c r="C6" s="567" t="s">
        <v>3479</v>
      </c>
      <c r="D6" s="567" t="s">
        <v>3480</v>
      </c>
      <c r="E6" s="568" t="s">
        <v>3481</v>
      </c>
    </row>
    <row r="7" spans="1:5" ht="45.75" thickBot="1" x14ac:dyDescent="0.3">
      <c r="B7" s="571" t="s">
        <v>3482</v>
      </c>
      <c r="C7" s="570" t="s">
        <v>3483</v>
      </c>
      <c r="D7" s="570" t="s">
        <v>3484</v>
      </c>
      <c r="E7" s="569" t="s">
        <v>3485</v>
      </c>
    </row>
    <row r="8" spans="1:5" ht="45" x14ac:dyDescent="0.25">
      <c r="B8" s="572" t="s">
        <v>3486</v>
      </c>
      <c r="C8" s="567" t="s">
        <v>3479</v>
      </c>
      <c r="D8" s="567" t="s">
        <v>3487</v>
      </c>
      <c r="E8" s="568" t="s">
        <v>3481</v>
      </c>
    </row>
    <row r="9" spans="1:5" ht="30.75" thickBot="1" x14ac:dyDescent="0.3">
      <c r="B9" s="571" t="s">
        <v>3488</v>
      </c>
      <c r="C9" s="570" t="s">
        <v>3483</v>
      </c>
      <c r="D9" s="570" t="s">
        <v>3489</v>
      </c>
      <c r="E9" s="569" t="s">
        <v>3485</v>
      </c>
    </row>
  </sheetData>
  <hyperlinks>
    <hyperlink ref="A1" location="Inicio!A1" display="Inicio" xr:uid="{917FFE6E-23BA-40A4-8BFC-CBA70A025EB4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CD38E-9127-4F48-93E8-5EA1F98F25B6}">
  <sheetPr>
    <tabColor theme="5" tint="0.79998168889431442"/>
  </sheetPr>
  <dimension ref="A1:J50"/>
  <sheetViews>
    <sheetView showGridLines="0" workbookViewId="0"/>
  </sheetViews>
  <sheetFormatPr defaultRowHeight="15.75" x14ac:dyDescent="0.25"/>
  <cols>
    <col min="1" max="1" width="9.140625" style="89"/>
    <col min="2" max="2" width="36.140625" style="89" bestFit="1" customWidth="1"/>
    <col min="3" max="3" width="9.140625" style="89" bestFit="1" customWidth="1"/>
    <col min="4" max="4" width="21.5703125" style="89" bestFit="1" customWidth="1"/>
    <col min="5" max="5" width="17.7109375" style="573" bestFit="1" customWidth="1"/>
    <col min="6" max="6" width="9.140625" style="89"/>
    <col min="7" max="7" width="32.42578125" style="89" bestFit="1" customWidth="1"/>
    <col min="8" max="8" width="11.42578125" style="89" bestFit="1" customWidth="1"/>
    <col min="9" max="9" width="23.85546875" style="89" bestFit="1" customWidth="1"/>
    <col min="10" max="10" width="20" style="89" bestFit="1" customWidth="1"/>
    <col min="11" max="16384" width="9.140625" style="89"/>
  </cols>
  <sheetData>
    <row r="1" spans="1:10" x14ac:dyDescent="0.25">
      <c r="A1" s="879" t="s">
        <v>2821</v>
      </c>
    </row>
    <row r="2" spans="1:10" x14ac:dyDescent="0.25">
      <c r="B2" s="973" t="s">
        <v>3533</v>
      </c>
      <c r="C2" s="974"/>
      <c r="D2" s="974"/>
      <c r="E2" s="975"/>
      <c r="G2" s="973" t="s">
        <v>3534</v>
      </c>
      <c r="H2" s="974"/>
      <c r="I2" s="974"/>
      <c r="J2" s="975"/>
    </row>
    <row r="3" spans="1:10" x14ac:dyDescent="0.25">
      <c r="B3" s="576" t="s">
        <v>3237</v>
      </c>
      <c r="C3" s="577" t="s">
        <v>3492</v>
      </c>
      <c r="D3" s="577" t="s">
        <v>3491</v>
      </c>
      <c r="E3" s="578" t="s">
        <v>3490</v>
      </c>
      <c r="G3" s="576" t="s">
        <v>3237</v>
      </c>
      <c r="H3" s="577" t="s">
        <v>3492</v>
      </c>
      <c r="I3" s="577" t="s">
        <v>3491</v>
      </c>
      <c r="J3" s="578" t="s">
        <v>3490</v>
      </c>
    </row>
    <row r="4" spans="1:10" x14ac:dyDescent="0.25">
      <c r="B4" s="579" t="s">
        <v>3493</v>
      </c>
      <c r="C4" s="89">
        <v>15</v>
      </c>
      <c r="D4" s="89">
        <v>5203.74</v>
      </c>
      <c r="E4" s="580">
        <v>0.4184202999074465</v>
      </c>
      <c r="G4" s="579" t="s">
        <v>3513</v>
      </c>
      <c r="H4" s="89">
        <v>37</v>
      </c>
      <c r="I4" s="89">
        <v>1357.223</v>
      </c>
      <c r="J4" s="580">
        <v>1.3152379983751258E-3</v>
      </c>
    </row>
    <row r="5" spans="1:10" x14ac:dyDescent="0.25">
      <c r="B5" s="579" t="s">
        <v>3494</v>
      </c>
      <c r="C5" s="89">
        <v>18</v>
      </c>
      <c r="D5" s="89">
        <v>4105.6610000000001</v>
      </c>
      <c r="E5" s="580">
        <v>0.38159403354479288</v>
      </c>
      <c r="G5" s="579" t="s">
        <v>3514</v>
      </c>
      <c r="H5" s="89">
        <v>63</v>
      </c>
      <c r="I5" s="89">
        <v>3264.6190000000001</v>
      </c>
      <c r="J5" s="580">
        <v>1.3792624153242633E-3</v>
      </c>
    </row>
    <row r="6" spans="1:10" x14ac:dyDescent="0.25">
      <c r="B6" s="579" t="s">
        <v>3495</v>
      </c>
      <c r="C6" s="89">
        <v>14</v>
      </c>
      <c r="D6" s="89">
        <v>50314.5</v>
      </c>
      <c r="E6" s="580">
        <v>0.30653922157705915</v>
      </c>
      <c r="G6" s="579" t="s">
        <v>3515</v>
      </c>
      <c r="H6" s="89">
        <v>32</v>
      </c>
      <c r="I6" s="89">
        <v>41154.332000000002</v>
      </c>
      <c r="J6" s="580">
        <v>1.6218816990425423E-3</v>
      </c>
    </row>
    <row r="7" spans="1:10" x14ac:dyDescent="0.25">
      <c r="B7" s="579" t="s">
        <v>3496</v>
      </c>
      <c r="C7" s="89">
        <v>61</v>
      </c>
      <c r="D7" s="89">
        <v>3150.55</v>
      </c>
      <c r="E7" s="580">
        <v>0.26114498331874886</v>
      </c>
      <c r="G7" s="579" t="s">
        <v>3516</v>
      </c>
      <c r="H7" s="89">
        <v>97</v>
      </c>
      <c r="I7" s="89">
        <v>17223.395</v>
      </c>
      <c r="J7" s="580">
        <v>2.0219680375014736E-3</v>
      </c>
    </row>
    <row r="8" spans="1:10" x14ac:dyDescent="0.25">
      <c r="B8" s="579" t="s">
        <v>3497</v>
      </c>
      <c r="C8" s="89">
        <v>535</v>
      </c>
      <c r="D8" s="89">
        <v>6752.6350000000002</v>
      </c>
      <c r="E8" s="580">
        <v>0.24938461994507974</v>
      </c>
      <c r="G8" s="579" t="s">
        <v>3517</v>
      </c>
      <c r="H8" s="89">
        <v>101</v>
      </c>
      <c r="I8" s="89">
        <v>7638.6980000000003</v>
      </c>
      <c r="J8" s="580">
        <v>2.1758104872275021E-3</v>
      </c>
    </row>
    <row r="9" spans="1:10" x14ac:dyDescent="0.25">
      <c r="B9" s="579" t="s">
        <v>3498</v>
      </c>
      <c r="C9" s="89">
        <v>231</v>
      </c>
      <c r="D9" s="89">
        <v>19335.474999999999</v>
      </c>
      <c r="E9" s="580">
        <v>0.23936246817779333</v>
      </c>
      <c r="G9" s="579" t="s">
        <v>3518</v>
      </c>
      <c r="H9" s="89">
        <v>11</v>
      </c>
      <c r="I9" s="89">
        <v>67.930000000000007</v>
      </c>
      <c r="J9" s="580">
        <v>2.1872119179560689E-3</v>
      </c>
    </row>
    <row r="10" spans="1:10" x14ac:dyDescent="0.25">
      <c r="B10" s="579" t="s">
        <v>3499</v>
      </c>
      <c r="C10" s="89">
        <v>48</v>
      </c>
      <c r="D10" s="89">
        <v>137875.01999999999</v>
      </c>
      <c r="E10" s="580">
        <v>0.2357328538153427</v>
      </c>
      <c r="G10" s="579" t="s">
        <v>3519</v>
      </c>
      <c r="H10" s="89">
        <v>17</v>
      </c>
      <c r="I10" s="89">
        <v>7509.0590000000002</v>
      </c>
      <c r="J10" s="580">
        <v>2.5903700967199864E-3</v>
      </c>
    </row>
    <row r="11" spans="1:10" x14ac:dyDescent="0.25">
      <c r="B11" s="579" t="s">
        <v>3500</v>
      </c>
      <c r="C11" s="89">
        <v>333</v>
      </c>
      <c r="D11" s="89">
        <v>67416.514999999999</v>
      </c>
      <c r="E11" s="580">
        <v>0.21011597941116059</v>
      </c>
      <c r="G11" s="579" t="s">
        <v>3520</v>
      </c>
      <c r="H11" s="89">
        <v>4</v>
      </c>
      <c r="I11" s="89">
        <v>692.6</v>
      </c>
      <c r="J11" s="580">
        <v>3.09597381827909E-3</v>
      </c>
    </row>
    <row r="12" spans="1:10" x14ac:dyDescent="0.25">
      <c r="B12" s="579" t="s">
        <v>3501</v>
      </c>
      <c r="C12" s="89">
        <v>147</v>
      </c>
      <c r="D12" s="89">
        <v>80372.350000000006</v>
      </c>
      <c r="E12" s="580">
        <v>0.17944803046179625</v>
      </c>
      <c r="G12" s="579" t="s">
        <v>3521</v>
      </c>
      <c r="H12" s="89">
        <v>35</v>
      </c>
      <c r="I12" s="89">
        <v>16066.353999999999</v>
      </c>
      <c r="J12" s="580">
        <v>3.3470274962448718E-3</v>
      </c>
    </row>
    <row r="13" spans="1:10" x14ac:dyDescent="0.25">
      <c r="B13" s="579" t="s">
        <v>3502</v>
      </c>
      <c r="C13" s="89">
        <v>24</v>
      </c>
      <c r="D13" s="89">
        <v>21546.394</v>
      </c>
      <c r="E13" s="580">
        <v>0.15403105351560173</v>
      </c>
      <c r="G13" s="579" t="s">
        <v>3522</v>
      </c>
      <c r="H13" s="89">
        <v>22</v>
      </c>
      <c r="I13" s="89">
        <v>722.69100000000003</v>
      </c>
      <c r="J13" s="580">
        <v>4.719125790251846E-3</v>
      </c>
    </row>
    <row r="14" spans="1:10" x14ac:dyDescent="0.25">
      <c r="B14" s="579" t="s">
        <v>3503</v>
      </c>
      <c r="C14" s="89">
        <v>39</v>
      </c>
      <c r="D14" s="89">
        <v>4233.2060000000001</v>
      </c>
      <c r="E14" s="580">
        <v>0.14426831998455231</v>
      </c>
      <c r="G14" s="579" t="s">
        <v>3523</v>
      </c>
      <c r="H14" s="89">
        <v>53</v>
      </c>
      <c r="I14" s="89">
        <v>2862.9940000000001</v>
      </c>
      <c r="J14" s="580">
        <v>6.1452887252948212E-3</v>
      </c>
    </row>
    <row r="15" spans="1:10" x14ac:dyDescent="0.25">
      <c r="B15" s="579" t="s">
        <v>3504</v>
      </c>
      <c r="C15" s="89">
        <v>63</v>
      </c>
      <c r="D15" s="89">
        <v>51562.290999999997</v>
      </c>
      <c r="E15" s="580">
        <v>0.11600239559724274</v>
      </c>
      <c r="G15" s="579" t="s">
        <v>3524</v>
      </c>
      <c r="H15" s="89">
        <v>3</v>
      </c>
      <c r="I15" s="89">
        <v>1155</v>
      </c>
      <c r="J15" s="580">
        <v>6.4504793672771525E-3</v>
      </c>
    </row>
    <row r="16" spans="1:10" x14ac:dyDescent="0.25">
      <c r="B16" s="579" t="s">
        <v>3505</v>
      </c>
      <c r="C16" s="89">
        <v>81</v>
      </c>
      <c r="D16" s="89">
        <v>80949.464000000007</v>
      </c>
      <c r="E16" s="580">
        <v>0.1138596997532106</v>
      </c>
      <c r="G16" s="579" t="s">
        <v>3525</v>
      </c>
      <c r="H16" s="89">
        <v>54</v>
      </c>
      <c r="I16" s="89">
        <v>772.53899999999999</v>
      </c>
      <c r="J16" s="580">
        <v>7.0344211638214407E-3</v>
      </c>
    </row>
    <row r="17" spans="2:10" x14ac:dyDescent="0.25">
      <c r="B17" s="579" t="s">
        <v>3506</v>
      </c>
      <c r="C17" s="89">
        <v>101</v>
      </c>
      <c r="D17" s="89">
        <v>6352.8890000000001</v>
      </c>
      <c r="E17" s="580">
        <v>0.10742964307899272</v>
      </c>
      <c r="G17" s="579" t="s">
        <v>3526</v>
      </c>
      <c r="H17" s="89">
        <v>98</v>
      </c>
      <c r="I17" s="89">
        <v>11285.119000000001</v>
      </c>
      <c r="J17" s="580">
        <v>7.2602822997946117E-3</v>
      </c>
    </row>
    <row r="18" spans="2:10" x14ac:dyDescent="0.25">
      <c r="B18" s="579" t="s">
        <v>3507</v>
      </c>
      <c r="C18" s="89">
        <v>4</v>
      </c>
      <c r="D18" s="89">
        <v>10234</v>
      </c>
      <c r="E18" s="580">
        <v>9.4309271620960033E-2</v>
      </c>
      <c r="G18" s="579" t="s">
        <v>3527</v>
      </c>
      <c r="H18" s="89">
        <v>30</v>
      </c>
      <c r="I18" s="89">
        <v>1005.293</v>
      </c>
      <c r="J18" s="580">
        <v>7.2897973513516611E-3</v>
      </c>
    </row>
    <row r="19" spans="2:10" x14ac:dyDescent="0.25">
      <c r="B19" s="579" t="s">
        <v>3508</v>
      </c>
      <c r="C19" s="89">
        <v>24</v>
      </c>
      <c r="D19" s="89">
        <v>12854.98</v>
      </c>
      <c r="E19" s="580">
        <v>9.0853693674562669E-2</v>
      </c>
      <c r="G19" s="579" t="s">
        <v>3528</v>
      </c>
      <c r="H19" s="89">
        <v>113</v>
      </c>
      <c r="I19" s="89">
        <v>15514.422</v>
      </c>
      <c r="J19" s="580">
        <v>7.4326015889880203E-3</v>
      </c>
    </row>
    <row r="20" spans="2:10" x14ac:dyDescent="0.25">
      <c r="B20" s="579" t="s">
        <v>3509</v>
      </c>
      <c r="C20" s="89">
        <v>6</v>
      </c>
      <c r="D20" s="89">
        <v>589.79999999999995</v>
      </c>
      <c r="E20" s="580">
        <v>7.8687606679370345E-2</v>
      </c>
      <c r="G20" s="579" t="s">
        <v>3529</v>
      </c>
      <c r="H20" s="89">
        <v>67</v>
      </c>
      <c r="I20" s="89">
        <v>13791.950999999999</v>
      </c>
      <c r="J20" s="580">
        <v>7.667472862174317E-3</v>
      </c>
    </row>
    <row r="21" spans="2:10" x14ac:dyDescent="0.25">
      <c r="B21" s="579" t="s">
        <v>3510</v>
      </c>
      <c r="C21" s="89">
        <v>66</v>
      </c>
      <c r="D21" s="89">
        <v>14008.341</v>
      </c>
      <c r="E21" s="580">
        <v>7.6716912277708146E-2</v>
      </c>
      <c r="G21" s="579" t="s">
        <v>3530</v>
      </c>
      <c r="H21" s="89">
        <v>29</v>
      </c>
      <c r="I21" s="89">
        <v>716.01400000000001</v>
      </c>
      <c r="J21" s="580">
        <v>8.9103062021790337E-3</v>
      </c>
    </row>
    <row r="22" spans="2:10" x14ac:dyDescent="0.25">
      <c r="B22" s="579" t="s">
        <v>3511</v>
      </c>
      <c r="C22" s="89">
        <v>13</v>
      </c>
      <c r="D22" s="89">
        <v>6569.6</v>
      </c>
      <c r="E22" s="580">
        <v>7.1570384643015697E-2</v>
      </c>
      <c r="G22" s="579" t="s">
        <v>3531</v>
      </c>
      <c r="H22" s="89">
        <v>28</v>
      </c>
      <c r="I22" s="89">
        <v>1646.009</v>
      </c>
      <c r="J22" s="580">
        <v>1.1233594701056575E-2</v>
      </c>
    </row>
    <row r="23" spans="2:10" x14ac:dyDescent="0.25">
      <c r="B23" s="581" t="s">
        <v>3512</v>
      </c>
      <c r="C23" s="446">
        <v>50</v>
      </c>
      <c r="D23" s="446">
        <v>6405.7759999999998</v>
      </c>
      <c r="E23" s="582">
        <v>6.417199514719471E-2</v>
      </c>
      <c r="G23" s="581" t="s">
        <v>3532</v>
      </c>
      <c r="H23" s="446">
        <v>11</v>
      </c>
      <c r="I23" s="446">
        <v>25.844999999999999</v>
      </c>
      <c r="J23" s="582">
        <v>1.3348393574297183E-2</v>
      </c>
    </row>
    <row r="25" spans="2:10" x14ac:dyDescent="0.25">
      <c r="G25" s="575"/>
    </row>
    <row r="26" spans="2:10" x14ac:dyDescent="0.25">
      <c r="G26" s="574"/>
    </row>
    <row r="27" spans="2:10" x14ac:dyDescent="0.25">
      <c r="G27" s="575"/>
    </row>
    <row r="28" spans="2:10" x14ac:dyDescent="0.25">
      <c r="G28" s="574"/>
    </row>
    <row r="29" spans="2:10" x14ac:dyDescent="0.25">
      <c r="G29" s="575"/>
    </row>
    <row r="30" spans="2:10" x14ac:dyDescent="0.25">
      <c r="G30" s="574"/>
    </row>
    <row r="31" spans="2:10" x14ac:dyDescent="0.25">
      <c r="G31" s="575"/>
    </row>
    <row r="32" spans="2:10" x14ac:dyDescent="0.25">
      <c r="G32" s="574"/>
    </row>
    <row r="33" spans="7:7" x14ac:dyDescent="0.25">
      <c r="G33" s="575"/>
    </row>
    <row r="34" spans="7:7" x14ac:dyDescent="0.25">
      <c r="G34" s="574"/>
    </row>
    <row r="35" spans="7:7" x14ac:dyDescent="0.25">
      <c r="G35" s="575"/>
    </row>
    <row r="36" spans="7:7" x14ac:dyDescent="0.25">
      <c r="G36" s="574"/>
    </row>
    <row r="37" spans="7:7" x14ac:dyDescent="0.25">
      <c r="G37" s="575"/>
    </row>
    <row r="38" spans="7:7" x14ac:dyDescent="0.25">
      <c r="G38" s="574"/>
    </row>
    <row r="39" spans="7:7" x14ac:dyDescent="0.25">
      <c r="G39" s="575"/>
    </row>
    <row r="40" spans="7:7" x14ac:dyDescent="0.25">
      <c r="G40" s="574"/>
    </row>
    <row r="41" spans="7:7" x14ac:dyDescent="0.25">
      <c r="G41" s="575"/>
    </row>
    <row r="42" spans="7:7" x14ac:dyDescent="0.25">
      <c r="G42" s="574"/>
    </row>
    <row r="43" spans="7:7" x14ac:dyDescent="0.25">
      <c r="G43" s="575"/>
    </row>
    <row r="44" spans="7:7" x14ac:dyDescent="0.25">
      <c r="G44" s="574"/>
    </row>
    <row r="45" spans="7:7" x14ac:dyDescent="0.25">
      <c r="G45" s="575"/>
    </row>
    <row r="46" spans="7:7" x14ac:dyDescent="0.25">
      <c r="G46" s="574"/>
    </row>
    <row r="47" spans="7:7" x14ac:dyDescent="0.25">
      <c r="G47" s="575"/>
    </row>
    <row r="48" spans="7:7" x14ac:dyDescent="0.25">
      <c r="G48" s="574"/>
    </row>
    <row r="49" spans="7:7" x14ac:dyDescent="0.25">
      <c r="G49" s="575"/>
    </row>
    <row r="50" spans="7:7" x14ac:dyDescent="0.25">
      <c r="G50" s="574"/>
    </row>
  </sheetData>
  <autoFilter ref="G3:J23" xr:uid="{F0DCD38E-9127-4F48-93E8-5EA1F98F25B6}">
    <sortState xmlns:xlrd2="http://schemas.microsoft.com/office/spreadsheetml/2017/richdata2" ref="G4:J23">
      <sortCondition ref="J3:J23"/>
    </sortState>
  </autoFilter>
  <mergeCells count="2">
    <mergeCell ref="B2:E2"/>
    <mergeCell ref="G2:J2"/>
  </mergeCells>
  <hyperlinks>
    <hyperlink ref="A1" location="Inicio!A1" display="Inicio" xr:uid="{E072271C-6EF9-4631-88AD-B27DEC943252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1165C-D139-4AD5-AD0B-60807756942C}">
  <sheetPr>
    <tabColor theme="5" tint="0.79998168889431442"/>
  </sheetPr>
  <dimension ref="A1:G27"/>
  <sheetViews>
    <sheetView showGridLines="0" workbookViewId="0"/>
  </sheetViews>
  <sheetFormatPr defaultRowHeight="15" x14ac:dyDescent="0.25"/>
  <cols>
    <col min="2" max="2" width="48.140625" customWidth="1"/>
  </cols>
  <sheetData>
    <row r="1" spans="1:7" x14ac:dyDescent="0.25">
      <c r="A1" s="879" t="s">
        <v>2821</v>
      </c>
    </row>
    <row r="3" spans="1:7" x14ac:dyDescent="0.25">
      <c r="B3" s="22" t="s">
        <v>3792</v>
      </c>
      <c r="C3" s="22"/>
      <c r="D3" s="22"/>
      <c r="E3" s="22"/>
      <c r="F3" s="22"/>
      <c r="G3" s="22"/>
    </row>
    <row r="4" spans="1:7" x14ac:dyDescent="0.25">
      <c r="B4" s="890" t="s">
        <v>3457</v>
      </c>
      <c r="C4" s="890">
        <v>2021</v>
      </c>
      <c r="D4" s="890">
        <v>2022</v>
      </c>
      <c r="E4" s="890">
        <v>2023</v>
      </c>
      <c r="F4" s="890">
        <v>2024</v>
      </c>
      <c r="G4" s="890">
        <v>2025</v>
      </c>
    </row>
    <row r="5" spans="1:7" x14ac:dyDescent="0.25">
      <c r="B5" s="22" t="s">
        <v>3679</v>
      </c>
      <c r="C5" s="180">
        <f>+'EEFF Apple y cálculo ratios'!C185</f>
        <v>0</v>
      </c>
      <c r="D5" s="180">
        <f>+'EEFF Apple y cálculo ratios'!D185</f>
        <v>0</v>
      </c>
      <c r="E5" s="180">
        <f>+'EEFF Apple y cálculo ratios'!E185</f>
        <v>0</v>
      </c>
      <c r="F5" s="180">
        <f>+'EEFF Apple y cálculo ratios'!F185</f>
        <v>0</v>
      </c>
      <c r="G5" s="180">
        <f>+'EEFF Apple y cálculo ratios'!G185</f>
        <v>0</v>
      </c>
    </row>
    <row r="6" spans="1:7" x14ac:dyDescent="0.25">
      <c r="B6" s="22" t="s">
        <v>3680</v>
      </c>
      <c r="C6" s="180">
        <f>+'EEFF Apple y cálculo ratios'!C186</f>
        <v>12665</v>
      </c>
      <c r="D6" s="180">
        <f>+'EEFF Apple y cálculo ratios'!D186</f>
        <v>-123</v>
      </c>
      <c r="E6" s="180">
        <f>+'EEFF Apple y cálculo ratios'!E186</f>
        <v>-9901</v>
      </c>
      <c r="F6" s="180">
        <f>+'EEFF Apple y cálculo ratios'!F186</f>
        <v>-5998</v>
      </c>
      <c r="G6" s="180">
        <f>+'EEFF Apple y cálculo ratios'!G186</f>
        <v>-8483</v>
      </c>
    </row>
    <row r="7" spans="1:7" x14ac:dyDescent="0.25">
      <c r="B7" s="558" t="s">
        <v>3535</v>
      </c>
      <c r="C7" s="559">
        <f>+SUM(C5:C6)</f>
        <v>12665</v>
      </c>
      <c r="D7" s="559">
        <f t="shared" ref="D7:G7" si="0">+SUM(D5:D6)</f>
        <v>-123</v>
      </c>
      <c r="E7" s="559">
        <f t="shared" si="0"/>
        <v>-9901</v>
      </c>
      <c r="F7" s="559">
        <f t="shared" si="0"/>
        <v>-5998</v>
      </c>
      <c r="G7" s="559">
        <f t="shared" si="0"/>
        <v>-8483</v>
      </c>
    </row>
    <row r="8" spans="1:7" x14ac:dyDescent="0.25">
      <c r="B8" s="22"/>
      <c r="C8" s="180"/>
      <c r="D8" s="180"/>
      <c r="E8" s="180"/>
      <c r="F8" s="180"/>
      <c r="G8" s="180"/>
    </row>
    <row r="9" spans="1:7" x14ac:dyDescent="0.25">
      <c r="B9" s="22" t="s">
        <v>3746</v>
      </c>
      <c r="C9" s="180">
        <f>+'EEFF Apple y cálculo ratios'!C189</f>
        <v>-92527</v>
      </c>
      <c r="D9" s="180">
        <f>+'EEFF Apple y cálculo ratios'!D189</f>
        <v>-95625</v>
      </c>
      <c r="E9" s="180">
        <f>+'EEFF Apple y cálculo ratios'!E189</f>
        <v>-77550</v>
      </c>
      <c r="F9" s="180">
        <f>+'EEFF Apple y cálculo ratios'!F189</f>
        <v>-94949</v>
      </c>
      <c r="G9" s="180">
        <f>+'EEFF Apple y cálculo ratios'!G189</f>
        <v>-90711</v>
      </c>
    </row>
    <row r="10" spans="1:7" x14ac:dyDescent="0.25">
      <c r="B10" s="22" t="s">
        <v>3681</v>
      </c>
      <c r="C10" s="180">
        <f>+'EEFF Apple y cálculo ratios'!C190</f>
        <v>-14467</v>
      </c>
      <c r="D10" s="180">
        <f>+'EEFF Apple y cálculo ratios'!D190</f>
        <v>-14841</v>
      </c>
      <c r="E10" s="180">
        <f>+'EEFF Apple y cálculo ratios'!E190</f>
        <v>-15025</v>
      </c>
      <c r="F10" s="180">
        <f>+'EEFF Apple y cálculo ratios'!F190</f>
        <v>-15234</v>
      </c>
      <c r="G10" s="180">
        <f>+'EEFF Apple y cálculo ratios'!G190</f>
        <v>-15421</v>
      </c>
    </row>
    <row r="11" spans="1:7" x14ac:dyDescent="0.25">
      <c r="B11" s="558" t="s">
        <v>3536</v>
      </c>
      <c r="C11" s="559">
        <f>+SUM(C9:C10)</f>
        <v>-106994</v>
      </c>
      <c r="D11" s="559">
        <f t="shared" ref="D11:G11" si="1">+SUM(D9:D10)</f>
        <v>-110466</v>
      </c>
      <c r="E11" s="559">
        <f t="shared" si="1"/>
        <v>-92575</v>
      </c>
      <c r="F11" s="559">
        <f t="shared" si="1"/>
        <v>-110183</v>
      </c>
      <c r="G11" s="559">
        <f t="shared" si="1"/>
        <v>-106132</v>
      </c>
    </row>
    <row r="12" spans="1:7" x14ac:dyDescent="0.25">
      <c r="B12" s="22"/>
      <c r="C12" s="22"/>
      <c r="D12" s="22"/>
      <c r="E12" s="22"/>
      <c r="F12" s="22"/>
      <c r="G12" s="22"/>
    </row>
    <row r="13" spans="1:7" x14ac:dyDescent="0.25">
      <c r="B13" s="583" t="s">
        <v>2815</v>
      </c>
      <c r="C13" s="584">
        <f>+C7+C11</f>
        <v>-94329</v>
      </c>
      <c r="D13" s="584">
        <f t="shared" ref="D13:F13" si="2">+D7+D11</f>
        <v>-110589</v>
      </c>
      <c r="E13" s="584">
        <f t="shared" si="2"/>
        <v>-102476</v>
      </c>
      <c r="F13" s="584">
        <f t="shared" si="2"/>
        <v>-116181</v>
      </c>
      <c r="G13" s="584">
        <f>+G7+G11</f>
        <v>-114615</v>
      </c>
    </row>
    <row r="14" spans="1:7" x14ac:dyDescent="0.25">
      <c r="B14" s="22"/>
      <c r="C14" s="22"/>
      <c r="D14" s="22"/>
      <c r="E14" s="22"/>
      <c r="F14" s="22"/>
      <c r="G14" s="22"/>
    </row>
    <row r="15" spans="1:7" x14ac:dyDescent="0.25">
      <c r="B15" s="22"/>
      <c r="C15" s="22"/>
      <c r="D15" s="22"/>
      <c r="E15" s="22"/>
      <c r="F15" s="22"/>
      <c r="G15" s="22"/>
    </row>
    <row r="16" spans="1:7" x14ac:dyDescent="0.25">
      <c r="B16" s="22"/>
      <c r="C16" s="22"/>
      <c r="D16" s="22"/>
      <c r="E16" s="22"/>
      <c r="F16" s="22"/>
      <c r="G16" s="22"/>
    </row>
    <row r="17" spans="2:7" x14ac:dyDescent="0.25">
      <c r="B17" s="22" t="s">
        <v>3792</v>
      </c>
      <c r="C17" s="22"/>
      <c r="D17" s="22"/>
      <c r="E17" s="22"/>
      <c r="F17" s="22"/>
      <c r="G17" s="22"/>
    </row>
    <row r="18" spans="2:7" x14ac:dyDescent="0.25">
      <c r="B18" s="890" t="s">
        <v>3457</v>
      </c>
      <c r="C18" s="890">
        <v>2021</v>
      </c>
      <c r="D18" s="890">
        <v>2022</v>
      </c>
      <c r="E18" s="890">
        <v>2023</v>
      </c>
      <c r="F18" s="890">
        <v>2024</v>
      </c>
      <c r="G18" s="890">
        <v>2025</v>
      </c>
    </row>
    <row r="19" spans="2:7" x14ac:dyDescent="0.25">
      <c r="B19" s="22" t="s">
        <v>3679</v>
      </c>
      <c r="C19" s="180"/>
      <c r="D19" s="180"/>
      <c r="E19" s="180">
        <f t="shared" ref="E19:G25" si="3">+E5</f>
        <v>0</v>
      </c>
      <c r="F19" s="180">
        <f t="shared" si="3"/>
        <v>0</v>
      </c>
      <c r="G19" s="180">
        <f t="shared" si="3"/>
        <v>0</v>
      </c>
    </row>
    <row r="20" spans="2:7" x14ac:dyDescent="0.25">
      <c r="B20" s="22" t="s">
        <v>3680</v>
      </c>
      <c r="C20" s="180"/>
      <c r="D20" s="180"/>
      <c r="E20" s="180">
        <f t="shared" si="3"/>
        <v>-9901</v>
      </c>
      <c r="F20" s="180">
        <f t="shared" si="3"/>
        <v>-5998</v>
      </c>
      <c r="G20" s="180">
        <f t="shared" si="3"/>
        <v>-8483</v>
      </c>
    </row>
    <row r="21" spans="2:7" x14ac:dyDescent="0.25">
      <c r="B21" s="558" t="s">
        <v>3535</v>
      </c>
      <c r="C21" s="559"/>
      <c r="D21" s="559"/>
      <c r="E21" s="559">
        <f t="shared" si="3"/>
        <v>-9901</v>
      </c>
      <c r="F21" s="559">
        <f t="shared" si="3"/>
        <v>-5998</v>
      </c>
      <c r="G21" s="559">
        <f t="shared" si="3"/>
        <v>-8483</v>
      </c>
    </row>
    <row r="22" spans="2:7" x14ac:dyDescent="0.25">
      <c r="B22" s="22"/>
      <c r="C22" s="180"/>
      <c r="D22" s="180"/>
      <c r="E22" s="180">
        <f t="shared" si="3"/>
        <v>0</v>
      </c>
      <c r="F22" s="180">
        <f t="shared" si="3"/>
        <v>0</v>
      </c>
      <c r="G22" s="180">
        <f t="shared" si="3"/>
        <v>0</v>
      </c>
    </row>
    <row r="23" spans="2:7" x14ac:dyDescent="0.25">
      <c r="B23" s="22" t="s">
        <v>3746</v>
      </c>
      <c r="C23" s="180"/>
      <c r="D23" s="180"/>
      <c r="E23" s="180">
        <f t="shared" si="3"/>
        <v>-77550</v>
      </c>
      <c r="F23" s="180">
        <f t="shared" si="3"/>
        <v>-94949</v>
      </c>
      <c r="G23" s="180">
        <f t="shared" si="3"/>
        <v>-90711</v>
      </c>
    </row>
    <row r="24" spans="2:7" x14ac:dyDescent="0.25">
      <c r="B24" s="22" t="s">
        <v>3681</v>
      </c>
      <c r="C24" s="180"/>
      <c r="D24" s="180"/>
      <c r="E24" s="180">
        <f t="shared" si="3"/>
        <v>-15025</v>
      </c>
      <c r="F24" s="180">
        <f t="shared" si="3"/>
        <v>-15234</v>
      </c>
      <c r="G24" s="180">
        <f t="shared" si="3"/>
        <v>-15421</v>
      </c>
    </row>
    <row r="25" spans="2:7" x14ac:dyDescent="0.25">
      <c r="B25" s="558" t="s">
        <v>3536</v>
      </c>
      <c r="C25" s="559"/>
      <c r="D25" s="559"/>
      <c r="E25" s="559">
        <f t="shared" si="3"/>
        <v>-92575</v>
      </c>
      <c r="F25" s="559">
        <f t="shared" si="3"/>
        <v>-110183</v>
      </c>
      <c r="G25" s="559">
        <f t="shared" si="3"/>
        <v>-106132</v>
      </c>
    </row>
    <row r="26" spans="2:7" x14ac:dyDescent="0.25">
      <c r="B26" s="22"/>
      <c r="C26" s="22"/>
      <c r="D26" s="22"/>
      <c r="E26" s="22"/>
      <c r="F26" s="22"/>
      <c r="G26" s="22"/>
    </row>
    <row r="27" spans="2:7" x14ac:dyDescent="0.25">
      <c r="B27" s="583" t="s">
        <v>2815</v>
      </c>
      <c r="C27" s="584"/>
      <c r="D27" s="584"/>
      <c r="E27" s="584">
        <f>+E13</f>
        <v>-102476</v>
      </c>
      <c r="F27" s="584">
        <f>+F13</f>
        <v>-116181</v>
      </c>
      <c r="G27" s="584">
        <f>+G13</f>
        <v>-114615</v>
      </c>
    </row>
  </sheetData>
  <hyperlinks>
    <hyperlink ref="A1" location="Inicio!A1" display="Inicio" xr:uid="{0D5A3723-C086-487E-A918-CDA3581E66C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8B834-9720-3041-8DB1-CAD692E4B7D5}">
  <sheetPr>
    <tabColor theme="5" tint="0.79998168889431442"/>
  </sheetPr>
  <dimension ref="A1:G16"/>
  <sheetViews>
    <sheetView showGridLines="0" topLeftCell="C1" zoomScaleNormal="150" zoomScaleSheetLayoutView="100" workbookViewId="0"/>
  </sheetViews>
  <sheetFormatPr defaultRowHeight="15" x14ac:dyDescent="0.25"/>
  <cols>
    <col min="3" max="3" width="30.85546875" customWidth="1"/>
    <col min="4" max="4" width="13.7109375" customWidth="1"/>
  </cols>
  <sheetData>
    <row r="1" spans="1:7" x14ac:dyDescent="0.25">
      <c r="A1" s="879" t="s">
        <v>2821</v>
      </c>
    </row>
    <row r="3" spans="1:7" ht="15.75" thickBot="1" x14ac:dyDescent="0.3">
      <c r="C3" t="s">
        <v>3797</v>
      </c>
      <c r="G3" t="s">
        <v>3798</v>
      </c>
    </row>
    <row r="4" spans="1:7" ht="16.5" thickBot="1" x14ac:dyDescent="0.3">
      <c r="C4" s="976" t="s">
        <v>3236</v>
      </c>
      <c r="D4" s="977"/>
    </row>
    <row r="5" spans="1:7" ht="15.75" x14ac:dyDescent="0.25">
      <c r="C5" s="585" t="s">
        <v>3227</v>
      </c>
      <c r="D5" s="586">
        <v>20000</v>
      </c>
    </row>
    <row r="6" spans="1:7" ht="15.75" x14ac:dyDescent="0.25">
      <c r="C6" s="585" t="s">
        <v>3228</v>
      </c>
      <c r="D6" s="586">
        <f>40000*5</f>
        <v>200000</v>
      </c>
    </row>
    <row r="7" spans="1:7" ht="15.75" x14ac:dyDescent="0.25">
      <c r="C7" s="585" t="s">
        <v>3229</v>
      </c>
      <c r="D7" s="586">
        <f>2000*12*5*-1</f>
        <v>-120000</v>
      </c>
    </row>
    <row r="8" spans="1:7" ht="15.75" x14ac:dyDescent="0.25">
      <c r="C8" s="585" t="s">
        <v>3230</v>
      </c>
      <c r="D8" s="586">
        <f>-1000*12*5</f>
        <v>-60000</v>
      </c>
    </row>
    <row r="9" spans="1:7" ht="15.75" x14ac:dyDescent="0.25">
      <c r="C9" s="585" t="s">
        <v>3231</v>
      </c>
      <c r="D9" s="586">
        <f>-7000*5</f>
        <v>-35000</v>
      </c>
    </row>
    <row r="10" spans="1:7" ht="15.75" x14ac:dyDescent="0.25">
      <c r="C10" s="585" t="s">
        <v>3232</v>
      </c>
      <c r="D10" s="586">
        <f>-250*12*5</f>
        <v>-15000</v>
      </c>
    </row>
    <row r="11" spans="1:7" ht="15.75" x14ac:dyDescent="0.25">
      <c r="C11" s="585" t="s">
        <v>3233</v>
      </c>
      <c r="D11" s="586">
        <f>400*12*5*-1</f>
        <v>-24000</v>
      </c>
    </row>
    <row r="12" spans="1:7" ht="16.5" thickBot="1" x14ac:dyDescent="0.3">
      <c r="C12" s="587" t="s">
        <v>3234</v>
      </c>
      <c r="D12" s="588">
        <v>70000</v>
      </c>
    </row>
    <row r="13" spans="1:7" ht="16.5" thickBot="1" x14ac:dyDescent="0.3">
      <c r="C13" s="589" t="s">
        <v>3235</v>
      </c>
      <c r="D13" s="590">
        <f>+SUM(D5:D12)</f>
        <v>36000</v>
      </c>
      <c r="F13" s="256"/>
    </row>
    <row r="14" spans="1:7" ht="15.75" x14ac:dyDescent="0.25">
      <c r="C14" s="100"/>
    </row>
    <row r="16" spans="1:7" ht="15.75" x14ac:dyDescent="0.25">
      <c r="C16" s="256"/>
      <c r="E16" s="256"/>
    </row>
  </sheetData>
  <mergeCells count="1">
    <mergeCell ref="C4:D4"/>
  </mergeCells>
  <hyperlinks>
    <hyperlink ref="A1" location="Inicio!A1" display="Inicio" xr:uid="{DE8432BF-972C-49A0-9031-48784A214C3C}"/>
  </hyperlink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E945C-3002-4B60-9386-8F4D009802D4}">
  <sheetPr>
    <tabColor theme="5" tint="0.79998168889431442"/>
  </sheetPr>
  <dimension ref="A1:E25"/>
  <sheetViews>
    <sheetView showGridLines="0" workbookViewId="0"/>
  </sheetViews>
  <sheetFormatPr defaultRowHeight="15" x14ac:dyDescent="0.25"/>
  <cols>
    <col min="2" max="2" width="59.28515625" customWidth="1"/>
    <col min="3" max="3" width="29.7109375" customWidth="1"/>
  </cols>
  <sheetData>
    <row r="1" spans="1:5" x14ac:dyDescent="0.25">
      <c r="A1" s="879" t="s">
        <v>2821</v>
      </c>
    </row>
    <row r="2" spans="1:5" x14ac:dyDescent="0.25">
      <c r="B2" t="s">
        <v>3799</v>
      </c>
      <c r="E2" t="s">
        <v>3801</v>
      </c>
    </row>
    <row r="3" spans="1:5" ht="15.75" x14ac:dyDescent="0.25">
      <c r="B3" s="978" t="s">
        <v>3545</v>
      </c>
      <c r="C3" s="979"/>
    </row>
    <row r="4" spans="1:5" ht="15.75" x14ac:dyDescent="0.25">
      <c r="B4" s="593" t="s">
        <v>3537</v>
      </c>
      <c r="C4" s="594">
        <f>+'Capital Allocation Apple'!C87</f>
        <v>206060</v>
      </c>
    </row>
    <row r="5" spans="1:5" ht="15.75" x14ac:dyDescent="0.25">
      <c r="B5" s="591" t="s">
        <v>3538</v>
      </c>
      <c r="C5" s="592">
        <f>+'Capital Allocation Apple'!C88</f>
        <v>924423</v>
      </c>
    </row>
    <row r="6" spans="1:5" ht="15.75" x14ac:dyDescent="0.25">
      <c r="B6" s="591" t="s">
        <v>3539</v>
      </c>
      <c r="C6" s="592">
        <f>+'Capital Allocation Apple'!C89</f>
        <v>-114711</v>
      </c>
    </row>
    <row r="7" spans="1:5" ht="15.75" x14ac:dyDescent="0.25">
      <c r="B7" s="591" t="s">
        <v>3540</v>
      </c>
      <c r="C7" s="592">
        <f>+'Capital Allocation Apple'!C90</f>
        <v>75273</v>
      </c>
    </row>
    <row r="8" spans="1:5" ht="15.75" x14ac:dyDescent="0.25">
      <c r="B8" s="591" t="s">
        <v>3540</v>
      </c>
      <c r="C8" s="592">
        <f>+'Capital Allocation Apple'!C91</f>
        <v>-75273</v>
      </c>
    </row>
    <row r="9" spans="1:5" ht="15.75" x14ac:dyDescent="0.25">
      <c r="B9" s="591" t="s">
        <v>3541</v>
      </c>
      <c r="C9" s="592">
        <f>+'Capital Allocation Apple'!C92</f>
        <v>34343</v>
      </c>
    </row>
    <row r="10" spans="1:5" ht="15.75" x14ac:dyDescent="0.25">
      <c r="B10" s="591" t="s">
        <v>3542</v>
      </c>
      <c r="C10" s="592">
        <f>+'Capital Allocation Apple'!C93</f>
        <v>-755231</v>
      </c>
    </row>
    <row r="11" spans="1:5" ht="15.75" x14ac:dyDescent="0.25">
      <c r="B11" s="591" t="s">
        <v>3543</v>
      </c>
      <c r="C11" s="592">
        <f>+'Capital Allocation Apple'!C94</f>
        <v>-141819</v>
      </c>
    </row>
    <row r="12" spans="1:5" ht="15.75" x14ac:dyDescent="0.25">
      <c r="B12" s="595" t="s">
        <v>3544</v>
      </c>
      <c r="C12" s="596">
        <f>+SUM(C4:C11)</f>
        <v>153065</v>
      </c>
    </row>
    <row r="13" spans="1:5" ht="15.75" x14ac:dyDescent="0.25">
      <c r="B13" s="335"/>
      <c r="C13" s="103"/>
    </row>
    <row r="14" spans="1:5" x14ac:dyDescent="0.25">
      <c r="B14" t="s">
        <v>3800</v>
      </c>
    </row>
    <row r="15" spans="1:5" ht="15.75" x14ac:dyDescent="0.25">
      <c r="B15" s="978" t="s">
        <v>3545</v>
      </c>
      <c r="C15" s="979"/>
    </row>
    <row r="16" spans="1:5" ht="15.75" x14ac:dyDescent="0.25">
      <c r="B16" s="593" t="s">
        <v>3537</v>
      </c>
      <c r="C16" s="594">
        <f>+C4</f>
        <v>206060</v>
      </c>
    </row>
    <row r="17" spans="2:3" ht="15.75" x14ac:dyDescent="0.25">
      <c r="B17" s="591" t="s">
        <v>3538</v>
      </c>
      <c r="C17" s="592">
        <f>+C5-C19</f>
        <v>1139254</v>
      </c>
    </row>
    <row r="18" spans="2:3" ht="15.75" x14ac:dyDescent="0.25">
      <c r="B18" s="591" t="s">
        <v>3539</v>
      </c>
      <c r="C18" s="592">
        <f>+C6</f>
        <v>-114711</v>
      </c>
    </row>
    <row r="19" spans="2:3" ht="15.75" x14ac:dyDescent="0.25">
      <c r="B19" s="591" t="s">
        <v>3546</v>
      </c>
      <c r="C19" s="592">
        <f>+'Capital Allocation Apple'!C101</f>
        <v>-214831</v>
      </c>
    </row>
    <row r="20" spans="2:3" ht="15.75" x14ac:dyDescent="0.25">
      <c r="B20" s="591" t="s">
        <v>3540</v>
      </c>
      <c r="C20" s="592">
        <f>+C7</f>
        <v>75273</v>
      </c>
    </row>
    <row r="21" spans="2:3" ht="15.75" x14ac:dyDescent="0.25">
      <c r="B21" s="591" t="s">
        <v>3540</v>
      </c>
      <c r="C21" s="592">
        <f>-C20</f>
        <v>-75273</v>
      </c>
    </row>
    <row r="22" spans="2:3" ht="15.75" x14ac:dyDescent="0.25">
      <c r="B22" s="591" t="s">
        <v>3541</v>
      </c>
      <c r="C22" s="592">
        <f>+C9</f>
        <v>34343</v>
      </c>
    </row>
    <row r="23" spans="2:3" ht="15.75" x14ac:dyDescent="0.25">
      <c r="B23" s="591" t="s">
        <v>3542</v>
      </c>
      <c r="C23" s="592">
        <f>+C10</f>
        <v>-755231</v>
      </c>
    </row>
    <row r="24" spans="2:3" ht="15.75" x14ac:dyDescent="0.25">
      <c r="B24" s="591" t="s">
        <v>3543</v>
      </c>
      <c r="C24" s="592">
        <f>+C11</f>
        <v>-141819</v>
      </c>
    </row>
    <row r="25" spans="2:3" ht="15.75" x14ac:dyDescent="0.25">
      <c r="B25" s="595" t="s">
        <v>3544</v>
      </c>
      <c r="C25" s="596">
        <f>+SUM(C16:C24)</f>
        <v>153065</v>
      </c>
    </row>
  </sheetData>
  <mergeCells count="2">
    <mergeCell ref="B3:C3"/>
    <mergeCell ref="B15:C15"/>
  </mergeCells>
  <hyperlinks>
    <hyperlink ref="A1" location="Inicio!A1" display="Inicio" xr:uid="{4163A175-CBD6-48EA-9C32-F9A2A3867ABF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E5336-524A-41A4-A892-FB25B94E4AC9}">
  <sheetPr>
    <tabColor theme="5" tint="0.79998168889431442"/>
  </sheetPr>
  <dimension ref="A1:L34"/>
  <sheetViews>
    <sheetView showGridLines="0" zoomScale="80" zoomScaleNormal="80" workbookViewId="0"/>
  </sheetViews>
  <sheetFormatPr defaultRowHeight="15" x14ac:dyDescent="0.25"/>
  <cols>
    <col min="3" max="3" width="4.5703125" bestFit="1" customWidth="1"/>
    <col min="4" max="4" width="19.28515625" bestFit="1" customWidth="1"/>
    <col min="5" max="5" width="28.7109375" customWidth="1"/>
    <col min="6" max="6" width="22.7109375" bestFit="1" customWidth="1"/>
    <col min="7" max="7" width="23.7109375" bestFit="1" customWidth="1"/>
    <col min="8" max="8" width="46.28515625" bestFit="1" customWidth="1"/>
    <col min="9" max="10" width="36.28515625" bestFit="1" customWidth="1"/>
    <col min="11" max="12" width="35.42578125" bestFit="1" customWidth="1"/>
    <col min="13" max="13" width="12.85546875" bestFit="1" customWidth="1"/>
  </cols>
  <sheetData>
    <row r="1" spans="1:11" x14ac:dyDescent="0.25">
      <c r="A1" s="879" t="s">
        <v>2821</v>
      </c>
    </row>
    <row r="3" spans="1:11" x14ac:dyDescent="0.25">
      <c r="D3" t="s">
        <v>3804</v>
      </c>
    </row>
    <row r="4" spans="1:11" ht="15.75" thickBot="1" x14ac:dyDescent="0.3"/>
    <row r="5" spans="1:11" ht="16.5" thickBot="1" x14ac:dyDescent="0.3">
      <c r="D5" s="980" t="s">
        <v>3553</v>
      </c>
      <c r="E5" s="981"/>
    </row>
    <row r="6" spans="1:11" ht="15.75" x14ac:dyDescent="0.25">
      <c r="C6" s="598"/>
      <c r="D6" s="605" t="s">
        <v>3547</v>
      </c>
      <c r="E6" s="605" t="s">
        <v>3552</v>
      </c>
      <c r="F6" s="605" t="s">
        <v>3550</v>
      </c>
      <c r="G6" s="605" t="s">
        <v>3551</v>
      </c>
      <c r="H6" s="605" t="s">
        <v>3673</v>
      </c>
      <c r="I6" s="605" t="s">
        <v>3674</v>
      </c>
      <c r="J6" s="606" t="s">
        <v>3671</v>
      </c>
      <c r="K6" s="606" t="s">
        <v>3672</v>
      </c>
    </row>
    <row r="7" spans="1:11" ht="15.75" x14ac:dyDescent="0.25">
      <c r="C7" s="607">
        <v>0</v>
      </c>
      <c r="D7" s="599">
        <f>2000000</f>
        <v>2000000</v>
      </c>
      <c r="E7" s="599">
        <f>+D7*1.25</f>
        <v>2500000</v>
      </c>
      <c r="F7" s="600">
        <v>0.08</v>
      </c>
      <c r="G7" s="600">
        <v>0.04</v>
      </c>
      <c r="H7" s="599">
        <f t="shared" ref="H7:H17" si="0">+D7*G7</f>
        <v>80000</v>
      </c>
      <c r="I7" s="599">
        <f>+H7/2</f>
        <v>40000</v>
      </c>
      <c r="J7" s="602">
        <f t="shared" ref="J7:J17" si="1">+E7</f>
        <v>2500000</v>
      </c>
      <c r="K7" s="602">
        <f t="shared" ref="K7:K17" si="2">+E7/2</f>
        <v>1250000</v>
      </c>
    </row>
    <row r="8" spans="1:11" ht="15.75" x14ac:dyDescent="0.25">
      <c r="C8" s="607">
        <v>1</v>
      </c>
      <c r="D8" s="599">
        <f>+D7*(1+F7)</f>
        <v>2160000</v>
      </c>
      <c r="E8" s="599">
        <f t="shared" ref="E8:E17" si="3">+D8*1.25</f>
        <v>2700000</v>
      </c>
      <c r="F8" s="600">
        <v>0.08</v>
      </c>
      <c r="G8" s="600">
        <v>0.04</v>
      </c>
      <c r="H8" s="599">
        <f t="shared" si="0"/>
        <v>86400</v>
      </c>
      <c r="I8" s="599">
        <f t="shared" ref="I8:I17" si="4">+H8/2</f>
        <v>43200</v>
      </c>
      <c r="J8" s="602">
        <f t="shared" si="1"/>
        <v>2700000</v>
      </c>
      <c r="K8" s="602">
        <f t="shared" si="2"/>
        <v>1350000</v>
      </c>
    </row>
    <row r="9" spans="1:11" ht="15.75" x14ac:dyDescent="0.25">
      <c r="C9" s="607">
        <v>2</v>
      </c>
      <c r="D9" s="599">
        <f t="shared" ref="D9:D17" si="5">+D8*(1+F8)</f>
        <v>2332800</v>
      </c>
      <c r="E9" s="599">
        <f t="shared" si="3"/>
        <v>2916000</v>
      </c>
      <c r="F9" s="600">
        <v>0.08</v>
      </c>
      <c r="G9" s="600">
        <v>0.04</v>
      </c>
      <c r="H9" s="599">
        <f t="shared" si="0"/>
        <v>93312</v>
      </c>
      <c r="I9" s="599">
        <f t="shared" si="4"/>
        <v>46656</v>
      </c>
      <c r="J9" s="602">
        <f t="shared" si="1"/>
        <v>2916000</v>
      </c>
      <c r="K9" s="602">
        <f t="shared" si="2"/>
        <v>1458000</v>
      </c>
    </row>
    <row r="10" spans="1:11" ht="15.75" x14ac:dyDescent="0.25">
      <c r="C10" s="607">
        <v>3</v>
      </c>
      <c r="D10" s="599">
        <f t="shared" si="5"/>
        <v>2519424</v>
      </c>
      <c r="E10" s="599">
        <f t="shared" si="3"/>
        <v>3149280</v>
      </c>
      <c r="F10" s="600">
        <v>0.08</v>
      </c>
      <c r="G10" s="600">
        <v>0.04</v>
      </c>
      <c r="H10" s="599">
        <f t="shared" si="0"/>
        <v>100776.96000000001</v>
      </c>
      <c r="I10" s="599">
        <f t="shared" si="4"/>
        <v>50388.480000000003</v>
      </c>
      <c r="J10" s="602">
        <f t="shared" si="1"/>
        <v>3149280</v>
      </c>
      <c r="K10" s="602">
        <f t="shared" si="2"/>
        <v>1574640</v>
      </c>
    </row>
    <row r="11" spans="1:11" ht="15.75" x14ac:dyDescent="0.25">
      <c r="C11" s="607">
        <v>4</v>
      </c>
      <c r="D11" s="599">
        <f t="shared" si="5"/>
        <v>2720977.9200000004</v>
      </c>
      <c r="E11" s="599">
        <f t="shared" si="3"/>
        <v>3401222.4000000004</v>
      </c>
      <c r="F11" s="600">
        <v>0.08</v>
      </c>
      <c r="G11" s="600">
        <v>0.04</v>
      </c>
      <c r="H11" s="599">
        <f t="shared" si="0"/>
        <v>108839.11680000002</v>
      </c>
      <c r="I11" s="599">
        <f t="shared" si="4"/>
        <v>54419.558400000009</v>
      </c>
      <c r="J11" s="602">
        <f t="shared" si="1"/>
        <v>3401222.4000000004</v>
      </c>
      <c r="K11" s="602">
        <f t="shared" si="2"/>
        <v>1700611.2000000002</v>
      </c>
    </row>
    <row r="12" spans="1:11" ht="15.75" x14ac:dyDescent="0.25">
      <c r="C12" s="607">
        <v>5</v>
      </c>
      <c r="D12" s="599">
        <f t="shared" si="5"/>
        <v>2938656.1536000008</v>
      </c>
      <c r="E12" s="599">
        <f t="shared" si="3"/>
        <v>3673320.1920000007</v>
      </c>
      <c r="F12" s="600">
        <v>0.08</v>
      </c>
      <c r="G12" s="600">
        <v>0.04</v>
      </c>
      <c r="H12" s="599">
        <f t="shared" si="0"/>
        <v>117546.24614400003</v>
      </c>
      <c r="I12" s="599">
        <f t="shared" si="4"/>
        <v>58773.123072000017</v>
      </c>
      <c r="J12" s="602">
        <f t="shared" si="1"/>
        <v>3673320.1920000007</v>
      </c>
      <c r="K12" s="602">
        <f t="shared" si="2"/>
        <v>1836660.0960000004</v>
      </c>
    </row>
    <row r="13" spans="1:11" ht="15.75" x14ac:dyDescent="0.25">
      <c r="C13" s="607">
        <v>6</v>
      </c>
      <c r="D13" s="599">
        <f t="shared" si="5"/>
        <v>3173748.6458880012</v>
      </c>
      <c r="E13" s="599">
        <f t="shared" si="3"/>
        <v>3967185.8073600014</v>
      </c>
      <c r="F13" s="600">
        <v>0.08</v>
      </c>
      <c r="G13" s="600">
        <v>0.04</v>
      </c>
      <c r="H13" s="599">
        <f t="shared" si="0"/>
        <v>126949.94583552005</v>
      </c>
      <c r="I13" s="599">
        <f t="shared" si="4"/>
        <v>63474.972917760024</v>
      </c>
      <c r="J13" s="602">
        <f t="shared" si="1"/>
        <v>3967185.8073600014</v>
      </c>
      <c r="K13" s="602">
        <f t="shared" si="2"/>
        <v>1983592.9036800007</v>
      </c>
    </row>
    <row r="14" spans="1:11" ht="15.75" x14ac:dyDescent="0.25">
      <c r="C14" s="607">
        <v>7</v>
      </c>
      <c r="D14" s="599">
        <f t="shared" si="5"/>
        <v>3427648.5375590413</v>
      </c>
      <c r="E14" s="599">
        <f t="shared" si="3"/>
        <v>4284560.6719488017</v>
      </c>
      <c r="F14" s="600">
        <v>0.08</v>
      </c>
      <c r="G14" s="600">
        <v>0.04</v>
      </c>
      <c r="H14" s="599">
        <f t="shared" si="0"/>
        <v>137105.94150236165</v>
      </c>
      <c r="I14" s="599">
        <f t="shared" si="4"/>
        <v>68552.970751180823</v>
      </c>
      <c r="J14" s="602">
        <f t="shared" si="1"/>
        <v>4284560.6719488017</v>
      </c>
      <c r="K14" s="602">
        <f t="shared" si="2"/>
        <v>2142280.3359744009</v>
      </c>
    </row>
    <row r="15" spans="1:11" ht="15.75" x14ac:dyDescent="0.25">
      <c r="C15" s="607">
        <v>8</v>
      </c>
      <c r="D15" s="599">
        <f t="shared" si="5"/>
        <v>3701860.4205637649</v>
      </c>
      <c r="E15" s="599">
        <f t="shared" si="3"/>
        <v>4627325.5257047061</v>
      </c>
      <c r="F15" s="600">
        <v>0.08</v>
      </c>
      <c r="G15" s="600">
        <v>0.04</v>
      </c>
      <c r="H15" s="599">
        <f t="shared" si="0"/>
        <v>148074.41682255059</v>
      </c>
      <c r="I15" s="599">
        <f t="shared" si="4"/>
        <v>74037.208411275293</v>
      </c>
      <c r="J15" s="602">
        <f t="shared" si="1"/>
        <v>4627325.5257047061</v>
      </c>
      <c r="K15" s="602">
        <f t="shared" si="2"/>
        <v>2313662.762852353</v>
      </c>
    </row>
    <row r="16" spans="1:11" ht="15.75" x14ac:dyDescent="0.25">
      <c r="C16" s="607">
        <v>9</v>
      </c>
      <c r="D16" s="599">
        <f t="shared" si="5"/>
        <v>3998009.2542088665</v>
      </c>
      <c r="E16" s="599">
        <f t="shared" si="3"/>
        <v>4997511.5677610831</v>
      </c>
      <c r="F16" s="600">
        <v>0.08</v>
      </c>
      <c r="G16" s="600">
        <v>0.04</v>
      </c>
      <c r="H16" s="599">
        <f t="shared" si="0"/>
        <v>159920.37016835465</v>
      </c>
      <c r="I16" s="599">
        <f t="shared" si="4"/>
        <v>79960.185084177327</v>
      </c>
      <c r="J16" s="602">
        <f t="shared" si="1"/>
        <v>4997511.5677610831</v>
      </c>
      <c r="K16" s="602">
        <f t="shared" si="2"/>
        <v>2498755.7838805416</v>
      </c>
    </row>
    <row r="17" spans="3:12" ht="16.5" thickBot="1" x14ac:dyDescent="0.3">
      <c r="C17" s="608">
        <v>10</v>
      </c>
      <c r="D17" s="603">
        <f t="shared" si="5"/>
        <v>4317849.9945455762</v>
      </c>
      <c r="E17" s="603">
        <f t="shared" si="3"/>
        <v>5397312.49318197</v>
      </c>
      <c r="F17" s="604">
        <v>0.08</v>
      </c>
      <c r="G17" s="604">
        <v>0.04</v>
      </c>
      <c r="H17" s="603">
        <f t="shared" si="0"/>
        <v>172713.99978182305</v>
      </c>
      <c r="I17" s="851">
        <f t="shared" si="4"/>
        <v>86356.999890911524</v>
      </c>
      <c r="J17" s="848">
        <f t="shared" si="1"/>
        <v>5397312.49318197</v>
      </c>
      <c r="K17" s="852">
        <f t="shared" si="2"/>
        <v>2698656.246590985</v>
      </c>
    </row>
    <row r="18" spans="3:12" ht="15.75" x14ac:dyDescent="0.25">
      <c r="C18" s="443"/>
      <c r="D18" s="100"/>
      <c r="E18" s="100"/>
      <c r="F18" s="597"/>
      <c r="G18" s="597"/>
      <c r="H18" s="103"/>
      <c r="I18" s="100"/>
      <c r="J18" s="100"/>
      <c r="K18" s="103"/>
    </row>
    <row r="19" spans="3:12" ht="16.5" thickBot="1" x14ac:dyDescent="0.3">
      <c r="G19" s="103"/>
      <c r="H19" s="103"/>
      <c r="I19" s="103"/>
      <c r="J19" s="849"/>
      <c r="K19" s="103"/>
      <c r="L19" s="103"/>
    </row>
    <row r="20" spans="3:12" ht="16.5" thickBot="1" x14ac:dyDescent="0.3">
      <c r="D20" s="980" t="s">
        <v>3554</v>
      </c>
      <c r="E20" s="981"/>
    </row>
    <row r="21" spans="3:12" ht="15.75" x14ac:dyDescent="0.25">
      <c r="C21" s="598"/>
      <c r="D21" s="605" t="s">
        <v>3547</v>
      </c>
      <c r="E21" s="605" t="s">
        <v>3552</v>
      </c>
      <c r="F21" s="605" t="s">
        <v>3550</v>
      </c>
      <c r="G21" s="605" t="s">
        <v>3555</v>
      </c>
      <c r="H21" s="605" t="s">
        <v>3676</v>
      </c>
      <c r="I21" s="605" t="s">
        <v>3675</v>
      </c>
      <c r="J21" s="606" t="s">
        <v>3677</v>
      </c>
    </row>
    <row r="22" spans="3:12" ht="15.75" x14ac:dyDescent="0.25">
      <c r="C22" s="607">
        <v>0</v>
      </c>
      <c r="D22" s="599">
        <f>2000000</f>
        <v>2000000</v>
      </c>
      <c r="E22" s="599">
        <f>+D22*1.25</f>
        <v>2500000</v>
      </c>
      <c r="F22" s="600">
        <v>0.12</v>
      </c>
      <c r="G22" s="600">
        <v>3.2000000000000001E-2</v>
      </c>
      <c r="H22" s="599">
        <f>+E22*G22*50%</f>
        <v>40000</v>
      </c>
      <c r="I22" s="601"/>
      <c r="J22" s="602">
        <f t="shared" ref="J22:J32" si="6">+E22*I22</f>
        <v>0</v>
      </c>
    </row>
    <row r="23" spans="3:12" ht="15.75" x14ac:dyDescent="0.25">
      <c r="C23" s="607">
        <v>1</v>
      </c>
      <c r="D23" s="599">
        <f t="shared" ref="D23:D32" si="7">+D22*(1+F22)</f>
        <v>2240000</v>
      </c>
      <c r="E23" s="599">
        <f t="shared" ref="E23:E32" si="8">+D23*1.25</f>
        <v>2800000</v>
      </c>
      <c r="F23" s="600">
        <v>0.12</v>
      </c>
      <c r="G23" s="600">
        <v>3.2000000000000001E-2</v>
      </c>
      <c r="H23" s="599">
        <f t="shared" ref="H23:H32" si="9">+G23*I23*E23</f>
        <v>43366.400000000001</v>
      </c>
      <c r="I23" s="623">
        <f>50%*(1-0.032)</f>
        <v>0.48399999999999999</v>
      </c>
      <c r="J23" s="602">
        <f t="shared" si="6"/>
        <v>1355200</v>
      </c>
    </row>
    <row r="24" spans="3:12" ht="15.75" x14ac:dyDescent="0.25">
      <c r="C24" s="607">
        <v>2</v>
      </c>
      <c r="D24" s="599">
        <f t="shared" si="7"/>
        <v>2508800.0000000005</v>
      </c>
      <c r="E24" s="599">
        <f t="shared" si="8"/>
        <v>3136000.0000000005</v>
      </c>
      <c r="F24" s="600">
        <v>0.12</v>
      </c>
      <c r="G24" s="600">
        <v>3.2000000000000001E-2</v>
      </c>
      <c r="H24" s="599">
        <f t="shared" si="9"/>
        <v>47016.116224000005</v>
      </c>
      <c r="I24" s="623">
        <f t="shared" ref="I24:I32" si="10">+I23*(1-0.032)</f>
        <v>0.46851199999999998</v>
      </c>
      <c r="J24" s="602">
        <f t="shared" si="6"/>
        <v>1469253.6320000002</v>
      </c>
    </row>
    <row r="25" spans="3:12" ht="15.75" x14ac:dyDescent="0.25">
      <c r="C25" s="607">
        <v>3</v>
      </c>
      <c r="D25" s="599">
        <f t="shared" si="7"/>
        <v>2809856.0000000009</v>
      </c>
      <c r="E25" s="599">
        <f t="shared" si="8"/>
        <v>3512320.0000000009</v>
      </c>
      <c r="F25" s="600">
        <v>0.12</v>
      </c>
      <c r="G25" s="600">
        <v>3.2000000000000001E-2</v>
      </c>
      <c r="H25" s="599">
        <f t="shared" si="9"/>
        <v>50972.992565411849</v>
      </c>
      <c r="I25" s="623">
        <f t="shared" si="10"/>
        <v>0.45351961599999996</v>
      </c>
      <c r="J25" s="602">
        <f t="shared" si="6"/>
        <v>1592906.0176691203</v>
      </c>
    </row>
    <row r="26" spans="3:12" ht="15.75" x14ac:dyDescent="0.25">
      <c r="C26" s="607">
        <v>4</v>
      </c>
      <c r="D26" s="599">
        <f t="shared" si="7"/>
        <v>3147038.7200000011</v>
      </c>
      <c r="E26" s="599">
        <f t="shared" si="8"/>
        <v>3933798.4000000013</v>
      </c>
      <c r="F26" s="600">
        <v>0.12</v>
      </c>
      <c r="G26" s="600">
        <v>3.2000000000000001E-2</v>
      </c>
      <c r="H26" s="599">
        <f t="shared" si="9"/>
        <v>55262.879619716914</v>
      </c>
      <c r="I26" s="623">
        <f t="shared" si="10"/>
        <v>0.43900698828799994</v>
      </c>
      <c r="J26" s="602">
        <f t="shared" si="6"/>
        <v>1726964.9881161535</v>
      </c>
    </row>
    <row r="27" spans="3:12" ht="15.75" x14ac:dyDescent="0.25">
      <c r="C27" s="607">
        <v>5</v>
      </c>
      <c r="D27" s="599">
        <f t="shared" si="7"/>
        <v>3524683.3664000016</v>
      </c>
      <c r="E27" s="599">
        <f t="shared" si="8"/>
        <v>4405854.2080000024</v>
      </c>
      <c r="F27" s="600">
        <v>0.12</v>
      </c>
      <c r="G27" s="600">
        <v>3.2000000000000001E-2</v>
      </c>
      <c r="H27" s="599">
        <f t="shared" si="9"/>
        <v>59913.803568512303</v>
      </c>
      <c r="I27" s="623">
        <f>+I26*(1-0.032)</f>
        <v>0.42495876466278393</v>
      </c>
      <c r="J27" s="602">
        <f t="shared" si="6"/>
        <v>1872306.3615160093</v>
      </c>
    </row>
    <row r="28" spans="3:12" ht="15.75" x14ac:dyDescent="0.25">
      <c r="C28" s="607">
        <v>6</v>
      </c>
      <c r="D28" s="599">
        <f t="shared" si="7"/>
        <v>3947645.370368002</v>
      </c>
      <c r="E28" s="599">
        <f t="shared" si="8"/>
        <v>4934556.7129600029</v>
      </c>
      <c r="F28" s="600">
        <v>0.12</v>
      </c>
      <c r="G28" s="600">
        <v>3.2000000000000001E-2</v>
      </c>
      <c r="H28" s="599">
        <f t="shared" si="9"/>
        <v>64956.149276838296</v>
      </c>
      <c r="I28" s="623">
        <f t="shared" si="10"/>
        <v>0.41136008419357484</v>
      </c>
      <c r="J28" s="602">
        <f t="shared" si="6"/>
        <v>2029879.6649011967</v>
      </c>
    </row>
    <row r="29" spans="3:12" ht="15.75" x14ac:dyDescent="0.25">
      <c r="C29" s="607">
        <v>7</v>
      </c>
      <c r="D29" s="599">
        <f t="shared" si="7"/>
        <v>4421362.8148121629</v>
      </c>
      <c r="E29" s="599">
        <f t="shared" si="8"/>
        <v>5526703.5185152031</v>
      </c>
      <c r="F29" s="600">
        <v>0.12</v>
      </c>
      <c r="G29" s="600">
        <v>3.2000000000000001E-2</v>
      </c>
      <c r="H29" s="599">
        <f t="shared" si="9"/>
        <v>70422.858799976995</v>
      </c>
      <c r="I29" s="623">
        <f t="shared" si="10"/>
        <v>0.39819656149938043</v>
      </c>
      <c r="J29" s="602">
        <f t="shared" si="6"/>
        <v>2200714.3374992814</v>
      </c>
    </row>
    <row r="30" spans="3:12" ht="15.75" x14ac:dyDescent="0.25">
      <c r="C30" s="607">
        <v>8</v>
      </c>
      <c r="D30" s="599">
        <f t="shared" si="7"/>
        <v>4951926.3525896231</v>
      </c>
      <c r="E30" s="599">
        <f t="shared" si="8"/>
        <v>6189907.9407370286</v>
      </c>
      <c r="F30" s="600">
        <v>0.12</v>
      </c>
      <c r="G30" s="600">
        <v>3.2000000000000001E-2</v>
      </c>
      <c r="H30" s="599">
        <f t="shared" si="9"/>
        <v>76349.646596583072</v>
      </c>
      <c r="I30" s="623">
        <f t="shared" si="10"/>
        <v>0.38545427153140027</v>
      </c>
      <c r="J30" s="602">
        <f t="shared" si="6"/>
        <v>2385926.4561432214</v>
      </c>
    </row>
    <row r="31" spans="3:12" ht="15.75" x14ac:dyDescent="0.25">
      <c r="C31" s="607">
        <v>9</v>
      </c>
      <c r="D31" s="599">
        <f t="shared" si="7"/>
        <v>5546157.514900378</v>
      </c>
      <c r="E31" s="599">
        <f t="shared" si="8"/>
        <v>6932696.8936254727</v>
      </c>
      <c r="F31" s="600">
        <v>0.12</v>
      </c>
      <c r="G31" s="600">
        <v>3.2000000000000001E-2</v>
      </c>
      <c r="H31" s="599">
        <f t="shared" si="9"/>
        <v>82775.232854151531</v>
      </c>
      <c r="I31" s="623">
        <f t="shared" si="10"/>
        <v>0.37311973484239547</v>
      </c>
      <c r="J31" s="602">
        <f t="shared" si="6"/>
        <v>2586726.0266922349</v>
      </c>
    </row>
    <row r="32" spans="3:12" ht="16.5" thickBot="1" x14ac:dyDescent="0.3">
      <c r="C32" s="608">
        <v>10</v>
      </c>
      <c r="D32" s="603">
        <f t="shared" si="7"/>
        <v>6211696.4166884236</v>
      </c>
      <c r="E32" s="603">
        <f t="shared" si="8"/>
        <v>7764620.5208605295</v>
      </c>
      <c r="F32" s="604">
        <v>0.12</v>
      </c>
      <c r="G32" s="604">
        <v>3.2000000000000001E-2</v>
      </c>
      <c r="H32" s="851">
        <f t="shared" si="9"/>
        <v>89741.596451156918</v>
      </c>
      <c r="I32" s="850">
        <f t="shared" si="10"/>
        <v>0.36117990332743882</v>
      </c>
      <c r="J32" s="852">
        <f t="shared" si="6"/>
        <v>2804424.8890986536</v>
      </c>
    </row>
    <row r="33" spans="3:10" ht="15.75" x14ac:dyDescent="0.25">
      <c r="C33" s="100"/>
      <c r="D33" s="100"/>
      <c r="E33" s="100"/>
      <c r="F33" s="597"/>
      <c r="G33" s="103"/>
      <c r="H33" s="103"/>
      <c r="I33" s="849"/>
      <c r="J33" s="103"/>
    </row>
    <row r="34" spans="3:10" ht="15.75" x14ac:dyDescent="0.25">
      <c r="E34" s="100"/>
      <c r="H34" s="100"/>
      <c r="I34" s="100"/>
    </row>
  </sheetData>
  <mergeCells count="2">
    <mergeCell ref="D5:E5"/>
    <mergeCell ref="D20:E20"/>
  </mergeCells>
  <hyperlinks>
    <hyperlink ref="A1" location="Inicio!A1" display="Inicio" xr:uid="{8066C6D6-6FB9-4264-9594-12DFE014E35C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5461C-04A3-4DC2-B338-593FD522EDD1}">
  <sheetPr>
    <tabColor theme="5" tint="0.79998168889431442"/>
  </sheetPr>
  <dimension ref="A1:N72"/>
  <sheetViews>
    <sheetView showGridLines="0" topLeftCell="A24" workbookViewId="0"/>
  </sheetViews>
  <sheetFormatPr defaultRowHeight="15" x14ac:dyDescent="0.25"/>
  <cols>
    <col min="3" max="3" width="31.7109375" bestFit="1" customWidth="1"/>
    <col min="4" max="4" width="24.7109375" bestFit="1" customWidth="1"/>
    <col min="5" max="5" width="20.5703125" customWidth="1"/>
    <col min="6" max="6" width="21.140625" customWidth="1"/>
    <col min="7" max="7" width="16.7109375" customWidth="1"/>
    <col min="8" max="8" width="12" customWidth="1"/>
    <col min="9" max="9" width="11.28515625" bestFit="1" customWidth="1"/>
    <col min="10" max="10" width="15.28515625" customWidth="1"/>
    <col min="11" max="11" width="12.85546875" customWidth="1"/>
    <col min="12" max="12" width="15" customWidth="1"/>
    <col min="13" max="13" width="14.28515625" customWidth="1"/>
    <col min="14" max="14" width="15" customWidth="1"/>
  </cols>
  <sheetData>
    <row r="1" spans="1:14" x14ac:dyDescent="0.25">
      <c r="A1" s="879" t="s">
        <v>2821</v>
      </c>
    </row>
    <row r="2" spans="1:14" x14ac:dyDescent="0.25">
      <c r="C2" s="982" t="s">
        <v>3560</v>
      </c>
      <c r="D2" s="983"/>
    </row>
    <row r="3" spans="1:14" x14ac:dyDescent="0.25">
      <c r="C3" s="618" t="s">
        <v>3061</v>
      </c>
      <c r="D3" s="329">
        <v>200000</v>
      </c>
    </row>
    <row r="4" spans="1:14" ht="15.75" x14ac:dyDescent="0.25">
      <c r="C4" s="618" t="s">
        <v>3556</v>
      </c>
      <c r="D4" s="461">
        <v>0.04</v>
      </c>
      <c r="E4" s="614">
        <f>+D9*(1+$D$4)</f>
        <v>8320</v>
      </c>
      <c r="F4" s="614">
        <f>+E4*(1+$D$4)</f>
        <v>8652.8000000000011</v>
      </c>
      <c r="G4" s="614">
        <f t="shared" ref="G4:N4" si="0">+F4*(1+$D$4)</f>
        <v>8998.9120000000021</v>
      </c>
      <c r="H4" s="614">
        <f t="shared" si="0"/>
        <v>9358.8684800000028</v>
      </c>
      <c r="I4" s="614">
        <f t="shared" si="0"/>
        <v>9733.2232192000029</v>
      </c>
      <c r="J4" s="614">
        <f t="shared" si="0"/>
        <v>10122.552147968003</v>
      </c>
      <c r="K4" s="614">
        <f t="shared" si="0"/>
        <v>10527.454233886723</v>
      </c>
      <c r="L4" s="614">
        <f t="shared" si="0"/>
        <v>10948.552403242193</v>
      </c>
      <c r="M4" s="614">
        <f t="shared" si="0"/>
        <v>11386.49449937188</v>
      </c>
      <c r="N4" s="614">
        <f t="shared" si="0"/>
        <v>11841.954279346755</v>
      </c>
    </row>
    <row r="5" spans="1:14" ht="15.75" x14ac:dyDescent="0.25">
      <c r="C5" s="618" t="s">
        <v>3557</v>
      </c>
      <c r="D5" s="461">
        <v>0.04</v>
      </c>
      <c r="E5" s="614">
        <f>+D3*(1+$D$5)</f>
        <v>208000</v>
      </c>
      <c r="F5" s="614">
        <f>+E5*(1+$D$5)</f>
        <v>216320</v>
      </c>
      <c r="G5" s="614">
        <f t="shared" ref="G5:N5" si="1">+F5*(1+$D$5)</f>
        <v>224972.80000000002</v>
      </c>
      <c r="H5" s="614">
        <f t="shared" si="1"/>
        <v>233971.71200000003</v>
      </c>
      <c r="I5" s="614">
        <f t="shared" si="1"/>
        <v>243330.58048000003</v>
      </c>
      <c r="J5" s="614">
        <f t="shared" si="1"/>
        <v>253063.80369920004</v>
      </c>
      <c r="K5" s="614">
        <f t="shared" si="1"/>
        <v>263186.35584716807</v>
      </c>
      <c r="L5" s="614">
        <f t="shared" si="1"/>
        <v>273713.81008105481</v>
      </c>
      <c r="M5" s="614">
        <f t="shared" si="1"/>
        <v>284662.36248429702</v>
      </c>
      <c r="N5" s="614">
        <f t="shared" si="1"/>
        <v>296048.85698366893</v>
      </c>
    </row>
    <row r="6" spans="1:14" x14ac:dyDescent="0.25">
      <c r="C6" s="22"/>
      <c r="D6" s="107"/>
    </row>
    <row r="7" spans="1:14" ht="15.75" x14ac:dyDescent="0.25">
      <c r="C7" s="619" t="s">
        <v>2826</v>
      </c>
      <c r="D7" s="620">
        <v>0</v>
      </c>
      <c r="E7" s="620">
        <v>1</v>
      </c>
      <c r="F7" s="620">
        <v>2</v>
      </c>
      <c r="G7" s="620">
        <v>3</v>
      </c>
      <c r="H7" s="620">
        <v>4</v>
      </c>
      <c r="I7" s="620">
        <v>5</v>
      </c>
      <c r="J7" s="620">
        <v>6</v>
      </c>
      <c r="K7" s="620">
        <v>7</v>
      </c>
      <c r="L7" s="620">
        <v>8</v>
      </c>
      <c r="M7" s="620">
        <v>9</v>
      </c>
      <c r="N7" s="620">
        <v>10</v>
      </c>
    </row>
    <row r="8" spans="1:14" ht="15.75" x14ac:dyDescent="0.25">
      <c r="C8" s="621" t="s">
        <v>3137</v>
      </c>
      <c r="D8" s="614">
        <f>-D3</f>
        <v>-200000</v>
      </c>
      <c r="E8" s="615"/>
      <c r="F8" s="615"/>
      <c r="G8" s="615"/>
      <c r="H8" s="615"/>
      <c r="I8" s="615"/>
      <c r="J8" s="615"/>
      <c r="K8" s="615"/>
      <c r="L8" s="615"/>
      <c r="M8" s="615"/>
    </row>
    <row r="9" spans="1:14" ht="15.75" x14ac:dyDescent="0.25">
      <c r="C9" s="621" t="s">
        <v>3138</v>
      </c>
      <c r="D9" s="614">
        <v>8000</v>
      </c>
      <c r="E9" s="614">
        <f>+D9*(1+$D$4)</f>
        <v>8320</v>
      </c>
      <c r="F9" s="614">
        <f t="shared" ref="F9:L9" si="2">+E9*(1+$D$4)</f>
        <v>8652.8000000000011</v>
      </c>
      <c r="G9" s="614">
        <f t="shared" si="2"/>
        <v>8998.9120000000021</v>
      </c>
      <c r="H9" s="614">
        <f t="shared" si="2"/>
        <v>9358.8684800000028</v>
      </c>
      <c r="I9" s="614">
        <f t="shared" si="2"/>
        <v>9733.2232192000029</v>
      </c>
      <c r="J9" s="614">
        <f t="shared" si="2"/>
        <v>10122.552147968003</v>
      </c>
      <c r="K9" s="614">
        <f t="shared" si="2"/>
        <v>10527.454233886723</v>
      </c>
      <c r="L9" s="614">
        <f t="shared" si="2"/>
        <v>10948.552403242193</v>
      </c>
      <c r="M9" s="614">
        <f>+L9*(1+$D$4)</f>
        <v>11386.49449937188</v>
      </c>
      <c r="N9" s="614">
        <f>+M9*(1+$D$4)</f>
        <v>11841.954279346755</v>
      </c>
    </row>
    <row r="10" spans="1:14" ht="15.75" x14ac:dyDescent="0.25">
      <c r="C10" s="621" t="s">
        <v>3139</v>
      </c>
      <c r="D10" s="615"/>
      <c r="E10" s="615"/>
      <c r="F10" s="615"/>
      <c r="G10" s="615"/>
      <c r="H10" s="615"/>
      <c r="I10" s="615"/>
      <c r="J10" s="615"/>
      <c r="K10" s="615"/>
      <c r="L10" s="615"/>
      <c r="N10" s="614">
        <f>+D3*(1+D5)^M7</f>
        <v>284662.36248429702</v>
      </c>
    </row>
    <row r="11" spans="1:14" ht="15.75" x14ac:dyDescent="0.25">
      <c r="C11" s="613"/>
      <c r="D11" s="616">
        <f t="shared" ref="D11:N11" si="3">+SUM(D8:D10)</f>
        <v>-192000</v>
      </c>
      <c r="E11" s="616">
        <f t="shared" si="3"/>
        <v>8320</v>
      </c>
      <c r="F11" s="616">
        <f t="shared" si="3"/>
        <v>8652.8000000000011</v>
      </c>
      <c r="G11" s="616">
        <f t="shared" si="3"/>
        <v>8998.9120000000021</v>
      </c>
      <c r="H11" s="616">
        <f t="shared" si="3"/>
        <v>9358.8684800000028</v>
      </c>
      <c r="I11" s="616">
        <f t="shared" si="3"/>
        <v>9733.2232192000029</v>
      </c>
      <c r="J11" s="616">
        <f t="shared" si="3"/>
        <v>10122.552147968003</v>
      </c>
      <c r="K11" s="616">
        <f t="shared" si="3"/>
        <v>10527.454233886723</v>
      </c>
      <c r="L11" s="616">
        <f t="shared" si="3"/>
        <v>10948.552403242193</v>
      </c>
      <c r="M11" s="616">
        <f t="shared" si="3"/>
        <v>11386.49449937188</v>
      </c>
      <c r="N11" s="616">
        <f t="shared" si="3"/>
        <v>296504.31676364376</v>
      </c>
    </row>
    <row r="12" spans="1:14" ht="15.75" x14ac:dyDescent="0.25">
      <c r="C12" s="89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15.75" x14ac:dyDescent="0.25">
      <c r="C13" s="622" t="s">
        <v>3558</v>
      </c>
      <c r="D13" s="353">
        <f>+D9/D3</f>
        <v>0.04</v>
      </c>
      <c r="E13" s="353">
        <f>+E4/E5</f>
        <v>0.04</v>
      </c>
      <c r="F13" s="353">
        <f t="shared" ref="F13:N13" si="4">+F4/F5</f>
        <v>4.0000000000000008E-2</v>
      </c>
      <c r="G13" s="353">
        <f t="shared" si="4"/>
        <v>4.0000000000000008E-2</v>
      </c>
      <c r="H13" s="353">
        <f t="shared" si="4"/>
        <v>4.0000000000000008E-2</v>
      </c>
      <c r="I13" s="353">
        <f t="shared" si="4"/>
        <v>4.0000000000000008E-2</v>
      </c>
      <c r="J13" s="353">
        <f t="shared" si="4"/>
        <v>4.0000000000000008E-2</v>
      </c>
      <c r="K13" s="353">
        <f t="shared" si="4"/>
        <v>0.04</v>
      </c>
      <c r="L13" s="353">
        <f t="shared" si="4"/>
        <v>0.04</v>
      </c>
      <c r="M13" s="353">
        <f t="shared" si="4"/>
        <v>0.04</v>
      </c>
      <c r="N13" s="353">
        <f t="shared" si="4"/>
        <v>3.9999999999999994E-2</v>
      </c>
    </row>
    <row r="14" spans="1:14" ht="15.75" x14ac:dyDescent="0.25">
      <c r="C14" s="622" t="s">
        <v>3243</v>
      </c>
      <c r="D14" s="353">
        <f t="shared" ref="D14:N14" si="5">+D9/$D$3</f>
        <v>0.04</v>
      </c>
      <c r="E14" s="353">
        <f t="shared" si="5"/>
        <v>4.1599999999999998E-2</v>
      </c>
      <c r="F14" s="353">
        <f t="shared" si="5"/>
        <v>4.3264000000000004E-2</v>
      </c>
      <c r="G14" s="353">
        <f t="shared" si="5"/>
        <v>4.499456000000001E-2</v>
      </c>
      <c r="H14" s="353">
        <f t="shared" si="5"/>
        <v>4.6794342400000015E-2</v>
      </c>
      <c r="I14" s="353">
        <f t="shared" si="5"/>
        <v>4.8666116096000016E-2</v>
      </c>
      <c r="J14" s="353">
        <f t="shared" si="5"/>
        <v>5.0612760739840015E-2</v>
      </c>
      <c r="K14" s="353">
        <f t="shared" si="5"/>
        <v>5.2637271169433612E-2</v>
      </c>
      <c r="L14" s="353">
        <f t="shared" si="5"/>
        <v>5.4742762016210963E-2</v>
      </c>
      <c r="M14" s="353">
        <f t="shared" si="5"/>
        <v>5.6932472496859399E-2</v>
      </c>
      <c r="N14" s="353">
        <f t="shared" si="5"/>
        <v>5.9209771396733779E-2</v>
      </c>
    </row>
    <row r="15" spans="1:14" ht="15.75" x14ac:dyDescent="0.25">
      <c r="C15" s="621" t="s">
        <v>3559</v>
      </c>
      <c r="D15" s="353">
        <f>+IRR(D11:N11)</f>
        <v>8.3470997599217611E-2</v>
      </c>
    </row>
    <row r="17" spans="3:14" x14ac:dyDescent="0.25">
      <c r="C17" s="982" t="s">
        <v>3562</v>
      </c>
      <c r="D17" s="983"/>
    </row>
    <row r="18" spans="3:14" x14ac:dyDescent="0.25">
      <c r="C18" s="618" t="s">
        <v>3061</v>
      </c>
      <c r="D18" s="329">
        <v>200000</v>
      </c>
    </row>
    <row r="19" spans="3:14" ht="15.75" x14ac:dyDescent="0.25">
      <c r="C19" s="618" t="s">
        <v>3556</v>
      </c>
      <c r="D19" s="461">
        <v>0</v>
      </c>
      <c r="E19" s="614">
        <f>+D24*(1+$D$19)</f>
        <v>8000</v>
      </c>
      <c r="F19" s="614">
        <f>+E19*(1+$D$19)</f>
        <v>8000</v>
      </c>
      <c r="G19" s="614">
        <f t="shared" ref="G19:N19" si="6">+F19*(1+$D$19)</f>
        <v>8000</v>
      </c>
      <c r="H19" s="614">
        <f t="shared" si="6"/>
        <v>8000</v>
      </c>
      <c r="I19" s="614">
        <f t="shared" si="6"/>
        <v>8000</v>
      </c>
      <c r="J19" s="614">
        <f t="shared" si="6"/>
        <v>8000</v>
      </c>
      <c r="K19" s="614">
        <f t="shared" si="6"/>
        <v>8000</v>
      </c>
      <c r="L19" s="614">
        <f t="shared" si="6"/>
        <v>8000</v>
      </c>
      <c r="M19" s="614">
        <f t="shared" si="6"/>
        <v>8000</v>
      </c>
      <c r="N19" s="614">
        <f t="shared" si="6"/>
        <v>8000</v>
      </c>
    </row>
    <row r="20" spans="3:14" ht="15.75" x14ac:dyDescent="0.25">
      <c r="C20" s="618" t="s">
        <v>3557</v>
      </c>
      <c r="D20" s="461">
        <v>0.15</v>
      </c>
      <c r="E20" s="614">
        <f>+D18*(1+$D$20)</f>
        <v>229999.99999999997</v>
      </c>
      <c r="F20" s="614">
        <f>+E20*(1+$D$20)</f>
        <v>264499.99999999994</v>
      </c>
      <c r="G20" s="614">
        <f t="shared" ref="G20:M20" si="7">+F20*(1+$D$20)</f>
        <v>304174.99999999988</v>
      </c>
      <c r="H20" s="614">
        <f t="shared" si="7"/>
        <v>349801.24999999983</v>
      </c>
      <c r="I20" s="614">
        <f t="shared" si="7"/>
        <v>402271.43749999977</v>
      </c>
      <c r="J20" s="614">
        <f t="shared" si="7"/>
        <v>462612.15312499972</v>
      </c>
      <c r="K20" s="614">
        <f t="shared" si="7"/>
        <v>532003.97609374963</v>
      </c>
      <c r="L20" s="614">
        <f t="shared" si="7"/>
        <v>611804.57250781206</v>
      </c>
      <c r="M20" s="614">
        <f t="shared" si="7"/>
        <v>703575.25838398386</v>
      </c>
      <c r="N20" s="614">
        <f>+M20*(1+$D$20)</f>
        <v>809111.54714158142</v>
      </c>
    </row>
    <row r="21" spans="3:14" x14ac:dyDescent="0.25">
      <c r="C21" s="22"/>
      <c r="D21" s="107"/>
    </row>
    <row r="22" spans="3:14" ht="15.75" x14ac:dyDescent="0.25">
      <c r="C22" s="619" t="s">
        <v>2826</v>
      </c>
      <c r="D22" s="620">
        <v>0</v>
      </c>
      <c r="E22" s="620">
        <v>1</v>
      </c>
      <c r="F22" s="620">
        <v>2</v>
      </c>
      <c r="G22" s="620">
        <v>3</v>
      </c>
      <c r="H22" s="620">
        <v>4</v>
      </c>
      <c r="I22" s="620">
        <v>5</v>
      </c>
      <c r="J22" s="620">
        <v>6</v>
      </c>
      <c r="K22" s="620">
        <v>7</v>
      </c>
      <c r="L22" s="620">
        <v>8</v>
      </c>
      <c r="M22" s="620">
        <v>9</v>
      </c>
      <c r="N22" s="620">
        <v>10</v>
      </c>
    </row>
    <row r="23" spans="3:14" ht="15.75" x14ac:dyDescent="0.25">
      <c r="C23" s="621" t="s">
        <v>3137</v>
      </c>
      <c r="D23" s="614">
        <f>-D18</f>
        <v>-200000</v>
      </c>
      <c r="E23" s="615"/>
      <c r="F23" s="615"/>
      <c r="G23" s="615"/>
      <c r="H23" s="615"/>
      <c r="I23" s="615"/>
      <c r="J23" s="615"/>
      <c r="K23" s="615"/>
      <c r="L23" s="615"/>
      <c r="M23" s="615"/>
    </row>
    <row r="24" spans="3:14" ht="15.75" x14ac:dyDescent="0.25">
      <c r="C24" s="621" t="s">
        <v>3138</v>
      </c>
      <c r="D24" s="614">
        <v>8000</v>
      </c>
      <c r="E24" s="614">
        <f>+E19</f>
        <v>8000</v>
      </c>
      <c r="F24" s="614">
        <f t="shared" ref="F24:N24" si="8">+F19</f>
        <v>8000</v>
      </c>
      <c r="G24" s="614">
        <f t="shared" si="8"/>
        <v>8000</v>
      </c>
      <c r="H24" s="614">
        <f t="shared" si="8"/>
        <v>8000</v>
      </c>
      <c r="I24" s="614">
        <f t="shared" si="8"/>
        <v>8000</v>
      </c>
      <c r="J24" s="614">
        <f t="shared" si="8"/>
        <v>8000</v>
      </c>
      <c r="K24" s="614">
        <f t="shared" si="8"/>
        <v>8000</v>
      </c>
      <c r="L24" s="614">
        <f t="shared" si="8"/>
        <v>8000</v>
      </c>
      <c r="M24" s="614">
        <f t="shared" si="8"/>
        <v>8000</v>
      </c>
      <c r="N24" s="614">
        <f t="shared" si="8"/>
        <v>8000</v>
      </c>
    </row>
    <row r="25" spans="3:14" ht="15.75" x14ac:dyDescent="0.25">
      <c r="C25" s="621" t="s">
        <v>3139</v>
      </c>
      <c r="D25" s="615"/>
      <c r="E25" s="615"/>
      <c r="F25" s="615"/>
      <c r="G25" s="615"/>
      <c r="H25" s="615"/>
      <c r="I25" s="615"/>
      <c r="J25" s="615"/>
      <c r="K25" s="615"/>
      <c r="L25" s="615"/>
      <c r="N25" s="614">
        <f>+N20</f>
        <v>809111.54714158142</v>
      </c>
    </row>
    <row r="26" spans="3:14" ht="15.75" x14ac:dyDescent="0.25">
      <c r="C26" s="613"/>
      <c r="D26" s="616">
        <f t="shared" ref="D26:N26" si="9">+SUM(D23:D25)</f>
        <v>-192000</v>
      </c>
      <c r="E26" s="616">
        <f t="shared" si="9"/>
        <v>8000</v>
      </c>
      <c r="F26" s="616">
        <f t="shared" si="9"/>
        <v>8000</v>
      </c>
      <c r="G26" s="616">
        <f t="shared" si="9"/>
        <v>8000</v>
      </c>
      <c r="H26" s="616">
        <f t="shared" si="9"/>
        <v>8000</v>
      </c>
      <c r="I26" s="616">
        <f t="shared" si="9"/>
        <v>8000</v>
      </c>
      <c r="J26" s="616">
        <f t="shared" si="9"/>
        <v>8000</v>
      </c>
      <c r="K26" s="616">
        <f t="shared" si="9"/>
        <v>8000</v>
      </c>
      <c r="L26" s="616">
        <f t="shared" si="9"/>
        <v>8000</v>
      </c>
      <c r="M26" s="616">
        <f t="shared" si="9"/>
        <v>8000</v>
      </c>
      <c r="N26" s="616">
        <f t="shared" si="9"/>
        <v>817111.54714158142</v>
      </c>
    </row>
    <row r="27" spans="3:14" ht="15.75" x14ac:dyDescent="0.25">
      <c r="C27" s="89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3:14" ht="15.75" x14ac:dyDescent="0.25">
      <c r="C28" s="622" t="s">
        <v>3558</v>
      </c>
      <c r="D28" s="353">
        <f>+D24/D18</f>
        <v>0.04</v>
      </c>
      <c r="E28" s="353">
        <f>+E19/E20</f>
        <v>3.4782608695652181E-2</v>
      </c>
      <c r="F28" s="353">
        <f t="shared" ref="F28:N28" si="10">+F19/F20</f>
        <v>3.0245746691871463E-2</v>
      </c>
      <c r="G28" s="353">
        <f t="shared" si="10"/>
        <v>2.6300649297279537E-2</v>
      </c>
      <c r="H28" s="353">
        <f t="shared" si="10"/>
        <v>2.2870129823721341E-2</v>
      </c>
      <c r="I28" s="353">
        <f t="shared" si="10"/>
        <v>1.98870694119316E-2</v>
      </c>
      <c r="J28" s="353">
        <f t="shared" si="10"/>
        <v>1.7293103836462261E-2</v>
      </c>
      <c r="K28" s="353">
        <f t="shared" si="10"/>
        <v>1.5037481596923707E-2</v>
      </c>
      <c r="L28" s="353">
        <f t="shared" si="10"/>
        <v>1.3076070953846702E-2</v>
      </c>
      <c r="M28" s="353">
        <f t="shared" si="10"/>
        <v>1.1370496481605829E-2</v>
      </c>
      <c r="N28" s="353">
        <f t="shared" si="10"/>
        <v>9.8873882448746332E-3</v>
      </c>
    </row>
    <row r="29" spans="3:14" ht="15.75" x14ac:dyDescent="0.25">
      <c r="C29" s="622" t="s">
        <v>3243</v>
      </c>
      <c r="D29" s="353">
        <f t="shared" ref="D29:N29" si="11">+D24/$D$3</f>
        <v>0.04</v>
      </c>
      <c r="E29" s="353">
        <f t="shared" si="11"/>
        <v>0.04</v>
      </c>
      <c r="F29" s="353">
        <f t="shared" si="11"/>
        <v>0.04</v>
      </c>
      <c r="G29" s="353">
        <f t="shared" si="11"/>
        <v>0.04</v>
      </c>
      <c r="H29" s="353">
        <f t="shared" si="11"/>
        <v>0.04</v>
      </c>
      <c r="I29" s="353">
        <f t="shared" si="11"/>
        <v>0.04</v>
      </c>
      <c r="J29" s="353">
        <f t="shared" si="11"/>
        <v>0.04</v>
      </c>
      <c r="K29" s="353">
        <f t="shared" si="11"/>
        <v>0.04</v>
      </c>
      <c r="L29" s="353">
        <f t="shared" si="11"/>
        <v>0.04</v>
      </c>
      <c r="M29" s="353">
        <f t="shared" si="11"/>
        <v>0.04</v>
      </c>
      <c r="N29" s="353">
        <f t="shared" si="11"/>
        <v>0.04</v>
      </c>
    </row>
    <row r="30" spans="3:14" ht="15.75" x14ac:dyDescent="0.25">
      <c r="C30" s="621" t="s">
        <v>3559</v>
      </c>
      <c r="D30" s="353">
        <f>+IRR(D26:N26)</f>
        <v>0.17899278966130194</v>
      </c>
    </row>
    <row r="32" spans="3:14" x14ac:dyDescent="0.25">
      <c r="C32" s="982" t="s">
        <v>3561</v>
      </c>
      <c r="D32" s="983"/>
    </row>
    <row r="33" spans="3:14" x14ac:dyDescent="0.25">
      <c r="C33" s="618" t="s">
        <v>3061</v>
      </c>
      <c r="D33" s="329">
        <v>200000</v>
      </c>
    </row>
    <row r="34" spans="3:14" ht="15.75" x14ac:dyDescent="0.25">
      <c r="C34" s="618" t="s">
        <v>3556</v>
      </c>
      <c r="D34" s="461">
        <v>0.08</v>
      </c>
      <c r="E34" s="614">
        <f>+D39*(1+$D$34)</f>
        <v>8640</v>
      </c>
      <c r="F34" s="614">
        <f t="shared" ref="F34:N34" si="12">+E34*(1+$D$34)</f>
        <v>9331.2000000000007</v>
      </c>
      <c r="G34" s="614">
        <f t="shared" si="12"/>
        <v>10077.696000000002</v>
      </c>
      <c r="H34" s="614">
        <f t="shared" si="12"/>
        <v>10883.911680000003</v>
      </c>
      <c r="I34" s="614">
        <f t="shared" si="12"/>
        <v>11754.624614400003</v>
      </c>
      <c r="J34" s="614">
        <f t="shared" si="12"/>
        <v>12694.994583552005</v>
      </c>
      <c r="K34" s="614">
        <f t="shared" si="12"/>
        <v>13710.594150236166</v>
      </c>
      <c r="L34" s="614">
        <f t="shared" si="12"/>
        <v>14807.441682255059</v>
      </c>
      <c r="M34" s="614">
        <f t="shared" si="12"/>
        <v>15992.037016835466</v>
      </c>
      <c r="N34" s="614">
        <f t="shared" si="12"/>
        <v>17271.399978182304</v>
      </c>
    </row>
    <row r="35" spans="3:14" ht="15.75" x14ac:dyDescent="0.25">
      <c r="C35" s="618" t="s">
        <v>3557</v>
      </c>
      <c r="D35" s="461">
        <v>-0.15</v>
      </c>
      <c r="E35" s="614">
        <f>+D33*(1+$D$35)</f>
        <v>170000</v>
      </c>
      <c r="F35" s="614">
        <f t="shared" ref="F35:N35" si="13">+E35*(1+$D$35)</f>
        <v>144500</v>
      </c>
      <c r="G35" s="614">
        <f t="shared" si="13"/>
        <v>122825</v>
      </c>
      <c r="H35" s="614">
        <f t="shared" si="13"/>
        <v>104401.25</v>
      </c>
      <c r="I35" s="614">
        <f t="shared" si="13"/>
        <v>88741.0625</v>
      </c>
      <c r="J35" s="614">
        <f t="shared" si="13"/>
        <v>75429.903124999997</v>
      </c>
      <c r="K35" s="614">
        <f t="shared" si="13"/>
        <v>64115.417656249992</v>
      </c>
      <c r="L35" s="614">
        <f t="shared" si="13"/>
        <v>54498.10500781249</v>
      </c>
      <c r="M35" s="614">
        <f t="shared" si="13"/>
        <v>46323.389256640614</v>
      </c>
      <c r="N35" s="614">
        <f t="shared" si="13"/>
        <v>39374.880868144523</v>
      </c>
    </row>
    <row r="36" spans="3:14" x14ac:dyDescent="0.25">
      <c r="C36" s="22"/>
      <c r="D36" s="107"/>
    </row>
    <row r="37" spans="3:14" ht="15.75" x14ac:dyDescent="0.25">
      <c r="C37" s="619" t="s">
        <v>2826</v>
      </c>
      <c r="D37" s="620">
        <v>0</v>
      </c>
      <c r="E37" s="620">
        <v>1</v>
      </c>
      <c r="F37" s="620">
        <v>2</v>
      </c>
      <c r="G37" s="620">
        <v>3</v>
      </c>
      <c r="H37" s="620">
        <v>4</v>
      </c>
      <c r="I37" s="620">
        <v>5</v>
      </c>
      <c r="J37" s="620">
        <v>6</v>
      </c>
      <c r="K37" s="620">
        <v>7</v>
      </c>
      <c r="L37" s="620">
        <v>8</v>
      </c>
      <c r="M37" s="620">
        <v>9</v>
      </c>
      <c r="N37" s="620">
        <v>10</v>
      </c>
    </row>
    <row r="38" spans="3:14" ht="15.75" x14ac:dyDescent="0.25">
      <c r="C38" s="621" t="s">
        <v>3137</v>
      </c>
      <c r="D38" s="614">
        <f>-D33</f>
        <v>-200000</v>
      </c>
      <c r="E38" s="615"/>
      <c r="F38" s="615"/>
      <c r="G38" s="615"/>
      <c r="H38" s="615"/>
      <c r="I38" s="615"/>
      <c r="J38" s="615"/>
      <c r="K38" s="615"/>
      <c r="L38" s="615"/>
      <c r="M38" s="615"/>
    </row>
    <row r="39" spans="3:14" ht="15.75" x14ac:dyDescent="0.25">
      <c r="C39" s="621" t="s">
        <v>3138</v>
      </c>
      <c r="D39" s="614">
        <v>8000</v>
      </c>
      <c r="E39" s="614">
        <f>+E34</f>
        <v>8640</v>
      </c>
      <c r="F39" s="614">
        <f t="shared" ref="F39:N39" si="14">+F34</f>
        <v>9331.2000000000007</v>
      </c>
      <c r="G39" s="614">
        <f t="shared" si="14"/>
        <v>10077.696000000002</v>
      </c>
      <c r="H39" s="614">
        <f t="shared" si="14"/>
        <v>10883.911680000003</v>
      </c>
      <c r="I39" s="614">
        <f t="shared" si="14"/>
        <v>11754.624614400003</v>
      </c>
      <c r="J39" s="614">
        <f t="shared" si="14"/>
        <v>12694.994583552005</v>
      </c>
      <c r="K39" s="614">
        <f t="shared" si="14"/>
        <v>13710.594150236166</v>
      </c>
      <c r="L39" s="614">
        <f t="shared" si="14"/>
        <v>14807.441682255059</v>
      </c>
      <c r="M39" s="614">
        <f t="shared" si="14"/>
        <v>15992.037016835466</v>
      </c>
      <c r="N39" s="614">
        <f t="shared" si="14"/>
        <v>17271.399978182304</v>
      </c>
    </row>
    <row r="40" spans="3:14" ht="15.75" x14ac:dyDescent="0.25">
      <c r="C40" s="621" t="s">
        <v>3139</v>
      </c>
      <c r="D40" s="615"/>
      <c r="E40" s="615"/>
      <c r="F40" s="615"/>
      <c r="G40" s="615"/>
      <c r="H40" s="615"/>
      <c r="I40" s="615"/>
      <c r="J40" s="615"/>
      <c r="K40" s="615"/>
      <c r="L40" s="615"/>
      <c r="N40" s="614">
        <f>+N35</f>
        <v>39374.880868144523</v>
      </c>
    </row>
    <row r="41" spans="3:14" ht="15.75" x14ac:dyDescent="0.25">
      <c r="C41" s="613"/>
      <c r="D41" s="616">
        <f t="shared" ref="D41:N41" si="15">+SUM(D38:D40)</f>
        <v>-192000</v>
      </c>
      <c r="E41" s="616">
        <f t="shared" si="15"/>
        <v>8640</v>
      </c>
      <c r="F41" s="616">
        <f t="shared" si="15"/>
        <v>9331.2000000000007</v>
      </c>
      <c r="G41" s="616">
        <f t="shared" si="15"/>
        <v>10077.696000000002</v>
      </c>
      <c r="H41" s="616">
        <f t="shared" si="15"/>
        <v>10883.911680000003</v>
      </c>
      <c r="I41" s="616">
        <f t="shared" si="15"/>
        <v>11754.624614400003</v>
      </c>
      <c r="J41" s="616">
        <f t="shared" si="15"/>
        <v>12694.994583552005</v>
      </c>
      <c r="K41" s="616">
        <f t="shared" si="15"/>
        <v>13710.594150236166</v>
      </c>
      <c r="L41" s="616">
        <f t="shared" si="15"/>
        <v>14807.441682255059</v>
      </c>
      <c r="M41" s="616">
        <f t="shared" si="15"/>
        <v>15992.037016835466</v>
      </c>
      <c r="N41" s="616">
        <f t="shared" si="15"/>
        <v>56646.28084632683</v>
      </c>
    </row>
    <row r="42" spans="3:14" ht="15.75" x14ac:dyDescent="0.25">
      <c r="C42" s="89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3:14" ht="15.75" x14ac:dyDescent="0.25">
      <c r="C43" s="622" t="s">
        <v>3558</v>
      </c>
      <c r="D43" s="353">
        <f>+D39/D33</f>
        <v>0.04</v>
      </c>
      <c r="E43" s="353">
        <f>+E34/E35</f>
        <v>5.0823529411764705E-2</v>
      </c>
      <c r="F43" s="353">
        <f t="shared" ref="F43:N43" si="16">+F34/F35</f>
        <v>6.4575778546712814E-2</v>
      </c>
      <c r="G43" s="353">
        <f t="shared" si="16"/>
        <v>8.2049224506411569E-2</v>
      </c>
      <c r="H43" s="353">
        <f t="shared" si="16"/>
        <v>0.10425077937285236</v>
      </c>
      <c r="I43" s="353">
        <f t="shared" si="16"/>
        <v>0.13245981379138888</v>
      </c>
      <c r="J43" s="353">
        <f t="shared" si="16"/>
        <v>0.16830188105258825</v>
      </c>
      <c r="K43" s="353">
        <f t="shared" si="16"/>
        <v>0.21384239004328864</v>
      </c>
      <c r="L43" s="353">
        <f t="shared" si="16"/>
        <v>0.27170562499617851</v>
      </c>
      <c r="M43" s="353">
        <f t="shared" si="16"/>
        <v>0.34522597058337984</v>
      </c>
      <c r="N43" s="353">
        <f t="shared" si="16"/>
        <v>0.43864005674123557</v>
      </c>
    </row>
    <row r="44" spans="3:14" ht="15.75" x14ac:dyDescent="0.25">
      <c r="C44" s="622" t="s">
        <v>3243</v>
      </c>
      <c r="D44" s="353">
        <f t="shared" ref="D44:N44" si="17">+D39/$D$3</f>
        <v>0.04</v>
      </c>
      <c r="E44" s="353">
        <f t="shared" si="17"/>
        <v>4.3200000000000002E-2</v>
      </c>
      <c r="F44" s="353">
        <f t="shared" si="17"/>
        <v>4.6656000000000003E-2</v>
      </c>
      <c r="G44" s="353">
        <f t="shared" si="17"/>
        <v>5.0388480000000006E-2</v>
      </c>
      <c r="H44" s="353">
        <f t="shared" si="17"/>
        <v>5.4419558400000012E-2</v>
      </c>
      <c r="I44" s="353">
        <f t="shared" si="17"/>
        <v>5.8773123072000014E-2</v>
      </c>
      <c r="J44" s="353">
        <f t="shared" si="17"/>
        <v>6.3474972917760025E-2</v>
      </c>
      <c r="K44" s="353">
        <f t="shared" si="17"/>
        <v>6.8552970751180831E-2</v>
      </c>
      <c r="L44" s="353">
        <f t="shared" si="17"/>
        <v>7.4037208411275299E-2</v>
      </c>
      <c r="M44" s="353">
        <f t="shared" si="17"/>
        <v>7.9960185084177335E-2</v>
      </c>
      <c r="N44" s="353">
        <f t="shared" si="17"/>
        <v>8.6356999890911515E-2</v>
      </c>
    </row>
    <row r="45" spans="3:14" ht="15.75" x14ac:dyDescent="0.25">
      <c r="C45" s="621" t="s">
        <v>3559</v>
      </c>
      <c r="D45" s="353">
        <f>+IRR(D41:N41)</f>
        <v>-2.1358757896911995E-2</v>
      </c>
    </row>
    <row r="48" spans="3:14" x14ac:dyDescent="0.25">
      <c r="C48" t="s">
        <v>3807</v>
      </c>
    </row>
    <row r="50" spans="3:14" x14ac:dyDescent="0.25">
      <c r="D50" s="624" t="s">
        <v>3548</v>
      </c>
      <c r="E50" s="624" t="s">
        <v>3549</v>
      </c>
      <c r="F50" s="624" t="s">
        <v>3563</v>
      </c>
    </row>
    <row r="51" spans="3:14" ht="15.75" x14ac:dyDescent="0.25">
      <c r="C51" s="621" t="s">
        <v>3137</v>
      </c>
      <c r="D51" s="599">
        <f>+D3</f>
        <v>200000</v>
      </c>
      <c r="E51" s="599">
        <f>+D51</f>
        <v>200000</v>
      </c>
      <c r="F51" s="599">
        <f>+E51</f>
        <v>200000</v>
      </c>
    </row>
    <row r="52" spans="3:14" ht="15.75" x14ac:dyDescent="0.25">
      <c r="C52" s="621" t="s">
        <v>3556</v>
      </c>
      <c r="D52" s="625">
        <f>+D4</f>
        <v>0.04</v>
      </c>
      <c r="E52" s="625">
        <f>+D19</f>
        <v>0</v>
      </c>
      <c r="F52" s="625">
        <f>+D34</f>
        <v>0.08</v>
      </c>
    </row>
    <row r="53" spans="3:14" ht="15.75" x14ac:dyDescent="0.25">
      <c r="C53" s="621" t="s">
        <v>3557</v>
      </c>
      <c r="D53" s="623">
        <f>+D5</f>
        <v>0.04</v>
      </c>
      <c r="E53" s="623">
        <f>+D20</f>
        <v>0.15</v>
      </c>
      <c r="F53" s="623">
        <f>+D35</f>
        <v>-0.15</v>
      </c>
    </row>
    <row r="54" spans="3:14" ht="15.75" x14ac:dyDescent="0.25">
      <c r="C54" s="621" t="s">
        <v>3243</v>
      </c>
      <c r="D54" s="623">
        <f>+N14</f>
        <v>5.9209771396733779E-2</v>
      </c>
      <c r="E54" s="623">
        <f>+N29</f>
        <v>0.04</v>
      </c>
      <c r="F54" s="623">
        <f>+N44</f>
        <v>8.6356999890911515E-2</v>
      </c>
    </row>
    <row r="55" spans="3:14" ht="15.75" x14ac:dyDescent="0.25">
      <c r="C55" s="621" t="s">
        <v>3559</v>
      </c>
      <c r="D55" s="623">
        <f>+D15</f>
        <v>8.3470997599217611E-2</v>
      </c>
      <c r="E55" s="623">
        <f>+D30</f>
        <v>0.17899278966130194</v>
      </c>
      <c r="F55" s="623">
        <f>+D45</f>
        <v>-2.1358757896911995E-2</v>
      </c>
    </row>
    <row r="58" spans="3:14" x14ac:dyDescent="0.25">
      <c r="C58" t="s">
        <v>3808</v>
      </c>
    </row>
    <row r="60" spans="3:14" x14ac:dyDescent="0.25">
      <c r="C60" s="618" t="s">
        <v>3061</v>
      </c>
      <c r="D60" s="329">
        <v>200000</v>
      </c>
    </row>
    <row r="61" spans="3:14" ht="15.75" x14ac:dyDescent="0.25">
      <c r="C61" s="618" t="s">
        <v>3556</v>
      </c>
      <c r="D61" s="461">
        <v>0.04</v>
      </c>
      <c r="E61" s="614">
        <f>+D66*(1+$D$61)</f>
        <v>8320</v>
      </c>
      <c r="F61" s="614">
        <f>+E61*(1+$D$61)</f>
        <v>8652.8000000000011</v>
      </c>
      <c r="G61" s="614">
        <f t="shared" ref="G61:M61" si="18">+F61*(1+$D$61)</f>
        <v>8998.9120000000021</v>
      </c>
      <c r="H61" s="614">
        <f t="shared" si="18"/>
        <v>9358.8684800000028</v>
      </c>
      <c r="I61" s="614">
        <f t="shared" si="18"/>
        <v>9733.2232192000029</v>
      </c>
      <c r="J61" s="614">
        <f t="shared" si="18"/>
        <v>10122.552147968003</v>
      </c>
      <c r="K61" s="614">
        <f t="shared" si="18"/>
        <v>10527.454233886723</v>
      </c>
      <c r="L61" s="614">
        <f t="shared" si="18"/>
        <v>10948.552403242193</v>
      </c>
      <c r="M61" s="614">
        <f t="shared" si="18"/>
        <v>11386.49449937188</v>
      </c>
      <c r="N61" s="614">
        <f>+M61*(1+$D$61)</f>
        <v>11841.954279346755</v>
      </c>
    </row>
    <row r="62" spans="3:14" ht="15.75" x14ac:dyDescent="0.25">
      <c r="C62" s="618" t="s">
        <v>3557</v>
      </c>
      <c r="D62" s="461">
        <v>0.05</v>
      </c>
      <c r="E62" s="614">
        <f>+D60*(1+$D$62)</f>
        <v>210000</v>
      </c>
      <c r="F62" s="614">
        <f>+E62*(1+$D$62)</f>
        <v>220500</v>
      </c>
      <c r="G62" s="614">
        <f t="shared" ref="G62:M62" si="19">+F62*(1+$D$62)</f>
        <v>231525</v>
      </c>
      <c r="H62" s="614">
        <f t="shared" si="19"/>
        <v>243101.25</v>
      </c>
      <c r="I62" s="614">
        <f t="shared" si="19"/>
        <v>255256.3125</v>
      </c>
      <c r="J62" s="614">
        <f t="shared" si="19"/>
        <v>268019.12812499999</v>
      </c>
      <c r="K62" s="614">
        <f t="shared" si="19"/>
        <v>281420.08453125</v>
      </c>
      <c r="L62" s="614">
        <f t="shared" si="19"/>
        <v>295491.08875781251</v>
      </c>
      <c r="M62" s="614">
        <f t="shared" si="19"/>
        <v>310265.64319570316</v>
      </c>
      <c r="N62" s="614">
        <f>+M62*(1+$D$62)</f>
        <v>325778.92535548832</v>
      </c>
    </row>
    <row r="63" spans="3:14" x14ac:dyDescent="0.25">
      <c r="C63" s="22"/>
      <c r="D63" s="107"/>
    </row>
    <row r="64" spans="3:14" ht="15.75" x14ac:dyDescent="0.25">
      <c r="C64" s="619" t="s">
        <v>2826</v>
      </c>
      <c r="D64" s="620">
        <v>0</v>
      </c>
      <c r="E64" s="620">
        <v>1</v>
      </c>
      <c r="F64" s="620">
        <v>2</v>
      </c>
      <c r="G64" s="620">
        <v>3</v>
      </c>
      <c r="H64" s="620">
        <v>4</v>
      </c>
      <c r="I64" s="620">
        <v>5</v>
      </c>
      <c r="J64" s="620">
        <v>6</v>
      </c>
      <c r="K64" s="620">
        <v>7</v>
      </c>
      <c r="L64" s="620">
        <v>8</v>
      </c>
      <c r="M64" s="620">
        <v>9</v>
      </c>
      <c r="N64" s="620">
        <v>10</v>
      </c>
    </row>
    <row r="65" spans="3:14" ht="15.75" x14ac:dyDescent="0.25">
      <c r="C65" s="621" t="s">
        <v>3137</v>
      </c>
      <c r="D65" s="614">
        <f>-D60</f>
        <v>-200000</v>
      </c>
      <c r="E65" s="615"/>
      <c r="F65" s="615"/>
      <c r="G65" s="615"/>
      <c r="H65" s="615"/>
      <c r="I65" s="615"/>
      <c r="J65" s="615"/>
      <c r="K65" s="615"/>
      <c r="L65" s="615"/>
      <c r="M65" s="615"/>
    </row>
    <row r="66" spans="3:14" ht="15.75" x14ac:dyDescent="0.25">
      <c r="C66" s="621" t="s">
        <v>3138</v>
      </c>
      <c r="D66" s="614">
        <v>8000</v>
      </c>
      <c r="E66" s="614">
        <f>+E61</f>
        <v>8320</v>
      </c>
      <c r="F66" s="614">
        <f t="shared" ref="F66:N66" si="20">+F61</f>
        <v>8652.8000000000011</v>
      </c>
      <c r="G66" s="614">
        <f t="shared" si="20"/>
        <v>8998.9120000000021</v>
      </c>
      <c r="H66" s="614">
        <f t="shared" si="20"/>
        <v>9358.8684800000028</v>
      </c>
      <c r="I66" s="614">
        <f t="shared" si="20"/>
        <v>9733.2232192000029</v>
      </c>
      <c r="J66" s="614">
        <f t="shared" si="20"/>
        <v>10122.552147968003</v>
      </c>
      <c r="K66" s="614">
        <f t="shared" si="20"/>
        <v>10527.454233886723</v>
      </c>
      <c r="L66" s="614">
        <f t="shared" si="20"/>
        <v>10948.552403242193</v>
      </c>
      <c r="M66" s="614">
        <f t="shared" si="20"/>
        <v>11386.49449937188</v>
      </c>
      <c r="N66" s="614">
        <f t="shared" si="20"/>
        <v>11841.954279346755</v>
      </c>
    </row>
    <row r="67" spans="3:14" ht="15.75" x14ac:dyDescent="0.25">
      <c r="C67" s="621" t="s">
        <v>3139</v>
      </c>
      <c r="D67" s="615"/>
      <c r="E67" s="615"/>
      <c r="F67" s="615"/>
      <c r="G67" s="615"/>
      <c r="H67" s="615"/>
      <c r="I67" s="615"/>
      <c r="J67" s="615"/>
      <c r="K67" s="615"/>
      <c r="L67" s="615"/>
      <c r="N67" s="614">
        <f>+N62</f>
        <v>325778.92535548832</v>
      </c>
    </row>
    <row r="68" spans="3:14" ht="15.75" x14ac:dyDescent="0.25">
      <c r="C68" s="613"/>
      <c r="D68" s="616">
        <f t="shared" ref="D68:N68" si="21">+SUM(D65:D67)</f>
        <v>-192000</v>
      </c>
      <c r="E68" s="616">
        <f t="shared" si="21"/>
        <v>8320</v>
      </c>
      <c r="F68" s="616">
        <f t="shared" si="21"/>
        <v>8652.8000000000011</v>
      </c>
      <c r="G68" s="616">
        <f t="shared" si="21"/>
        <v>8998.9120000000021</v>
      </c>
      <c r="H68" s="616">
        <f t="shared" si="21"/>
        <v>9358.8684800000028</v>
      </c>
      <c r="I68" s="616">
        <f t="shared" si="21"/>
        <v>9733.2232192000029</v>
      </c>
      <c r="J68" s="616">
        <f t="shared" si="21"/>
        <v>10122.552147968003</v>
      </c>
      <c r="K68" s="616">
        <f t="shared" si="21"/>
        <v>10527.454233886723</v>
      </c>
      <c r="L68" s="616">
        <f t="shared" si="21"/>
        <v>10948.552403242193</v>
      </c>
      <c r="M68" s="616">
        <f t="shared" si="21"/>
        <v>11386.49449937188</v>
      </c>
      <c r="N68" s="616">
        <f t="shared" si="21"/>
        <v>337620.87963483506</v>
      </c>
    </row>
    <row r="69" spans="3:14" ht="15.75" x14ac:dyDescent="0.25">
      <c r="C69" s="89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3:14" ht="15.75" x14ac:dyDescent="0.25">
      <c r="C70" s="622" t="s">
        <v>3558</v>
      </c>
      <c r="D70" s="353">
        <f>+D66/D60</f>
        <v>0.04</v>
      </c>
      <c r="E70" s="353">
        <f>+E61/E62</f>
        <v>3.9619047619047616E-2</v>
      </c>
      <c r="F70" s="353">
        <f t="shared" ref="F70:N70" si="22">+F61/F62</f>
        <v>3.9241723356009076E-2</v>
      </c>
      <c r="G70" s="353">
        <f t="shared" si="22"/>
        <v>3.8867992657380425E-2</v>
      </c>
      <c r="H70" s="353">
        <f t="shared" si="22"/>
        <v>3.8497821298738709E-2</v>
      </c>
      <c r="I70" s="353">
        <f t="shared" si="22"/>
        <v>3.813117538160786E-2</v>
      </c>
      <c r="J70" s="353">
        <f t="shared" si="22"/>
        <v>3.7768021330354451E-2</v>
      </c>
      <c r="K70" s="353">
        <f t="shared" si="22"/>
        <v>3.7408325889112984E-2</v>
      </c>
      <c r="L70" s="353">
        <f t="shared" si="22"/>
        <v>3.7052056118740476E-2</v>
      </c>
      <c r="M70" s="353">
        <f t="shared" si="22"/>
        <v>3.6699179393800088E-2</v>
      </c>
      <c r="N70" s="353">
        <f t="shared" si="22"/>
        <v>3.634966339957342E-2</v>
      </c>
    </row>
    <row r="71" spans="3:14" ht="15.75" x14ac:dyDescent="0.25">
      <c r="C71" s="622" t="s">
        <v>3243</v>
      </c>
      <c r="D71" s="353">
        <f t="shared" ref="D71:N71" si="23">+D66/$D$3</f>
        <v>0.04</v>
      </c>
      <c r="E71" s="353">
        <f t="shared" si="23"/>
        <v>4.1599999999999998E-2</v>
      </c>
      <c r="F71" s="353">
        <f t="shared" si="23"/>
        <v>4.3264000000000004E-2</v>
      </c>
      <c r="G71" s="353">
        <f t="shared" si="23"/>
        <v>4.499456000000001E-2</v>
      </c>
      <c r="H71" s="353">
        <f t="shared" si="23"/>
        <v>4.6794342400000015E-2</v>
      </c>
      <c r="I71" s="353">
        <f t="shared" si="23"/>
        <v>4.8666116096000016E-2</v>
      </c>
      <c r="J71" s="353">
        <f t="shared" si="23"/>
        <v>5.0612760739840015E-2</v>
      </c>
      <c r="K71" s="353">
        <f t="shared" si="23"/>
        <v>5.2637271169433612E-2</v>
      </c>
      <c r="L71" s="353">
        <f t="shared" si="23"/>
        <v>5.4742762016210963E-2</v>
      </c>
      <c r="M71" s="353">
        <f t="shared" si="23"/>
        <v>5.6932472496859399E-2</v>
      </c>
      <c r="N71" s="353">
        <f t="shared" si="23"/>
        <v>5.9209771396733779E-2</v>
      </c>
    </row>
    <row r="72" spans="3:14" ht="15.75" x14ac:dyDescent="0.25">
      <c r="C72" s="621" t="s">
        <v>3559</v>
      </c>
      <c r="D72" s="353">
        <f>+IRR(D68:N68)</f>
        <v>9.5252509300389754E-2</v>
      </c>
    </row>
  </sheetData>
  <mergeCells count="3">
    <mergeCell ref="C2:D2"/>
    <mergeCell ref="C32:D32"/>
    <mergeCell ref="C17:D17"/>
  </mergeCells>
  <phoneticPr fontId="35" type="noConversion"/>
  <hyperlinks>
    <hyperlink ref="A1" location="Inicio!A1" display="Inicio" xr:uid="{4A94560F-A4A7-4597-8934-A85CCADBBD2C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2CF1B-8F47-4A34-83A5-DE76BAA76BA9}">
  <sheetPr>
    <tabColor theme="5" tint="0.79998168889431442"/>
  </sheetPr>
  <dimension ref="A1:G55"/>
  <sheetViews>
    <sheetView showGridLines="0" workbookViewId="0"/>
  </sheetViews>
  <sheetFormatPr defaultRowHeight="15" x14ac:dyDescent="0.25"/>
  <cols>
    <col min="2" max="2" width="42.85546875" customWidth="1"/>
  </cols>
  <sheetData>
    <row r="1" spans="1:7" x14ac:dyDescent="0.25">
      <c r="A1" s="879" t="s">
        <v>2821</v>
      </c>
    </row>
    <row r="3" spans="1:7" x14ac:dyDescent="0.25">
      <c r="B3" t="s">
        <v>3812</v>
      </c>
    </row>
    <row r="4" spans="1:7" x14ac:dyDescent="0.25">
      <c r="B4" s="191" t="s">
        <v>2891</v>
      </c>
      <c r="C4" s="192">
        <v>2021</v>
      </c>
      <c r="D4" s="192">
        <v>2022</v>
      </c>
      <c r="E4" s="192">
        <v>2023</v>
      </c>
      <c r="F4" s="192">
        <v>2024</v>
      </c>
      <c r="G4" s="192">
        <v>2025</v>
      </c>
    </row>
    <row r="5" spans="1:7" x14ac:dyDescent="0.25">
      <c r="B5" s="239" t="str">
        <f>+'EEFF Apple y cálculo ratios'!B82</f>
        <v>Caja y equivalentes</v>
      </c>
      <c r="C5" s="180"/>
      <c r="D5" s="180">
        <f>+'EEFF Apple y cálculo ratios'!D82</f>
        <v>1182.3</v>
      </c>
      <c r="E5" s="180">
        <f>+'EEFF Apple y cálculo ratios'!E82</f>
        <v>1498.25</v>
      </c>
      <c r="F5" s="180">
        <f>+'EEFF Apple y cálculo ratios'!F82</f>
        <v>1497.15</v>
      </c>
      <c r="G5" s="180">
        <f>+'EEFF Apple y cálculo ratios'!G82</f>
        <v>1796.7</v>
      </c>
    </row>
    <row r="6" spans="1:7" x14ac:dyDescent="0.25">
      <c r="B6" s="239" t="str">
        <f>+'EEFF Apple y cálculo ratios'!B83</f>
        <v>Clientes</v>
      </c>
      <c r="C6" s="180"/>
      <c r="D6" s="180">
        <f>+'EEFF Apple y cálculo ratios'!D83</f>
        <v>28184</v>
      </c>
      <c r="E6" s="180">
        <f>+'EEFF Apple y cálculo ratios'!E83</f>
        <v>29508</v>
      </c>
      <c r="F6" s="180">
        <f>+'EEFF Apple y cálculo ratios'!F83</f>
        <v>33410</v>
      </c>
      <c r="G6" s="180">
        <f>+'EEFF Apple y cálculo ratios'!G83</f>
        <v>39777</v>
      </c>
    </row>
    <row r="7" spans="1:7" x14ac:dyDescent="0.25">
      <c r="B7" s="239" t="str">
        <f>+'EEFF Apple y cálculo ratios'!B84</f>
        <v>Inventarios</v>
      </c>
      <c r="C7" s="180"/>
      <c r="D7" s="180">
        <f>+'EEFF Apple y cálculo ratios'!D84</f>
        <v>4946</v>
      </c>
      <c r="E7" s="180">
        <f>+'EEFF Apple y cálculo ratios'!E84</f>
        <v>6331</v>
      </c>
      <c r="F7" s="180">
        <f>+'EEFF Apple y cálculo ratios'!F84</f>
        <v>7286</v>
      </c>
      <c r="G7" s="180">
        <f>+'EEFF Apple y cálculo ratios'!G84</f>
        <v>5718</v>
      </c>
    </row>
    <row r="8" spans="1:7" x14ac:dyDescent="0.25">
      <c r="B8" s="239" t="str">
        <f>+'EEFF Apple y cálculo ratios'!B85</f>
        <v>Otros activos corrientes</v>
      </c>
      <c r="C8" s="180"/>
      <c r="D8" s="180">
        <f>+'EEFF Apple y cálculo ratios'!D85</f>
        <v>53971</v>
      </c>
      <c r="E8" s="180">
        <f>+'EEFF Apple y cálculo ratios'!E85</f>
        <v>46172</v>
      </c>
      <c r="F8" s="180">
        <f>+'EEFF Apple y cálculo ratios'!F85</f>
        <v>47120</v>
      </c>
      <c r="G8" s="180">
        <f>+'EEFF Apple y cálculo ratios'!G85</f>
        <v>47765</v>
      </c>
    </row>
    <row r="9" spans="1:7" x14ac:dyDescent="0.25">
      <c r="B9" s="895" t="s">
        <v>2888</v>
      </c>
      <c r="C9" s="188"/>
      <c r="D9" s="188">
        <f>+SUM(D5:D8)</f>
        <v>88283.3</v>
      </c>
      <c r="E9" s="188">
        <f>+SUM(E5:E8)</f>
        <v>83509.25</v>
      </c>
      <c r="F9" s="188">
        <f>+SUM(F5:F8)</f>
        <v>89313.15</v>
      </c>
      <c r="G9" s="188">
        <f>+SUM(G5:G8)</f>
        <v>95056.7</v>
      </c>
    </row>
    <row r="10" spans="1:7" x14ac:dyDescent="0.25">
      <c r="B10" s="239" t="str">
        <f>+'EEFF Apple y cálculo ratios'!B87</f>
        <v>Proveedores</v>
      </c>
      <c r="C10" s="180"/>
      <c r="D10" s="180">
        <f>+'EEFF Apple y cálculo ratios'!D87</f>
        <v>64115</v>
      </c>
      <c r="E10" s="180">
        <f>+'EEFF Apple y cálculo ratios'!E87</f>
        <v>62611</v>
      </c>
      <c r="F10" s="180">
        <f>+'EEFF Apple y cálculo ratios'!F87</f>
        <v>68960</v>
      </c>
      <c r="G10" s="180">
        <f>+'EEFF Apple y cálculo ratios'!G87</f>
        <v>69860</v>
      </c>
    </row>
    <row r="11" spans="1:7" x14ac:dyDescent="0.25">
      <c r="B11" s="239" t="str">
        <f>+'EEFF Apple y cálculo ratios'!B88</f>
        <v>Otros pasivos corrientes</v>
      </c>
      <c r="C11" s="180"/>
      <c r="D11" s="180">
        <f>+'EEFF Apple y cálculo ratios'!D88</f>
        <v>67094</v>
      </c>
      <c r="E11" s="180">
        <f>+'EEFF Apple y cálculo ratios'!E88</f>
        <v>65315</v>
      </c>
      <c r="F11" s="180">
        <f>+'EEFF Apple y cálculo ratios'!F88</f>
        <v>84921</v>
      </c>
      <c r="G11" s="180">
        <f>+'EEFF Apple y cálculo ratios'!G88</f>
        <v>75442</v>
      </c>
    </row>
    <row r="12" spans="1:7" x14ac:dyDescent="0.25">
      <c r="B12" s="895" t="s">
        <v>2889</v>
      </c>
      <c r="C12" s="188"/>
      <c r="D12" s="188">
        <f>+SUM(D10:D11)</f>
        <v>131209</v>
      </c>
      <c r="E12" s="188">
        <f>+SUM(E10:E11)</f>
        <v>127926</v>
      </c>
      <c r="F12" s="188">
        <f>+SUM(F10:F11)</f>
        <v>153881</v>
      </c>
      <c r="G12" s="188">
        <f>+SUM(G10:G11)</f>
        <v>145302</v>
      </c>
    </row>
    <row r="13" spans="1:7" x14ac:dyDescent="0.25">
      <c r="B13" s="891" t="s">
        <v>2890</v>
      </c>
      <c r="C13" s="189"/>
      <c r="D13" s="189">
        <f>+D9-D12</f>
        <v>-42925.7</v>
      </c>
      <c r="E13" s="189">
        <f>+E9-E12</f>
        <v>-44416.75</v>
      </c>
      <c r="F13" s="189">
        <f>+F9-F12</f>
        <v>-64567.850000000006</v>
      </c>
      <c r="G13" s="189">
        <f>+G9-G12</f>
        <v>-50245.3</v>
      </c>
    </row>
    <row r="14" spans="1:7" x14ac:dyDescent="0.25">
      <c r="B14" s="22" t="s">
        <v>3568</v>
      </c>
      <c r="C14" s="22"/>
      <c r="D14" s="22"/>
      <c r="E14" s="180">
        <f>-(E13-D13)</f>
        <v>1491.0500000000029</v>
      </c>
      <c r="F14" s="180">
        <f>-(F13-E13)</f>
        <v>20151.100000000006</v>
      </c>
      <c r="G14" s="180">
        <f>-(G13-F13)</f>
        <v>-14322.550000000003</v>
      </c>
    </row>
    <row r="18" spans="2:7" x14ac:dyDescent="0.25">
      <c r="B18" t="s">
        <v>3813</v>
      </c>
    </row>
    <row r="19" spans="2:7" x14ac:dyDescent="0.25">
      <c r="B19" s="239"/>
      <c r="C19" s="626">
        <v>2021</v>
      </c>
      <c r="D19" s="626">
        <v>2022</v>
      </c>
      <c r="E19" s="626">
        <v>2023</v>
      </c>
      <c r="F19" s="626">
        <v>2024</v>
      </c>
      <c r="G19" s="626">
        <v>2025</v>
      </c>
    </row>
    <row r="20" spans="2:7" x14ac:dyDescent="0.25">
      <c r="B20" s="628" t="s">
        <v>2910</v>
      </c>
      <c r="C20" s="522"/>
      <c r="D20" s="522"/>
      <c r="E20" s="522">
        <f>+'EEFF Apple y cálculo ratios'!E217</f>
        <v>118189.33333333334</v>
      </c>
      <c r="F20" s="522">
        <f>+'EEFF Apple y cálculo ratios'!F217</f>
        <v>125407.33333333334</v>
      </c>
      <c r="G20" s="522">
        <f>+'EEFF Apple y cálculo ratios'!G217</f>
        <v>135655</v>
      </c>
    </row>
    <row r="21" spans="2:7" x14ac:dyDescent="0.25">
      <c r="B21" s="629" t="s">
        <v>2914</v>
      </c>
      <c r="C21" s="523"/>
      <c r="D21" s="523"/>
      <c r="E21" s="523">
        <f>+'EEFF Apple y cálculo ratios'!E218</f>
        <v>-17557.55</v>
      </c>
      <c r="F21" s="523">
        <f>+'EEFF Apple y cálculo ratios'!F218</f>
        <v>-30209.18</v>
      </c>
      <c r="G21" s="523">
        <f>+'EEFF Apple y cálculo ratios'!G218</f>
        <v>-21266.05</v>
      </c>
    </row>
    <row r="22" spans="2:7" x14ac:dyDescent="0.25">
      <c r="B22" s="630" t="s">
        <v>3018</v>
      </c>
      <c r="C22" s="627"/>
      <c r="D22" s="627"/>
      <c r="E22" s="627">
        <f>+SUM(E20:E21)</f>
        <v>100631.78333333334</v>
      </c>
      <c r="F22" s="627">
        <f t="shared" ref="F22:G22" si="0">+SUM(F20:F21)</f>
        <v>95198.15333333335</v>
      </c>
      <c r="G22" s="627">
        <f t="shared" si="0"/>
        <v>114388.95</v>
      </c>
    </row>
    <row r="23" spans="2:7" x14ac:dyDescent="0.25">
      <c r="B23" s="629" t="s">
        <v>3564</v>
      </c>
      <c r="C23" s="523"/>
      <c r="D23" s="523"/>
      <c r="E23" s="523">
        <f>+'EEFF Apple y cálculo ratios'!E220</f>
        <v>11519</v>
      </c>
      <c r="F23" s="523">
        <f>+'EEFF Apple y cálculo ratios'!F220</f>
        <v>11445</v>
      </c>
      <c r="G23" s="523">
        <f>+'EEFF Apple y cálculo ratios'!G220</f>
        <v>11698</v>
      </c>
    </row>
    <row r="24" spans="2:7" x14ac:dyDescent="0.25">
      <c r="B24" s="629" t="s">
        <v>3565</v>
      </c>
      <c r="C24" s="636"/>
      <c r="D24" s="636"/>
      <c r="E24" s="523">
        <f>+'EEFF Apple y cálculo ratios'!E221</f>
        <v>10833</v>
      </c>
      <c r="F24" s="523">
        <f>+'EEFF Apple y cálculo ratios'!F221</f>
        <v>11688</v>
      </c>
      <c r="G24" s="523">
        <f>+'EEFF Apple y cálculo ratios'!G221</f>
        <v>12863</v>
      </c>
    </row>
    <row r="25" spans="2:7" x14ac:dyDescent="0.25">
      <c r="B25" s="629" t="s">
        <v>3566</v>
      </c>
      <c r="C25" s="523"/>
      <c r="D25" s="523"/>
      <c r="E25" s="523">
        <f>+'EEFF Apple y cálculo ratios'!E222</f>
        <v>1491.0500000000029</v>
      </c>
      <c r="F25" s="523">
        <f>+'EEFF Apple y cálculo ratios'!F222</f>
        <v>20151.100000000006</v>
      </c>
      <c r="G25" s="523">
        <f>+'EEFF Apple y cálculo ratios'!G222</f>
        <v>-14322.550000000003</v>
      </c>
    </row>
    <row r="26" spans="2:7" x14ac:dyDescent="0.25">
      <c r="B26" s="629" t="s">
        <v>3209</v>
      </c>
      <c r="C26" s="523"/>
      <c r="D26" s="523"/>
      <c r="E26" s="523">
        <f>+'EEFF Apple y cálculo ratios'!E223</f>
        <v>-10959</v>
      </c>
      <c r="F26" s="523">
        <f>+'EEFF Apple y cálculo ratios'!F223</f>
        <v>-9447</v>
      </c>
      <c r="G26" s="523">
        <f>+'EEFF Apple y cálculo ratios'!G223</f>
        <v>-12715</v>
      </c>
    </row>
    <row r="27" spans="2:7" x14ac:dyDescent="0.25">
      <c r="B27" s="631" t="s">
        <v>3567</v>
      </c>
      <c r="C27" s="319"/>
      <c r="D27" s="319"/>
      <c r="E27" s="319">
        <f>+SUM(E22:E26)</f>
        <v>113515.83333333334</v>
      </c>
      <c r="F27" s="319">
        <f t="shared" ref="F27:G27" si="1">+SUM(F22:F26)</f>
        <v>129035.25333333336</v>
      </c>
      <c r="G27" s="319">
        <f t="shared" si="1"/>
        <v>111912.40000000001</v>
      </c>
    </row>
    <row r="30" spans="2:7" x14ac:dyDescent="0.25">
      <c r="B30" s="22" t="s">
        <v>3815</v>
      </c>
      <c r="C30" s="626">
        <v>2021</v>
      </c>
      <c r="D30" s="626">
        <v>2022</v>
      </c>
      <c r="E30" s="626">
        <v>2023</v>
      </c>
      <c r="F30" s="626">
        <v>2024</v>
      </c>
      <c r="G30" s="626">
        <v>2025</v>
      </c>
    </row>
    <row r="31" spans="2:7" x14ac:dyDescent="0.25">
      <c r="B31" s="632" t="s">
        <v>3569</v>
      </c>
      <c r="C31" s="329"/>
      <c r="D31" s="329"/>
      <c r="E31" s="329">
        <f>+'EEFF Apple y cálculo ratios'!E229</f>
        <v>99584</v>
      </c>
      <c r="F31" s="329">
        <f>+'EEFF Apple y cálculo ratios'!F229</f>
        <v>108807</v>
      </c>
      <c r="G31" s="329">
        <f>+'EEFF Apple y cálculo ratios'!G229</f>
        <v>98767</v>
      </c>
    </row>
    <row r="32" spans="2:7" x14ac:dyDescent="0.25">
      <c r="B32" s="632" t="s">
        <v>2918</v>
      </c>
      <c r="C32" s="329"/>
      <c r="D32" s="329"/>
      <c r="E32" s="329">
        <f>+'EEFF Apple y cálculo ratios'!E230</f>
        <v>92749.916666666686</v>
      </c>
      <c r="F32" s="329">
        <f>+'EEFF Apple y cálculo ratios'!F230</f>
        <v>86831.15</v>
      </c>
      <c r="G32" s="329">
        <f>+'EEFF Apple y cálculo ratios'!G230</f>
        <v>116805.7</v>
      </c>
    </row>
    <row r="33" spans="2:7" x14ac:dyDescent="0.25">
      <c r="B33" s="633" t="s">
        <v>3570</v>
      </c>
      <c r="C33" s="634"/>
      <c r="D33" s="634"/>
      <c r="E33" s="634">
        <f t="shared" ref="E33:F33" si="2">+E31/E32</f>
        <v>1.0736829053754764</v>
      </c>
      <c r="F33" s="634">
        <f t="shared" si="2"/>
        <v>1.2530871697541723</v>
      </c>
      <c r="G33" s="634">
        <f>+G31/G32</f>
        <v>0.84556661190335747</v>
      </c>
    </row>
    <row r="34" spans="2:7" x14ac:dyDescent="0.25">
      <c r="B34" s="22"/>
      <c r="C34" s="22"/>
      <c r="D34" s="22"/>
      <c r="E34" s="22"/>
      <c r="F34" s="22"/>
      <c r="G34" s="22"/>
    </row>
    <row r="35" spans="2:7" x14ac:dyDescent="0.25">
      <c r="B35" s="22"/>
      <c r="C35" s="626">
        <v>2021</v>
      </c>
      <c r="D35" s="626">
        <v>2022</v>
      </c>
      <c r="E35" s="626">
        <v>2023</v>
      </c>
      <c r="F35" s="626">
        <v>2024</v>
      </c>
      <c r="G35" s="626">
        <v>2025</v>
      </c>
    </row>
    <row r="36" spans="2:7" x14ac:dyDescent="0.25">
      <c r="B36" s="632" t="s">
        <v>3571</v>
      </c>
      <c r="C36" s="329"/>
      <c r="D36" s="329"/>
      <c r="E36" s="329">
        <f>+'EEFF Apple y cálculo ratios'!E234</f>
        <v>113515.83333333334</v>
      </c>
      <c r="F36" s="329">
        <f>+'EEFF Apple y cálculo ratios'!F234</f>
        <v>129035.25333333336</v>
      </c>
      <c r="G36" s="329">
        <f>+'EEFF Apple y cálculo ratios'!G234</f>
        <v>111912.40000000001</v>
      </c>
    </row>
    <row r="37" spans="2:7" x14ac:dyDescent="0.25">
      <c r="B37" s="632" t="s">
        <v>2918</v>
      </c>
      <c r="C37" s="329"/>
      <c r="D37" s="329"/>
      <c r="E37" s="329">
        <f>+'EEFF Apple y cálculo ratios'!E235</f>
        <v>92749.916666666686</v>
      </c>
      <c r="F37" s="329">
        <f>+'EEFF Apple y cálculo ratios'!F235</f>
        <v>86831.15</v>
      </c>
      <c r="G37" s="329">
        <f>+'EEFF Apple y cálculo ratios'!G235</f>
        <v>116805.7</v>
      </c>
    </row>
    <row r="38" spans="2:7" x14ac:dyDescent="0.25">
      <c r="B38" s="633" t="s">
        <v>3572</v>
      </c>
      <c r="C38" s="634"/>
      <c r="D38" s="634"/>
      <c r="E38" s="634">
        <f t="shared" ref="E38:G38" si="3">+E36/E37</f>
        <v>1.2238914859761778</v>
      </c>
      <c r="F38" s="634">
        <f t="shared" si="3"/>
        <v>1.4860479601310517</v>
      </c>
      <c r="G38" s="634">
        <f t="shared" si="3"/>
        <v>0.95810735263775659</v>
      </c>
    </row>
    <row r="41" spans="2:7" x14ac:dyDescent="0.25">
      <c r="B41" s="22" t="s">
        <v>3816</v>
      </c>
      <c r="C41" s="22"/>
      <c r="D41" s="22"/>
      <c r="E41" s="22"/>
      <c r="F41" s="22"/>
      <c r="G41" s="22"/>
    </row>
    <row r="42" spans="2:7" x14ac:dyDescent="0.25">
      <c r="B42" s="239"/>
      <c r="C42" s="626">
        <v>2021</v>
      </c>
      <c r="D42" s="626">
        <v>2022</v>
      </c>
      <c r="E42" s="626">
        <v>2023</v>
      </c>
      <c r="F42" s="626">
        <v>2024</v>
      </c>
      <c r="G42" s="626">
        <v>2025</v>
      </c>
    </row>
    <row r="43" spans="2:7" x14ac:dyDescent="0.25">
      <c r="B43" s="628" t="s">
        <v>2910</v>
      </c>
      <c r="C43" s="522"/>
      <c r="D43" s="522"/>
      <c r="E43" s="522">
        <f>+'EEFF Apple y cálculo ratios'!E241</f>
        <v>118189.33333333334</v>
      </c>
      <c r="F43" s="522">
        <f>+'EEFF Apple y cálculo ratios'!F241</f>
        <v>125407.33333333334</v>
      </c>
      <c r="G43" s="522">
        <f>+'EEFF Apple y cálculo ratios'!G241</f>
        <v>135655</v>
      </c>
    </row>
    <row r="44" spans="2:7" x14ac:dyDescent="0.25">
      <c r="B44" s="629" t="s">
        <v>2914</v>
      </c>
      <c r="C44" s="523"/>
      <c r="D44" s="523"/>
      <c r="E44" s="523">
        <f>+'EEFF Apple y cálculo ratios'!E242</f>
        <v>-17557.55</v>
      </c>
      <c r="F44" s="523">
        <f>+'EEFF Apple y cálculo ratios'!F242</f>
        <v>-30209.18</v>
      </c>
      <c r="G44" s="523">
        <f>+'EEFF Apple y cálculo ratios'!G242</f>
        <v>-21266.05</v>
      </c>
    </row>
    <row r="45" spans="2:7" x14ac:dyDescent="0.25">
      <c r="B45" s="630" t="s">
        <v>3018</v>
      </c>
      <c r="C45" s="627"/>
      <c r="D45" s="627"/>
      <c r="E45" s="627">
        <f>+SUM(E43:E44)</f>
        <v>100631.78333333334</v>
      </c>
      <c r="F45" s="627">
        <f t="shared" ref="F45:G45" si="4">+SUM(F43:F44)</f>
        <v>95198.15333333335</v>
      </c>
      <c r="G45" s="627">
        <f t="shared" si="4"/>
        <v>114388.95</v>
      </c>
    </row>
    <row r="46" spans="2:7" x14ac:dyDescent="0.25">
      <c r="B46" s="629" t="s">
        <v>3564</v>
      </c>
      <c r="C46" s="523"/>
      <c r="D46" s="523"/>
      <c r="E46" s="523">
        <f>+'EEFF Apple y cálculo ratios'!E244</f>
        <v>11519</v>
      </c>
      <c r="F46" s="523">
        <f>+'EEFF Apple y cálculo ratios'!F244</f>
        <v>11445</v>
      </c>
      <c r="G46" s="523">
        <f>+'EEFF Apple y cálculo ratios'!G244</f>
        <v>11698</v>
      </c>
    </row>
    <row r="47" spans="2:7" x14ac:dyDescent="0.25">
      <c r="B47" s="635" t="s">
        <v>3565</v>
      </c>
      <c r="C47" s="636"/>
      <c r="D47" s="636"/>
      <c r="E47" s="636">
        <f>+'EEFF Apple y cálculo ratios'!E245</f>
        <v>0</v>
      </c>
      <c r="F47" s="636">
        <f>+'EEFF Apple y cálculo ratios'!F245</f>
        <v>0</v>
      </c>
      <c r="G47" s="636">
        <f>+'EEFF Apple y cálculo ratios'!G245</f>
        <v>0</v>
      </c>
    </row>
    <row r="48" spans="2:7" x14ac:dyDescent="0.25">
      <c r="B48" s="629" t="s">
        <v>3566</v>
      </c>
      <c r="C48" s="523"/>
      <c r="D48" s="523"/>
      <c r="E48" s="523">
        <f>+'EEFF Apple y cálculo ratios'!E246</f>
        <v>1491.0500000000029</v>
      </c>
      <c r="F48" s="523">
        <f>+'EEFF Apple y cálculo ratios'!F246</f>
        <v>20151.100000000006</v>
      </c>
      <c r="G48" s="523">
        <f>+'EEFF Apple y cálculo ratios'!G246</f>
        <v>-14322.550000000003</v>
      </c>
    </row>
    <row r="49" spans="2:7" x14ac:dyDescent="0.25">
      <c r="B49" s="629" t="s">
        <v>3209</v>
      </c>
      <c r="C49" s="523"/>
      <c r="D49" s="523"/>
      <c r="E49" s="523">
        <f>+'EEFF Apple y cálculo ratios'!E247</f>
        <v>-10959</v>
      </c>
      <c r="F49" s="523">
        <f>+'EEFF Apple y cálculo ratios'!F247</f>
        <v>-9447</v>
      </c>
      <c r="G49" s="523">
        <f>+'EEFF Apple y cálculo ratios'!G247</f>
        <v>-12715</v>
      </c>
    </row>
    <row r="50" spans="2:7" x14ac:dyDescent="0.25">
      <c r="B50" s="631" t="s">
        <v>3567</v>
      </c>
      <c r="C50" s="319"/>
      <c r="D50" s="319"/>
      <c r="E50" s="319">
        <f>+SUM(E45:E49)</f>
        <v>102682.83333333334</v>
      </c>
      <c r="F50" s="319">
        <f t="shared" ref="F50:G50" si="5">+SUM(F45:F49)</f>
        <v>117347.25333333336</v>
      </c>
      <c r="G50" s="319">
        <f t="shared" si="5"/>
        <v>99049.4</v>
      </c>
    </row>
    <row r="51" spans="2:7" x14ac:dyDescent="0.25">
      <c r="B51" s="22"/>
      <c r="C51" s="22"/>
      <c r="D51" s="22"/>
      <c r="E51" s="22"/>
      <c r="F51" s="22"/>
      <c r="G51" s="22"/>
    </row>
    <row r="52" spans="2:7" x14ac:dyDescent="0.25">
      <c r="B52" s="22"/>
      <c r="C52" s="626">
        <v>2021</v>
      </c>
      <c r="D52" s="626">
        <v>2022</v>
      </c>
      <c r="E52" s="626">
        <v>2023</v>
      </c>
      <c r="F52" s="626">
        <v>2024</v>
      </c>
      <c r="G52" s="626">
        <v>2025</v>
      </c>
    </row>
    <row r="53" spans="2:7" x14ac:dyDescent="0.25">
      <c r="B53" s="632" t="s">
        <v>3571</v>
      </c>
      <c r="C53" s="329"/>
      <c r="D53" s="329"/>
      <c r="E53" s="329">
        <f>+'EEFF Apple y cálculo ratios'!E251</f>
        <v>102682.83333333334</v>
      </c>
      <c r="F53" s="329">
        <f>+'EEFF Apple y cálculo ratios'!F251</f>
        <v>117347.25333333336</v>
      </c>
      <c r="G53" s="329">
        <f>+'EEFF Apple y cálculo ratios'!G251</f>
        <v>99049.4</v>
      </c>
    </row>
    <row r="54" spans="2:7" x14ac:dyDescent="0.25">
      <c r="B54" s="632" t="s">
        <v>2918</v>
      </c>
      <c r="C54" s="329"/>
      <c r="D54" s="329"/>
      <c r="E54" s="329">
        <f>+'EEFF Apple y cálculo ratios'!E252</f>
        <v>92749.916666666686</v>
      </c>
      <c r="F54" s="329">
        <f>+'EEFF Apple y cálculo ratios'!F252</f>
        <v>86831.15</v>
      </c>
      <c r="G54" s="329">
        <f>+'EEFF Apple y cálculo ratios'!G252</f>
        <v>116805.7</v>
      </c>
    </row>
    <row r="55" spans="2:7" x14ac:dyDescent="0.25">
      <c r="B55" s="633" t="s">
        <v>3572</v>
      </c>
      <c r="C55" s="634"/>
      <c r="D55" s="634"/>
      <c r="E55" s="634">
        <f t="shared" ref="E55:G55" si="6">+E53/E54</f>
        <v>1.1070935373706534</v>
      </c>
      <c r="F55" s="634">
        <f t="shared" si="6"/>
        <v>1.3514418884620711</v>
      </c>
      <c r="G55" s="634">
        <f t="shared" si="6"/>
        <v>0.84798430213594023</v>
      </c>
    </row>
  </sheetData>
  <hyperlinks>
    <hyperlink ref="A1" location="Inicio!A1" display="Inicio" xr:uid="{ACFE8D74-25D7-4C3D-BF82-D789A012B916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779F8-16E9-46B4-82E7-65C1DF78B561}">
  <sheetPr>
    <tabColor theme="5" tint="0.79998168889431442"/>
  </sheetPr>
  <dimension ref="A1:G12"/>
  <sheetViews>
    <sheetView showGridLines="0" workbookViewId="0"/>
  </sheetViews>
  <sheetFormatPr defaultRowHeight="15" x14ac:dyDescent="0.25"/>
  <cols>
    <col min="2" max="2" width="54.140625" customWidth="1"/>
  </cols>
  <sheetData>
    <row r="1" spans="1:7" x14ac:dyDescent="0.25">
      <c r="A1" s="879" t="s">
        <v>2821</v>
      </c>
    </row>
    <row r="3" spans="1:7" x14ac:dyDescent="0.25">
      <c r="B3" s="22" t="s">
        <v>3819</v>
      </c>
      <c r="C3" s="22"/>
      <c r="D3" s="22"/>
      <c r="E3" s="22"/>
      <c r="F3" s="22"/>
      <c r="G3" s="22"/>
    </row>
    <row r="4" spans="1:7" x14ac:dyDescent="0.25">
      <c r="B4" s="637" t="s">
        <v>3017</v>
      </c>
      <c r="C4" s="626">
        <v>2021</v>
      </c>
      <c r="D4" s="626">
        <v>2022</v>
      </c>
      <c r="E4" s="626">
        <v>2023</v>
      </c>
      <c r="F4" s="626">
        <v>2024</v>
      </c>
      <c r="G4" s="638">
        <v>2025</v>
      </c>
    </row>
    <row r="5" spans="1:7" x14ac:dyDescent="0.25">
      <c r="B5" s="629" t="s">
        <v>3005</v>
      </c>
      <c r="C5" s="523"/>
      <c r="D5" s="523"/>
      <c r="E5" s="523">
        <f>+'EEFF Apple y cálculo ratios'!E257</f>
        <v>96995</v>
      </c>
      <c r="F5" s="523">
        <f>+'EEFF Apple y cálculo ratios'!F257</f>
        <v>93736</v>
      </c>
      <c r="G5" s="516">
        <f>+'EEFF Apple y cálculo ratios'!G257</f>
        <v>112010</v>
      </c>
    </row>
    <row r="6" spans="1:7" x14ac:dyDescent="0.25">
      <c r="B6" s="629" t="s">
        <v>3006</v>
      </c>
      <c r="C6" s="523"/>
      <c r="D6" s="523"/>
      <c r="E6" s="523">
        <f>+'EEFF Apple y cálculo ratios'!E258</f>
        <v>11519</v>
      </c>
      <c r="F6" s="523">
        <f>+'EEFF Apple y cálculo ratios'!F258</f>
        <v>11445</v>
      </c>
      <c r="G6" s="516">
        <f>+'EEFF Apple y cálculo ratios'!G258</f>
        <v>11698</v>
      </c>
    </row>
    <row r="7" spans="1:7" x14ac:dyDescent="0.25">
      <c r="B7" s="635" t="s">
        <v>3213</v>
      </c>
      <c r="C7" s="636"/>
      <c r="D7" s="636"/>
      <c r="E7" s="636">
        <f>+'EEFF Apple y cálculo ratios'!E259</f>
        <v>0</v>
      </c>
      <c r="F7" s="636">
        <f>+'EEFF Apple y cálculo ratios'!F259</f>
        <v>0</v>
      </c>
      <c r="G7" s="903">
        <f>+'EEFF Apple y cálculo ratios'!G259</f>
        <v>0</v>
      </c>
    </row>
    <row r="8" spans="1:7" x14ac:dyDescent="0.25">
      <c r="B8" s="629" t="s">
        <v>3007</v>
      </c>
      <c r="C8" s="523"/>
      <c r="D8" s="523"/>
      <c r="E8" s="523">
        <f>+'EEFF Apple y cálculo ratios'!E260</f>
        <v>-10959</v>
      </c>
      <c r="F8" s="523">
        <f>+'EEFF Apple y cálculo ratios'!F260</f>
        <v>-9447</v>
      </c>
      <c r="G8" s="516">
        <f>+'EEFF Apple y cálculo ratios'!G260</f>
        <v>-12715</v>
      </c>
    </row>
    <row r="9" spans="1:7" x14ac:dyDescent="0.25">
      <c r="B9" s="629" t="s">
        <v>3011</v>
      </c>
      <c r="C9" s="523"/>
      <c r="D9" s="523"/>
      <c r="E9" s="523">
        <f>+'EEFF Apple y cálculo ratios'!E261</f>
        <v>1491.0500000000029</v>
      </c>
      <c r="F9" s="523">
        <f>+'EEFF Apple y cálculo ratios'!F261</f>
        <v>20151.100000000006</v>
      </c>
      <c r="G9" s="516">
        <f>+'EEFF Apple y cálculo ratios'!G261</f>
        <v>-14322.550000000003</v>
      </c>
    </row>
    <row r="10" spans="1:7" x14ac:dyDescent="0.25">
      <c r="B10" s="733" t="s">
        <v>3012</v>
      </c>
      <c r="C10" s="524"/>
      <c r="D10" s="524"/>
      <c r="E10" s="524">
        <f>+'EEFF Apple y cálculo ratios'!E262</f>
        <v>99046.05</v>
      </c>
      <c r="F10" s="524">
        <f>+'EEFF Apple y cálculo ratios'!F262</f>
        <v>115885.1</v>
      </c>
      <c r="G10" s="518">
        <f>+'EEFF Apple y cálculo ratios'!G262</f>
        <v>96670.45</v>
      </c>
    </row>
    <row r="11" spans="1:7" x14ac:dyDescent="0.25">
      <c r="B11" s="629" t="s">
        <v>3206</v>
      </c>
      <c r="C11" s="523"/>
      <c r="D11" s="523"/>
      <c r="E11" s="523">
        <f>+'EEFF Apple y cálculo ratios'!E263</f>
        <v>-9901</v>
      </c>
      <c r="F11" s="523">
        <f>+'EEFF Apple y cálculo ratios'!F263</f>
        <v>-5998</v>
      </c>
      <c r="G11" s="516">
        <f>+'EEFF Apple y cálculo ratios'!G263</f>
        <v>-8483</v>
      </c>
    </row>
    <row r="12" spans="1:7" x14ac:dyDescent="0.25">
      <c r="B12" s="904" t="s">
        <v>3573</v>
      </c>
      <c r="C12" s="668"/>
      <c r="D12" s="668"/>
      <c r="E12" s="668">
        <f>+SUM(E10:E11)</f>
        <v>89145.05</v>
      </c>
      <c r="F12" s="668">
        <f t="shared" ref="F12:G12" si="0">+SUM(F10:F11)</f>
        <v>109887.1</v>
      </c>
      <c r="G12" s="905">
        <f t="shared" si="0"/>
        <v>88187.45</v>
      </c>
    </row>
  </sheetData>
  <hyperlinks>
    <hyperlink ref="A1" location="Inicio!A1" display="Inicio" xr:uid="{50D9C943-8199-4B2D-9E82-27BCC1D11E61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80A13-C7C9-4B75-840F-3E4BA1CE824A}">
  <sheetPr>
    <tabColor theme="5" tint="0.79998168889431442"/>
  </sheetPr>
  <dimension ref="A1:G10"/>
  <sheetViews>
    <sheetView showGridLines="0" workbookViewId="0">
      <selection activeCell="E8" sqref="E8"/>
    </sheetView>
  </sheetViews>
  <sheetFormatPr defaultRowHeight="15" x14ac:dyDescent="0.25"/>
  <cols>
    <col min="2" max="2" width="40.5703125" customWidth="1"/>
    <col min="5" max="5" width="9.7109375" bestFit="1" customWidth="1"/>
  </cols>
  <sheetData>
    <row r="1" spans="1:7" x14ac:dyDescent="0.25">
      <c r="A1" s="879" t="s">
        <v>2821</v>
      </c>
    </row>
    <row r="4" spans="1:7" x14ac:dyDescent="0.25">
      <c r="B4" s="22" t="s">
        <v>3822</v>
      </c>
      <c r="C4" s="626">
        <v>2021</v>
      </c>
      <c r="D4" s="626">
        <v>2022</v>
      </c>
      <c r="E4" s="626">
        <v>2023</v>
      </c>
      <c r="F4" s="626">
        <v>2024</v>
      </c>
      <c r="G4" s="638">
        <v>2025</v>
      </c>
    </row>
    <row r="5" spans="1:7" x14ac:dyDescent="0.25">
      <c r="B5" s="628" t="s">
        <v>3215</v>
      </c>
      <c r="C5" s="522"/>
      <c r="D5" s="522"/>
      <c r="E5" s="522">
        <f>+'EEFF Apple y cálculo ratios'!E283</f>
        <v>-77550</v>
      </c>
      <c r="F5" s="522">
        <f>+'EEFF Apple y cálculo ratios'!F283</f>
        <v>-94949</v>
      </c>
      <c r="G5" s="906">
        <f>+'EEFF Apple y cálculo ratios'!G283</f>
        <v>-90711</v>
      </c>
    </row>
    <row r="6" spans="1:7" x14ac:dyDescent="0.25">
      <c r="B6" s="629" t="s">
        <v>3152</v>
      </c>
      <c r="C6" s="523"/>
      <c r="D6" s="523"/>
      <c r="E6" s="523">
        <f>+'EEFF Apple y cálculo ratios'!E284</f>
        <v>-15025</v>
      </c>
      <c r="F6" s="523">
        <f>+'EEFF Apple y cálculo ratios'!F284</f>
        <v>-15234</v>
      </c>
      <c r="G6" s="516">
        <f>+'EEFF Apple y cálculo ratios'!G284</f>
        <v>-15421</v>
      </c>
    </row>
    <row r="7" spans="1:7" x14ac:dyDescent="0.25">
      <c r="B7" s="910" t="s">
        <v>3536</v>
      </c>
      <c r="C7" s="911"/>
      <c r="D7" s="911"/>
      <c r="E7" s="911">
        <f>+'EEFF Apple y cálculo ratios'!E285</f>
        <v>-92575</v>
      </c>
      <c r="F7" s="911">
        <f>+'EEFF Apple y cálculo ratios'!F285</f>
        <v>-110183</v>
      </c>
      <c r="G7" s="912">
        <f>+'EEFF Apple y cálculo ratios'!G285</f>
        <v>-106132</v>
      </c>
    </row>
    <row r="8" spans="1:7" x14ac:dyDescent="0.25">
      <c r="B8" s="910" t="s">
        <v>3576</v>
      </c>
      <c r="C8" s="911"/>
      <c r="D8" s="911"/>
      <c r="E8" s="911">
        <f>+'EEFF Apple y cálculo ratios'!E286</f>
        <v>89145.05</v>
      </c>
      <c r="F8" s="911">
        <f>+'EEFF Apple y cálculo ratios'!F286</f>
        <v>109887.1</v>
      </c>
      <c r="G8" s="912">
        <f>+'EEFF Apple y cálculo ratios'!G286</f>
        <v>88187.45</v>
      </c>
    </row>
    <row r="9" spans="1:7" x14ac:dyDescent="0.25">
      <c r="B9" s="907" t="s">
        <v>3217</v>
      </c>
      <c r="C9" s="908"/>
      <c r="D9" s="908"/>
      <c r="E9" s="908">
        <f>-E7/E8</f>
        <v>1.0384760567187969</v>
      </c>
      <c r="F9" s="908">
        <f t="shared" ref="F9:G9" si="0">-F7/F8</f>
        <v>1.0026927637547991</v>
      </c>
      <c r="G9" s="909">
        <f t="shared" si="0"/>
        <v>1.2034819013363014</v>
      </c>
    </row>
    <row r="10" spans="1:7" x14ac:dyDescent="0.25">
      <c r="B10" s="913" t="s">
        <v>3577</v>
      </c>
      <c r="C10" s="22"/>
      <c r="D10" s="22"/>
      <c r="E10" s="902"/>
      <c r="F10" s="22"/>
      <c r="G10" s="22"/>
    </row>
  </sheetData>
  <hyperlinks>
    <hyperlink ref="A1" location="Inicio!A1" display="Inicio" xr:uid="{5F98E5A8-A82C-4ECE-9009-50ADF49DAFB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0F07B-408F-4229-A85B-C0597ECDB8FF}">
  <sheetPr>
    <tabColor theme="5" tint="0.79998168889431442"/>
  </sheetPr>
  <dimension ref="A1:N46"/>
  <sheetViews>
    <sheetView showGridLines="0" topLeftCell="A20" workbookViewId="0"/>
  </sheetViews>
  <sheetFormatPr defaultColWidth="43.42578125" defaultRowHeight="15" x14ac:dyDescent="0.25"/>
  <cols>
    <col min="1" max="1" width="9.7109375" customWidth="1"/>
    <col min="2" max="2" width="58.140625" customWidth="1"/>
    <col min="3" max="7" width="12.42578125" bestFit="1" customWidth="1"/>
    <col min="8" max="8" width="12.7109375" bestFit="1" customWidth="1"/>
    <col min="9" max="9" width="12.42578125" bestFit="1" customWidth="1"/>
    <col min="10" max="13" width="12.7109375" bestFit="1" customWidth="1"/>
  </cols>
  <sheetData>
    <row r="1" spans="1:13" x14ac:dyDescent="0.25">
      <c r="A1" s="879" t="s">
        <v>2821</v>
      </c>
    </row>
    <row r="2" spans="1:13" ht="15.75" x14ac:dyDescent="0.25">
      <c r="B2" s="332" t="s">
        <v>2960</v>
      </c>
      <c r="C2" s="333">
        <v>42273</v>
      </c>
      <c r="D2" s="333">
        <v>42637</v>
      </c>
      <c r="E2" s="333">
        <v>43008</v>
      </c>
      <c r="F2" s="333">
        <v>43372</v>
      </c>
      <c r="G2" s="333">
        <v>43736</v>
      </c>
      <c r="H2" s="333">
        <v>44100</v>
      </c>
      <c r="I2" s="333">
        <v>44464</v>
      </c>
      <c r="J2" s="333">
        <v>44828</v>
      </c>
      <c r="K2" s="333">
        <v>45199</v>
      </c>
      <c r="L2" s="333">
        <v>45565</v>
      </c>
      <c r="M2" s="333">
        <v>45927</v>
      </c>
    </row>
    <row r="3" spans="1:13" ht="15.75" x14ac:dyDescent="0.25">
      <c r="B3" s="334" t="s">
        <v>2934</v>
      </c>
      <c r="C3" s="100">
        <v>53394</v>
      </c>
      <c r="D3" s="100">
        <v>45687</v>
      </c>
      <c r="E3" s="100">
        <v>48351</v>
      </c>
      <c r="F3" s="100">
        <v>59531</v>
      </c>
      <c r="G3" s="100">
        <v>55256</v>
      </c>
      <c r="H3" s="100">
        <v>57411</v>
      </c>
      <c r="I3" s="100">
        <v>94680</v>
      </c>
      <c r="J3" s="100">
        <v>99803</v>
      </c>
      <c r="K3" s="100">
        <v>96995</v>
      </c>
      <c r="L3" s="100">
        <v>93736</v>
      </c>
      <c r="M3" s="100">
        <v>112010</v>
      </c>
    </row>
    <row r="4" spans="1:13" ht="15.75" x14ac:dyDescent="0.25">
      <c r="B4" s="334" t="s">
        <v>2935</v>
      </c>
      <c r="C4" s="100">
        <v>9957</v>
      </c>
      <c r="D4" s="100">
        <v>10505</v>
      </c>
      <c r="E4" s="100">
        <v>10157</v>
      </c>
      <c r="F4" s="100">
        <v>10903</v>
      </c>
      <c r="G4" s="100">
        <v>12547</v>
      </c>
      <c r="H4" s="100">
        <v>11056</v>
      </c>
      <c r="I4" s="100">
        <v>11284</v>
      </c>
      <c r="J4" s="100">
        <v>11104</v>
      </c>
      <c r="K4" s="100">
        <v>11519</v>
      </c>
      <c r="L4" s="100">
        <v>11445</v>
      </c>
      <c r="M4" s="100"/>
    </row>
    <row r="5" spans="1:13" ht="15.75" x14ac:dyDescent="0.25">
      <c r="B5" s="334" t="s">
        <v>2936</v>
      </c>
      <c r="C5" s="100">
        <v>1300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</row>
    <row r="6" spans="1:13" ht="15.75" x14ac:dyDescent="0.25">
      <c r="B6" s="334" t="s">
        <v>2937</v>
      </c>
      <c r="C6" s="100">
        <v>11257</v>
      </c>
      <c r="D6" s="100">
        <v>10505</v>
      </c>
      <c r="E6" s="100">
        <v>10157</v>
      </c>
      <c r="F6" s="100">
        <v>10903</v>
      </c>
      <c r="G6" s="100">
        <v>12547</v>
      </c>
      <c r="H6" s="100">
        <v>11056</v>
      </c>
      <c r="I6" s="100">
        <v>11284</v>
      </c>
      <c r="J6" s="100">
        <v>11104</v>
      </c>
      <c r="K6" s="100">
        <v>11519</v>
      </c>
      <c r="L6" s="100">
        <f>+L4</f>
        <v>11445</v>
      </c>
      <c r="M6" s="100">
        <v>11698</v>
      </c>
    </row>
    <row r="7" spans="1:13" ht="15.75" x14ac:dyDescent="0.25">
      <c r="B7" s="334" t="s">
        <v>2938</v>
      </c>
      <c r="C7" s="100">
        <v>3586</v>
      </c>
      <c r="D7" s="100">
        <v>4210</v>
      </c>
      <c r="E7" s="100">
        <v>4840</v>
      </c>
      <c r="F7" s="100">
        <v>5340</v>
      </c>
      <c r="G7" s="100">
        <v>6068</v>
      </c>
      <c r="H7" s="100">
        <v>6829</v>
      </c>
      <c r="I7" s="100">
        <v>7906</v>
      </c>
      <c r="J7" s="100">
        <v>9038</v>
      </c>
      <c r="K7" s="100">
        <v>10833</v>
      </c>
      <c r="L7" s="100">
        <v>11688</v>
      </c>
      <c r="M7" s="100">
        <v>12863</v>
      </c>
    </row>
    <row r="8" spans="1:13" ht="15.75" x14ac:dyDescent="0.25">
      <c r="B8" s="334" t="s">
        <v>2939</v>
      </c>
      <c r="C8" s="100">
        <v>1767</v>
      </c>
      <c r="D8" s="100">
        <v>5424</v>
      </c>
      <c r="E8" s="100">
        <v>5800</v>
      </c>
      <c r="F8" s="100">
        <v>-33034</v>
      </c>
      <c r="G8" s="100">
        <v>-992</v>
      </c>
      <c r="H8" s="100">
        <v>-312</v>
      </c>
      <c r="I8" s="100">
        <v>-4921</v>
      </c>
      <c r="J8" s="100">
        <v>1006</v>
      </c>
      <c r="K8" s="100">
        <v>-2227</v>
      </c>
      <c r="L8" s="100">
        <v>-2266</v>
      </c>
      <c r="M8" s="100">
        <v>-89</v>
      </c>
    </row>
    <row r="9" spans="1:13" ht="15.75" x14ac:dyDescent="0.25">
      <c r="B9" s="334" t="s">
        <v>2940</v>
      </c>
      <c r="C9" s="100">
        <v>417</v>
      </c>
      <c r="D9" s="100">
        <v>527</v>
      </c>
      <c r="E9" s="100">
        <v>-2093</v>
      </c>
      <c r="F9" s="100">
        <v>-5322</v>
      </c>
      <c r="G9" s="100">
        <v>245</v>
      </c>
      <c r="H9" s="100">
        <v>6917</v>
      </c>
      <c r="I9" s="100">
        <v>-10125</v>
      </c>
      <c r="J9" s="100">
        <v>-1823</v>
      </c>
      <c r="K9" s="100">
        <v>-1688</v>
      </c>
      <c r="L9" s="100">
        <v>-3788</v>
      </c>
      <c r="M9" s="100">
        <v>-6682</v>
      </c>
    </row>
    <row r="10" spans="1:13" ht="15.75" x14ac:dyDescent="0.25">
      <c r="B10" s="334" t="s">
        <v>2941</v>
      </c>
      <c r="C10" s="100">
        <v>-238</v>
      </c>
      <c r="D10" s="100">
        <v>217</v>
      </c>
      <c r="E10" s="100">
        <v>-2723</v>
      </c>
      <c r="F10" s="100">
        <v>828</v>
      </c>
      <c r="G10" s="100">
        <v>-289</v>
      </c>
      <c r="H10" s="100">
        <v>-127</v>
      </c>
      <c r="I10" s="100">
        <v>-2642</v>
      </c>
      <c r="J10" s="100">
        <v>1484</v>
      </c>
      <c r="K10" s="100">
        <v>-1618</v>
      </c>
      <c r="L10" s="100">
        <v>-1046</v>
      </c>
      <c r="M10" s="100">
        <v>1400</v>
      </c>
    </row>
    <row r="11" spans="1:13" ht="15.75" x14ac:dyDescent="0.25">
      <c r="B11" s="334" t="s">
        <v>2942</v>
      </c>
      <c r="C11" s="100">
        <v>5001</v>
      </c>
      <c r="D11" s="100">
        <v>2117</v>
      </c>
      <c r="E11" s="100">
        <v>8966</v>
      </c>
      <c r="F11" s="100">
        <v>9175</v>
      </c>
      <c r="G11" s="100">
        <v>-1923</v>
      </c>
      <c r="H11" s="100">
        <v>-4062</v>
      </c>
      <c r="I11" s="100">
        <v>12326</v>
      </c>
      <c r="J11" s="100">
        <v>9448</v>
      </c>
      <c r="K11" s="100">
        <v>-1889</v>
      </c>
      <c r="L11" s="100">
        <v>6020</v>
      </c>
      <c r="M11" s="100">
        <v>902</v>
      </c>
    </row>
    <row r="12" spans="1:13" ht="15.75" x14ac:dyDescent="0.25">
      <c r="B12" s="334" t="s">
        <v>2943</v>
      </c>
      <c r="C12" s="100">
        <v>1042</v>
      </c>
      <c r="D12" s="100">
        <v>-1554</v>
      </c>
      <c r="E12" s="100">
        <v>-593</v>
      </c>
      <c r="F12" s="100">
        <v>-3</v>
      </c>
      <c r="G12" s="100">
        <v>-625</v>
      </c>
      <c r="H12" s="100">
        <v>2081</v>
      </c>
      <c r="I12" s="100"/>
      <c r="J12" s="100"/>
      <c r="K12" s="100"/>
      <c r="L12" s="100"/>
      <c r="M12" s="100"/>
    </row>
    <row r="13" spans="1:13" ht="15.75" x14ac:dyDescent="0.25">
      <c r="B13" s="334" t="s">
        <v>2944</v>
      </c>
      <c r="C13" s="100">
        <v>5040</v>
      </c>
      <c r="D13" s="100">
        <v>-902</v>
      </c>
      <c r="E13" s="100">
        <v>-8480</v>
      </c>
      <c r="F13" s="100">
        <v>30016</v>
      </c>
      <c r="G13" s="100">
        <v>-896</v>
      </c>
      <c r="H13" s="100">
        <v>881</v>
      </c>
      <c r="I13" s="100">
        <v>-4470</v>
      </c>
      <c r="J13" s="100">
        <v>-7909</v>
      </c>
      <c r="K13" s="100">
        <v>-1382</v>
      </c>
      <c r="L13" s="100">
        <v>2465</v>
      </c>
      <c r="M13" s="100">
        <v>-20620</v>
      </c>
    </row>
    <row r="14" spans="1:13" ht="15.75" x14ac:dyDescent="0.25">
      <c r="B14" s="342" t="s">
        <v>2945</v>
      </c>
      <c r="C14" s="343">
        <v>81266</v>
      </c>
      <c r="D14" s="343">
        <v>66231</v>
      </c>
      <c r="E14" s="343">
        <v>64225</v>
      </c>
      <c r="F14" s="343">
        <v>77434</v>
      </c>
      <c r="G14" s="343">
        <v>69391</v>
      </c>
      <c r="H14" s="343">
        <v>80674</v>
      </c>
      <c r="I14" s="343">
        <v>104038</v>
      </c>
      <c r="J14" s="343">
        <v>122151</v>
      </c>
      <c r="K14" s="343">
        <v>110543</v>
      </c>
      <c r="L14" s="343">
        <f>+SUM(L6:L13)+L3</f>
        <v>118254</v>
      </c>
      <c r="M14" s="343">
        <v>111482</v>
      </c>
    </row>
    <row r="15" spans="1:13" ht="15.75" x14ac:dyDescent="0.25">
      <c r="B15" s="334" t="s">
        <v>2946</v>
      </c>
      <c r="C15" s="100">
        <v>-11247</v>
      </c>
      <c r="D15" s="100">
        <v>-12734</v>
      </c>
      <c r="E15" s="100">
        <v>-12451</v>
      </c>
      <c r="F15" s="100">
        <v>-13313</v>
      </c>
      <c r="G15" s="100">
        <v>-10495</v>
      </c>
      <c r="H15" s="100">
        <v>-7309</v>
      </c>
      <c r="I15" s="100">
        <v>-11085</v>
      </c>
      <c r="J15" s="100">
        <v>-10708</v>
      </c>
      <c r="K15" s="100">
        <v>-10959</v>
      </c>
      <c r="L15" s="100">
        <v>-9447</v>
      </c>
      <c r="M15" s="100">
        <v>-12715</v>
      </c>
    </row>
    <row r="16" spans="1:13" ht="15.75" x14ac:dyDescent="0.25">
      <c r="B16" s="334" t="s">
        <v>2947</v>
      </c>
      <c r="C16" s="100">
        <v>-343</v>
      </c>
      <c r="D16" s="100">
        <v>-297</v>
      </c>
      <c r="E16" s="100">
        <v>-329</v>
      </c>
      <c r="F16" s="100">
        <v>-721</v>
      </c>
      <c r="G16" s="100">
        <v>-624</v>
      </c>
      <c r="H16" s="100">
        <v>-1524</v>
      </c>
      <c r="I16" s="100"/>
      <c r="J16" s="100"/>
      <c r="K16" s="100"/>
      <c r="L16" s="100"/>
      <c r="M16" s="100"/>
    </row>
    <row r="17" spans="2:13" ht="15.75" x14ac:dyDescent="0.25">
      <c r="B17" s="334" t="s">
        <v>2948</v>
      </c>
      <c r="C17" s="100">
        <v>-241</v>
      </c>
      <c r="D17" s="100"/>
      <c r="E17" s="100"/>
      <c r="F17" s="100"/>
      <c r="G17" s="100"/>
      <c r="H17" s="100"/>
      <c r="I17" s="100"/>
      <c r="J17" s="100"/>
      <c r="K17" s="100"/>
      <c r="L17" s="100"/>
      <c r="M17" s="100"/>
    </row>
    <row r="18" spans="2:13" ht="15.75" x14ac:dyDescent="0.25">
      <c r="B18" s="334" t="s">
        <v>2949</v>
      </c>
      <c r="C18" s="100">
        <v>-44417</v>
      </c>
      <c r="D18" s="100">
        <v>-32022</v>
      </c>
      <c r="E18" s="100">
        <v>-33542</v>
      </c>
      <c r="F18" s="100">
        <v>30845</v>
      </c>
      <c r="G18" s="100">
        <v>58093</v>
      </c>
      <c r="H18" s="100">
        <v>5453</v>
      </c>
      <c r="I18" s="100">
        <v>-3075</v>
      </c>
      <c r="J18" s="100">
        <v>-9560</v>
      </c>
      <c r="K18" s="100">
        <v>16001</v>
      </c>
      <c r="L18" s="100">
        <v>13690</v>
      </c>
      <c r="M18" s="100">
        <v>29390</v>
      </c>
    </row>
    <row r="19" spans="2:13" ht="15.75" x14ac:dyDescent="0.25">
      <c r="B19" s="334" t="s">
        <v>2950</v>
      </c>
      <c r="C19" s="100">
        <v>-26</v>
      </c>
      <c r="D19" s="100">
        <v>-924</v>
      </c>
      <c r="E19" s="100">
        <v>-124</v>
      </c>
      <c r="F19" s="100">
        <v>-745</v>
      </c>
      <c r="G19" s="100">
        <v>-1078</v>
      </c>
      <c r="H19" s="100">
        <v>-909</v>
      </c>
      <c r="I19" s="100">
        <v>-385</v>
      </c>
      <c r="J19" s="100">
        <v>-2086</v>
      </c>
      <c r="K19" s="100">
        <v>-1337</v>
      </c>
      <c r="L19" s="100">
        <v>-1308</v>
      </c>
      <c r="M19" s="100">
        <v>-1480</v>
      </c>
    </row>
    <row r="20" spans="2:13" ht="15.75" x14ac:dyDescent="0.25">
      <c r="B20" s="342" t="s">
        <v>2951</v>
      </c>
      <c r="C20" s="343">
        <v>-56274</v>
      </c>
      <c r="D20" s="343">
        <v>-45977</v>
      </c>
      <c r="E20" s="343">
        <v>-46446</v>
      </c>
      <c r="F20" s="343">
        <v>16066</v>
      </c>
      <c r="G20" s="343">
        <v>45896</v>
      </c>
      <c r="H20" s="343">
        <v>-4289</v>
      </c>
      <c r="I20" s="343">
        <v>-14545</v>
      </c>
      <c r="J20" s="343">
        <v>-22354</v>
      </c>
      <c r="K20" s="343">
        <v>3705</v>
      </c>
      <c r="L20" s="343">
        <f>+SUM(L15:L19)</f>
        <v>2935</v>
      </c>
      <c r="M20" s="343">
        <v>15195</v>
      </c>
    </row>
    <row r="21" spans="2:13" ht="15.75" x14ac:dyDescent="0.25">
      <c r="B21" s="334" t="s">
        <v>2952</v>
      </c>
      <c r="C21" s="100">
        <v>29305</v>
      </c>
      <c r="D21" s="100">
        <v>24954</v>
      </c>
      <c r="E21" s="100">
        <v>32514</v>
      </c>
      <c r="F21" s="100">
        <v>6969</v>
      </c>
      <c r="G21" s="100">
        <v>6963</v>
      </c>
      <c r="H21" s="100">
        <v>16091</v>
      </c>
      <c r="I21" s="100">
        <v>21415</v>
      </c>
      <c r="J21" s="100">
        <v>9420</v>
      </c>
      <c r="K21" s="100">
        <v>5228</v>
      </c>
      <c r="L21" s="100">
        <v>3960</v>
      </c>
      <c r="M21" s="100">
        <v>4481</v>
      </c>
    </row>
    <row r="22" spans="2:13" ht="15.75" x14ac:dyDescent="0.25">
      <c r="B22" s="334" t="s">
        <v>2953</v>
      </c>
      <c r="C22" s="100"/>
      <c r="D22" s="100">
        <v>-2897</v>
      </c>
      <c r="E22" s="100">
        <v>-3500</v>
      </c>
      <c r="F22" s="100">
        <v>-6537</v>
      </c>
      <c r="G22" s="100">
        <v>-14782</v>
      </c>
      <c r="H22" s="100">
        <v>-13592</v>
      </c>
      <c r="I22" s="100">
        <v>-8750</v>
      </c>
      <c r="J22" s="100">
        <v>-9543</v>
      </c>
      <c r="K22" s="100">
        <v>-15129</v>
      </c>
      <c r="L22" s="100">
        <v>-9958</v>
      </c>
      <c r="M22" s="100">
        <v>-12964</v>
      </c>
    </row>
    <row r="23" spans="2:13" ht="15.75" x14ac:dyDescent="0.25">
      <c r="B23" s="334" t="s">
        <v>2954</v>
      </c>
      <c r="C23" s="100">
        <v>543</v>
      </c>
      <c r="D23" s="100">
        <v>495</v>
      </c>
      <c r="E23" s="100">
        <v>555</v>
      </c>
      <c r="F23" s="100">
        <v>669</v>
      </c>
      <c r="G23" s="100">
        <v>781</v>
      </c>
      <c r="H23" s="100"/>
      <c r="I23" s="100"/>
      <c r="J23" s="100"/>
      <c r="K23" s="100"/>
      <c r="L23" s="100"/>
      <c r="M23" s="100"/>
    </row>
    <row r="24" spans="2:13" ht="15.75" x14ac:dyDescent="0.25">
      <c r="B24" s="334" t="s">
        <v>2955</v>
      </c>
      <c r="C24" s="100">
        <v>-36752</v>
      </c>
      <c r="D24" s="100">
        <v>-31292</v>
      </c>
      <c r="E24" s="100">
        <v>-34774</v>
      </c>
      <c r="F24" s="100">
        <v>-75265</v>
      </c>
      <c r="G24" s="100">
        <v>-69714</v>
      </c>
      <c r="H24" s="100">
        <v>-75992</v>
      </c>
      <c r="I24" s="100">
        <v>-92527</v>
      </c>
      <c r="J24" s="100">
        <v>-95625</v>
      </c>
      <c r="K24" s="100">
        <v>-82981</v>
      </c>
      <c r="L24" s="100">
        <v>-100390</v>
      </c>
      <c r="M24" s="100">
        <v>-96671</v>
      </c>
    </row>
    <row r="25" spans="2:13" ht="15.75" x14ac:dyDescent="0.25">
      <c r="B25" s="334" t="s">
        <v>2956</v>
      </c>
      <c r="C25" s="100">
        <v>-11561</v>
      </c>
      <c r="D25" s="100">
        <v>-12150</v>
      </c>
      <c r="E25" s="100">
        <v>-12769</v>
      </c>
      <c r="F25" s="100">
        <v>-13712</v>
      </c>
      <c r="G25" s="100">
        <v>-14119</v>
      </c>
      <c r="H25" s="100">
        <v>-14081</v>
      </c>
      <c r="I25" s="100">
        <v>-14467</v>
      </c>
      <c r="J25" s="100">
        <v>-14841</v>
      </c>
      <c r="K25" s="100">
        <v>-15025</v>
      </c>
      <c r="L25" s="100">
        <v>-15234</v>
      </c>
      <c r="M25" s="100">
        <v>-15421</v>
      </c>
    </row>
    <row r="26" spans="2:13" ht="15.75" x14ac:dyDescent="0.25">
      <c r="B26" s="334" t="s">
        <v>2957</v>
      </c>
      <c r="C26" s="100">
        <v>749</v>
      </c>
      <c r="D26" s="100"/>
      <c r="E26" s="100"/>
      <c r="F26" s="100"/>
      <c r="G26" s="100">
        <v>-105</v>
      </c>
      <c r="H26" s="100">
        <v>754</v>
      </c>
      <c r="I26" s="100">
        <v>976</v>
      </c>
      <c r="J26" s="100">
        <v>-160</v>
      </c>
      <c r="K26" s="100">
        <v>-581</v>
      </c>
      <c r="L26" s="100">
        <v>-361</v>
      </c>
      <c r="M26" s="100">
        <v>-111</v>
      </c>
    </row>
    <row r="27" spans="2:13" ht="15.75" x14ac:dyDescent="0.25">
      <c r="B27" s="342" t="s">
        <v>2958</v>
      </c>
      <c r="C27" s="343">
        <v>-17716</v>
      </c>
      <c r="D27" s="343">
        <v>-20890</v>
      </c>
      <c r="E27" s="343">
        <v>-17974</v>
      </c>
      <c r="F27" s="343">
        <v>-87876</v>
      </c>
      <c r="G27" s="343">
        <v>-90976</v>
      </c>
      <c r="H27" s="343">
        <v>-86820</v>
      </c>
      <c r="I27" s="343">
        <v>-93353</v>
      </c>
      <c r="J27" s="343">
        <v>-110749</v>
      </c>
      <c r="K27" s="343">
        <v>-108488</v>
      </c>
      <c r="L27" s="343">
        <f>+SUM(L21:L26)</f>
        <v>-121983</v>
      </c>
      <c r="M27" s="343">
        <v>-120686</v>
      </c>
    </row>
    <row r="28" spans="2:13" ht="15.75" x14ac:dyDescent="0.25">
      <c r="B28" s="334" t="s">
        <v>2959</v>
      </c>
      <c r="C28" s="100">
        <v>7276</v>
      </c>
      <c r="D28" s="100">
        <v>-636</v>
      </c>
      <c r="E28" s="100">
        <v>-195</v>
      </c>
      <c r="F28" s="100">
        <v>5624</v>
      </c>
      <c r="G28" s="100">
        <v>24311</v>
      </c>
      <c r="H28" s="100">
        <v>-10435</v>
      </c>
      <c r="I28" s="100">
        <v>-3860</v>
      </c>
      <c r="J28" s="100">
        <v>-10952</v>
      </c>
      <c r="K28" s="100">
        <v>5760</v>
      </c>
      <c r="L28" s="100">
        <f>+L27+L20+L14</f>
        <v>-794</v>
      </c>
      <c r="M28" s="100">
        <v>5991</v>
      </c>
    </row>
    <row r="32" spans="2:13" x14ac:dyDescent="0.25">
      <c r="B32" t="s">
        <v>3825</v>
      </c>
    </row>
    <row r="33" spans="2:14" x14ac:dyDescent="0.25">
      <c r="C33" s="626">
        <v>2015</v>
      </c>
      <c r="D33" s="626">
        <v>2016</v>
      </c>
      <c r="E33" s="626">
        <v>2017</v>
      </c>
      <c r="F33" s="626">
        <v>2018</v>
      </c>
      <c r="G33" s="626">
        <v>2019</v>
      </c>
      <c r="H33" s="626">
        <v>2020</v>
      </c>
      <c r="I33" s="626">
        <v>2021</v>
      </c>
      <c r="J33" s="626">
        <v>2022</v>
      </c>
      <c r="K33" s="626">
        <v>2023</v>
      </c>
      <c r="L33" s="626">
        <v>2024</v>
      </c>
      <c r="M33" s="626">
        <v>2025</v>
      </c>
    </row>
    <row r="34" spans="2:14" ht="15.75" x14ac:dyDescent="0.25">
      <c r="B34" s="643" t="s">
        <v>3578</v>
      </c>
      <c r="C34" s="599">
        <f>+C14+C15+C21+C22</f>
        <v>99324</v>
      </c>
      <c r="D34" s="599">
        <f t="shared" ref="D34:M34" si="0">+D14+D15+D21+D22</f>
        <v>75554</v>
      </c>
      <c r="E34" s="599">
        <f t="shared" si="0"/>
        <v>80788</v>
      </c>
      <c r="F34" s="599">
        <f t="shared" si="0"/>
        <v>64553</v>
      </c>
      <c r="G34" s="599">
        <f t="shared" si="0"/>
        <v>51077</v>
      </c>
      <c r="H34" s="599">
        <f t="shared" si="0"/>
        <v>75864</v>
      </c>
      <c r="I34" s="599">
        <f>+I14+I15+I21+I22</f>
        <v>105618</v>
      </c>
      <c r="J34" s="599">
        <f t="shared" si="0"/>
        <v>111320</v>
      </c>
      <c r="K34" s="599">
        <f t="shared" si="0"/>
        <v>89683</v>
      </c>
      <c r="L34" s="599">
        <f t="shared" si="0"/>
        <v>102809</v>
      </c>
      <c r="M34" s="599">
        <f t="shared" si="0"/>
        <v>90284</v>
      </c>
    </row>
    <row r="35" spans="2:14" ht="15.75" x14ac:dyDescent="0.25">
      <c r="B35" s="643" t="s">
        <v>3579</v>
      </c>
      <c r="C35" s="599">
        <v>23013.68</v>
      </c>
      <c r="D35" s="599">
        <v>21883.279999999999</v>
      </c>
      <c r="E35" s="599">
        <v>20868.97</v>
      </c>
      <c r="F35" s="599">
        <v>19821.509999999998</v>
      </c>
      <c r="G35" s="599">
        <v>18471.34</v>
      </c>
      <c r="H35" s="599">
        <v>17352.12</v>
      </c>
      <c r="I35" s="599">
        <v>16701.27</v>
      </c>
      <c r="J35" s="599">
        <v>16215.96</v>
      </c>
      <c r="K35" s="599">
        <v>15744.23</v>
      </c>
      <c r="L35" s="599">
        <v>15343.78</v>
      </c>
      <c r="M35" s="599">
        <v>14948.5</v>
      </c>
    </row>
    <row r="36" spans="2:14" ht="15.75" x14ac:dyDescent="0.25">
      <c r="B36" s="612" t="s">
        <v>3580</v>
      </c>
      <c r="C36" s="616">
        <f>+C34/C35</f>
        <v>4.3158677795120122</v>
      </c>
      <c r="D36" s="616">
        <f t="shared" ref="D36:M36" si="1">+D34/D35</f>
        <v>3.4525902881103749</v>
      </c>
      <c r="E36" s="616">
        <f t="shared" si="1"/>
        <v>3.8712020765758921</v>
      </c>
      <c r="F36" s="616">
        <f t="shared" si="1"/>
        <v>3.2567145489924836</v>
      </c>
      <c r="G36" s="616">
        <f t="shared" si="1"/>
        <v>2.7652027411113651</v>
      </c>
      <c r="H36" s="616">
        <f t="shared" si="1"/>
        <v>4.3720306221948677</v>
      </c>
      <c r="I36" s="616">
        <f t="shared" si="1"/>
        <v>6.3239502145645208</v>
      </c>
      <c r="J36" s="616">
        <f t="shared" si="1"/>
        <v>6.8648417978337397</v>
      </c>
      <c r="K36" s="616">
        <f t="shared" si="1"/>
        <v>5.6962455451933822</v>
      </c>
      <c r="L36" s="616">
        <f t="shared" si="1"/>
        <v>6.7003697915376783</v>
      </c>
      <c r="M36" s="616">
        <f t="shared" si="1"/>
        <v>6.0396695320600733</v>
      </c>
      <c r="N36" s="268">
        <f>+(M36/C36)^(1/10)-1</f>
        <v>3.4176118058630189E-2</v>
      </c>
    </row>
    <row r="37" spans="2:14" ht="15.75" x14ac:dyDescent="0.25">
      <c r="B37" s="334"/>
    </row>
    <row r="38" spans="2:14" ht="15.75" x14ac:dyDescent="0.25">
      <c r="B38" s="643" t="s">
        <v>3582</v>
      </c>
      <c r="C38" s="599">
        <v>28.68</v>
      </c>
      <c r="D38" s="599">
        <v>28.18</v>
      </c>
      <c r="E38" s="599">
        <v>38.53</v>
      </c>
      <c r="F38" s="599">
        <v>56.44</v>
      </c>
      <c r="G38" s="599">
        <v>54.71</v>
      </c>
      <c r="H38" s="599">
        <v>112.28</v>
      </c>
      <c r="I38" s="599">
        <v>146.91999999999999</v>
      </c>
      <c r="J38" s="599">
        <v>150.43</v>
      </c>
      <c r="K38" s="599">
        <v>171.21</v>
      </c>
      <c r="L38" s="599">
        <v>227.79</v>
      </c>
      <c r="M38" s="599">
        <v>255.46</v>
      </c>
    </row>
    <row r="40" spans="2:14" ht="15.75" x14ac:dyDescent="0.25">
      <c r="B40" s="643" t="s">
        <v>3581</v>
      </c>
      <c r="C40" s="600">
        <f t="shared" ref="C40:M40" si="2">+C36/C38</f>
        <v>0.15048353485048857</v>
      </c>
      <c r="D40" s="600">
        <f t="shared" si="2"/>
        <v>0.12251917275054559</v>
      </c>
      <c r="E40" s="600">
        <f t="shared" si="2"/>
        <v>0.10047241309566292</v>
      </c>
      <c r="F40" s="600">
        <f t="shared" si="2"/>
        <v>5.7702242186259453E-2</v>
      </c>
      <c r="G40" s="600">
        <f t="shared" si="2"/>
        <v>5.0542912467763941E-2</v>
      </c>
      <c r="H40" s="600">
        <f t="shared" si="2"/>
        <v>3.8938641095429889E-2</v>
      </c>
      <c r="I40" s="600">
        <f t="shared" si="2"/>
        <v>4.3043494517863608E-2</v>
      </c>
      <c r="J40" s="600">
        <f t="shared" si="2"/>
        <v>4.5634792247781289E-2</v>
      </c>
      <c r="K40" s="600">
        <f t="shared" si="2"/>
        <v>3.3270518925257765E-2</v>
      </c>
      <c r="L40" s="600">
        <f t="shared" si="2"/>
        <v>2.9414679272741027E-2</v>
      </c>
      <c r="M40" s="600">
        <f t="shared" si="2"/>
        <v>2.3642329648712414E-2</v>
      </c>
    </row>
    <row r="41" spans="2:14" ht="15.75" x14ac:dyDescent="0.25">
      <c r="B41" s="643" t="s">
        <v>3783</v>
      </c>
      <c r="C41" s="600">
        <f>+M36/C38</f>
        <v>0.21058819846792445</v>
      </c>
    </row>
    <row r="43" spans="2:14" x14ac:dyDescent="0.25">
      <c r="C43" s="626">
        <v>2015</v>
      </c>
      <c r="D43" s="626">
        <v>2016</v>
      </c>
      <c r="E43" s="626">
        <v>2017</v>
      </c>
      <c r="F43" s="626">
        <v>2018</v>
      </c>
      <c r="G43" s="626">
        <v>2019</v>
      </c>
      <c r="H43" s="626">
        <v>2020</v>
      </c>
      <c r="I43" s="626">
        <v>2021</v>
      </c>
      <c r="J43" s="626">
        <v>2022</v>
      </c>
      <c r="K43" s="626">
        <v>2023</v>
      </c>
      <c r="L43" s="626">
        <v>2024</v>
      </c>
      <c r="M43" s="626">
        <v>2025</v>
      </c>
    </row>
    <row r="44" spans="2:14" ht="15.75" x14ac:dyDescent="0.25">
      <c r="B44" s="643" t="s">
        <v>3583</v>
      </c>
      <c r="C44" s="599">
        <f>+C14+C15</f>
        <v>70019</v>
      </c>
      <c r="D44" s="599">
        <f t="shared" ref="D44:M44" si="3">+D14+D15</f>
        <v>53497</v>
      </c>
      <c r="E44" s="599">
        <f t="shared" si="3"/>
        <v>51774</v>
      </c>
      <c r="F44" s="599">
        <f t="shared" si="3"/>
        <v>64121</v>
      </c>
      <c r="G44" s="599">
        <f t="shared" si="3"/>
        <v>58896</v>
      </c>
      <c r="H44" s="599">
        <f t="shared" si="3"/>
        <v>73365</v>
      </c>
      <c r="I44" s="599">
        <f t="shared" si="3"/>
        <v>92953</v>
      </c>
      <c r="J44" s="599">
        <f t="shared" si="3"/>
        <v>111443</v>
      </c>
      <c r="K44" s="599">
        <f t="shared" si="3"/>
        <v>99584</v>
      </c>
      <c r="L44" s="599">
        <f t="shared" si="3"/>
        <v>108807</v>
      </c>
      <c r="M44" s="599">
        <f t="shared" si="3"/>
        <v>98767</v>
      </c>
    </row>
    <row r="45" spans="2:14" ht="15.75" x14ac:dyDescent="0.25">
      <c r="B45" s="643" t="s">
        <v>3579</v>
      </c>
      <c r="C45" s="599">
        <v>23013.68</v>
      </c>
      <c r="D45" s="599">
        <v>21883.279999999999</v>
      </c>
      <c r="E45" s="599">
        <v>20868.97</v>
      </c>
      <c r="F45" s="599">
        <v>19821.509999999998</v>
      </c>
      <c r="G45" s="599">
        <v>18471.34</v>
      </c>
      <c r="H45" s="599">
        <v>17352.12</v>
      </c>
      <c r="I45" s="599">
        <v>16701.27</v>
      </c>
      <c r="J45" s="599">
        <v>16215.96</v>
      </c>
      <c r="K45" s="599">
        <v>15744.23</v>
      </c>
      <c r="L45" s="599">
        <v>15343.78</v>
      </c>
      <c r="M45" s="599">
        <v>14948.5</v>
      </c>
    </row>
    <row r="46" spans="2:14" ht="15.75" x14ac:dyDescent="0.25">
      <c r="B46" s="612" t="s">
        <v>3580</v>
      </c>
      <c r="C46" s="616">
        <f>+C44/C45</f>
        <v>3.0424947248766818</v>
      </c>
      <c r="D46" s="616">
        <f t="shared" ref="D46" si="4">+D44/D45</f>
        <v>2.4446518072245111</v>
      </c>
      <c r="E46" s="616">
        <f t="shared" ref="E46" si="5">+E44/E45</f>
        <v>2.4809082575709294</v>
      </c>
      <c r="F46" s="616">
        <f t="shared" ref="F46" si="6">+F44/F45</f>
        <v>3.234920043932072</v>
      </c>
      <c r="G46" s="616">
        <f t="shared" ref="G46" si="7">+G44/G45</f>
        <v>3.1885071684025088</v>
      </c>
      <c r="H46" s="616">
        <f t="shared" ref="H46" si="8">+H44/H45</f>
        <v>4.2280136375267121</v>
      </c>
      <c r="I46" s="616">
        <f t="shared" ref="I46" si="9">+I44/I45</f>
        <v>5.5656246501014595</v>
      </c>
      <c r="J46" s="616">
        <f t="shared" ref="J46" si="10">+J44/J45</f>
        <v>6.8724269176786335</v>
      </c>
      <c r="K46" s="616">
        <f t="shared" ref="K46" si="11">+K44/K45</f>
        <v>6.3251108501336679</v>
      </c>
      <c r="L46" s="616">
        <f t="shared" ref="L46" si="12">+L44/L45</f>
        <v>7.0912773775432125</v>
      </c>
      <c r="M46" s="616">
        <f t="shared" ref="M46" si="13">+M44/M45</f>
        <v>6.6071512191858712</v>
      </c>
    </row>
  </sheetData>
  <hyperlinks>
    <hyperlink ref="A1" location="Inicio!A1" display="Inicio" xr:uid="{9A587E94-2375-4A2C-8363-CD3EF955F3CA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C7B7B-C21B-4C3F-A7A8-4D8C81208DF5}">
  <sheetPr>
    <tabColor theme="5" tint="0.79998168889431442"/>
  </sheetPr>
  <dimension ref="A1:G25"/>
  <sheetViews>
    <sheetView showGridLines="0" workbookViewId="0">
      <selection activeCell="C37" sqref="C37"/>
    </sheetView>
  </sheetViews>
  <sheetFormatPr defaultRowHeight="15" x14ac:dyDescent="0.25"/>
  <cols>
    <col min="2" max="2" width="42.85546875" customWidth="1"/>
  </cols>
  <sheetData>
    <row r="1" spans="1:7" x14ac:dyDescent="0.25">
      <c r="A1" s="879" t="s">
        <v>2821</v>
      </c>
    </row>
    <row r="3" spans="1:7" x14ac:dyDescent="0.25">
      <c r="B3" s="22" t="s">
        <v>3828</v>
      </c>
      <c r="C3" s="644">
        <v>2021</v>
      </c>
      <c r="D3" s="644">
        <v>2022</v>
      </c>
      <c r="E3" s="644">
        <v>2023</v>
      </c>
      <c r="F3" s="644">
        <v>2024</v>
      </c>
      <c r="G3" s="644">
        <v>2025</v>
      </c>
    </row>
    <row r="4" spans="1:7" x14ac:dyDescent="0.25">
      <c r="B4" s="632" t="s">
        <v>3584</v>
      </c>
      <c r="C4" s="522"/>
      <c r="D4" s="522">
        <f>+'EEFF Apple y cálculo ratios'!D299</f>
        <v>99803</v>
      </c>
      <c r="E4" s="522">
        <f>+'EEFF Apple y cálculo ratios'!E299</f>
        <v>96995</v>
      </c>
      <c r="F4" s="522">
        <f>+'EEFF Apple y cálculo ratios'!F299</f>
        <v>93736</v>
      </c>
      <c r="G4" s="522">
        <f>+'EEFF Apple y cálculo ratios'!G299</f>
        <v>112010</v>
      </c>
    </row>
    <row r="5" spans="1:7" x14ac:dyDescent="0.25">
      <c r="B5" s="632" t="s">
        <v>2931</v>
      </c>
      <c r="C5" s="522"/>
      <c r="D5" s="522">
        <f>+'EEFF Apple y cálculo ratios'!D300</f>
        <v>50672</v>
      </c>
      <c r="E5" s="522">
        <f>+'EEFF Apple y cálculo ratios'!E300</f>
        <v>62146</v>
      </c>
      <c r="F5" s="522">
        <f>+'EEFF Apple y cálculo ratios'!F300</f>
        <v>56950</v>
      </c>
      <c r="G5" s="522">
        <f>+'EEFF Apple y cálculo ratios'!G300</f>
        <v>73733</v>
      </c>
    </row>
    <row r="6" spans="1:7" x14ac:dyDescent="0.25">
      <c r="B6" s="914" t="s">
        <v>2207</v>
      </c>
      <c r="C6" s="915"/>
      <c r="D6" s="915">
        <f>+D4/D5</f>
        <v>1.9695887275023682</v>
      </c>
      <c r="E6" s="915">
        <f t="shared" ref="E6:G6" si="0">+E4/E5</f>
        <v>1.5607601454639075</v>
      </c>
      <c r="F6" s="915">
        <f t="shared" si="0"/>
        <v>1.6459350307287095</v>
      </c>
      <c r="G6" s="915">
        <f t="shared" si="0"/>
        <v>1.5191298333175105</v>
      </c>
    </row>
    <row r="7" spans="1:7" x14ac:dyDescent="0.25">
      <c r="B7" s="22"/>
      <c r="C7" s="22"/>
      <c r="D7" s="22"/>
      <c r="E7" s="22"/>
      <c r="F7" s="22"/>
      <c r="G7" s="22"/>
    </row>
    <row r="8" spans="1:7" x14ac:dyDescent="0.25">
      <c r="B8" t="s">
        <v>3829</v>
      </c>
    </row>
    <row r="9" spans="1:7" x14ac:dyDescent="0.25">
      <c r="B9" s="648" t="s">
        <v>3028</v>
      </c>
      <c r="C9" s="644"/>
      <c r="D9" s="644">
        <v>2022</v>
      </c>
      <c r="E9" s="644">
        <v>2023</v>
      </c>
      <c r="F9" s="644">
        <v>2024</v>
      </c>
      <c r="G9" s="644">
        <v>2025</v>
      </c>
    </row>
    <row r="10" spans="1:7" x14ac:dyDescent="0.25">
      <c r="B10" s="632" t="s">
        <v>3029</v>
      </c>
      <c r="C10" s="329"/>
      <c r="D10" s="329">
        <f>+'EEFF Apple y cálculo ratios'!D306</f>
        <v>99803</v>
      </c>
      <c r="E10" s="329">
        <f>+'EEFF Apple y cálculo ratios'!E306</f>
        <v>96995</v>
      </c>
      <c r="F10" s="329">
        <f>+'EEFF Apple y cálculo ratios'!F306</f>
        <v>93736</v>
      </c>
      <c r="G10" s="329">
        <f>+'EEFF Apple y cálculo ratios'!G306</f>
        <v>112010</v>
      </c>
    </row>
    <row r="11" spans="1:7" x14ac:dyDescent="0.25">
      <c r="B11" s="632" t="s">
        <v>3003</v>
      </c>
      <c r="C11" s="329"/>
      <c r="D11" s="329">
        <f>+'EEFF Apple y cálculo ratios'!D307</f>
        <v>119103</v>
      </c>
      <c r="E11" s="329">
        <f>+'EEFF Apple y cálculo ratios'!E307</f>
        <v>113736</v>
      </c>
      <c r="F11" s="329">
        <f>+'EEFF Apple y cálculo ratios'!F307</f>
        <v>123485</v>
      </c>
      <c r="G11" s="329">
        <f>+'EEFF Apple y cálculo ratios'!G307</f>
        <v>132729</v>
      </c>
    </row>
    <row r="12" spans="1:7" x14ac:dyDescent="0.25">
      <c r="B12" s="914" t="s">
        <v>3030</v>
      </c>
      <c r="C12" s="915"/>
      <c r="D12" s="915">
        <f>+D10/D11</f>
        <v>0.83795538315575591</v>
      </c>
      <c r="E12" s="915">
        <f t="shared" ref="E12:G12" si="1">+E10/E11</f>
        <v>0.85280825771963142</v>
      </c>
      <c r="F12" s="915">
        <f t="shared" si="1"/>
        <v>0.75908814835810012</v>
      </c>
      <c r="G12" s="915">
        <f t="shared" si="1"/>
        <v>0.84389997664413952</v>
      </c>
    </row>
    <row r="13" spans="1:7" x14ac:dyDescent="0.25">
      <c r="B13" s="632" t="s">
        <v>3003</v>
      </c>
      <c r="C13" s="329"/>
      <c r="D13" s="329">
        <f>+D11</f>
        <v>119103</v>
      </c>
      <c r="E13" s="329">
        <f t="shared" ref="E13:G13" si="2">+E11</f>
        <v>113736</v>
      </c>
      <c r="F13" s="329">
        <f t="shared" si="2"/>
        <v>123485</v>
      </c>
      <c r="G13" s="329">
        <f t="shared" si="2"/>
        <v>132729</v>
      </c>
    </row>
    <row r="14" spans="1:7" x14ac:dyDescent="0.25">
      <c r="B14" s="632" t="s">
        <v>2895</v>
      </c>
      <c r="C14" s="329"/>
      <c r="D14" s="329">
        <f>+'EEFF Apple y cálculo ratios'!D310</f>
        <v>119437</v>
      </c>
      <c r="E14" s="329">
        <f>+'EEFF Apple y cálculo ratios'!E310</f>
        <v>114301</v>
      </c>
      <c r="F14" s="329">
        <f>+'EEFF Apple y cálculo ratios'!F310</f>
        <v>123216</v>
      </c>
      <c r="G14" s="329">
        <f>+'EEFF Apple y cálculo ratios'!G310</f>
        <v>133050</v>
      </c>
    </row>
    <row r="15" spans="1:7" x14ac:dyDescent="0.25">
      <c r="B15" s="916" t="s">
        <v>3585</v>
      </c>
      <c r="C15" s="915"/>
      <c r="D15" s="915">
        <f>+D13/D14</f>
        <v>0.99720354663965105</v>
      </c>
      <c r="E15" s="915">
        <f t="shared" ref="E15:G15" si="3">+E13/E14</f>
        <v>0.99505691113813532</v>
      </c>
      <c r="F15" s="915">
        <f t="shared" si="3"/>
        <v>1.0021831580314244</v>
      </c>
      <c r="G15" s="915">
        <f t="shared" si="3"/>
        <v>0.99758737316798196</v>
      </c>
    </row>
    <row r="16" spans="1:7" x14ac:dyDescent="0.25">
      <c r="B16" s="632" t="s">
        <v>2895</v>
      </c>
      <c r="C16" s="329"/>
      <c r="D16" s="329">
        <f>+D14</f>
        <v>119437</v>
      </c>
      <c r="E16" s="329">
        <f t="shared" ref="E16:G16" si="4">+E14</f>
        <v>114301</v>
      </c>
      <c r="F16" s="329">
        <f t="shared" si="4"/>
        <v>123216</v>
      </c>
      <c r="G16" s="329">
        <f t="shared" si="4"/>
        <v>133050</v>
      </c>
    </row>
    <row r="17" spans="2:7" x14ac:dyDescent="0.25">
      <c r="B17" s="632" t="s">
        <v>3032</v>
      </c>
      <c r="C17" s="329"/>
      <c r="D17" s="329">
        <f>+'EEFF Apple y cálculo ratios'!D313</f>
        <v>394328</v>
      </c>
      <c r="E17" s="329">
        <f>+'EEFF Apple y cálculo ratios'!E313</f>
        <v>383285</v>
      </c>
      <c r="F17" s="329">
        <f>+'EEFF Apple y cálculo ratios'!F313</f>
        <v>391035</v>
      </c>
      <c r="G17" s="329">
        <f>+'EEFF Apple y cálculo ratios'!G313</f>
        <v>416161</v>
      </c>
    </row>
    <row r="18" spans="2:7" x14ac:dyDescent="0.25">
      <c r="B18" s="916" t="s">
        <v>3033</v>
      </c>
      <c r="C18" s="915"/>
      <c r="D18" s="915">
        <f>+D16/D17</f>
        <v>0.30288744395528594</v>
      </c>
      <c r="E18" s="915">
        <f t="shared" ref="E18:G18" si="5">+E16/E17</f>
        <v>0.29821412265024722</v>
      </c>
      <c r="F18" s="915">
        <f t="shared" si="5"/>
        <v>0.31510222870075566</v>
      </c>
      <c r="G18" s="915">
        <f t="shared" si="5"/>
        <v>0.31970799762591884</v>
      </c>
    </row>
    <row r="19" spans="2:7" x14ac:dyDescent="0.25">
      <c r="B19" s="632" t="s">
        <v>3034</v>
      </c>
      <c r="C19" s="329"/>
      <c r="D19" s="329">
        <f>+D17</f>
        <v>394328</v>
      </c>
      <c r="E19" s="329">
        <f t="shared" ref="E19:G19" si="6">+E17</f>
        <v>383285</v>
      </c>
      <c r="F19" s="329">
        <f t="shared" si="6"/>
        <v>391035</v>
      </c>
      <c r="G19" s="329">
        <f t="shared" si="6"/>
        <v>416161</v>
      </c>
    </row>
    <row r="20" spans="2:7" x14ac:dyDescent="0.25">
      <c r="B20" s="632" t="s">
        <v>3035</v>
      </c>
      <c r="C20" s="329"/>
      <c r="D20" s="329">
        <f>+'EEFF Apple y cálculo ratios'!D316</f>
        <v>352755</v>
      </c>
      <c r="E20" s="329">
        <f>+'EEFF Apple y cálculo ratios'!E316</f>
        <v>352583</v>
      </c>
      <c r="F20" s="329">
        <f>+'EEFF Apple y cálculo ratios'!F316</f>
        <v>364980</v>
      </c>
      <c r="G20" s="329">
        <f>+'EEFF Apple y cálculo ratios'!G316</f>
        <v>359241</v>
      </c>
    </row>
    <row r="21" spans="2:7" x14ac:dyDescent="0.25">
      <c r="B21" s="916" t="s">
        <v>3036</v>
      </c>
      <c r="C21" s="915"/>
      <c r="D21" s="915">
        <f>+D19/D20</f>
        <v>1.1178523337727317</v>
      </c>
      <c r="E21" s="915">
        <f t="shared" ref="E21:G21" si="7">+E19/E20</f>
        <v>1.0870773690166571</v>
      </c>
      <c r="F21" s="915">
        <f t="shared" si="7"/>
        <v>1.0713874732862074</v>
      </c>
      <c r="G21" s="915">
        <f t="shared" si="7"/>
        <v>1.1584451663368045</v>
      </c>
    </row>
    <row r="22" spans="2:7" x14ac:dyDescent="0.25">
      <c r="B22" s="632" t="s">
        <v>3035</v>
      </c>
      <c r="C22" s="329"/>
      <c r="D22" s="329">
        <f>+D20</f>
        <v>352755</v>
      </c>
      <c r="E22" s="329">
        <f t="shared" ref="E22:G22" si="8">+E20</f>
        <v>352583</v>
      </c>
      <c r="F22" s="329">
        <f t="shared" si="8"/>
        <v>364980</v>
      </c>
      <c r="G22" s="329">
        <f t="shared" si="8"/>
        <v>359241</v>
      </c>
    </row>
    <row r="23" spans="2:7" x14ac:dyDescent="0.25">
      <c r="B23" s="632" t="s">
        <v>2931</v>
      </c>
      <c r="C23" s="329"/>
      <c r="D23" s="329">
        <f>+'EEFF Apple y cálculo ratios'!D319</f>
        <v>50672</v>
      </c>
      <c r="E23" s="329">
        <f>+'EEFF Apple y cálculo ratios'!E319</f>
        <v>62146</v>
      </c>
      <c r="F23" s="329">
        <f>+'EEFF Apple y cálculo ratios'!F319</f>
        <v>56950</v>
      </c>
      <c r="G23" s="329">
        <f>+'EEFF Apple y cálculo ratios'!G319</f>
        <v>73733</v>
      </c>
    </row>
    <row r="24" spans="2:7" x14ac:dyDescent="0.25">
      <c r="B24" s="916" t="s">
        <v>3037</v>
      </c>
      <c r="C24" s="915"/>
      <c r="D24" s="915">
        <f>+D22/D23</f>
        <v>6.9615369434796337</v>
      </c>
      <c r="E24" s="915">
        <f t="shared" ref="E24:G24" si="9">+E22/E23</f>
        <v>5.6734624915521517</v>
      </c>
      <c r="F24" s="915">
        <f t="shared" si="9"/>
        <v>6.408779631255487</v>
      </c>
      <c r="G24" s="915">
        <f t="shared" si="9"/>
        <v>4.8721874872852045</v>
      </c>
    </row>
    <row r="25" spans="2:7" x14ac:dyDescent="0.25">
      <c r="B25" s="648" t="s">
        <v>2207</v>
      </c>
      <c r="C25" s="917"/>
      <c r="D25" s="917">
        <f>+D12*D15*D18*D21*D24</f>
        <v>1.9695887275023678</v>
      </c>
      <c r="E25" s="917">
        <f t="shared" ref="E25:G25" si="10">+E12*E15*E18*E21*E24</f>
        <v>1.5607601454639077</v>
      </c>
      <c r="F25" s="917">
        <f t="shared" si="10"/>
        <v>1.6459350307287091</v>
      </c>
      <c r="G25" s="917">
        <f t="shared" si="10"/>
        <v>1.5191298333175103</v>
      </c>
    </row>
  </sheetData>
  <hyperlinks>
    <hyperlink ref="A1" location="Inicio!A1" display="Inicio" xr:uid="{B6DCA171-71E0-4E84-8C32-9EE4AE7B5BC9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DBCEA-682A-D74C-86F2-7EE0C1A1427C}">
  <sheetPr>
    <tabColor theme="5" tint="0.79998168889431442"/>
  </sheetPr>
  <dimension ref="A1:F31"/>
  <sheetViews>
    <sheetView showGridLines="0" topLeftCell="A17" zoomScale="140" zoomScaleNormal="140" zoomScaleSheetLayoutView="100" workbookViewId="0"/>
  </sheetViews>
  <sheetFormatPr defaultColWidth="9" defaultRowHeight="15" x14ac:dyDescent="0.25"/>
  <cols>
    <col min="2" max="2" width="28.5703125" customWidth="1"/>
    <col min="3" max="3" width="7.5703125" bestFit="1" customWidth="1"/>
    <col min="4" max="4" width="3.28515625" customWidth="1"/>
    <col min="5" max="5" width="26.140625" customWidth="1"/>
  </cols>
  <sheetData>
    <row r="1" spans="1:3" x14ac:dyDescent="0.25">
      <c r="A1" s="879" t="s">
        <v>2821</v>
      </c>
    </row>
    <row r="4" spans="1:3" x14ac:dyDescent="0.25">
      <c r="B4" s="202" t="s">
        <v>3027</v>
      </c>
    </row>
    <row r="5" spans="1:3" x14ac:dyDescent="0.25">
      <c r="B5" t="s">
        <v>3832</v>
      </c>
    </row>
    <row r="6" spans="1:3" x14ac:dyDescent="0.25">
      <c r="B6" s="532" t="s">
        <v>3226</v>
      </c>
      <c r="C6" s="535">
        <v>2025</v>
      </c>
    </row>
    <row r="7" spans="1:3" x14ac:dyDescent="0.25">
      <c r="B7" s="517" t="s">
        <v>2788</v>
      </c>
      <c r="C7" s="645">
        <v>20000</v>
      </c>
    </row>
    <row r="8" spans="1:3" x14ac:dyDescent="0.25">
      <c r="B8" s="646" t="s">
        <v>2789</v>
      </c>
      <c r="C8" s="539">
        <v>0</v>
      </c>
    </row>
    <row r="9" spans="1:3" x14ac:dyDescent="0.25">
      <c r="B9" s="517" t="s">
        <v>2790</v>
      </c>
      <c r="C9" s="645">
        <f>+C7+C8</f>
        <v>20000</v>
      </c>
    </row>
    <row r="10" spans="1:3" x14ac:dyDescent="0.25">
      <c r="B10" s="515" t="s">
        <v>2791</v>
      </c>
      <c r="C10" s="539">
        <v>-5000</v>
      </c>
    </row>
    <row r="11" spans="1:3" x14ac:dyDescent="0.25">
      <c r="B11" s="517" t="s">
        <v>2792</v>
      </c>
      <c r="C11" s="645">
        <f>+C9+C10</f>
        <v>15000</v>
      </c>
    </row>
    <row r="12" spans="1:3" x14ac:dyDescent="0.25">
      <c r="B12" s="515" t="s">
        <v>2793</v>
      </c>
      <c r="C12" s="539">
        <v>0</v>
      </c>
    </row>
    <row r="13" spans="1:3" ht="26.25" x14ac:dyDescent="0.25">
      <c r="B13" s="517" t="s">
        <v>2794</v>
      </c>
      <c r="C13" s="645">
        <f>+C11+C12</f>
        <v>15000</v>
      </c>
    </row>
    <row r="14" spans="1:3" x14ac:dyDescent="0.25">
      <c r="B14" s="515" t="s">
        <v>2795</v>
      </c>
      <c r="C14" s="539">
        <v>0</v>
      </c>
    </row>
    <row r="15" spans="1:3" x14ac:dyDescent="0.25">
      <c r="B15" s="647" t="s">
        <v>2796</v>
      </c>
      <c r="C15" s="557">
        <f>+C13+C14</f>
        <v>15000</v>
      </c>
    </row>
    <row r="17" spans="2:6" ht="15.75" thickBot="1" x14ac:dyDescent="0.3">
      <c r="B17" t="s">
        <v>3833</v>
      </c>
    </row>
    <row r="18" spans="2:6" ht="15.75" thickBot="1" x14ac:dyDescent="0.3">
      <c r="B18" s="956" t="s">
        <v>2819</v>
      </c>
      <c r="C18" s="957"/>
      <c r="E18" s="956" t="s">
        <v>2818</v>
      </c>
      <c r="F18" s="957"/>
    </row>
    <row r="19" spans="2:6" x14ac:dyDescent="0.25">
      <c r="B19" s="138" t="s">
        <v>2797</v>
      </c>
      <c r="C19" s="139">
        <v>0</v>
      </c>
      <c r="E19" s="140" t="s">
        <v>2815</v>
      </c>
      <c r="F19" s="141">
        <f>+C26-F23</f>
        <v>50000</v>
      </c>
    </row>
    <row r="20" spans="2:6" x14ac:dyDescent="0.25">
      <c r="B20" s="138" t="s">
        <v>2799</v>
      </c>
      <c r="C20" s="139">
        <v>0</v>
      </c>
      <c r="E20" s="205"/>
      <c r="F20" s="206"/>
    </row>
    <row r="21" spans="2:6" x14ac:dyDescent="0.25">
      <c r="B21" s="138" t="s">
        <v>2800</v>
      </c>
      <c r="C21" s="139">
        <v>0</v>
      </c>
      <c r="E21" s="138" t="s">
        <v>2810</v>
      </c>
      <c r="F21" s="139">
        <v>0</v>
      </c>
    </row>
    <row r="22" spans="2:6" x14ac:dyDescent="0.25">
      <c r="B22" s="140" t="s">
        <v>2802</v>
      </c>
      <c r="C22" s="141">
        <f>+SUM(C19:C21)</f>
        <v>0</v>
      </c>
      <c r="E22" s="145" t="s">
        <v>2811</v>
      </c>
      <c r="F22" s="141">
        <f>+SUM(F20:F21)</f>
        <v>0</v>
      </c>
    </row>
    <row r="23" spans="2:6" x14ac:dyDescent="0.25">
      <c r="B23" s="138" t="s">
        <v>2804</v>
      </c>
      <c r="C23" s="139">
        <v>200000</v>
      </c>
      <c r="E23" s="138" t="s">
        <v>2784</v>
      </c>
      <c r="F23" s="139">
        <f>+C26*0.75</f>
        <v>150000</v>
      </c>
    </row>
    <row r="24" spans="2:6" x14ac:dyDescent="0.25">
      <c r="B24" s="138" t="s">
        <v>2805</v>
      </c>
      <c r="C24" s="139">
        <v>0</v>
      </c>
      <c r="E24" s="145" t="s">
        <v>2814</v>
      </c>
      <c r="F24" s="141">
        <f>+SUM(F23)</f>
        <v>150000</v>
      </c>
    </row>
    <row r="25" spans="2:6" x14ac:dyDescent="0.25">
      <c r="B25" s="140" t="s">
        <v>2806</v>
      </c>
      <c r="C25" s="141">
        <f>+SUM(C23:C24)</f>
        <v>200000</v>
      </c>
      <c r="E25" s="146" t="s">
        <v>2817</v>
      </c>
      <c r="F25" s="147">
        <f>+F24+F22</f>
        <v>150000</v>
      </c>
    </row>
    <row r="26" spans="2:6" ht="15.75" thickBot="1" x14ac:dyDescent="0.3">
      <c r="B26" s="148" t="s">
        <v>2807</v>
      </c>
      <c r="C26" s="149">
        <f>+C25+C22</f>
        <v>200000</v>
      </c>
      <c r="E26" s="148" t="s">
        <v>2816</v>
      </c>
      <c r="F26" s="149">
        <f>+F25+F19</f>
        <v>200000</v>
      </c>
    </row>
    <row r="29" spans="2:6" x14ac:dyDescent="0.25">
      <c r="B29" s="131" t="s">
        <v>2896</v>
      </c>
      <c r="C29" s="204">
        <f>+(C11-C14)/C26</f>
        <v>7.4999999999999997E-2</v>
      </c>
    </row>
    <row r="30" spans="2:6" x14ac:dyDescent="0.25">
      <c r="B30" s="131" t="s">
        <v>2207</v>
      </c>
      <c r="C30" s="204">
        <f>+C15/F19</f>
        <v>0.3</v>
      </c>
    </row>
    <row r="31" spans="2:6" x14ac:dyDescent="0.25">
      <c r="C31" s="204"/>
    </row>
  </sheetData>
  <mergeCells count="2">
    <mergeCell ref="B18:C18"/>
    <mergeCell ref="E18:F18"/>
  </mergeCells>
  <hyperlinks>
    <hyperlink ref="A1" location="Inicio!A1" display="Inicio" xr:uid="{56C9FB25-B3DF-4FC1-91BD-2F9B2221BF1B}"/>
  </hyperlink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8E3E7-629A-3D46-B2CD-D33A1BDD3ACA}">
  <sheetPr>
    <tabColor rgb="FFFFFF00"/>
  </sheetPr>
  <dimension ref="A1:Q98"/>
  <sheetViews>
    <sheetView showGridLines="0" zoomScaleNormal="150" zoomScaleSheetLayoutView="100" workbookViewId="0">
      <selection activeCell="E23" sqref="E23"/>
    </sheetView>
  </sheetViews>
  <sheetFormatPr defaultRowHeight="15" x14ac:dyDescent="0.25"/>
  <cols>
    <col min="2" max="2" width="38.85546875" bestFit="1" customWidth="1"/>
    <col min="3" max="3" width="29.5703125" customWidth="1"/>
    <col min="4" max="4" width="18" customWidth="1"/>
    <col min="5" max="5" width="23" customWidth="1"/>
    <col min="6" max="6" width="23.5703125" customWidth="1"/>
    <col min="7" max="7" width="15.5703125" customWidth="1"/>
    <col min="8" max="8" width="13.5703125" customWidth="1"/>
    <col min="9" max="10" width="9.42578125" bestFit="1" customWidth="1"/>
    <col min="11" max="11" width="10.140625" bestFit="1" customWidth="1"/>
    <col min="12" max="14" width="9.42578125" bestFit="1" customWidth="1"/>
    <col min="15" max="15" width="10.140625" bestFit="1" customWidth="1"/>
    <col min="16" max="16" width="7.85546875" bestFit="1" customWidth="1"/>
  </cols>
  <sheetData>
    <row r="1" spans="1:6" x14ac:dyDescent="0.25">
      <c r="A1" s="879" t="s">
        <v>2821</v>
      </c>
    </row>
    <row r="2" spans="1:6" x14ac:dyDescent="0.25">
      <c r="B2" t="s">
        <v>3847</v>
      </c>
    </row>
    <row r="3" spans="1:6" ht="15.75" x14ac:dyDescent="0.25">
      <c r="C3" s="478">
        <v>2025</v>
      </c>
      <c r="E3" s="391"/>
      <c r="F3" s="478" t="s">
        <v>3590</v>
      </c>
    </row>
    <row r="4" spans="1:6" ht="15.75" x14ac:dyDescent="0.25">
      <c r="B4" s="408" t="s">
        <v>3268</v>
      </c>
      <c r="C4" s="642">
        <f>+'EEFF Apple y cálculo ratios'!G12</f>
        <v>112010</v>
      </c>
      <c r="E4" s="408" t="s">
        <v>3586</v>
      </c>
      <c r="F4" s="650">
        <v>171794</v>
      </c>
    </row>
    <row r="5" spans="1:6" ht="15.75" x14ac:dyDescent="0.25">
      <c r="B5" s="410" t="s">
        <v>3269</v>
      </c>
      <c r="C5" s="639">
        <f>+'EEFF Apple y cálculo ratios'!C328</f>
        <v>4125754.7200000007</v>
      </c>
      <c r="E5" s="410" t="s">
        <v>3588</v>
      </c>
      <c r="F5" s="651">
        <v>30</v>
      </c>
    </row>
    <row r="6" spans="1:6" ht="15.75" x14ac:dyDescent="0.25">
      <c r="B6" s="411" t="s">
        <v>3587</v>
      </c>
      <c r="C6" s="649">
        <f>+C5/C4</f>
        <v>36.833806981519515</v>
      </c>
      <c r="E6" s="411" t="s">
        <v>3589</v>
      </c>
      <c r="F6" s="654">
        <f>+F4*F5</f>
        <v>5153820</v>
      </c>
    </row>
    <row r="7" spans="1:6" ht="15.75" x14ac:dyDescent="0.25">
      <c r="B7" s="391"/>
      <c r="C7" s="441"/>
    </row>
    <row r="8" spans="1:6" ht="15.75" x14ac:dyDescent="0.25">
      <c r="B8" s="408" t="s">
        <v>3281</v>
      </c>
      <c r="C8" s="652">
        <f>+(F6/C5)-1</f>
        <v>0.24918235565879665</v>
      </c>
    </row>
    <row r="9" spans="1:6" ht="15.75" x14ac:dyDescent="0.25">
      <c r="B9" s="411" t="s">
        <v>2757</v>
      </c>
      <c r="C9" s="653">
        <f>+(F6/C5)^(1/5)-1</f>
        <v>4.5502722983544297E-2</v>
      </c>
    </row>
    <row r="11" spans="1:6" x14ac:dyDescent="0.25">
      <c r="B11" t="s">
        <v>3846</v>
      </c>
    </row>
    <row r="12" spans="1:6" ht="15.75" x14ac:dyDescent="0.25">
      <c r="B12" s="415" t="s">
        <v>3270</v>
      </c>
      <c r="C12" s="243"/>
    </row>
    <row r="13" spans="1:6" ht="15.75" x14ac:dyDescent="0.25">
      <c r="B13" s="408" t="s">
        <v>3271</v>
      </c>
      <c r="C13" s="659">
        <v>14776</v>
      </c>
    </row>
    <row r="14" spans="1:6" ht="15.75" x14ac:dyDescent="0.25">
      <c r="B14" s="410" t="s">
        <v>3272</v>
      </c>
      <c r="C14" s="660">
        <v>-2.5000000000000001E-2</v>
      </c>
    </row>
    <row r="15" spans="1:6" ht="15.75" x14ac:dyDescent="0.25">
      <c r="B15" s="411" t="s">
        <v>3592</v>
      </c>
      <c r="C15" s="661">
        <f>+C13*(1+C14)^5</f>
        <v>13019.069965078123</v>
      </c>
    </row>
    <row r="16" spans="1:6" ht="15.75" x14ac:dyDescent="0.25">
      <c r="C16" s="243"/>
    </row>
    <row r="17" spans="2:5" ht="15.75" x14ac:dyDescent="0.25">
      <c r="B17" s="655" t="s">
        <v>3273</v>
      </c>
      <c r="C17" s="657">
        <f>+C5/C13</f>
        <v>279.22000000000003</v>
      </c>
    </row>
    <row r="18" spans="2:5" ht="15.75" x14ac:dyDescent="0.25">
      <c r="B18" s="656" t="s">
        <v>3591</v>
      </c>
      <c r="C18" s="658">
        <f>+F6/C15</f>
        <v>395.86698695255637</v>
      </c>
    </row>
    <row r="20" spans="2:5" ht="15.75" x14ac:dyDescent="0.25">
      <c r="B20" s="408" t="s">
        <v>3281</v>
      </c>
      <c r="C20" s="652">
        <f>+(C18/C17)-1</f>
        <v>0.41776014237001768</v>
      </c>
    </row>
    <row r="21" spans="2:5" ht="15.75" x14ac:dyDescent="0.25">
      <c r="B21" s="411" t="s">
        <v>2757</v>
      </c>
      <c r="C21" s="653">
        <f>+(C18/C17)^(1/5)-1</f>
        <v>7.2310485111327649E-2</v>
      </c>
    </row>
    <row r="24" spans="2:5" ht="15.75" x14ac:dyDescent="0.25">
      <c r="B24" s="415" t="s">
        <v>3274</v>
      </c>
      <c r="C24" s="20"/>
      <c r="D24" s="391"/>
      <c r="E24" s="391"/>
    </row>
    <row r="25" spans="2:5" ht="15.75" x14ac:dyDescent="0.25">
      <c r="B25" s="655" t="s">
        <v>3275</v>
      </c>
      <c r="C25" s="659">
        <f>+C4/C13</f>
        <v>7.5805360043313481</v>
      </c>
    </row>
    <row r="26" spans="2:5" ht="15.75" x14ac:dyDescent="0.25">
      <c r="B26" s="656" t="s">
        <v>3593</v>
      </c>
      <c r="C26" s="661">
        <f>+F4/C15</f>
        <v>13.195566231751879</v>
      </c>
    </row>
    <row r="27" spans="2:5" ht="15.75" x14ac:dyDescent="0.25">
      <c r="B27" s="391"/>
      <c r="C27" s="418"/>
    </row>
    <row r="28" spans="2:5" ht="15.75" x14ac:dyDescent="0.25">
      <c r="B28" s="408" t="s">
        <v>3277</v>
      </c>
      <c r="C28" s="416">
        <v>1.07</v>
      </c>
    </row>
    <row r="29" spans="2:5" ht="15.75" x14ac:dyDescent="0.25">
      <c r="B29" s="410" t="s">
        <v>3278</v>
      </c>
      <c r="C29" s="419">
        <v>1.1299999999999999</v>
      </c>
    </row>
    <row r="30" spans="2:5" ht="15.75" x14ac:dyDescent="0.25">
      <c r="B30" s="410" t="s">
        <v>3276</v>
      </c>
      <c r="C30" s="419">
        <v>1.1599999999999999</v>
      </c>
    </row>
    <row r="31" spans="2:5" ht="15.75" x14ac:dyDescent="0.25">
      <c r="B31" s="410" t="s">
        <v>3594</v>
      </c>
      <c r="C31" s="419">
        <v>1.26</v>
      </c>
    </row>
    <row r="32" spans="2:5" ht="15.75" x14ac:dyDescent="0.25">
      <c r="B32" s="410" t="s">
        <v>3595</v>
      </c>
      <c r="C32" s="419">
        <v>1.33</v>
      </c>
    </row>
    <row r="33" spans="2:8" ht="15.75" x14ac:dyDescent="0.25">
      <c r="B33" s="663" t="s">
        <v>3279</v>
      </c>
      <c r="C33" s="664">
        <f>+SUM(C28:C32)</f>
        <v>5.95</v>
      </c>
    </row>
    <row r="34" spans="2:8" ht="15.75" x14ac:dyDescent="0.25">
      <c r="B34" s="410" t="s">
        <v>3596</v>
      </c>
      <c r="C34" s="419">
        <f>+F5</f>
        <v>30</v>
      </c>
    </row>
    <row r="35" spans="2:8" ht="15.75" x14ac:dyDescent="0.25">
      <c r="B35" s="411" t="s">
        <v>3591</v>
      </c>
      <c r="C35" s="417">
        <f>+C26*C34</f>
        <v>395.86698695255637</v>
      </c>
    </row>
    <row r="37" spans="2:8" ht="15.75" x14ac:dyDescent="0.25">
      <c r="B37" s="408" t="s">
        <v>3273</v>
      </c>
      <c r="C37" s="416">
        <f>+C17</f>
        <v>279.22000000000003</v>
      </c>
    </row>
    <row r="38" spans="2:8" ht="15.75" x14ac:dyDescent="0.25">
      <c r="B38" s="410" t="s">
        <v>3280</v>
      </c>
      <c r="C38" s="414">
        <f>+(C35+C33)/C17-1</f>
        <v>0.43906950416358548</v>
      </c>
    </row>
    <row r="39" spans="2:8" ht="15.75" x14ac:dyDescent="0.25">
      <c r="B39" s="411" t="s">
        <v>2757</v>
      </c>
      <c r="C39" s="413">
        <f>+((C35+C33)/C17)^(1/3)-1</f>
        <v>0.12899995166314215</v>
      </c>
    </row>
    <row r="41" spans="2:8" x14ac:dyDescent="0.25">
      <c r="B41" t="s">
        <v>3848</v>
      </c>
    </row>
    <row r="42" spans="2:8" ht="15.75" x14ac:dyDescent="0.25">
      <c r="C42" s="665">
        <v>2025</v>
      </c>
      <c r="D42" s="665" t="s">
        <v>3067</v>
      </c>
      <c r="E42" s="665" t="s">
        <v>3068</v>
      </c>
      <c r="F42" s="665" t="s">
        <v>3597</v>
      </c>
      <c r="G42" s="665" t="s">
        <v>3598</v>
      </c>
      <c r="H42" s="665" t="s">
        <v>3590</v>
      </c>
    </row>
    <row r="43" spans="2:8" ht="15.75" x14ac:dyDescent="0.25">
      <c r="B43" s="617" t="s">
        <v>3282</v>
      </c>
      <c r="C43" s="666">
        <f>-C37</f>
        <v>-279.22000000000003</v>
      </c>
      <c r="D43" s="666"/>
      <c r="E43" s="666"/>
      <c r="F43" s="666"/>
      <c r="G43" s="666"/>
      <c r="H43" s="666"/>
    </row>
    <row r="44" spans="2:8" ht="15.75" x14ac:dyDescent="0.25">
      <c r="B44" s="617" t="s">
        <v>3283</v>
      </c>
      <c r="C44" s="666"/>
      <c r="D44" s="666">
        <f>+C28</f>
        <v>1.07</v>
      </c>
      <c r="E44" s="666">
        <f>+C29</f>
        <v>1.1299999999999999</v>
      </c>
      <c r="F44" s="666">
        <f>+C30</f>
        <v>1.1599999999999999</v>
      </c>
      <c r="G44" s="666">
        <f>+C31</f>
        <v>1.26</v>
      </c>
      <c r="H44" s="666">
        <f>+C32</f>
        <v>1.33</v>
      </c>
    </row>
    <row r="45" spans="2:8" ht="15.75" x14ac:dyDescent="0.25">
      <c r="B45" s="617" t="s">
        <v>3284</v>
      </c>
      <c r="C45" s="666"/>
      <c r="D45" s="666"/>
      <c r="E45" s="666"/>
      <c r="F45" s="666"/>
      <c r="G45" s="666"/>
      <c r="H45" s="666">
        <f>+C35</f>
        <v>395.86698695255637</v>
      </c>
    </row>
    <row r="46" spans="2:8" ht="15.75" x14ac:dyDescent="0.25">
      <c r="C46" s="667">
        <f>+SUM(C43:C45)</f>
        <v>-279.22000000000003</v>
      </c>
      <c r="D46" s="667">
        <f t="shared" ref="D46:H46" si="0">+SUM(D43:D45)</f>
        <v>1.07</v>
      </c>
      <c r="E46" s="667">
        <f t="shared" si="0"/>
        <v>1.1299999999999999</v>
      </c>
      <c r="F46" s="667">
        <f t="shared" si="0"/>
        <v>1.1599999999999999</v>
      </c>
      <c r="G46" s="667">
        <f t="shared" si="0"/>
        <v>1.26</v>
      </c>
      <c r="H46" s="667">
        <f t="shared" si="0"/>
        <v>397.19698695255636</v>
      </c>
    </row>
    <row r="48" spans="2:8" ht="15.75" x14ac:dyDescent="0.25">
      <c r="B48" s="391" t="s">
        <v>2826</v>
      </c>
      <c r="C48" s="395">
        <f>+IRR(C46:H46)</f>
        <v>7.6007220870311754E-2</v>
      </c>
    </row>
    <row r="49" spans="2:16" ht="15.75" x14ac:dyDescent="0.25">
      <c r="F49" s="391"/>
    </row>
    <row r="51" spans="2:16" x14ac:dyDescent="0.25">
      <c r="C51" s="425">
        <v>45992</v>
      </c>
      <c r="D51" s="425">
        <v>46295</v>
      </c>
      <c r="E51" s="425">
        <v>46660</v>
      </c>
      <c r="F51" s="425">
        <v>47026</v>
      </c>
    </row>
    <row r="52" spans="2:16" ht="15.75" x14ac:dyDescent="0.25">
      <c r="B52" s="655" t="s">
        <v>3282</v>
      </c>
      <c r="C52" s="937">
        <f>+C43</f>
        <v>-279.22000000000003</v>
      </c>
      <c r="D52" s="687"/>
      <c r="E52" s="687"/>
      <c r="F52" s="688"/>
    </row>
    <row r="53" spans="2:16" ht="15.75" x14ac:dyDescent="0.25">
      <c r="B53" s="669" t="s">
        <v>3283</v>
      </c>
      <c r="D53" s="420">
        <f>+D44</f>
        <v>1.07</v>
      </c>
      <c r="E53" s="420">
        <f t="shared" ref="E53:F53" si="1">+E44</f>
        <v>1.1299999999999999</v>
      </c>
      <c r="F53" s="689">
        <f t="shared" si="1"/>
        <v>1.1599999999999999</v>
      </c>
    </row>
    <row r="54" spans="2:16" ht="15.75" x14ac:dyDescent="0.25">
      <c r="B54" s="656" t="s">
        <v>3284</v>
      </c>
      <c r="C54" s="690"/>
      <c r="D54" s="690"/>
      <c r="E54" s="447"/>
      <c r="F54" s="691">
        <f>+H45</f>
        <v>395.86698695255637</v>
      </c>
    </row>
    <row r="55" spans="2:16" ht="15.75" x14ac:dyDescent="0.25">
      <c r="C55" s="421">
        <f>+SUM(C52:C54)</f>
        <v>-279.22000000000003</v>
      </c>
      <c r="D55" s="421">
        <f>+SUM(D52:D54)</f>
        <v>1.07</v>
      </c>
      <c r="E55" s="421">
        <f>+SUM(E52:E54)</f>
        <v>1.1299999999999999</v>
      </c>
      <c r="F55" s="421">
        <f>+SUM(F52:F54)</f>
        <v>397.0269869525564</v>
      </c>
    </row>
    <row r="57" spans="2:16" ht="15.75" x14ac:dyDescent="0.25">
      <c r="B57" s="391" t="s">
        <v>2826</v>
      </c>
      <c r="C57" s="395">
        <f>XIRR(C55:F55,C51:F51)</f>
        <v>0.13498057723045356</v>
      </c>
      <c r="E57" s="424"/>
    </row>
    <row r="60" spans="2:16" ht="15.75" x14ac:dyDescent="0.25">
      <c r="C60" s="425"/>
      <c r="D60" s="984">
        <v>2026</v>
      </c>
      <c r="E60" s="985"/>
      <c r="F60" s="985"/>
      <c r="G60" s="986"/>
      <c r="H60" s="984">
        <v>2027</v>
      </c>
      <c r="I60" s="985"/>
      <c r="J60" s="985"/>
      <c r="K60" s="985"/>
      <c r="L60" s="984">
        <v>2028</v>
      </c>
      <c r="M60" s="985"/>
      <c r="N60" s="985"/>
      <c r="O60" s="985"/>
      <c r="P60" s="986"/>
    </row>
    <row r="61" spans="2:16" ht="15.75" x14ac:dyDescent="0.25">
      <c r="C61" s="426">
        <v>45976</v>
      </c>
      <c r="D61" s="427">
        <v>46068</v>
      </c>
      <c r="E61" s="426">
        <v>46157</v>
      </c>
      <c r="F61" s="426">
        <v>46249</v>
      </c>
      <c r="G61" s="428">
        <v>46341</v>
      </c>
      <c r="H61" s="426">
        <v>46433</v>
      </c>
      <c r="I61" s="426">
        <v>46522</v>
      </c>
      <c r="J61" s="426">
        <v>46614</v>
      </c>
      <c r="K61" s="426">
        <v>46706</v>
      </c>
      <c r="L61" s="427">
        <v>46798</v>
      </c>
      <c r="M61" s="426">
        <v>46888</v>
      </c>
      <c r="N61" s="426">
        <v>46980</v>
      </c>
      <c r="O61" s="426">
        <v>47072</v>
      </c>
      <c r="P61" s="428">
        <v>47087</v>
      </c>
    </row>
    <row r="62" spans="2:16" ht="15.75" x14ac:dyDescent="0.25">
      <c r="B62" s="408" t="s">
        <v>3282</v>
      </c>
      <c r="C62" s="422">
        <f>+C52</f>
        <v>-279.22000000000003</v>
      </c>
      <c r="D62" s="429"/>
      <c r="E62" s="422"/>
      <c r="F62" s="422"/>
      <c r="G62" s="416"/>
      <c r="H62" s="422"/>
      <c r="I62" s="422"/>
      <c r="J62" s="422"/>
      <c r="K62" s="422"/>
      <c r="L62" s="429"/>
      <c r="M62" s="422"/>
      <c r="N62" s="422"/>
      <c r="O62" s="422"/>
      <c r="P62" s="416"/>
    </row>
    <row r="63" spans="2:16" ht="15.75" x14ac:dyDescent="0.25">
      <c r="B63" s="410" t="s">
        <v>3283</v>
      </c>
      <c r="C63" s="420"/>
      <c r="D63" s="430">
        <f>+$D$53/4</f>
        <v>0.26750000000000002</v>
      </c>
      <c r="E63" s="420">
        <f>+$D$53/4</f>
        <v>0.26750000000000002</v>
      </c>
      <c r="F63" s="420">
        <f>+$D$53/4</f>
        <v>0.26750000000000002</v>
      </c>
      <c r="G63" s="419">
        <f>+$D$53/4</f>
        <v>0.26750000000000002</v>
      </c>
      <c r="H63" s="420">
        <f>+$E$53/4</f>
        <v>0.28249999999999997</v>
      </c>
      <c r="I63" s="420">
        <f>+$E$53/4</f>
        <v>0.28249999999999997</v>
      </c>
      <c r="J63" s="420">
        <f>+$E$53/4</f>
        <v>0.28249999999999997</v>
      </c>
      <c r="K63" s="420">
        <f>+$E$53/4</f>
        <v>0.28249999999999997</v>
      </c>
      <c r="L63" s="430">
        <f>+$F$53/4</f>
        <v>0.28999999999999998</v>
      </c>
      <c r="M63" s="420">
        <f>+$F$53/4</f>
        <v>0.28999999999999998</v>
      </c>
      <c r="N63" s="420">
        <f>+$F$53/4</f>
        <v>0.28999999999999998</v>
      </c>
      <c r="O63" s="420">
        <f>+$F$53/4</f>
        <v>0.28999999999999998</v>
      </c>
      <c r="P63" s="419"/>
    </row>
    <row r="64" spans="2:16" ht="15.75" x14ac:dyDescent="0.25">
      <c r="B64" s="411" t="s">
        <v>3284</v>
      </c>
      <c r="C64" s="423"/>
      <c r="D64" s="431"/>
      <c r="E64" s="423"/>
      <c r="F64" s="423"/>
      <c r="G64" s="417"/>
      <c r="H64" s="423"/>
      <c r="I64" s="423"/>
      <c r="J64" s="423"/>
      <c r="K64" s="423"/>
      <c r="L64" s="431"/>
      <c r="M64" s="423"/>
      <c r="N64" s="423"/>
      <c r="O64" s="423"/>
      <c r="P64" s="417">
        <f>++F54</f>
        <v>395.86698695255637</v>
      </c>
    </row>
    <row r="65" spans="2:17" ht="15.75" x14ac:dyDescent="0.25">
      <c r="C65" s="421">
        <f>+SUM(C62:C64)</f>
        <v>-279.22000000000003</v>
      </c>
      <c r="D65" s="421">
        <f t="shared" ref="D65:P65" si="2">+SUM(D62:D64)</f>
        <v>0.26750000000000002</v>
      </c>
      <c r="E65" s="421">
        <f t="shared" si="2"/>
        <v>0.26750000000000002</v>
      </c>
      <c r="F65" s="421">
        <f t="shared" si="2"/>
        <v>0.26750000000000002</v>
      </c>
      <c r="G65" s="421">
        <f t="shared" si="2"/>
        <v>0.26750000000000002</v>
      </c>
      <c r="H65" s="421">
        <f t="shared" si="2"/>
        <v>0.28249999999999997</v>
      </c>
      <c r="I65" s="421">
        <f t="shared" si="2"/>
        <v>0.28249999999999997</v>
      </c>
      <c r="J65" s="421">
        <f t="shared" si="2"/>
        <v>0.28249999999999997</v>
      </c>
      <c r="K65" s="421">
        <f t="shared" si="2"/>
        <v>0.28249999999999997</v>
      </c>
      <c r="L65" s="421">
        <f t="shared" si="2"/>
        <v>0.28999999999999998</v>
      </c>
      <c r="M65" s="421">
        <f t="shared" si="2"/>
        <v>0.28999999999999998</v>
      </c>
      <c r="N65" s="421">
        <f t="shared" si="2"/>
        <v>0.28999999999999998</v>
      </c>
      <c r="O65" s="421">
        <f t="shared" si="2"/>
        <v>0.28999999999999998</v>
      </c>
      <c r="P65" s="421">
        <f t="shared" si="2"/>
        <v>395.86698695255637</v>
      </c>
      <c r="Q65" s="307"/>
    </row>
    <row r="67" spans="2:17" ht="15.75" x14ac:dyDescent="0.25">
      <c r="B67" s="391" t="s">
        <v>3285</v>
      </c>
      <c r="C67" s="395">
        <f>+XIRR(C65:P65,C61:P61)</f>
        <v>0.12521091103553769</v>
      </c>
    </row>
    <row r="72" spans="2:17" ht="15.75" x14ac:dyDescent="0.25">
      <c r="L72" s="391"/>
    </row>
    <row r="73" spans="2:17" ht="15.75" x14ac:dyDescent="0.25">
      <c r="O73" s="391"/>
    </row>
    <row r="75" spans="2:17" ht="15.75" x14ac:dyDescent="0.25">
      <c r="P75" s="391"/>
    </row>
    <row r="77" spans="2:17" ht="15.75" x14ac:dyDescent="0.25">
      <c r="C77" s="703" t="s">
        <v>3608</v>
      </c>
      <c r="D77" s="702" t="e">
        <f>+#REF!+#REF!</f>
        <v>#REF!</v>
      </c>
      <c r="F77" s="655" t="s">
        <v>3612</v>
      </c>
      <c r="G77" s="659">
        <f>+D85*D81</f>
        <v>4204477.4333333336</v>
      </c>
    </row>
    <row r="78" spans="2:17" ht="15.75" x14ac:dyDescent="0.25">
      <c r="C78" s="704" t="s">
        <v>383</v>
      </c>
      <c r="D78" s="670">
        <v>0.06</v>
      </c>
      <c r="F78" s="669" t="s">
        <v>3613</v>
      </c>
      <c r="G78" s="686">
        <v>-68543</v>
      </c>
    </row>
    <row r="79" spans="2:17" ht="15.75" x14ac:dyDescent="0.25">
      <c r="C79" s="704" t="s">
        <v>3083</v>
      </c>
      <c r="D79" s="670">
        <v>0.09</v>
      </c>
      <c r="F79" s="705" t="s">
        <v>3295</v>
      </c>
      <c r="G79" s="706">
        <f>+G77-G78</f>
        <v>4273020.4333333336</v>
      </c>
    </row>
    <row r="80" spans="2:17" ht="15.75" x14ac:dyDescent="0.25">
      <c r="C80" s="704" t="s">
        <v>2173</v>
      </c>
      <c r="D80" s="670">
        <v>1</v>
      </c>
    </row>
    <row r="81" spans="3:7" ht="15.75" x14ac:dyDescent="0.25">
      <c r="C81" s="617" t="s">
        <v>3618</v>
      </c>
      <c r="D81" s="701">
        <f>+(1-(D78/D80))/(D79-D78)</f>
        <v>31.333333333333332</v>
      </c>
      <c r="F81" s="655" t="s">
        <v>3614</v>
      </c>
      <c r="G81" s="659">
        <f>14776*(1-2.5%)^3</f>
        <v>13695.274124999998</v>
      </c>
    </row>
    <row r="82" spans="3:7" ht="15.75" x14ac:dyDescent="0.25">
      <c r="F82" s="669" t="s">
        <v>3615</v>
      </c>
      <c r="G82" s="695">
        <f>+G79/G81</f>
        <v>312.00692986007203</v>
      </c>
    </row>
    <row r="83" spans="3:7" ht="15.75" x14ac:dyDescent="0.25">
      <c r="C83" s="655" t="s">
        <v>3609</v>
      </c>
      <c r="D83" s="659">
        <v>169855</v>
      </c>
      <c r="F83" s="656" t="s">
        <v>3616</v>
      </c>
      <c r="G83" s="658">
        <f>+'EEFF Apple y cálculo ratios'!C324</f>
        <v>279.22000000000003</v>
      </c>
    </row>
    <row r="84" spans="3:7" ht="15.75" x14ac:dyDescent="0.25">
      <c r="C84" s="669" t="s">
        <v>3610</v>
      </c>
      <c r="D84" s="660">
        <v>0.21</v>
      </c>
      <c r="F84" s="669" t="s">
        <v>3070</v>
      </c>
      <c r="G84" s="660">
        <f>+G82/G83-1</f>
        <v>0.11742328579640438</v>
      </c>
    </row>
    <row r="85" spans="3:7" ht="15.75" x14ac:dyDescent="0.25">
      <c r="C85" s="656" t="s">
        <v>3611</v>
      </c>
      <c r="D85" s="661">
        <f>+D83*(1-D84)</f>
        <v>134185.45000000001</v>
      </c>
      <c r="F85" s="656" t="s">
        <v>3617</v>
      </c>
      <c r="G85" s="653">
        <f>+(G82/G83)^(1/3)-1</f>
        <v>3.7701805670482313E-2</v>
      </c>
    </row>
    <row r="90" spans="3:7" ht="15.75" x14ac:dyDescent="0.25">
      <c r="C90" s="655" t="s">
        <v>3619</v>
      </c>
      <c r="D90" s="659">
        <f>+'EEFF Apple y cálculo ratios'!C334</f>
        <v>4091991.7200000007</v>
      </c>
      <c r="F90" s="655" t="s">
        <v>3612</v>
      </c>
      <c r="G90" s="659">
        <f>+D94*D97</f>
        <v>4936189.3834890556</v>
      </c>
    </row>
    <row r="91" spans="3:7" ht="15.75" x14ac:dyDescent="0.25">
      <c r="C91" s="669" t="s">
        <v>3621</v>
      </c>
      <c r="D91" s="686">
        <f>+'EEFF Apple y cálculo ratios'!G49+'EEFF Apple y cálculo ratios'!G50</f>
        <v>98767</v>
      </c>
      <c r="F91" s="669" t="s">
        <v>3613</v>
      </c>
      <c r="G91" s="686">
        <v>-68543</v>
      </c>
    </row>
    <row r="92" spans="3:7" ht="15.75" x14ac:dyDescent="0.25">
      <c r="C92" s="669" t="s">
        <v>2223</v>
      </c>
      <c r="D92" s="686">
        <f>+'EEFF Apple y cálculo ratios'!C328</f>
        <v>4125754.7200000007</v>
      </c>
      <c r="F92" s="705" t="s">
        <v>3295</v>
      </c>
      <c r="G92" s="706">
        <f>+G90-G91</f>
        <v>5004732.3834890556</v>
      </c>
    </row>
    <row r="93" spans="3:7" ht="15.75" x14ac:dyDescent="0.25">
      <c r="C93" s="669" t="s">
        <v>3620</v>
      </c>
      <c r="D93" s="660">
        <f>+D91/D92</f>
        <v>2.3939135189306644E-2</v>
      </c>
    </row>
    <row r="94" spans="3:7" ht="15.75" x14ac:dyDescent="0.25">
      <c r="C94" s="669" t="s">
        <v>3622</v>
      </c>
      <c r="D94" s="686">
        <v>181989</v>
      </c>
      <c r="F94" s="655" t="s">
        <v>3614</v>
      </c>
      <c r="G94" s="659">
        <f>14776*(1-2.5%)^3</f>
        <v>13695.274124999998</v>
      </c>
    </row>
    <row r="95" spans="3:7" ht="15.75" x14ac:dyDescent="0.25">
      <c r="C95" s="669" t="s">
        <v>3623</v>
      </c>
      <c r="D95" s="686">
        <v>3</v>
      </c>
      <c r="F95" s="669" t="s">
        <v>3615</v>
      </c>
      <c r="G95" s="695">
        <f>+G92/G94</f>
        <v>365.43499150215484</v>
      </c>
    </row>
    <row r="96" spans="3:7" ht="15.75" x14ac:dyDescent="0.25">
      <c r="C96" s="656" t="s">
        <v>3083</v>
      </c>
      <c r="D96" s="653">
        <v>0.09</v>
      </c>
      <c r="F96" s="656" t="s">
        <v>3616</v>
      </c>
      <c r="G96" s="658">
        <f>+G83</f>
        <v>279.22000000000003</v>
      </c>
    </row>
    <row r="97" spans="3:7" ht="15.75" x14ac:dyDescent="0.25">
      <c r="C97" s="707" t="s">
        <v>3624</v>
      </c>
      <c r="D97" s="708">
        <f>+(D90*(1+D96)^(D95))/((1+D93)^(D95)*D94)</f>
        <v>27.123559025485363</v>
      </c>
      <c r="F97" s="669" t="s">
        <v>3070</v>
      </c>
      <c r="G97" s="660">
        <f>+G95/G96-1</f>
        <v>0.30877083125189753</v>
      </c>
    </row>
    <row r="98" spans="3:7" ht="15.75" x14ac:dyDescent="0.25">
      <c r="F98" s="656" t="s">
        <v>3617</v>
      </c>
      <c r="G98" s="653">
        <f>+(G95/G96)^(1/3)-1</f>
        <v>9.3841851116756692E-2</v>
      </c>
    </row>
  </sheetData>
  <mergeCells count="3">
    <mergeCell ref="D60:G60"/>
    <mergeCell ref="H60:K60"/>
    <mergeCell ref="L60:P60"/>
  </mergeCells>
  <phoneticPr fontId="35" type="noConversion"/>
  <hyperlinks>
    <hyperlink ref="A1" location="Inicio!A1" display="Inicio" xr:uid="{831257BF-5A25-463C-9ECC-1B6AFC3714D1}"/>
  </hyperlink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19772-C3DA-4671-91A3-67B5667F9769}">
  <sheetPr>
    <tabColor rgb="FFFFFF00"/>
  </sheetPr>
  <dimension ref="A1:C10"/>
  <sheetViews>
    <sheetView showGridLines="0" workbookViewId="0">
      <selection activeCell="H23" sqref="H23"/>
    </sheetView>
  </sheetViews>
  <sheetFormatPr defaultRowHeight="15" x14ac:dyDescent="0.25"/>
  <cols>
    <col min="2" max="2" width="39.5703125" customWidth="1"/>
  </cols>
  <sheetData>
    <row r="1" spans="1:3" x14ac:dyDescent="0.25">
      <c r="A1" s="879" t="s">
        <v>2821</v>
      </c>
    </row>
    <row r="2" spans="1:3" x14ac:dyDescent="0.25">
      <c r="B2" t="s">
        <v>3853</v>
      </c>
    </row>
    <row r="3" spans="1:3" x14ac:dyDescent="0.25">
      <c r="B3" s="22"/>
      <c r="C3" s="626">
        <v>2025</v>
      </c>
    </row>
    <row r="4" spans="1:3" x14ac:dyDescent="0.25">
      <c r="B4" s="628" t="s">
        <v>3599</v>
      </c>
      <c r="C4" s="522">
        <f>+'EEFF Apple y cálculo ratios'!C328</f>
        <v>4125754.7200000007</v>
      </c>
    </row>
    <row r="5" spans="1:3" x14ac:dyDescent="0.25">
      <c r="B5" s="629" t="s">
        <v>3600</v>
      </c>
      <c r="C5" s="523">
        <f>+'EEFF Apple y cálculo ratios'!C329</f>
        <v>78328</v>
      </c>
    </row>
    <row r="6" spans="1:3" x14ac:dyDescent="0.25">
      <c r="B6" s="629" t="s">
        <v>3601</v>
      </c>
      <c r="C6" s="523">
        <f>+'EEFF Apple y cálculo ratios'!C330</f>
        <v>20329</v>
      </c>
    </row>
    <row r="7" spans="1:3" x14ac:dyDescent="0.25">
      <c r="B7" s="629" t="s">
        <v>3602</v>
      </c>
      <c r="C7" s="523">
        <f>+'EEFF Apple y cálculo ratios'!C331</f>
        <v>-35934</v>
      </c>
    </row>
    <row r="8" spans="1:3" x14ac:dyDescent="0.25">
      <c r="B8" s="629" t="s">
        <v>3603</v>
      </c>
      <c r="C8" s="523">
        <f>+'EEFF Apple y cálculo ratios'!C332</f>
        <v>-18763</v>
      </c>
    </row>
    <row r="9" spans="1:3" x14ac:dyDescent="0.25">
      <c r="B9" s="629" t="s">
        <v>3604</v>
      </c>
      <c r="C9" s="523">
        <f>+'EEFF Apple y cálculo ratios'!C333</f>
        <v>-77723</v>
      </c>
    </row>
    <row r="10" spans="1:3" x14ac:dyDescent="0.25">
      <c r="B10" s="904" t="s">
        <v>3605</v>
      </c>
      <c r="C10" s="668">
        <f>+SUM(C4:C9)</f>
        <v>4091991.7200000007</v>
      </c>
    </row>
  </sheetData>
  <hyperlinks>
    <hyperlink ref="A1" location="Inicio!A1" display="Inicio" xr:uid="{396132CD-58AF-4326-91A0-6836343D196C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7345C-7C7D-4E04-B299-0AA2ABF8DFC7}">
  <sheetPr>
    <tabColor rgb="FFFFFF00"/>
  </sheetPr>
  <dimension ref="A1:J30"/>
  <sheetViews>
    <sheetView showGridLines="0" zoomScaleNormal="150" zoomScaleSheetLayoutView="100" workbookViewId="0"/>
  </sheetViews>
  <sheetFormatPr defaultRowHeight="15" x14ac:dyDescent="0.25"/>
  <cols>
    <col min="2" max="2" width="38.140625" customWidth="1"/>
    <col min="3" max="3" width="19" customWidth="1"/>
    <col min="4" max="4" width="13.5703125" customWidth="1"/>
    <col min="5" max="5" width="28.5703125" customWidth="1"/>
    <col min="6" max="6" width="14" customWidth="1"/>
    <col min="7" max="7" width="4.5703125" customWidth="1"/>
    <col min="8" max="8" width="30.7109375" customWidth="1"/>
    <col min="9" max="9" width="30.28515625" bestFit="1" customWidth="1"/>
    <col min="10" max="10" width="9.140625" bestFit="1" customWidth="1"/>
    <col min="11" max="12" width="9.42578125" bestFit="1" customWidth="1"/>
    <col min="13" max="13" width="10.140625" bestFit="1" customWidth="1"/>
    <col min="14" max="16" width="9.42578125" bestFit="1" customWidth="1"/>
    <col min="17" max="17" width="10.140625" bestFit="1" customWidth="1"/>
    <col min="18" max="18" width="7.85546875" bestFit="1" customWidth="1"/>
  </cols>
  <sheetData>
    <row r="1" spans="1:10" x14ac:dyDescent="0.25">
      <c r="A1" s="879" t="s">
        <v>2821</v>
      </c>
    </row>
    <row r="3" spans="1:10" x14ac:dyDescent="0.25">
      <c r="B3" t="s">
        <v>3854</v>
      </c>
      <c r="E3" t="s">
        <v>3855</v>
      </c>
      <c r="I3" t="s">
        <v>3856</v>
      </c>
    </row>
    <row r="4" spans="1:10" ht="15.75" x14ac:dyDescent="0.25">
      <c r="B4" s="655" t="s">
        <v>3286</v>
      </c>
      <c r="C4" s="642">
        <v>600</v>
      </c>
      <c r="E4" s="987" t="s">
        <v>3304</v>
      </c>
      <c r="F4" s="988"/>
      <c r="I4" s="987" t="s">
        <v>3302</v>
      </c>
      <c r="J4" s="988"/>
    </row>
    <row r="5" spans="1:10" ht="15.75" x14ac:dyDescent="0.25">
      <c r="B5" s="669" t="s">
        <v>3296</v>
      </c>
      <c r="C5" s="660">
        <v>0.15</v>
      </c>
      <c r="E5" s="669" t="s">
        <v>3314</v>
      </c>
      <c r="F5" s="670">
        <v>0.25</v>
      </c>
      <c r="I5" s="669" t="s">
        <v>3291</v>
      </c>
      <c r="J5" s="675">
        <f>+C4*(1+F5)^3</f>
        <v>1171.875</v>
      </c>
    </row>
    <row r="6" spans="1:10" ht="15.75" x14ac:dyDescent="0.25">
      <c r="B6" s="669" t="s">
        <v>3297</v>
      </c>
      <c r="C6" s="639">
        <f>+C4*C5</f>
        <v>90</v>
      </c>
      <c r="E6" s="669" t="s">
        <v>3305</v>
      </c>
      <c r="F6" s="670">
        <v>0</v>
      </c>
      <c r="I6" s="669" t="s">
        <v>3299</v>
      </c>
      <c r="J6" s="675">
        <f>+C6*(1+F7)+C6*(1+F7)^2+C6*(1+F7)^3</f>
        <v>280.94471999999996</v>
      </c>
    </row>
    <row r="7" spans="1:10" ht="15.75" x14ac:dyDescent="0.25">
      <c r="B7" s="669" t="s">
        <v>3300</v>
      </c>
      <c r="C7" s="672">
        <f>+C6/C10</f>
        <v>0.09</v>
      </c>
      <c r="E7" s="669" t="s">
        <v>3298</v>
      </c>
      <c r="F7" s="670">
        <v>0.02</v>
      </c>
      <c r="I7" s="669" t="s">
        <v>3289</v>
      </c>
      <c r="J7" s="592">
        <f>+C10*(1+F6)^3</f>
        <v>1000</v>
      </c>
    </row>
    <row r="8" spans="1:10" ht="15.75" x14ac:dyDescent="0.25">
      <c r="B8" s="669" t="s">
        <v>3287</v>
      </c>
      <c r="C8" s="639">
        <v>3000</v>
      </c>
      <c r="E8" s="669" t="s">
        <v>3306</v>
      </c>
      <c r="F8" s="592">
        <v>-200</v>
      </c>
      <c r="I8" s="669" t="s">
        <v>3287</v>
      </c>
      <c r="J8" s="592">
        <f>+C8+F8</f>
        <v>2800</v>
      </c>
    </row>
    <row r="9" spans="1:10" ht="15.75" x14ac:dyDescent="0.25">
      <c r="B9" s="669" t="s">
        <v>3288</v>
      </c>
      <c r="C9" s="639">
        <v>200</v>
      </c>
      <c r="E9" s="669" t="s">
        <v>3307</v>
      </c>
      <c r="F9" s="592">
        <v>91</v>
      </c>
      <c r="I9" s="669" t="s">
        <v>3292</v>
      </c>
      <c r="J9" s="592">
        <f>+C9+F9</f>
        <v>291</v>
      </c>
    </row>
    <row r="10" spans="1:10" ht="15.75" x14ac:dyDescent="0.25">
      <c r="B10" s="669" t="s">
        <v>3289</v>
      </c>
      <c r="C10" s="639">
        <v>1000</v>
      </c>
      <c r="E10" s="656" t="s">
        <v>3293</v>
      </c>
      <c r="F10" s="662">
        <v>11</v>
      </c>
      <c r="I10" s="669" t="s">
        <v>3294</v>
      </c>
      <c r="J10" s="592">
        <f>+J5*F10</f>
        <v>12890.625</v>
      </c>
    </row>
    <row r="11" spans="1:10" ht="15.75" x14ac:dyDescent="0.25">
      <c r="B11" s="669" t="s">
        <v>3127</v>
      </c>
      <c r="C11" s="639">
        <v>4000</v>
      </c>
      <c r="I11" s="676" t="s">
        <v>3125</v>
      </c>
      <c r="J11" s="592">
        <f>-J8</f>
        <v>-2800</v>
      </c>
    </row>
    <row r="12" spans="1:10" ht="15.75" x14ac:dyDescent="0.25">
      <c r="B12" s="669" t="s">
        <v>3290</v>
      </c>
      <c r="C12" s="672">
        <f>+C11/C10</f>
        <v>4</v>
      </c>
      <c r="I12" s="676" t="s">
        <v>3308</v>
      </c>
      <c r="J12" s="592">
        <f>+J9</f>
        <v>291</v>
      </c>
    </row>
    <row r="13" spans="1:10" ht="15.75" x14ac:dyDescent="0.25">
      <c r="B13" s="656" t="s">
        <v>3294</v>
      </c>
      <c r="C13" s="673">
        <f>+C11+C8-C9</f>
        <v>6800</v>
      </c>
      <c r="I13" s="669" t="s">
        <v>3295</v>
      </c>
      <c r="J13" s="592">
        <f>+SUM(J10:J12)</f>
        <v>10381.625</v>
      </c>
    </row>
    <row r="14" spans="1:10" ht="15.75" x14ac:dyDescent="0.25">
      <c r="I14" s="656" t="s">
        <v>2179</v>
      </c>
      <c r="J14" s="671">
        <f>+J13/J7</f>
        <v>10.381625</v>
      </c>
    </row>
    <row r="15" spans="1:10" ht="15.75" x14ac:dyDescent="0.25">
      <c r="B15" s="391"/>
      <c r="C15" s="252"/>
      <c r="F15" s="251"/>
      <c r="I15" s="100"/>
    </row>
    <row r="16" spans="1:10" ht="15.75" x14ac:dyDescent="0.25">
      <c r="B16" s="407" t="s">
        <v>3311</v>
      </c>
      <c r="C16" s="406"/>
      <c r="E16" t="s">
        <v>3857</v>
      </c>
      <c r="I16" s="655" t="s">
        <v>3310</v>
      </c>
      <c r="J16" s="652">
        <f>+J14/C12-1</f>
        <v>1.5954062499999999</v>
      </c>
    </row>
    <row r="17" spans="2:10" ht="15.75" x14ac:dyDescent="0.25">
      <c r="I17" s="656" t="s">
        <v>3309</v>
      </c>
      <c r="J17" s="653">
        <f>+(J14/C12)^(1/3)-1</f>
        <v>0.37425855342680214</v>
      </c>
    </row>
    <row r="18" spans="2:10" ht="15.75" x14ac:dyDescent="0.25">
      <c r="B18" s="391"/>
      <c r="C18" s="665">
        <v>2025</v>
      </c>
      <c r="D18" s="665">
        <v>2026</v>
      </c>
      <c r="E18" s="665">
        <v>2027</v>
      </c>
      <c r="F18" s="665">
        <v>2028</v>
      </c>
      <c r="I18" s="137"/>
    </row>
    <row r="19" spans="2:10" ht="15.75" x14ac:dyDescent="0.25">
      <c r="B19" s="408" t="s">
        <v>3289</v>
      </c>
      <c r="C19" s="432">
        <f>+C10</f>
        <v>1000</v>
      </c>
      <c r="D19" s="432">
        <f>+C19*(1+F6)</f>
        <v>1000</v>
      </c>
      <c r="E19" s="432">
        <f>+D19*(1+F6)</f>
        <v>1000</v>
      </c>
      <c r="F19" s="409">
        <f>+E19*(1+F6)</f>
        <v>1000</v>
      </c>
      <c r="I19" s="137"/>
    </row>
    <row r="20" spans="2:10" ht="15.75" x14ac:dyDescent="0.25">
      <c r="B20" s="410" t="s">
        <v>3152</v>
      </c>
      <c r="C20" s="100">
        <f>+C6</f>
        <v>90</v>
      </c>
      <c r="D20" s="100">
        <f>+C20*(1+$F$7)</f>
        <v>91.8</v>
      </c>
      <c r="E20" s="100">
        <f>+D20*(1+$F$7)</f>
        <v>93.635999999999996</v>
      </c>
      <c r="F20" s="359">
        <f>+E20*(1+$F$7)</f>
        <v>95.508719999999997</v>
      </c>
    </row>
    <row r="21" spans="2:10" ht="15.75" x14ac:dyDescent="0.25">
      <c r="B21" s="411" t="s">
        <v>3301</v>
      </c>
      <c r="C21" s="433">
        <f>+C20/C19</f>
        <v>0.09</v>
      </c>
      <c r="D21" s="433">
        <f>+D20/D19</f>
        <v>9.1799999999999993E-2</v>
      </c>
      <c r="E21" s="433">
        <f>+E20/E19</f>
        <v>9.3635999999999997E-2</v>
      </c>
      <c r="F21" s="399">
        <f>+F20/F19</f>
        <v>9.5508719999999991E-2</v>
      </c>
      <c r="I21" s="137"/>
    </row>
    <row r="22" spans="2:10" ht="15.75" x14ac:dyDescent="0.25">
      <c r="B22" s="151"/>
      <c r="C22" s="151"/>
      <c r="D22" s="100"/>
      <c r="E22" s="151"/>
      <c r="F22" s="151"/>
    </row>
    <row r="23" spans="2:10" ht="15.75" x14ac:dyDescent="0.25">
      <c r="B23" s="151"/>
      <c r="C23" s="665">
        <v>2025</v>
      </c>
      <c r="D23" s="665">
        <v>2026</v>
      </c>
      <c r="E23" s="665">
        <v>2027</v>
      </c>
      <c r="F23" s="665">
        <v>2028</v>
      </c>
    </row>
    <row r="24" spans="2:10" ht="15.75" x14ac:dyDescent="0.25">
      <c r="B24" s="408" t="s">
        <v>3282</v>
      </c>
      <c r="C24" s="422">
        <f>-C12</f>
        <v>-4</v>
      </c>
      <c r="D24" s="677"/>
      <c r="E24" s="677"/>
      <c r="F24" s="678"/>
    </row>
    <row r="25" spans="2:10" ht="15.75" x14ac:dyDescent="0.25">
      <c r="B25" s="410" t="s">
        <v>3283</v>
      </c>
      <c r="C25" s="681"/>
      <c r="D25" s="680">
        <f>+D21</f>
        <v>9.1799999999999993E-2</v>
      </c>
      <c r="E25" s="680">
        <f>+E21</f>
        <v>9.3635999999999997E-2</v>
      </c>
      <c r="F25" s="682">
        <f>+F21</f>
        <v>9.5508719999999991E-2</v>
      </c>
    </row>
    <row r="26" spans="2:10" ht="15.75" x14ac:dyDescent="0.25">
      <c r="B26" s="411" t="s">
        <v>3284</v>
      </c>
      <c r="C26" s="423"/>
      <c r="D26" s="423"/>
      <c r="E26" s="679"/>
      <c r="F26" s="417">
        <f>+J14</f>
        <v>10.381625</v>
      </c>
    </row>
    <row r="27" spans="2:10" ht="15.75" x14ac:dyDescent="0.25">
      <c r="B27" s="151"/>
      <c r="C27" s="421">
        <f>+SUM(C24:C26)</f>
        <v>-4</v>
      </c>
      <c r="D27" s="421">
        <f>+SUM(D24:D26)</f>
        <v>9.1799999999999993E-2</v>
      </c>
      <c r="E27" s="421">
        <f>+SUM(E24:E26)</f>
        <v>9.3635999999999997E-2</v>
      </c>
      <c r="F27" s="421">
        <f>+SUM(F24:F26)</f>
        <v>10.477133719999999</v>
      </c>
    </row>
    <row r="28" spans="2:10" ht="15.75" x14ac:dyDescent="0.25">
      <c r="B28" s="151"/>
      <c r="C28" s="151"/>
      <c r="D28" s="151"/>
      <c r="E28" s="151"/>
      <c r="F28" s="151"/>
    </row>
    <row r="29" spans="2:10" ht="15.75" x14ac:dyDescent="0.25">
      <c r="B29" s="391" t="s">
        <v>2826</v>
      </c>
      <c r="C29" s="395">
        <f>+IRR(C27:F27)</f>
        <v>0.39184451802947651</v>
      </c>
    </row>
    <row r="30" spans="2:10" ht="15.75" x14ac:dyDescent="0.25">
      <c r="H30" s="391"/>
    </row>
  </sheetData>
  <mergeCells count="2">
    <mergeCell ref="E4:F4"/>
    <mergeCell ref="I4:J4"/>
  </mergeCells>
  <hyperlinks>
    <hyperlink ref="A1" location="Inicio!A1" display="Inicio" xr:uid="{8DFA5B57-2A90-4EB4-8D69-7409CA69ED8D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762F7-F870-B64C-9695-BF219807093F}">
  <sheetPr>
    <tabColor rgb="FFFFFF00"/>
  </sheetPr>
  <dimension ref="A1:I33"/>
  <sheetViews>
    <sheetView showGridLines="0" topLeftCell="A26" zoomScaleNormal="150" zoomScaleSheetLayoutView="100" workbookViewId="0">
      <selection activeCell="D17" sqref="D17"/>
    </sheetView>
  </sheetViews>
  <sheetFormatPr defaultRowHeight="15" x14ac:dyDescent="0.25"/>
  <cols>
    <col min="2" max="2" width="38.140625" customWidth="1"/>
    <col min="3" max="3" width="19" customWidth="1"/>
    <col min="4" max="4" width="13.5703125" customWidth="1"/>
    <col min="5" max="5" width="28.5703125" customWidth="1"/>
    <col min="6" max="6" width="14" customWidth="1"/>
    <col min="7" max="7" width="4.5703125" customWidth="1"/>
    <col min="8" max="8" width="30.7109375" customWidth="1"/>
    <col min="9" max="9" width="30.28515625" bestFit="1" customWidth="1"/>
    <col min="10" max="10" width="9.140625" bestFit="1" customWidth="1"/>
    <col min="11" max="12" width="9.42578125" bestFit="1" customWidth="1"/>
    <col min="13" max="13" width="10.140625" bestFit="1" customWidth="1"/>
    <col min="14" max="16" width="9.42578125" bestFit="1" customWidth="1"/>
    <col min="17" max="17" width="10.140625" bestFit="1" customWidth="1"/>
    <col min="18" max="18" width="7.85546875" bestFit="1" customWidth="1"/>
  </cols>
  <sheetData>
    <row r="1" spans="1:9" x14ac:dyDescent="0.25">
      <c r="A1" s="879" t="s">
        <v>2821</v>
      </c>
    </row>
    <row r="3" spans="1:9" ht="24" thickBot="1" x14ac:dyDescent="0.4">
      <c r="B3" s="435" t="s">
        <v>3312</v>
      </c>
      <c r="C3" s="434"/>
      <c r="D3" s="434"/>
      <c r="E3" s="434"/>
      <c r="F3" s="434"/>
      <c r="G3" s="434"/>
      <c r="H3" s="434"/>
      <c r="I3" s="434"/>
    </row>
    <row r="5" spans="1:9" ht="15.75" x14ac:dyDescent="0.25">
      <c r="B5" s="266" t="s">
        <v>3860</v>
      </c>
      <c r="E5" t="s">
        <v>3861</v>
      </c>
      <c r="H5" t="s">
        <v>3862</v>
      </c>
    </row>
    <row r="6" spans="1:9" ht="15.75" x14ac:dyDescent="0.25">
      <c r="C6" s="478" t="s">
        <v>3303</v>
      </c>
      <c r="E6" s="989" t="s">
        <v>3304</v>
      </c>
      <c r="F6" s="990"/>
      <c r="H6" s="991" t="s">
        <v>3607</v>
      </c>
      <c r="I6" s="992"/>
    </row>
    <row r="7" spans="1:9" ht="15.75" x14ac:dyDescent="0.25">
      <c r="B7" s="655" t="s">
        <v>3286</v>
      </c>
      <c r="C7" s="642">
        <f>+'EEFF Apple y cálculo ratios'!G49+'EEFF Apple y cálculo ratios'!G50</f>
        <v>98767</v>
      </c>
      <c r="E7" s="655" t="s">
        <v>3305</v>
      </c>
      <c r="F7" s="652">
        <v>-2.5000000000000001E-2</v>
      </c>
      <c r="H7" s="669" t="s">
        <v>3291</v>
      </c>
      <c r="I7" s="659">
        <f>+F9</f>
        <v>154675</v>
      </c>
    </row>
    <row r="8" spans="1:9" ht="15.75" x14ac:dyDescent="0.25">
      <c r="B8" s="669" t="s">
        <v>3313</v>
      </c>
      <c r="C8" s="639">
        <f>+'EEFF Apple y cálculo ratios'!C329+'EEFF Apple y cálculo ratios'!C330+'EEFF Apple y cálculo ratios'!C331+'EEFF Apple y cálculo ratios'!C332+'EEFF Apple y cálculo ratios'!C333</f>
        <v>-33763</v>
      </c>
      <c r="E8" s="669" t="s">
        <v>3293</v>
      </c>
      <c r="F8" s="686">
        <v>25</v>
      </c>
      <c r="H8" s="669" t="s">
        <v>3289</v>
      </c>
      <c r="I8" s="639">
        <f>+C9*(1+F7)^3</f>
        <v>13695.274124999998</v>
      </c>
    </row>
    <row r="9" spans="1:9" ht="15.75" x14ac:dyDescent="0.25">
      <c r="B9" s="669" t="s">
        <v>3289</v>
      </c>
      <c r="C9" s="639">
        <f>+'Cap5. V múltiplos AAPL'!C13</f>
        <v>14776</v>
      </c>
      <c r="E9" s="669" t="s">
        <v>3291</v>
      </c>
      <c r="F9" s="686">
        <v>154675</v>
      </c>
      <c r="H9" s="669" t="s">
        <v>3313</v>
      </c>
      <c r="I9" s="639">
        <f>+F10</f>
        <v>-68543</v>
      </c>
    </row>
    <row r="10" spans="1:9" ht="15.75" x14ac:dyDescent="0.25">
      <c r="B10" s="669" t="s">
        <v>3127</v>
      </c>
      <c r="C10" s="639">
        <f>+'Cap5. V múltiplos AAPL'!C5</f>
        <v>4125754.7200000007</v>
      </c>
      <c r="E10" s="669" t="s">
        <v>2924</v>
      </c>
      <c r="F10" s="639">
        <v>-68543</v>
      </c>
      <c r="H10" s="669" t="s">
        <v>3294</v>
      </c>
      <c r="I10" s="639">
        <f>+I7*F8</f>
        <v>3866875</v>
      </c>
    </row>
    <row r="11" spans="1:9" ht="15.75" x14ac:dyDescent="0.25">
      <c r="B11" s="669" t="s">
        <v>3290</v>
      </c>
      <c r="C11" s="672">
        <f>+C10/C9</f>
        <v>279.22000000000003</v>
      </c>
      <c r="E11" s="669" t="s">
        <v>3315</v>
      </c>
      <c r="F11" s="672">
        <f>+'Cap5. V múltiplos AAPL'!D44</f>
        <v>1.07</v>
      </c>
      <c r="H11" s="676" t="s">
        <v>3125</v>
      </c>
      <c r="I11" s="639">
        <f>I9</f>
        <v>-68543</v>
      </c>
    </row>
    <row r="12" spans="1:9" ht="15.75" x14ac:dyDescent="0.25">
      <c r="B12" s="656" t="s">
        <v>3294</v>
      </c>
      <c r="C12" s="673">
        <f>+C10+C8</f>
        <v>4091991.7200000007</v>
      </c>
      <c r="E12" s="669" t="s">
        <v>3317</v>
      </c>
      <c r="F12" s="672">
        <f>+'Cap5. V múltiplos AAPL'!E44</f>
        <v>1.1299999999999999</v>
      </c>
      <c r="H12" s="676" t="s">
        <v>3308</v>
      </c>
      <c r="I12" s="639"/>
    </row>
    <row r="13" spans="1:9" ht="15.75" x14ac:dyDescent="0.25">
      <c r="E13" s="656" t="s">
        <v>3316</v>
      </c>
      <c r="F13" s="673">
        <f>+'Cap5. V múltiplos AAPL'!F44</f>
        <v>1.1599999999999999</v>
      </c>
      <c r="H13" s="669" t="s">
        <v>3295</v>
      </c>
      <c r="I13" s="639">
        <f>I10-SUM(I11:I12)</f>
        <v>3935418</v>
      </c>
    </row>
    <row r="14" spans="1:9" ht="15.75" x14ac:dyDescent="0.25">
      <c r="H14" s="656" t="s">
        <v>2179</v>
      </c>
      <c r="I14" s="673">
        <f>+I13/I8</f>
        <v>287.35591300185098</v>
      </c>
    </row>
    <row r="16" spans="1:9" ht="15.75" x14ac:dyDescent="0.25">
      <c r="H16" s="655" t="s">
        <v>3310</v>
      </c>
      <c r="I16" s="684">
        <f>+I14/C11-1</f>
        <v>2.9138002298728427E-2</v>
      </c>
    </row>
    <row r="17" spans="2:9" ht="15.75" x14ac:dyDescent="0.25">
      <c r="B17" s="391"/>
      <c r="C17" s="252"/>
      <c r="F17" s="251"/>
      <c r="H17" s="656" t="s">
        <v>3309</v>
      </c>
      <c r="I17" s="685">
        <f>+(I14/C11)^(1/3)-1</f>
        <v>9.6198295687079938E-3</v>
      </c>
    </row>
    <row r="18" spans="2:9" ht="15.75" x14ac:dyDescent="0.25">
      <c r="I18" s="100"/>
    </row>
    <row r="21" spans="2:9" x14ac:dyDescent="0.25">
      <c r="B21" t="s">
        <v>3863</v>
      </c>
    </row>
    <row r="23" spans="2:9" ht="15.75" x14ac:dyDescent="0.25">
      <c r="B23" s="407" t="s">
        <v>3311</v>
      </c>
      <c r="C23" s="20">
        <v>2025</v>
      </c>
      <c r="D23" s="20">
        <v>2026</v>
      </c>
      <c r="E23" s="20">
        <v>2027</v>
      </c>
      <c r="F23" s="20">
        <v>2028</v>
      </c>
    </row>
    <row r="24" spans="2:9" ht="15.75" x14ac:dyDescent="0.25">
      <c r="B24" s="408" t="s">
        <v>3289</v>
      </c>
      <c r="C24" s="432">
        <f>+C9</f>
        <v>14776</v>
      </c>
      <c r="D24" s="432">
        <f>+C24*(1+F7)</f>
        <v>14406.6</v>
      </c>
      <c r="E24" s="432">
        <f>+D24*(1+F7)</f>
        <v>14046.434999999999</v>
      </c>
      <c r="F24" s="409">
        <f>+E24*(1+F7)</f>
        <v>13695.274125</v>
      </c>
    </row>
    <row r="25" spans="2:9" ht="15.75" x14ac:dyDescent="0.25">
      <c r="B25" s="411" t="s">
        <v>3301</v>
      </c>
      <c r="C25" s="433"/>
      <c r="D25" s="433">
        <f>+F11</f>
        <v>1.07</v>
      </c>
      <c r="E25" s="433">
        <f>+F12</f>
        <v>1.1299999999999999</v>
      </c>
      <c r="F25" s="399">
        <f>+F13</f>
        <v>1.1599999999999999</v>
      </c>
    </row>
    <row r="27" spans="2:9" ht="15.75" x14ac:dyDescent="0.25">
      <c r="C27" s="478">
        <v>2025</v>
      </c>
      <c r="D27" s="693">
        <v>2026</v>
      </c>
      <c r="E27" s="478">
        <v>2027</v>
      </c>
      <c r="F27" s="683">
        <v>2028</v>
      </c>
    </row>
    <row r="28" spans="2:9" ht="15.75" x14ac:dyDescent="0.25">
      <c r="B28" s="408" t="s">
        <v>3282</v>
      </c>
      <c r="C28" s="657">
        <f>-C11</f>
        <v>-279.22000000000003</v>
      </c>
      <c r="D28" s="687"/>
      <c r="E28" s="694"/>
      <c r="F28" s="688"/>
    </row>
    <row r="29" spans="2:9" ht="15.75" x14ac:dyDescent="0.25">
      <c r="B29" s="410" t="s">
        <v>3283</v>
      </c>
      <c r="C29" s="692"/>
      <c r="D29" s="420">
        <f>+D25</f>
        <v>1.07</v>
      </c>
      <c r="E29" s="695">
        <f>+E25</f>
        <v>1.1299999999999999</v>
      </c>
      <c r="F29" s="689">
        <f>+F25</f>
        <v>1.1599999999999999</v>
      </c>
    </row>
    <row r="30" spans="2:9" ht="15.75" x14ac:dyDescent="0.25">
      <c r="B30" s="411" t="s">
        <v>3284</v>
      </c>
      <c r="C30" s="658"/>
      <c r="D30" s="690"/>
      <c r="E30" s="696"/>
      <c r="F30" s="691">
        <f>+I14</f>
        <v>287.35591300185098</v>
      </c>
    </row>
    <row r="31" spans="2:9" ht="15.75" x14ac:dyDescent="0.25">
      <c r="C31" s="697">
        <f>+SUM(C28:C30)</f>
        <v>-279.22000000000003</v>
      </c>
      <c r="D31" s="698">
        <f>+SUM(D28:D30)</f>
        <v>1.07</v>
      </c>
      <c r="E31" s="698">
        <f>+SUM(E28:E30)</f>
        <v>1.1299999999999999</v>
      </c>
      <c r="F31" s="699">
        <f>+SUM(F28:F30)</f>
        <v>288.515913001851</v>
      </c>
    </row>
    <row r="33" spans="2:3" ht="15.75" x14ac:dyDescent="0.25">
      <c r="B33" s="391" t="s">
        <v>2826</v>
      </c>
      <c r="C33" s="700">
        <f>+IRR(C31:F31)</f>
        <v>1.3591567585524267E-2</v>
      </c>
    </row>
  </sheetData>
  <mergeCells count="2">
    <mergeCell ref="E6:F6"/>
    <mergeCell ref="H6:I6"/>
  </mergeCells>
  <hyperlinks>
    <hyperlink ref="A1" location="Inicio!A1" display="Inicio" xr:uid="{DBE743D2-7AC8-4E50-8D1E-CFC691332EF5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0A4A2-6342-43E9-AAA9-64A9EAE47E03}">
  <sheetPr>
    <tabColor rgb="FFFFFF00"/>
  </sheetPr>
  <dimension ref="A1:P27"/>
  <sheetViews>
    <sheetView showGridLines="0" zoomScaleNormal="150" zoomScaleSheetLayoutView="100" workbookViewId="0"/>
  </sheetViews>
  <sheetFormatPr defaultRowHeight="15" x14ac:dyDescent="0.25"/>
  <cols>
    <col min="2" max="2" width="6.85546875" customWidth="1"/>
    <col min="3" max="3" width="29.5703125" customWidth="1"/>
    <col min="4" max="4" width="18" customWidth="1"/>
    <col min="5" max="5" width="4" customWidth="1"/>
    <col min="6" max="6" width="23.5703125" customWidth="1"/>
    <col min="7" max="7" width="15.5703125" customWidth="1"/>
    <col min="8" max="8" width="13.5703125" customWidth="1"/>
    <col min="9" max="10" width="9.42578125" bestFit="1" customWidth="1"/>
    <col min="11" max="11" width="10.140625" bestFit="1" customWidth="1"/>
    <col min="12" max="14" width="9.42578125" bestFit="1" customWidth="1"/>
    <col min="15" max="15" width="10.140625" bestFit="1" customWidth="1"/>
    <col min="16" max="16" width="7.85546875" bestFit="1" customWidth="1"/>
  </cols>
  <sheetData>
    <row r="1" spans="1:16" x14ac:dyDescent="0.25">
      <c r="A1" s="879" t="s">
        <v>2821</v>
      </c>
    </row>
    <row r="2" spans="1:16" ht="15.75" x14ac:dyDescent="0.25">
      <c r="O2" s="391"/>
    </row>
    <row r="4" spans="1:16" ht="15.75" x14ac:dyDescent="0.25">
      <c r="C4" t="s">
        <v>3866</v>
      </c>
      <c r="P4" s="391"/>
    </row>
    <row r="6" spans="1:16" ht="15.75" x14ac:dyDescent="0.25">
      <c r="C6" s="703" t="s">
        <v>3608</v>
      </c>
      <c r="D6" s="702" t="e">
        <f>+#REF!+#REF!</f>
        <v>#REF!</v>
      </c>
      <c r="F6" s="655" t="s">
        <v>3612</v>
      </c>
      <c r="G6" s="659">
        <f>+D14*D10</f>
        <v>4204477.4333333336</v>
      </c>
    </row>
    <row r="7" spans="1:16" ht="15.75" x14ac:dyDescent="0.25">
      <c r="C7" s="704" t="s">
        <v>383</v>
      </c>
      <c r="D7" s="670">
        <v>0.06</v>
      </c>
      <c r="F7" s="669" t="s">
        <v>3613</v>
      </c>
      <c r="G7" s="686">
        <v>-68543</v>
      </c>
    </row>
    <row r="8" spans="1:16" ht="15.75" x14ac:dyDescent="0.25">
      <c r="C8" s="704" t="s">
        <v>3083</v>
      </c>
      <c r="D8" s="670">
        <v>0.09</v>
      </c>
      <c r="F8" s="705" t="s">
        <v>3295</v>
      </c>
      <c r="G8" s="706">
        <f>+G6-G7</f>
        <v>4273020.4333333336</v>
      </c>
    </row>
    <row r="9" spans="1:16" ht="15.75" x14ac:dyDescent="0.25">
      <c r="C9" s="704" t="s">
        <v>2173</v>
      </c>
      <c r="D9" s="670">
        <v>1</v>
      </c>
    </row>
    <row r="10" spans="1:16" ht="15.75" x14ac:dyDescent="0.25">
      <c r="C10" s="617" t="s">
        <v>3618</v>
      </c>
      <c r="D10" s="701">
        <f>+(1-(D7/D9))/(D8-D7)</f>
        <v>31.333333333333332</v>
      </c>
      <c r="F10" s="655" t="s">
        <v>3614</v>
      </c>
      <c r="G10" s="659">
        <f>14776*(1-2.5%)^3</f>
        <v>13695.274124999998</v>
      </c>
    </row>
    <row r="11" spans="1:16" ht="15.75" x14ac:dyDescent="0.25">
      <c r="F11" s="669" t="s">
        <v>3615</v>
      </c>
      <c r="G11" s="695">
        <f>+G8/G10</f>
        <v>312.00692986007203</v>
      </c>
    </row>
    <row r="12" spans="1:16" ht="15.75" x14ac:dyDescent="0.25">
      <c r="C12" s="655" t="s">
        <v>3609</v>
      </c>
      <c r="D12" s="659">
        <v>169855</v>
      </c>
      <c r="F12" s="656" t="s">
        <v>3616</v>
      </c>
      <c r="G12" s="658">
        <f>+'EEFF Apple y cálculo ratios'!C324</f>
        <v>279.22000000000003</v>
      </c>
    </row>
    <row r="13" spans="1:16" ht="15.75" x14ac:dyDescent="0.25">
      <c r="C13" s="669" t="s">
        <v>3610</v>
      </c>
      <c r="D13" s="660">
        <v>0.21</v>
      </c>
      <c r="F13" s="669" t="s">
        <v>3070</v>
      </c>
      <c r="G13" s="660">
        <f>+G11/G12-1</f>
        <v>0.11742328579640438</v>
      </c>
    </row>
    <row r="14" spans="1:16" ht="15.75" x14ac:dyDescent="0.25">
      <c r="C14" s="656" t="s">
        <v>3611</v>
      </c>
      <c r="D14" s="661">
        <f>+D12*(1-D13)</f>
        <v>134185.45000000001</v>
      </c>
      <c r="F14" s="656" t="s">
        <v>3617</v>
      </c>
      <c r="G14" s="653">
        <f>+(G11/G12)^(1/3)-1</f>
        <v>3.7701805670482313E-2</v>
      </c>
    </row>
    <row r="17" spans="3:7" x14ac:dyDescent="0.25">
      <c r="C17" t="s">
        <v>3867</v>
      </c>
    </row>
    <row r="19" spans="3:7" ht="15.75" x14ac:dyDescent="0.25">
      <c r="C19" s="655" t="s">
        <v>3619</v>
      </c>
      <c r="D19" s="659">
        <f>+'EEFF Apple y cálculo ratios'!C334</f>
        <v>4091991.7200000007</v>
      </c>
      <c r="F19" s="655" t="s">
        <v>3612</v>
      </c>
      <c r="G19" s="659">
        <f>+D23*D26</f>
        <v>4936189.3834890556</v>
      </c>
    </row>
    <row r="20" spans="3:7" ht="15.75" x14ac:dyDescent="0.25">
      <c r="C20" s="669" t="s">
        <v>3621</v>
      </c>
      <c r="D20" s="686">
        <f>+'EEFF Apple y cálculo ratios'!G49+'EEFF Apple y cálculo ratios'!G50</f>
        <v>98767</v>
      </c>
      <c r="F20" s="669" t="s">
        <v>3613</v>
      </c>
      <c r="G20" s="686">
        <v>-68543</v>
      </c>
    </row>
    <row r="21" spans="3:7" ht="15.75" x14ac:dyDescent="0.25">
      <c r="C21" s="669" t="s">
        <v>2223</v>
      </c>
      <c r="D21" s="686">
        <f>+'EEFF Apple y cálculo ratios'!C328</f>
        <v>4125754.7200000007</v>
      </c>
      <c r="F21" s="705" t="s">
        <v>3295</v>
      </c>
      <c r="G21" s="706">
        <f>+G19-G20</f>
        <v>5004732.3834890556</v>
      </c>
    </row>
    <row r="22" spans="3:7" ht="15.75" x14ac:dyDescent="0.25">
      <c r="C22" s="669" t="s">
        <v>3620</v>
      </c>
      <c r="D22" s="660">
        <f>+D20/D21</f>
        <v>2.3939135189306644E-2</v>
      </c>
    </row>
    <row r="23" spans="3:7" ht="15.75" x14ac:dyDescent="0.25">
      <c r="C23" s="669" t="s">
        <v>3622</v>
      </c>
      <c r="D23" s="686">
        <v>181989</v>
      </c>
      <c r="F23" s="655" t="s">
        <v>3614</v>
      </c>
      <c r="G23" s="659">
        <f>14776*(1-2.5%)^3</f>
        <v>13695.274124999998</v>
      </c>
    </row>
    <row r="24" spans="3:7" ht="15.75" x14ac:dyDescent="0.25">
      <c r="C24" s="669" t="s">
        <v>3623</v>
      </c>
      <c r="D24" s="686">
        <v>3</v>
      </c>
      <c r="F24" s="669" t="s">
        <v>3615</v>
      </c>
      <c r="G24" s="695">
        <f>+G21/G23</f>
        <v>365.43499150215484</v>
      </c>
    </row>
    <row r="25" spans="3:7" ht="15.75" x14ac:dyDescent="0.25">
      <c r="C25" s="656" t="s">
        <v>3083</v>
      </c>
      <c r="D25" s="653">
        <v>0.09</v>
      </c>
      <c r="F25" s="656" t="s">
        <v>3616</v>
      </c>
      <c r="G25" s="658">
        <f>+G12</f>
        <v>279.22000000000003</v>
      </c>
    </row>
    <row r="26" spans="3:7" ht="15.75" x14ac:dyDescent="0.25">
      <c r="C26" s="707" t="s">
        <v>3624</v>
      </c>
      <c r="D26" s="708">
        <f>+(D19*(1+D25)^(D24))/((1+D22)^(D24)*D23)</f>
        <v>27.123559025485363</v>
      </c>
      <c r="F26" s="669" t="s">
        <v>3070</v>
      </c>
      <c r="G26" s="660">
        <f>+G24/G25-1</f>
        <v>0.30877083125189753</v>
      </c>
    </row>
    <row r="27" spans="3:7" ht="15.75" x14ac:dyDescent="0.25">
      <c r="F27" s="656" t="s">
        <v>3617</v>
      </c>
      <c r="G27" s="653">
        <f>+(G24/G25)^(1/3)-1</f>
        <v>9.3841851116756692E-2</v>
      </c>
    </row>
  </sheetData>
  <hyperlinks>
    <hyperlink ref="A1" location="Inicio!A1" display="Inicio" xr:uid="{31767005-A574-4651-B562-E6378A80A863}"/>
  </hyperlink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7FE82-B4F7-6A4B-9823-C2F9B3366E4D}">
  <sheetPr>
    <tabColor rgb="FFFFFF00"/>
  </sheetPr>
  <dimension ref="A1:F25"/>
  <sheetViews>
    <sheetView showGridLines="0" zoomScaleNormal="150" zoomScaleSheetLayoutView="100" workbookViewId="0">
      <selection activeCell="D36" sqref="D36"/>
    </sheetView>
  </sheetViews>
  <sheetFormatPr defaultColWidth="8.5703125" defaultRowHeight="15" x14ac:dyDescent="0.25"/>
  <cols>
    <col min="1" max="2" width="8.5703125" style="79"/>
    <col min="3" max="3" width="26.28515625" style="79" customWidth="1"/>
    <col min="4" max="4" width="30.28515625" style="79" customWidth="1"/>
    <col min="5" max="16384" width="8.5703125" style="79"/>
  </cols>
  <sheetData>
    <row r="1" spans="1:5" x14ac:dyDescent="0.25">
      <c r="A1" s="879" t="s">
        <v>2821</v>
      </c>
    </row>
    <row r="2" spans="1:5" x14ac:dyDescent="0.25">
      <c r="C2" s="79" t="s">
        <v>3870</v>
      </c>
    </row>
    <row r="3" spans="1:5" ht="30" x14ac:dyDescent="0.25">
      <c r="B3" s="710" t="s">
        <v>3041</v>
      </c>
      <c r="C3" s="710" t="s">
        <v>3041</v>
      </c>
      <c r="D3" s="713" t="s">
        <v>3042</v>
      </c>
    </row>
    <row r="4" spans="1:5" x14ac:dyDescent="0.25">
      <c r="B4" s="711" t="s">
        <v>3043</v>
      </c>
      <c r="C4" s="711" t="s">
        <v>3044</v>
      </c>
      <c r="D4" s="712">
        <v>50000</v>
      </c>
    </row>
    <row r="5" spans="1:5" x14ac:dyDescent="0.25">
      <c r="B5" s="711" t="s">
        <v>3045</v>
      </c>
      <c r="C5" s="711" t="s">
        <v>3046</v>
      </c>
      <c r="D5" s="712">
        <v>65000</v>
      </c>
    </row>
    <row r="6" spans="1:5" x14ac:dyDescent="0.25">
      <c r="B6" s="711" t="s">
        <v>3047</v>
      </c>
      <c r="C6" s="711" t="s">
        <v>3048</v>
      </c>
      <c r="D6" s="712">
        <v>85000</v>
      </c>
    </row>
    <row r="7" spans="1:5" x14ac:dyDescent="0.25">
      <c r="B7" s="711" t="s">
        <v>3049</v>
      </c>
      <c r="C7" s="711" t="s">
        <v>3050</v>
      </c>
      <c r="D7" s="712">
        <v>100000</v>
      </c>
    </row>
    <row r="8" spans="1:5" x14ac:dyDescent="0.25">
      <c r="B8" s="711" t="s">
        <v>3051</v>
      </c>
      <c r="C8" s="711" t="s">
        <v>3052</v>
      </c>
      <c r="D8" s="712">
        <v>150000</v>
      </c>
    </row>
    <row r="10" spans="1:5" x14ac:dyDescent="0.25">
      <c r="C10" s="940" t="s">
        <v>3053</v>
      </c>
      <c r="D10" s="938">
        <f>+SUM(D4:D8)</f>
        <v>450000</v>
      </c>
    </row>
    <row r="11" spans="1:5" x14ac:dyDescent="0.25">
      <c r="C11" s="939" t="s">
        <v>3054</v>
      </c>
      <c r="D11" s="209">
        <v>250000</v>
      </c>
    </row>
    <row r="12" spans="1:5" x14ac:dyDescent="0.25">
      <c r="C12" s="211" t="s">
        <v>3055</v>
      </c>
      <c r="D12" s="210">
        <f>+D10/D11-1</f>
        <v>0.8</v>
      </c>
    </row>
    <row r="14" spans="1:5" x14ac:dyDescent="0.25">
      <c r="E14" s="212"/>
    </row>
    <row r="20" spans="4:6" ht="15.75" x14ac:dyDescent="0.25">
      <c r="D20" s="310"/>
      <c r="E20" s="310"/>
      <c r="F20" s="709"/>
    </row>
    <row r="21" spans="4:6" ht="15.75" x14ac:dyDescent="0.25">
      <c r="D21" s="476"/>
      <c r="E21" s="476"/>
      <c r="F21" s="310"/>
    </row>
    <row r="22" spans="4:6" ht="15.75" x14ac:dyDescent="0.25">
      <c r="D22" s="476"/>
      <c r="E22" s="476"/>
      <c r="F22" s="310"/>
    </row>
    <row r="23" spans="4:6" ht="15.75" x14ac:dyDescent="0.25">
      <c r="D23" s="476"/>
      <c r="E23" s="476"/>
      <c r="F23" s="310"/>
    </row>
    <row r="24" spans="4:6" ht="15.75" x14ac:dyDescent="0.25">
      <c r="D24" s="476"/>
      <c r="E24" s="476"/>
      <c r="F24" s="310"/>
    </row>
    <row r="25" spans="4:6" ht="15.75" x14ac:dyDescent="0.25">
      <c r="D25" s="476"/>
      <c r="E25" s="476"/>
      <c r="F25" s="310"/>
    </row>
  </sheetData>
  <hyperlinks>
    <hyperlink ref="A1" location="Inicio!A1" display="Inicio" xr:uid="{DADE7A27-EEC2-4DBC-A14C-36DE428B68B6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3CA0E-C0A2-104C-8615-7538D70C89CE}">
  <sheetPr>
    <tabColor rgb="FFFFFF00"/>
  </sheetPr>
  <dimension ref="A1:P123"/>
  <sheetViews>
    <sheetView showGridLines="0" topLeftCell="A23" zoomScaleNormal="150" zoomScaleSheetLayoutView="100" workbookViewId="0">
      <selection activeCell="D50" sqref="D50"/>
    </sheetView>
  </sheetViews>
  <sheetFormatPr defaultColWidth="8.5703125" defaultRowHeight="15" x14ac:dyDescent="0.25"/>
  <cols>
    <col min="1" max="1" width="8.5703125" style="79"/>
    <col min="2" max="2" width="4.85546875" style="79" customWidth="1"/>
    <col min="3" max="3" width="32" style="79" customWidth="1"/>
    <col min="4" max="4" width="16.140625" style="79" customWidth="1"/>
    <col min="5" max="5" width="17.28515625" style="79" customWidth="1"/>
    <col min="6" max="6" width="20.5703125" style="79" bestFit="1" customWidth="1"/>
    <col min="7" max="7" width="13" style="79" customWidth="1"/>
    <col min="8" max="8" width="16.7109375" style="79" customWidth="1"/>
    <col min="9" max="9" width="13.42578125" style="79" customWidth="1"/>
    <col min="10" max="10" width="10.7109375" style="79" customWidth="1"/>
    <col min="11" max="11" width="10" style="79" customWidth="1"/>
    <col min="12" max="12" width="8.5703125" style="79" customWidth="1"/>
    <col min="13" max="13" width="7.85546875" style="79" customWidth="1"/>
    <col min="14" max="14" width="14.85546875" style="79" customWidth="1"/>
    <col min="15" max="16384" width="8.5703125" style="79"/>
  </cols>
  <sheetData>
    <row r="1" spans="1:15" x14ac:dyDescent="0.25">
      <c r="A1" s="879" t="s">
        <v>2821</v>
      </c>
    </row>
    <row r="2" spans="1:15" ht="15.75" thickBot="1" x14ac:dyDescent="0.3">
      <c r="C2" s="941"/>
      <c r="D2" s="942" t="s">
        <v>3249</v>
      </c>
      <c r="E2" s="942" t="s">
        <v>3250</v>
      </c>
    </row>
    <row r="3" spans="1:15" x14ac:dyDescent="0.25">
      <c r="C3" s="213" t="s">
        <v>3056</v>
      </c>
      <c r="D3" s="180">
        <v>150000</v>
      </c>
      <c r="E3" s="180">
        <v>150000</v>
      </c>
      <c r="F3" s="213"/>
      <c r="G3" s="213"/>
      <c r="H3" s="213"/>
      <c r="I3" s="213"/>
      <c r="J3" s="213"/>
      <c r="K3" s="213"/>
      <c r="L3" s="213"/>
      <c r="M3" s="213"/>
      <c r="N3" s="213"/>
      <c r="O3" s="213"/>
    </row>
    <row r="4" spans="1:15" x14ac:dyDescent="0.25">
      <c r="C4" s="213" t="s">
        <v>2931</v>
      </c>
      <c r="D4" s="180">
        <v>150000</v>
      </c>
      <c r="E4" s="180">
        <f>+E3*0.75</f>
        <v>112500</v>
      </c>
      <c r="F4" s="213"/>
      <c r="G4" s="213"/>
      <c r="H4" s="213"/>
      <c r="I4" s="213"/>
      <c r="J4" s="213"/>
      <c r="K4" s="213"/>
      <c r="L4" s="213"/>
      <c r="M4" s="213"/>
      <c r="N4" s="213"/>
      <c r="O4" s="213"/>
    </row>
    <row r="5" spans="1:15" x14ac:dyDescent="0.25">
      <c r="C5" s="213" t="s">
        <v>3063</v>
      </c>
      <c r="D5" s="180">
        <v>0</v>
      </c>
      <c r="E5" s="180">
        <f>+E3-E4</f>
        <v>37500</v>
      </c>
      <c r="F5" s="213"/>
      <c r="G5" s="213"/>
      <c r="H5" s="213"/>
      <c r="I5" s="213"/>
      <c r="J5" s="213"/>
      <c r="K5" s="213"/>
      <c r="L5" s="213"/>
      <c r="M5" s="213"/>
      <c r="N5" s="213"/>
      <c r="O5" s="213"/>
    </row>
    <row r="6" spans="1:15" x14ac:dyDescent="0.25">
      <c r="C6" s="214" t="s">
        <v>3057</v>
      </c>
      <c r="D6" s="214"/>
      <c r="E6" s="214"/>
      <c r="F6" s="213"/>
      <c r="G6" s="213"/>
      <c r="H6" s="213"/>
      <c r="I6" s="213"/>
      <c r="J6" s="213"/>
      <c r="K6" s="213"/>
      <c r="L6" s="213"/>
      <c r="M6" s="213"/>
      <c r="N6" s="213"/>
      <c r="O6" s="213"/>
    </row>
    <row r="7" spans="1:15" x14ac:dyDescent="0.25">
      <c r="C7" s="217" t="s">
        <v>3058</v>
      </c>
      <c r="D7" s="190">
        <v>15000</v>
      </c>
      <c r="E7" s="190">
        <v>15000</v>
      </c>
      <c r="F7" s="213"/>
      <c r="G7" s="213"/>
      <c r="H7" s="213"/>
      <c r="I7" s="213"/>
      <c r="J7" s="213"/>
      <c r="K7" s="213"/>
      <c r="L7" s="213"/>
      <c r="M7" s="213"/>
      <c r="N7" s="213"/>
      <c r="O7" s="213"/>
    </row>
    <row r="8" spans="1:15" x14ac:dyDescent="0.25">
      <c r="C8" s="217" t="s">
        <v>3059</v>
      </c>
      <c r="D8" s="190">
        <f>+SUM(D9:D12)</f>
        <v>3600</v>
      </c>
      <c r="E8" s="190">
        <f>+SUM(E9:E13)</f>
        <v>4725</v>
      </c>
      <c r="F8" s="213"/>
      <c r="G8" s="213"/>
      <c r="H8" s="213"/>
      <c r="I8" s="213"/>
      <c r="J8" s="213"/>
      <c r="K8" s="213"/>
      <c r="L8" s="213"/>
      <c r="M8" s="213"/>
      <c r="N8" s="213"/>
      <c r="O8" s="213"/>
    </row>
    <row r="9" spans="1:15" x14ac:dyDescent="0.25">
      <c r="C9" s="215" t="s">
        <v>3064</v>
      </c>
      <c r="D9" s="180">
        <f>50*12</f>
        <v>600</v>
      </c>
      <c r="E9" s="180">
        <f>50*12</f>
        <v>600</v>
      </c>
      <c r="F9" s="213"/>
      <c r="G9" s="213"/>
      <c r="H9" s="213"/>
      <c r="I9" s="213"/>
      <c r="J9" s="213"/>
      <c r="K9" s="213"/>
      <c r="L9" s="213"/>
      <c r="M9" s="213"/>
      <c r="N9" s="213"/>
      <c r="O9" s="213"/>
    </row>
    <row r="10" spans="1:15" x14ac:dyDescent="0.25">
      <c r="C10" s="215" t="s">
        <v>3075</v>
      </c>
      <c r="D10" s="180">
        <f>100*12</f>
        <v>1200</v>
      </c>
      <c r="E10" s="180">
        <f>100*12</f>
        <v>1200</v>
      </c>
      <c r="F10" s="213"/>
      <c r="G10" s="213"/>
      <c r="H10" s="213"/>
      <c r="I10" s="213"/>
      <c r="J10" s="213"/>
      <c r="K10" s="213"/>
      <c r="L10" s="213"/>
      <c r="M10" s="213"/>
      <c r="N10" s="213"/>
      <c r="O10" s="213"/>
    </row>
    <row r="11" spans="1:15" x14ac:dyDescent="0.25">
      <c r="C11" s="215" t="s">
        <v>3065</v>
      </c>
      <c r="D11" s="180">
        <v>800</v>
      </c>
      <c r="E11" s="180">
        <v>800</v>
      </c>
      <c r="F11" s="213"/>
      <c r="G11" s="213"/>
      <c r="H11" s="213"/>
      <c r="I11" s="213"/>
      <c r="J11" s="213"/>
      <c r="K11" s="213"/>
      <c r="L11" s="213"/>
      <c r="M11" s="213"/>
      <c r="N11" s="213"/>
      <c r="O11" s="213"/>
    </row>
    <row r="12" spans="1:15" x14ac:dyDescent="0.25">
      <c r="C12" s="215" t="s">
        <v>2879</v>
      </c>
      <c r="D12" s="180">
        <v>1000</v>
      </c>
      <c r="E12" s="180">
        <v>1000</v>
      </c>
      <c r="F12" s="213"/>
      <c r="G12" s="213"/>
      <c r="H12" s="213"/>
      <c r="I12" s="213"/>
      <c r="J12" s="213"/>
      <c r="K12" s="213"/>
      <c r="L12" s="213"/>
      <c r="M12" s="213"/>
      <c r="N12" s="213"/>
      <c r="O12" s="213"/>
    </row>
    <row r="13" spans="1:15" x14ac:dyDescent="0.25">
      <c r="C13" s="215" t="s">
        <v>3248</v>
      </c>
      <c r="D13" s="180">
        <v>0</v>
      </c>
      <c r="E13" s="180">
        <f>+E5*G51</f>
        <v>1125</v>
      </c>
      <c r="F13" s="213"/>
      <c r="G13" s="213"/>
      <c r="H13" s="213"/>
      <c r="I13" s="213"/>
      <c r="J13" s="213"/>
      <c r="K13" s="213"/>
      <c r="L13" s="213"/>
      <c r="M13" s="213"/>
      <c r="N13" s="213"/>
      <c r="O13" s="213"/>
    </row>
    <row r="14" spans="1:15" x14ac:dyDescent="0.25">
      <c r="C14" s="218" t="s">
        <v>3060</v>
      </c>
      <c r="D14" s="219">
        <f>+D7-D8</f>
        <v>11400</v>
      </c>
      <c r="E14" s="219">
        <f>+E7-E8</f>
        <v>10275</v>
      </c>
      <c r="F14" s="213"/>
      <c r="G14" s="213"/>
      <c r="H14" s="213"/>
      <c r="I14" s="213"/>
      <c r="J14" s="213"/>
      <c r="K14" s="213"/>
      <c r="L14" s="213"/>
      <c r="M14" s="213"/>
      <c r="N14" s="213"/>
      <c r="O14" s="213"/>
    </row>
    <row r="15" spans="1:15" x14ac:dyDescent="0.25">
      <c r="C15" s="213" t="s">
        <v>3062</v>
      </c>
      <c r="D15" s="223">
        <v>0.08</v>
      </c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</row>
    <row r="16" spans="1:15" x14ac:dyDescent="0.25">
      <c r="B16" s="213"/>
      <c r="C16" s="216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</row>
    <row r="17" spans="2:15" x14ac:dyDescent="0.25">
      <c r="B17" s="213"/>
      <c r="C17" s="216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</row>
    <row r="18" spans="2:15" ht="30" x14ac:dyDescent="0.25">
      <c r="B18" s="213"/>
      <c r="C18" s="216" t="s">
        <v>3873</v>
      </c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</row>
    <row r="19" spans="2:15" x14ac:dyDescent="0.25">
      <c r="B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</row>
    <row r="20" spans="2:15" x14ac:dyDescent="0.25">
      <c r="B20" s="213"/>
      <c r="C20" s="714" t="s">
        <v>3072</v>
      </c>
      <c r="D20" s="715">
        <v>1</v>
      </c>
      <c r="E20" s="715">
        <v>2</v>
      </c>
      <c r="F20" s="715">
        <v>3</v>
      </c>
      <c r="G20" s="715">
        <v>4</v>
      </c>
      <c r="H20" s="715">
        <v>5</v>
      </c>
      <c r="I20" s="715">
        <v>6</v>
      </c>
      <c r="J20" s="715">
        <v>7</v>
      </c>
      <c r="K20" s="715">
        <v>8</v>
      </c>
      <c r="L20" s="715">
        <v>9</v>
      </c>
      <c r="M20" s="715">
        <v>10</v>
      </c>
      <c r="N20" s="716" t="s">
        <v>3076</v>
      </c>
      <c r="O20" s="213"/>
    </row>
    <row r="21" spans="2:15" x14ac:dyDescent="0.25">
      <c r="B21" s="226"/>
      <c r="C21" s="717">
        <f>+D14</f>
        <v>11400</v>
      </c>
      <c r="D21" s="180">
        <f>+C21*(1+D22)</f>
        <v>11742</v>
      </c>
      <c r="E21" s="180">
        <f t="shared" ref="E21:M21" si="0">+D21*(1+E22)</f>
        <v>12094.26</v>
      </c>
      <c r="F21" s="180">
        <f t="shared" si="0"/>
        <v>12457.087800000001</v>
      </c>
      <c r="G21" s="180">
        <f t="shared" si="0"/>
        <v>12830.800434000001</v>
      </c>
      <c r="H21" s="180">
        <f t="shared" si="0"/>
        <v>13215.72444702</v>
      </c>
      <c r="I21" s="180">
        <f t="shared" si="0"/>
        <v>13612.196180430601</v>
      </c>
      <c r="J21" s="180">
        <f t="shared" si="0"/>
        <v>14020.56206584352</v>
      </c>
      <c r="K21" s="180">
        <f t="shared" si="0"/>
        <v>14441.178927818826</v>
      </c>
      <c r="L21" s="180">
        <f t="shared" si="0"/>
        <v>14874.414295653391</v>
      </c>
      <c r="M21" s="180">
        <f t="shared" si="0"/>
        <v>15320.646724522992</v>
      </c>
      <c r="N21" s="516">
        <f>+M21*(1+N22)</f>
        <v>15780.266126258683</v>
      </c>
      <c r="O21" s="213"/>
    </row>
    <row r="22" spans="2:15" x14ac:dyDescent="0.25">
      <c r="B22" s="213"/>
      <c r="C22" s="718" t="s">
        <v>3066</v>
      </c>
      <c r="D22" s="719">
        <v>0.03</v>
      </c>
      <c r="E22" s="719">
        <f>+D22</f>
        <v>0.03</v>
      </c>
      <c r="F22" s="719">
        <f t="shared" ref="F22:M22" si="1">+E22</f>
        <v>0.03</v>
      </c>
      <c r="G22" s="719">
        <f t="shared" si="1"/>
        <v>0.03</v>
      </c>
      <c r="H22" s="719">
        <f t="shared" si="1"/>
        <v>0.03</v>
      </c>
      <c r="I22" s="719">
        <f t="shared" si="1"/>
        <v>0.03</v>
      </c>
      <c r="J22" s="719">
        <f t="shared" si="1"/>
        <v>0.03</v>
      </c>
      <c r="K22" s="719">
        <f t="shared" si="1"/>
        <v>0.03</v>
      </c>
      <c r="L22" s="719">
        <f t="shared" si="1"/>
        <v>0.03</v>
      </c>
      <c r="M22" s="719">
        <f t="shared" si="1"/>
        <v>0.03</v>
      </c>
      <c r="N22" s="720">
        <f>+M22</f>
        <v>0.03</v>
      </c>
      <c r="O22" s="213"/>
    </row>
    <row r="23" spans="2:15" x14ac:dyDescent="0.25">
      <c r="B23" s="213"/>
      <c r="C23" s="226" t="s">
        <v>3077</v>
      </c>
      <c r="D23" s="225">
        <f t="shared" ref="D23:M23" si="2">1/(1+$D$15)^D20</f>
        <v>0.92592592592592582</v>
      </c>
      <c r="E23" s="225">
        <f t="shared" si="2"/>
        <v>0.85733882030178321</v>
      </c>
      <c r="F23" s="225">
        <f t="shared" si="2"/>
        <v>0.79383224102016958</v>
      </c>
      <c r="G23" s="225">
        <f t="shared" si="2"/>
        <v>0.73502985279645328</v>
      </c>
      <c r="H23" s="225">
        <f t="shared" si="2"/>
        <v>0.68058319703375303</v>
      </c>
      <c r="I23" s="225">
        <f t="shared" si="2"/>
        <v>0.63016962688310452</v>
      </c>
      <c r="J23" s="225">
        <f t="shared" si="2"/>
        <v>0.58349039526213387</v>
      </c>
      <c r="K23" s="225">
        <f t="shared" si="2"/>
        <v>0.54026888450197574</v>
      </c>
      <c r="L23" s="225">
        <f t="shared" si="2"/>
        <v>0.50024896713145905</v>
      </c>
      <c r="M23" s="225">
        <f t="shared" si="2"/>
        <v>0.46319348808468425</v>
      </c>
      <c r="N23" s="223"/>
      <c r="O23" s="213"/>
    </row>
    <row r="24" spans="2:15" x14ac:dyDescent="0.25">
      <c r="B24" s="213"/>
      <c r="C24" s="723" t="s">
        <v>3071</v>
      </c>
      <c r="D24" s="721">
        <f t="shared" ref="D24:M24" si="3">+D21*D23</f>
        <v>10872.222222222221</v>
      </c>
      <c r="E24" s="721">
        <f t="shared" si="3"/>
        <v>10368.878600823045</v>
      </c>
      <c r="F24" s="721">
        <f t="shared" si="3"/>
        <v>9888.8379248590154</v>
      </c>
      <c r="G24" s="721">
        <f t="shared" si="3"/>
        <v>9431.0213542636884</v>
      </c>
      <c r="H24" s="721">
        <f t="shared" si="3"/>
        <v>8994.3999952699996</v>
      </c>
      <c r="I24" s="721">
        <f t="shared" si="3"/>
        <v>8577.9925880815717</v>
      </c>
      <c r="J24" s="721">
        <f t="shared" si="3"/>
        <v>8180.863301596316</v>
      </c>
      <c r="K24" s="721">
        <f t="shared" si="3"/>
        <v>7802.1196302261151</v>
      </c>
      <c r="L24" s="721">
        <f t="shared" si="3"/>
        <v>7440.9103880860175</v>
      </c>
      <c r="M24" s="722">
        <f t="shared" si="3"/>
        <v>7096.4237960449973</v>
      </c>
      <c r="N24" s="213"/>
      <c r="O24" s="213"/>
    </row>
    <row r="25" spans="2:15" x14ac:dyDescent="0.25">
      <c r="B25" s="213"/>
      <c r="N25" s="213"/>
      <c r="O25" s="213"/>
    </row>
    <row r="26" spans="2:15" x14ac:dyDescent="0.25">
      <c r="B26" s="213"/>
      <c r="C26" s="724" t="s">
        <v>3625</v>
      </c>
      <c r="D26" s="385">
        <v>0.03</v>
      </c>
      <c r="E26" s="220"/>
      <c r="F26" s="220"/>
      <c r="G26" s="220"/>
      <c r="H26" s="220"/>
      <c r="I26" s="220"/>
      <c r="J26" s="220"/>
      <c r="K26" s="220"/>
      <c r="L26" s="220"/>
      <c r="M26" s="220"/>
      <c r="N26" s="213"/>
      <c r="O26" s="213"/>
    </row>
    <row r="27" spans="2:15" x14ac:dyDescent="0.25">
      <c r="B27" s="213"/>
      <c r="C27" s="724" t="s">
        <v>3626</v>
      </c>
      <c r="D27" s="385">
        <v>0.08</v>
      </c>
      <c r="E27" s="220"/>
      <c r="H27" s="220"/>
      <c r="I27" s="220"/>
      <c r="J27" s="220"/>
      <c r="K27" s="220"/>
      <c r="L27" s="220"/>
      <c r="M27" s="220"/>
      <c r="N27" s="213"/>
      <c r="O27" s="213"/>
    </row>
    <row r="28" spans="2:15" x14ac:dyDescent="0.25">
      <c r="B28" s="213"/>
      <c r="E28" s="220"/>
      <c r="H28" s="220"/>
      <c r="I28" s="220"/>
      <c r="J28" s="220"/>
      <c r="K28" s="220"/>
      <c r="L28" s="220"/>
      <c r="M28" s="220"/>
      <c r="N28" s="213"/>
      <c r="O28" s="213"/>
    </row>
    <row r="29" spans="2:15" x14ac:dyDescent="0.25">
      <c r="B29" s="213"/>
      <c r="C29" s="369" t="s">
        <v>3073</v>
      </c>
      <c r="D29" s="231">
        <f>+SUM(D24:M24)</f>
        <v>88653.669801472977</v>
      </c>
      <c r="E29" s="220"/>
      <c r="H29" s="220"/>
      <c r="I29" s="220"/>
      <c r="J29" s="220"/>
      <c r="K29" s="220"/>
      <c r="L29" s="220"/>
      <c r="M29" s="220"/>
      <c r="N29" s="213"/>
      <c r="O29" s="213"/>
    </row>
    <row r="30" spans="2:15" x14ac:dyDescent="0.25">
      <c r="B30" s="213"/>
      <c r="C30" s="369" t="s">
        <v>3078</v>
      </c>
      <c r="D30" s="231">
        <f>+N21/(D15-N22)</f>
        <v>315605.32252517366</v>
      </c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</row>
    <row r="31" spans="2:15" x14ac:dyDescent="0.25">
      <c r="B31" s="213"/>
      <c r="C31" s="370" t="s">
        <v>3079</v>
      </c>
      <c r="D31" s="231">
        <f>+D30/(1+D15)^10</f>
        <v>146186.33019852696</v>
      </c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</row>
    <row r="32" spans="2:15" x14ac:dyDescent="0.25">
      <c r="B32" s="213"/>
      <c r="C32" s="370" t="s">
        <v>3080</v>
      </c>
      <c r="D32" s="231">
        <f>+D29+D31</f>
        <v>234839.99999999994</v>
      </c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</row>
    <row r="33" spans="2:15" x14ac:dyDescent="0.25">
      <c r="B33" s="213"/>
      <c r="C33" s="370" t="s">
        <v>3074</v>
      </c>
      <c r="D33" s="371">
        <v>0</v>
      </c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</row>
    <row r="34" spans="2:15" x14ac:dyDescent="0.25">
      <c r="B34" s="213"/>
      <c r="C34" s="725" t="s">
        <v>3081</v>
      </c>
      <c r="D34" s="726">
        <f>+D32-D33</f>
        <v>234839.99999999994</v>
      </c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</row>
    <row r="35" spans="2:15" x14ac:dyDescent="0.25">
      <c r="B35" s="213"/>
      <c r="C35" s="264"/>
      <c r="D35" s="180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</row>
    <row r="36" spans="2:15" x14ac:dyDescent="0.25">
      <c r="B36" s="213"/>
      <c r="C36" s="370" t="s">
        <v>3244</v>
      </c>
      <c r="D36" s="166">
        <f>+D34/D3-1</f>
        <v>0.56559999999999966</v>
      </c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2:15" x14ac:dyDescent="0.25">
      <c r="B37" s="213"/>
      <c r="C37" s="370" t="s">
        <v>2757</v>
      </c>
      <c r="D37" s="166">
        <f>+(D34/D3)^(1/10)-1</f>
        <v>4.5846822495179573E-2</v>
      </c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</row>
    <row r="38" spans="2:15" x14ac:dyDescent="0.25">
      <c r="B38" s="213"/>
      <c r="C38" s="264"/>
      <c r="D38" s="178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</row>
    <row r="39" spans="2:15" x14ac:dyDescent="0.25">
      <c r="B39" s="213"/>
      <c r="C39" s="216" t="s">
        <v>3875</v>
      </c>
      <c r="D39" s="178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</row>
    <row r="40" spans="2:15" ht="15.75" thickBot="1" x14ac:dyDescent="0.3">
      <c r="B40" s="213"/>
      <c r="C40" s="264"/>
      <c r="D40" s="178"/>
      <c r="E40" s="213"/>
      <c r="F40" s="213"/>
      <c r="G40" s="213"/>
      <c r="H40" s="213"/>
      <c r="I40" s="213"/>
      <c r="J40" s="213"/>
      <c r="K40" s="213"/>
      <c r="L40" s="213"/>
      <c r="M40" s="213"/>
      <c r="N40" s="213"/>
      <c r="O40" s="213"/>
    </row>
    <row r="41" spans="2:15" x14ac:dyDescent="0.25">
      <c r="B41" s="213"/>
      <c r="C41" s="372" t="s">
        <v>3072</v>
      </c>
      <c r="D41" s="373">
        <v>1</v>
      </c>
      <c r="E41" s="373">
        <v>2</v>
      </c>
      <c r="F41" s="373">
        <v>3</v>
      </c>
      <c r="G41" s="373">
        <v>4</v>
      </c>
      <c r="H41" s="373">
        <v>5</v>
      </c>
      <c r="I41" s="373">
        <v>6</v>
      </c>
      <c r="J41" s="373">
        <v>7</v>
      </c>
      <c r="K41" s="373">
        <v>8</v>
      </c>
      <c r="L41" s="373">
        <v>9</v>
      </c>
      <c r="M41" s="373">
        <v>10</v>
      </c>
      <c r="N41" s="379" t="s">
        <v>3076</v>
      </c>
      <c r="O41" s="213"/>
    </row>
    <row r="42" spans="2:15" x14ac:dyDescent="0.25">
      <c r="B42" s="213"/>
      <c r="C42" s="374">
        <f>+D14</f>
        <v>11400</v>
      </c>
      <c r="D42" s="180">
        <f>+C42*(1+D43)</f>
        <v>11742</v>
      </c>
      <c r="E42" s="180">
        <f t="shared" ref="E42" si="4">+D42*(1+E43)</f>
        <v>12094.26</v>
      </c>
      <c r="F42" s="180">
        <f t="shared" ref="F42" si="5">+E42*(1+F43)</f>
        <v>12457.087800000001</v>
      </c>
      <c r="G42" s="180">
        <f t="shared" ref="G42" si="6">+F42*(1+G43)</f>
        <v>12830.800434000001</v>
      </c>
      <c r="H42" s="180">
        <f t="shared" ref="H42" si="7">+G42*(1+H43)</f>
        <v>13215.72444702</v>
      </c>
      <c r="I42" s="180">
        <f t="shared" ref="I42" si="8">+H42*(1+I43)</f>
        <v>13612.196180430601</v>
      </c>
      <c r="J42" s="180">
        <f t="shared" ref="J42" si="9">+I42*(1+J43)</f>
        <v>14020.56206584352</v>
      </c>
      <c r="K42" s="180">
        <f t="shared" ref="K42" si="10">+J42*(1+K43)</f>
        <v>14441.178927818826</v>
      </c>
      <c r="L42" s="180">
        <f t="shared" ref="L42" si="11">+K42*(1+L43)</f>
        <v>14874.414295653391</v>
      </c>
      <c r="M42" s="180">
        <f t="shared" ref="M42" si="12">+L42*(1+M43)</f>
        <v>15320.646724522992</v>
      </c>
      <c r="N42" s="380">
        <f>+M42*(1+N43)</f>
        <v>15780.266126258683</v>
      </c>
      <c r="O42" s="213"/>
    </row>
    <row r="43" spans="2:15" x14ac:dyDescent="0.25">
      <c r="B43" s="213"/>
      <c r="C43" s="375" t="s">
        <v>3066</v>
      </c>
      <c r="D43" s="224">
        <v>0.03</v>
      </c>
      <c r="E43" s="224">
        <f>+D43</f>
        <v>0.03</v>
      </c>
      <c r="F43" s="224">
        <f t="shared" ref="F43" si="13">+E43</f>
        <v>0.03</v>
      </c>
      <c r="G43" s="224">
        <f t="shared" ref="G43" si="14">+F43</f>
        <v>0.03</v>
      </c>
      <c r="H43" s="224">
        <f t="shared" ref="H43" si="15">+G43</f>
        <v>0.03</v>
      </c>
      <c r="I43" s="224">
        <f t="shared" ref="I43" si="16">+H43</f>
        <v>0.03</v>
      </c>
      <c r="J43" s="224">
        <f t="shared" ref="J43" si="17">+I43</f>
        <v>0.03</v>
      </c>
      <c r="K43" s="224">
        <f t="shared" ref="K43" si="18">+J43</f>
        <v>0.03</v>
      </c>
      <c r="L43" s="224">
        <f t="shared" ref="L43" si="19">+K43</f>
        <v>0.03</v>
      </c>
      <c r="M43" s="224">
        <f t="shared" ref="M43" si="20">+L43</f>
        <v>0.03</v>
      </c>
      <c r="N43" s="381">
        <f>+M43</f>
        <v>0.03</v>
      </c>
      <c r="O43" s="213"/>
    </row>
    <row r="44" spans="2:15" x14ac:dyDescent="0.25">
      <c r="B44" s="213"/>
      <c r="C44" s="376" t="s">
        <v>3077</v>
      </c>
      <c r="D44" s="225">
        <f>1/(1+$G$53)^D41</f>
        <v>0.95693779904306231</v>
      </c>
      <c r="E44" s="225">
        <f t="shared" ref="E44:M44" si="21">1/(1+$G$53)^E41</f>
        <v>0.91572995123738021</v>
      </c>
      <c r="F44" s="225">
        <f t="shared" si="21"/>
        <v>0.87629660405490928</v>
      </c>
      <c r="G44" s="225">
        <f>1/(1+$G$53)^G41</f>
        <v>0.83856134359321488</v>
      </c>
      <c r="H44" s="225">
        <f t="shared" si="21"/>
        <v>0.80245104650068411</v>
      </c>
      <c r="I44" s="225">
        <f t="shared" si="21"/>
        <v>0.76789573827816682</v>
      </c>
      <c r="J44" s="225">
        <f t="shared" si="21"/>
        <v>0.73482845768245619</v>
      </c>
      <c r="K44" s="225">
        <f t="shared" si="21"/>
        <v>0.70318512696885782</v>
      </c>
      <c r="L44" s="225">
        <f t="shared" si="21"/>
        <v>0.67290442772139514</v>
      </c>
      <c r="M44" s="225">
        <f t="shared" si="21"/>
        <v>0.64392768203004325</v>
      </c>
      <c r="N44" s="382"/>
      <c r="O44" s="213"/>
    </row>
    <row r="45" spans="2:15" ht="15.75" thickBot="1" x14ac:dyDescent="0.3">
      <c r="B45" s="213"/>
      <c r="C45" s="377" t="s">
        <v>3071</v>
      </c>
      <c r="D45" s="378">
        <f t="shared" ref="D45:M45" si="22">+D42*D44</f>
        <v>11236.363636363638</v>
      </c>
      <c r="E45" s="378">
        <f t="shared" si="22"/>
        <v>11075.076120052197</v>
      </c>
      <c r="F45" s="378">
        <f t="shared" si="22"/>
        <v>10916.103735553841</v>
      </c>
      <c r="G45" s="378">
        <f t="shared" si="22"/>
        <v>10759.413251311445</v>
      </c>
      <c r="H45" s="378">
        <f t="shared" si="22"/>
        <v>10604.971912775874</v>
      </c>
      <c r="I45" s="378">
        <f t="shared" si="22"/>
        <v>10452.747435558998</v>
      </c>
      <c r="J45" s="378">
        <f t="shared" si="22"/>
        <v>10302.707998684946</v>
      </c>
      <c r="K45" s="378">
        <f t="shared" si="22"/>
        <v>10154.822237938275</v>
      </c>
      <c r="L45" s="378">
        <f t="shared" si="22"/>
        <v>10009.059239307584</v>
      </c>
      <c r="M45" s="378">
        <f t="shared" si="22"/>
        <v>9865.3885325232659</v>
      </c>
      <c r="N45" s="383"/>
      <c r="O45" s="213"/>
    </row>
    <row r="46" spans="2:15" x14ac:dyDescent="0.25">
      <c r="B46" s="213"/>
      <c r="C46" s="216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13"/>
      <c r="O46" s="213"/>
    </row>
    <row r="47" spans="2:15" x14ac:dyDescent="0.25">
      <c r="B47" s="213"/>
      <c r="C47" s="369" t="s">
        <v>3073</v>
      </c>
      <c r="D47" s="231">
        <f>+SUM(D45:M45)</f>
        <v>105376.65410007007</v>
      </c>
      <c r="E47" s="220"/>
      <c r="F47" s="384" t="s">
        <v>3245</v>
      </c>
      <c r="G47" s="387">
        <v>0.03</v>
      </c>
      <c r="H47" s="220"/>
      <c r="I47" s="220"/>
      <c r="J47" s="220"/>
      <c r="K47" s="220"/>
      <c r="L47" s="220"/>
      <c r="M47" s="220"/>
      <c r="N47" s="213"/>
      <c r="O47" s="213"/>
    </row>
    <row r="48" spans="2:15" x14ac:dyDescent="0.25">
      <c r="B48" s="213"/>
      <c r="C48" s="369" t="s">
        <v>3078</v>
      </c>
      <c r="D48" s="231">
        <f>+N42/(G48-G47)</f>
        <v>1052017.7417505784</v>
      </c>
      <c r="E48" s="220"/>
      <c r="F48" s="384" t="s">
        <v>3246</v>
      </c>
      <c r="G48" s="387">
        <f>+G53</f>
        <v>4.5000000000000005E-2</v>
      </c>
      <c r="H48" s="220"/>
      <c r="I48" s="220"/>
      <c r="J48" s="220"/>
      <c r="K48" s="220"/>
      <c r="L48" s="220"/>
      <c r="M48" s="220"/>
      <c r="N48" s="213"/>
      <c r="O48" s="213"/>
    </row>
    <row r="49" spans="2:16" x14ac:dyDescent="0.25">
      <c r="B49" s="213"/>
      <c r="C49" s="370" t="s">
        <v>3079</v>
      </c>
      <c r="D49" s="231">
        <f>+D48/(1+G48)^10</f>
        <v>677423.34589993069</v>
      </c>
      <c r="E49" s="220"/>
      <c r="H49" s="220"/>
      <c r="I49" s="220"/>
      <c r="O49" s="213"/>
    </row>
    <row r="50" spans="2:16" x14ac:dyDescent="0.25">
      <c r="B50" s="213"/>
      <c r="C50" s="370" t="s">
        <v>3080</v>
      </c>
      <c r="D50" s="231">
        <f>+D47+D49</f>
        <v>782800.0000000007</v>
      </c>
      <c r="E50" s="213"/>
      <c r="F50" s="180"/>
      <c r="G50" s="220"/>
      <c r="H50" s="265" t="s">
        <v>2181</v>
      </c>
      <c r="I50" s="213"/>
      <c r="O50" s="213"/>
    </row>
    <row r="51" spans="2:16" x14ac:dyDescent="0.25">
      <c r="B51" s="213"/>
      <c r="C51" s="370" t="s">
        <v>3074</v>
      </c>
      <c r="D51" s="390">
        <f>-E5</f>
        <v>-37500</v>
      </c>
      <c r="E51" s="213"/>
      <c r="F51" s="386" t="s">
        <v>3247</v>
      </c>
      <c r="G51" s="385">
        <v>0.03</v>
      </c>
      <c r="H51" s="385">
        <f>+G62/G63</f>
        <v>0.25</v>
      </c>
      <c r="I51" s="213"/>
      <c r="O51" s="213"/>
    </row>
    <row r="52" spans="2:16" x14ac:dyDescent="0.25">
      <c r="B52" s="213"/>
      <c r="C52" s="370" t="s">
        <v>3081</v>
      </c>
      <c r="D52" s="231">
        <f>+D50+D51</f>
        <v>745300.0000000007</v>
      </c>
      <c r="E52" s="213"/>
      <c r="F52" s="388" t="s">
        <v>3082</v>
      </c>
      <c r="G52" s="389">
        <v>0.05</v>
      </c>
      <c r="H52" s="385">
        <f>+G60/G63</f>
        <v>0.75</v>
      </c>
      <c r="I52" s="213"/>
      <c r="O52" s="213"/>
    </row>
    <row r="53" spans="2:16" x14ac:dyDescent="0.25">
      <c r="B53" s="213"/>
      <c r="C53" s="264"/>
      <c r="D53" s="180"/>
      <c r="E53" s="213"/>
      <c r="F53" s="386" t="s">
        <v>3083</v>
      </c>
      <c r="G53" s="387">
        <f>+G51*H51+G52*H52</f>
        <v>4.5000000000000005E-2</v>
      </c>
      <c r="H53" s="220"/>
      <c r="I53" s="213"/>
      <c r="O53" s="213"/>
    </row>
    <row r="54" spans="2:16" x14ac:dyDescent="0.25">
      <c r="B54" s="213"/>
      <c r="C54" s="370" t="s">
        <v>3244</v>
      </c>
      <c r="D54" s="166">
        <f>D52/E3-1</f>
        <v>3.968666666666671</v>
      </c>
      <c r="E54" s="213"/>
      <c r="F54" s="213"/>
      <c r="G54" s="213"/>
      <c r="H54" s="213"/>
      <c r="I54" s="213"/>
      <c r="J54" s="213"/>
      <c r="K54" s="213"/>
      <c r="L54" s="213"/>
      <c r="M54" s="213"/>
      <c r="N54" s="213"/>
      <c r="O54" s="213"/>
    </row>
    <row r="55" spans="2:16" x14ac:dyDescent="0.25">
      <c r="B55" s="213"/>
      <c r="C55" s="370" t="s">
        <v>2757</v>
      </c>
      <c r="D55" s="166">
        <f>+(D52/E3)^(1/10)-1</f>
        <v>0.1738807644875735</v>
      </c>
      <c r="E55" s="213"/>
      <c r="F55" s="213"/>
      <c r="G55" s="213"/>
      <c r="H55" s="213"/>
      <c r="I55" s="213"/>
      <c r="J55" s="213"/>
      <c r="K55" s="213"/>
      <c r="L55" s="213"/>
      <c r="M55" s="213"/>
      <c r="N55" s="213"/>
      <c r="O55" s="213"/>
    </row>
    <row r="56" spans="2:16" x14ac:dyDescent="0.25">
      <c r="B56" s="213"/>
      <c r="C56" s="264"/>
      <c r="D56" s="178"/>
      <c r="E56" s="213"/>
      <c r="F56" s="213"/>
      <c r="G56" s="213"/>
      <c r="H56" s="213"/>
      <c r="I56" s="213"/>
      <c r="J56" s="213"/>
      <c r="K56" s="213"/>
      <c r="L56" s="213"/>
      <c r="M56" s="213"/>
      <c r="N56" s="213"/>
      <c r="O56" s="213"/>
    </row>
    <row r="57" spans="2:16" x14ac:dyDescent="0.25">
      <c r="B57" s="213"/>
      <c r="C57" s="216" t="s">
        <v>3876</v>
      </c>
      <c r="D57" s="178"/>
      <c r="E57" s="213"/>
      <c r="F57" s="213"/>
      <c r="G57" s="213"/>
      <c r="H57" s="213"/>
      <c r="I57" s="213"/>
      <c r="J57" s="213"/>
      <c r="K57" s="213"/>
      <c r="L57" s="213"/>
      <c r="M57" s="213"/>
      <c r="N57" s="213"/>
      <c r="O57" s="213"/>
    </row>
    <row r="58" spans="2:16" ht="15.75" thickBot="1" x14ac:dyDescent="0.3">
      <c r="B58" s="213"/>
      <c r="C58" s="264"/>
      <c r="D58" s="178"/>
      <c r="E58" s="213"/>
      <c r="F58" s="213"/>
      <c r="G58" s="213"/>
      <c r="H58" s="213"/>
      <c r="I58" s="213"/>
      <c r="J58" s="213"/>
      <c r="K58" s="213"/>
      <c r="L58" s="213"/>
      <c r="M58" s="213"/>
      <c r="N58" s="213"/>
      <c r="O58" s="213"/>
    </row>
    <row r="59" spans="2:16" ht="15.75" thickBot="1" x14ac:dyDescent="0.3">
      <c r="B59" s="213"/>
      <c r="C59" s="956" t="s">
        <v>2819</v>
      </c>
      <c r="D59" s="957"/>
      <c r="E59"/>
      <c r="F59" s="956" t="s">
        <v>2818</v>
      </c>
      <c r="G59" s="957"/>
      <c r="O59" s="213"/>
    </row>
    <row r="60" spans="2:16" x14ac:dyDescent="0.25">
      <c r="B60" s="213"/>
      <c r="C60" s="138" t="s">
        <v>3061</v>
      </c>
      <c r="D60" s="139">
        <v>150000</v>
      </c>
      <c r="E60"/>
      <c r="F60" s="138" t="s">
        <v>2815</v>
      </c>
      <c r="G60" s="139">
        <f>+D60*0.75</f>
        <v>112500</v>
      </c>
      <c r="O60" s="213"/>
      <c r="P60" s="79">
        <f>+G60/G63</f>
        <v>0.75</v>
      </c>
    </row>
    <row r="61" spans="2:16" x14ac:dyDescent="0.25">
      <c r="B61" s="213"/>
      <c r="C61" s="138"/>
      <c r="D61" s="139"/>
      <c r="E61"/>
      <c r="F61" s="199"/>
      <c r="G61" s="200"/>
      <c r="O61" s="213"/>
    </row>
    <row r="62" spans="2:16" x14ac:dyDescent="0.25">
      <c r="B62" s="213"/>
      <c r="C62" s="138"/>
      <c r="D62" s="139"/>
      <c r="E62"/>
      <c r="F62" s="138" t="s">
        <v>3074</v>
      </c>
      <c r="G62" s="139">
        <f>+D60-G60</f>
        <v>37500</v>
      </c>
      <c r="O62" s="213"/>
    </row>
    <row r="63" spans="2:16" ht="27" thickBot="1" x14ac:dyDescent="0.3">
      <c r="B63" s="213"/>
      <c r="C63" s="148" t="s">
        <v>2807</v>
      </c>
      <c r="D63" s="149">
        <f>+D60</f>
        <v>150000</v>
      </c>
      <c r="E63"/>
      <c r="F63" s="148" t="s">
        <v>2816</v>
      </c>
      <c r="G63" s="149">
        <f>+G60+G62</f>
        <v>150000</v>
      </c>
      <c r="O63" s="213"/>
    </row>
    <row r="64" spans="2:16" x14ac:dyDescent="0.25">
      <c r="B64" s="213"/>
      <c r="C64" s="264"/>
      <c r="D64" s="178"/>
      <c r="E64" s="213"/>
      <c r="F64" s="213"/>
      <c r="G64" s="213"/>
      <c r="H64" s="213"/>
      <c r="I64" s="213"/>
      <c r="J64" s="213"/>
      <c r="K64" s="213"/>
      <c r="L64" s="213"/>
      <c r="M64" s="213"/>
      <c r="N64" s="213"/>
      <c r="O64" s="213"/>
    </row>
    <row r="65" spans="2:15" x14ac:dyDescent="0.25">
      <c r="B65" s="213"/>
      <c r="C65" s="264"/>
      <c r="D65" s="178"/>
      <c r="E65" s="213"/>
      <c r="F65" s="213"/>
      <c r="G65" s="213"/>
      <c r="H65" s="213"/>
      <c r="I65" s="213"/>
      <c r="J65" s="213"/>
      <c r="K65" s="213"/>
      <c r="L65" s="213"/>
      <c r="M65" s="213"/>
      <c r="N65" s="213"/>
      <c r="O65" s="213"/>
    </row>
    <row r="66" spans="2:15" x14ac:dyDescent="0.25">
      <c r="B66" s="213"/>
      <c r="C66" s="264"/>
      <c r="D66" s="178"/>
      <c r="E66" s="213"/>
      <c r="F66" s="213"/>
      <c r="G66" s="213"/>
      <c r="H66" s="213"/>
      <c r="I66" s="213"/>
      <c r="J66" s="213"/>
      <c r="K66" s="213"/>
      <c r="L66" s="213"/>
      <c r="M66" s="213"/>
      <c r="N66" s="213"/>
      <c r="O66" s="213"/>
    </row>
    <row r="67" spans="2:15" x14ac:dyDescent="0.25">
      <c r="B67" s="213"/>
      <c r="C67" s="264"/>
      <c r="D67" s="178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</row>
    <row r="68" spans="2:15" x14ac:dyDescent="0.25">
      <c r="B68" s="213"/>
      <c r="C68" s="180"/>
      <c r="D68" s="213"/>
      <c r="E68" s="213"/>
      <c r="F68" s="213"/>
      <c r="G68" s="213"/>
      <c r="H68" s="213"/>
      <c r="I68" s="213"/>
      <c r="J68" s="213"/>
      <c r="K68" s="213"/>
      <c r="L68" s="213"/>
      <c r="M68" s="213"/>
      <c r="N68" s="213"/>
      <c r="O68" s="213"/>
    </row>
    <row r="69" spans="2:15" x14ac:dyDescent="0.25">
      <c r="B69" s="213"/>
      <c r="C69" s="180"/>
      <c r="D69" s="213"/>
      <c r="E69" s="213"/>
      <c r="F69" s="213"/>
      <c r="G69" s="213"/>
      <c r="H69" s="213"/>
      <c r="I69" s="213"/>
      <c r="J69" s="213"/>
      <c r="K69" s="213"/>
      <c r="L69" s="213"/>
      <c r="M69" s="213"/>
      <c r="N69" s="213"/>
      <c r="O69" s="213"/>
    </row>
    <row r="70" spans="2:15" x14ac:dyDescent="0.25">
      <c r="B70" s="213"/>
      <c r="C70" s="221" t="s">
        <v>3072</v>
      </c>
      <c r="D70" s="222">
        <v>1</v>
      </c>
      <c r="E70" s="222">
        <v>2</v>
      </c>
      <c r="F70" s="222">
        <v>3</v>
      </c>
      <c r="G70" s="222">
        <v>4</v>
      </c>
      <c r="H70" s="222">
        <v>5</v>
      </c>
      <c r="I70" s="222">
        <v>6</v>
      </c>
      <c r="J70" s="222">
        <v>7</v>
      </c>
      <c r="K70" s="222">
        <v>8</v>
      </c>
      <c r="L70" s="222">
        <v>9</v>
      </c>
      <c r="M70" s="222">
        <v>10</v>
      </c>
      <c r="N70" s="265"/>
      <c r="O70" s="213"/>
    </row>
    <row r="71" spans="2:15" x14ac:dyDescent="0.25">
      <c r="B71" s="213"/>
      <c r="C71" s="229">
        <f>+C21</f>
        <v>11400</v>
      </c>
      <c r="D71" s="180">
        <f>+C71*(1+D72)</f>
        <v>11742</v>
      </c>
      <c r="E71" s="180">
        <f t="shared" ref="E71" si="23">+D71*(1+E72)</f>
        <v>12094.26</v>
      </c>
      <c r="F71" s="180">
        <f t="shared" ref="F71" si="24">+E71*(1+F72)</f>
        <v>12457.087800000001</v>
      </c>
      <c r="G71" s="180">
        <f t="shared" ref="G71" si="25">+F71*(1+G72)</f>
        <v>12830.800434000001</v>
      </c>
      <c r="H71" s="180">
        <f t="shared" ref="H71" si="26">+G71*(1+H72)</f>
        <v>13215.72444702</v>
      </c>
      <c r="I71" s="180">
        <f t="shared" ref="I71" si="27">+H71*(1+I72)</f>
        <v>13612.196180430601</v>
      </c>
      <c r="J71" s="180">
        <f t="shared" ref="J71" si="28">+I71*(1+J72)</f>
        <v>14020.56206584352</v>
      </c>
      <c r="K71" s="180">
        <f t="shared" ref="K71" si="29">+J71*(1+K72)</f>
        <v>14441.178927818826</v>
      </c>
      <c r="L71" s="180">
        <f t="shared" ref="L71" si="30">+K71*(1+L72)</f>
        <v>14874.414295653391</v>
      </c>
      <c r="M71" s="180">
        <f t="shared" ref="M71" si="31">+L71*(1+M72)</f>
        <v>15320.646724522992</v>
      </c>
      <c r="N71" s="180"/>
      <c r="O71" s="213"/>
    </row>
    <row r="72" spans="2:15" x14ac:dyDescent="0.25">
      <c r="B72" s="213"/>
      <c r="C72" s="230" t="s">
        <v>3066</v>
      </c>
      <c r="D72" s="224">
        <v>0.03</v>
      </c>
      <c r="E72" s="224">
        <f>+D72</f>
        <v>0.03</v>
      </c>
      <c r="F72" s="224">
        <f t="shared" ref="F72" si="32">+E72</f>
        <v>0.03</v>
      </c>
      <c r="G72" s="224">
        <f t="shared" ref="G72" si="33">+F72</f>
        <v>0.03</v>
      </c>
      <c r="H72" s="224">
        <f t="shared" ref="H72" si="34">+G72</f>
        <v>0.03</v>
      </c>
      <c r="I72" s="224">
        <f t="shared" ref="I72" si="35">+H72</f>
        <v>0.03</v>
      </c>
      <c r="J72" s="224">
        <f t="shared" ref="J72" si="36">+I72</f>
        <v>0.03</v>
      </c>
      <c r="K72" s="224">
        <f t="shared" ref="K72" si="37">+J72</f>
        <v>0.03</v>
      </c>
      <c r="L72" s="224">
        <f t="shared" ref="L72" si="38">+K72</f>
        <v>0.03</v>
      </c>
      <c r="M72" s="224">
        <f t="shared" ref="M72" si="39">+L72</f>
        <v>0.03</v>
      </c>
      <c r="N72" s="223"/>
      <c r="O72" s="213"/>
    </row>
    <row r="73" spans="2:15" x14ac:dyDescent="0.25">
      <c r="B73" s="213"/>
      <c r="C73" s="226" t="s">
        <v>3077</v>
      </c>
      <c r="D73" s="225">
        <f t="shared" ref="D73:M73" si="40">1/(1+$D$15)^D70</f>
        <v>0.92592592592592582</v>
      </c>
      <c r="E73" s="225">
        <f t="shared" si="40"/>
        <v>0.85733882030178321</v>
      </c>
      <c r="F73" s="225">
        <f t="shared" si="40"/>
        <v>0.79383224102016958</v>
      </c>
      <c r="G73" s="225">
        <f t="shared" si="40"/>
        <v>0.73502985279645328</v>
      </c>
      <c r="H73" s="225">
        <f t="shared" si="40"/>
        <v>0.68058319703375303</v>
      </c>
      <c r="I73" s="225">
        <f t="shared" si="40"/>
        <v>0.63016962688310452</v>
      </c>
      <c r="J73" s="225">
        <f t="shared" si="40"/>
        <v>0.58349039526213387</v>
      </c>
      <c r="K73" s="225">
        <f t="shared" si="40"/>
        <v>0.54026888450197574</v>
      </c>
      <c r="L73" s="225">
        <f t="shared" si="40"/>
        <v>0.50024896713145905</v>
      </c>
      <c r="M73" s="225">
        <f t="shared" si="40"/>
        <v>0.46319348808468425</v>
      </c>
      <c r="N73" s="213"/>
      <c r="O73" s="213"/>
    </row>
    <row r="74" spans="2:15" x14ac:dyDescent="0.25">
      <c r="B74" s="213"/>
      <c r="C74" s="228" t="s">
        <v>3071</v>
      </c>
      <c r="D74" s="189">
        <f t="shared" ref="D74:M74" si="41">+D71*D73</f>
        <v>10872.222222222221</v>
      </c>
      <c r="E74" s="189">
        <f t="shared" si="41"/>
        <v>10368.878600823045</v>
      </c>
      <c r="F74" s="189">
        <f t="shared" si="41"/>
        <v>9888.8379248590154</v>
      </c>
      <c r="G74" s="189">
        <f t="shared" si="41"/>
        <v>9431.0213542636884</v>
      </c>
      <c r="H74" s="189">
        <f t="shared" si="41"/>
        <v>8994.3999952699996</v>
      </c>
      <c r="I74" s="189">
        <f t="shared" si="41"/>
        <v>8577.9925880815717</v>
      </c>
      <c r="J74" s="189">
        <f t="shared" si="41"/>
        <v>8180.863301596316</v>
      </c>
      <c r="K74" s="189">
        <f t="shared" si="41"/>
        <v>7802.1196302261151</v>
      </c>
      <c r="L74" s="189">
        <f t="shared" si="41"/>
        <v>7440.9103880860175</v>
      </c>
      <c r="M74" s="189">
        <f t="shared" si="41"/>
        <v>7096.4237960449973</v>
      </c>
      <c r="N74" s="213"/>
      <c r="O74" s="213"/>
    </row>
    <row r="75" spans="2:15" x14ac:dyDescent="0.25">
      <c r="B75" s="213"/>
      <c r="C75" s="216"/>
      <c r="D75" s="220"/>
      <c r="E75" s="220"/>
      <c r="F75" s="220"/>
      <c r="G75" s="220"/>
      <c r="H75" s="220"/>
      <c r="I75" s="220"/>
      <c r="J75" s="220"/>
      <c r="K75" s="220"/>
      <c r="L75" s="220"/>
      <c r="M75" s="220"/>
      <c r="N75" s="213"/>
      <c r="O75" s="213"/>
    </row>
    <row r="76" spans="2:15" x14ac:dyDescent="0.25">
      <c r="B76" s="213"/>
      <c r="C76" s="263" t="s">
        <v>3073</v>
      </c>
      <c r="D76" s="180">
        <f>+SUM(D74:M74)</f>
        <v>88653.669801472977</v>
      </c>
      <c r="E76" s="220"/>
      <c r="F76" s="220"/>
      <c r="G76" s="220"/>
      <c r="H76" s="220"/>
      <c r="I76" s="220"/>
      <c r="J76" s="220"/>
      <c r="K76" s="220"/>
      <c r="L76" s="220"/>
      <c r="M76" s="220"/>
      <c r="N76" s="213"/>
      <c r="O76" s="213"/>
    </row>
    <row r="77" spans="2:15" x14ac:dyDescent="0.25">
      <c r="B77" s="213"/>
      <c r="C77" s="263" t="s">
        <v>3133</v>
      </c>
      <c r="D77" s="180">
        <v>3000</v>
      </c>
      <c r="E77" s="220"/>
      <c r="F77" s="220"/>
      <c r="G77" s="220"/>
      <c r="H77" s="220"/>
      <c r="I77" s="220"/>
      <c r="J77" s="220"/>
      <c r="K77" s="220"/>
      <c r="L77" s="220"/>
      <c r="M77" s="220"/>
      <c r="N77" s="213"/>
      <c r="O77" s="213"/>
    </row>
    <row r="78" spans="2:15" x14ac:dyDescent="0.25">
      <c r="B78" s="213"/>
      <c r="C78" s="263" t="s">
        <v>3130</v>
      </c>
      <c r="D78" s="180">
        <v>100</v>
      </c>
      <c r="E78" s="220"/>
      <c r="F78" s="220"/>
      <c r="G78" s="220"/>
      <c r="H78" s="220"/>
      <c r="I78" s="220"/>
      <c r="J78" s="220"/>
      <c r="K78" s="220"/>
      <c r="L78" s="220"/>
      <c r="M78" s="220"/>
      <c r="N78" s="213"/>
      <c r="O78" s="213"/>
    </row>
    <row r="79" spans="2:15" x14ac:dyDescent="0.25">
      <c r="B79" s="213"/>
      <c r="C79" s="263" t="s">
        <v>3131</v>
      </c>
      <c r="D79" s="180">
        <f>+D77*D78</f>
        <v>300000</v>
      </c>
      <c r="E79" s="220"/>
      <c r="F79" s="220"/>
      <c r="G79" s="220"/>
      <c r="H79" s="220"/>
      <c r="I79" s="220"/>
      <c r="J79" s="220"/>
      <c r="K79" s="220"/>
      <c r="L79" s="220"/>
      <c r="M79" s="220"/>
      <c r="N79" s="213"/>
      <c r="O79" s="213"/>
    </row>
    <row r="80" spans="2:15" x14ac:dyDescent="0.25">
      <c r="B80" s="213"/>
      <c r="C80" s="264" t="s">
        <v>3079</v>
      </c>
      <c r="D80" s="180">
        <f>+D79/(1+D15)^10</f>
        <v>138958.04642540528</v>
      </c>
      <c r="E80" s="220"/>
      <c r="F80" s="220"/>
      <c r="G80" s="220"/>
      <c r="H80" s="220"/>
      <c r="I80" s="220"/>
      <c r="J80" s="220"/>
      <c r="K80" s="220"/>
      <c r="L80" s="220"/>
      <c r="M80" s="220"/>
      <c r="N80" s="213"/>
      <c r="O80" s="213"/>
    </row>
    <row r="81" spans="2:15" x14ac:dyDescent="0.25">
      <c r="B81" s="213"/>
      <c r="C81" s="264" t="s">
        <v>2670</v>
      </c>
      <c r="D81" s="180">
        <f>+D76+D80</f>
        <v>227611.71622687826</v>
      </c>
      <c r="E81" s="213"/>
      <c r="F81" s="213"/>
      <c r="G81" s="213"/>
      <c r="H81" s="213"/>
      <c r="I81" s="213"/>
      <c r="J81" s="213"/>
      <c r="K81" s="213"/>
      <c r="L81" s="213"/>
      <c r="M81" s="213"/>
      <c r="N81" s="213"/>
      <c r="O81" s="213"/>
    </row>
    <row r="82" spans="2:15" x14ac:dyDescent="0.25">
      <c r="B82" s="213"/>
      <c r="C82" s="264" t="s">
        <v>3074</v>
      </c>
      <c r="D82" s="227"/>
      <c r="E82" s="213"/>
      <c r="F82" s="213"/>
      <c r="G82" s="213"/>
      <c r="H82" s="213"/>
      <c r="I82" s="213"/>
      <c r="J82" s="213"/>
      <c r="K82" s="213"/>
      <c r="L82" s="213"/>
      <c r="M82" s="213"/>
      <c r="N82" s="213"/>
      <c r="O82" s="213"/>
    </row>
    <row r="83" spans="2:15" x14ac:dyDescent="0.25">
      <c r="B83" s="213"/>
      <c r="C83" s="264" t="s">
        <v>3134</v>
      </c>
      <c r="D83" s="180">
        <f>+D81-D82</f>
        <v>227611.71622687826</v>
      </c>
      <c r="E83" s="213"/>
      <c r="F83" s="213"/>
      <c r="G83" s="213"/>
      <c r="H83" s="213"/>
      <c r="I83" s="213"/>
      <c r="J83" s="213"/>
      <c r="K83" s="213"/>
      <c r="L83" s="213"/>
      <c r="M83" s="213"/>
      <c r="N83" s="213"/>
      <c r="O83" s="213"/>
    </row>
    <row r="84" spans="2:15" x14ac:dyDescent="0.25">
      <c r="B84" s="213"/>
      <c r="C84" s="180"/>
      <c r="D84" s="213"/>
      <c r="E84" s="213"/>
      <c r="F84" s="213"/>
      <c r="G84" s="213"/>
      <c r="H84" s="213"/>
      <c r="I84" s="213"/>
      <c r="J84" s="213"/>
      <c r="K84" s="213"/>
      <c r="L84" s="213"/>
      <c r="M84" s="213"/>
      <c r="N84" s="213"/>
      <c r="O84" s="213"/>
    </row>
    <row r="85" spans="2:15" x14ac:dyDescent="0.25">
      <c r="B85" s="213"/>
      <c r="C85" s="264" t="s">
        <v>3040</v>
      </c>
      <c r="D85" s="180">
        <f>+D3</f>
        <v>150000</v>
      </c>
      <c r="E85" s="213"/>
      <c r="F85" s="213"/>
      <c r="G85" s="213"/>
      <c r="H85" s="213"/>
      <c r="I85" s="213"/>
      <c r="J85" s="213"/>
      <c r="K85" s="213"/>
      <c r="L85" s="213"/>
      <c r="M85" s="213"/>
      <c r="N85" s="213"/>
      <c r="O85" s="213"/>
    </row>
    <row r="86" spans="2:15" x14ac:dyDescent="0.25">
      <c r="B86" s="213"/>
      <c r="C86" s="180"/>
      <c r="D86" s="213"/>
      <c r="H86" s="213"/>
      <c r="I86" s="213"/>
      <c r="J86" s="213"/>
      <c r="K86" s="213"/>
      <c r="L86" s="213"/>
      <c r="M86" s="213"/>
      <c r="N86" s="213"/>
      <c r="O86" s="213"/>
    </row>
    <row r="87" spans="2:15" x14ac:dyDescent="0.25">
      <c r="B87" s="213"/>
      <c r="C87" s="264" t="s">
        <v>3135</v>
      </c>
      <c r="D87" s="943">
        <f>+D83/D85-1</f>
        <v>0.51741144151252172</v>
      </c>
      <c r="H87" s="213"/>
      <c r="I87" s="213"/>
      <c r="J87" s="213"/>
      <c r="K87" s="213"/>
      <c r="L87" s="213"/>
      <c r="M87" s="213"/>
      <c r="N87" s="213"/>
      <c r="O87" s="213"/>
    </row>
    <row r="88" spans="2:15" x14ac:dyDescent="0.25">
      <c r="B88" s="213"/>
      <c r="C88" s="264" t="s">
        <v>2757</v>
      </c>
      <c r="D88" s="943">
        <f>+(D83/D85)^(1/10)-1</f>
        <v>4.2582270798559474E-2</v>
      </c>
      <c r="H88" s="213"/>
      <c r="I88" s="213"/>
      <c r="J88" s="213"/>
      <c r="K88" s="213"/>
      <c r="L88" s="213"/>
      <c r="M88" s="213"/>
      <c r="N88" s="213"/>
      <c r="O88" s="213"/>
    </row>
    <row r="89" spans="2:15" x14ac:dyDescent="0.25">
      <c r="B89" s="213"/>
      <c r="C89" s="180"/>
      <c r="D89" s="213"/>
      <c r="H89" s="213"/>
      <c r="I89" s="213"/>
      <c r="J89" s="213"/>
      <c r="K89" s="213"/>
      <c r="L89" s="213"/>
      <c r="M89" s="213"/>
      <c r="N89" s="213"/>
      <c r="O89" s="213"/>
    </row>
    <row r="90" spans="2:15" x14ac:dyDescent="0.25">
      <c r="B90" s="213"/>
      <c r="C90" s="180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</row>
    <row r="91" spans="2:15" x14ac:dyDescent="0.25">
      <c r="B91" s="213"/>
      <c r="F91" s="213"/>
      <c r="G91" s="213"/>
      <c r="H91" s="213"/>
      <c r="I91" s="213"/>
      <c r="J91" s="213"/>
      <c r="K91" s="213"/>
      <c r="L91" s="213"/>
      <c r="M91" s="213"/>
      <c r="N91" s="213"/>
      <c r="O91" s="213"/>
    </row>
    <row r="92" spans="2:15" x14ac:dyDescent="0.25">
      <c r="B92" s="213"/>
      <c r="H92" s="213"/>
      <c r="I92" s="213"/>
      <c r="J92" s="213"/>
      <c r="K92" s="213"/>
      <c r="L92" s="213"/>
      <c r="M92" s="213"/>
      <c r="N92" s="213"/>
      <c r="O92" s="213"/>
    </row>
    <row r="93" spans="2:15" x14ac:dyDescent="0.25">
      <c r="B93" s="213"/>
      <c r="H93" s="213"/>
      <c r="I93" s="213"/>
      <c r="J93" s="213"/>
      <c r="K93" s="213"/>
      <c r="L93" s="213"/>
      <c r="M93" s="213"/>
      <c r="N93" s="213"/>
      <c r="O93" s="213"/>
    </row>
    <row r="94" spans="2:15" x14ac:dyDescent="0.25">
      <c r="B94" s="213"/>
      <c r="H94" s="213"/>
      <c r="I94" s="213"/>
      <c r="J94" s="213"/>
      <c r="K94" s="213"/>
      <c r="L94" s="213"/>
      <c r="M94" s="213"/>
      <c r="N94" s="213"/>
      <c r="O94" s="213"/>
    </row>
    <row r="95" spans="2:15" x14ac:dyDescent="0.25">
      <c r="B95" s="213"/>
      <c r="H95" s="213"/>
      <c r="I95" s="213"/>
      <c r="J95" s="213"/>
      <c r="K95" s="213"/>
      <c r="L95" s="213"/>
      <c r="M95" s="213"/>
      <c r="N95" s="213"/>
      <c r="O95" s="213"/>
    </row>
    <row r="96" spans="2:15" x14ac:dyDescent="0.25">
      <c r="B96" s="213"/>
      <c r="H96" s="213"/>
      <c r="I96" s="213"/>
      <c r="J96" s="213"/>
      <c r="K96" s="213"/>
      <c r="L96" s="213"/>
      <c r="M96" s="213"/>
      <c r="N96" s="213"/>
      <c r="O96" s="213"/>
    </row>
    <row r="97" spans="2:15" x14ac:dyDescent="0.25">
      <c r="B97" s="213"/>
      <c r="C97" s="180"/>
      <c r="D97" s="213"/>
      <c r="E97" s="213"/>
      <c r="F97" s="213"/>
      <c r="G97" s="213"/>
      <c r="H97" s="213"/>
      <c r="I97" s="213"/>
      <c r="J97" s="213"/>
      <c r="K97" s="213"/>
      <c r="L97" s="213"/>
      <c r="M97" s="213"/>
      <c r="N97" s="213"/>
      <c r="O97" s="213"/>
    </row>
    <row r="98" spans="2:15" x14ac:dyDescent="0.25">
      <c r="B98" s="213"/>
      <c r="C98" s="180"/>
      <c r="D98" s="213"/>
      <c r="E98" s="213"/>
      <c r="F98" s="213"/>
      <c r="G98" s="213"/>
      <c r="H98" s="213"/>
      <c r="I98" s="213"/>
      <c r="J98" s="213"/>
      <c r="K98" s="213"/>
      <c r="L98" s="213"/>
      <c r="M98" s="213"/>
      <c r="N98" s="213"/>
      <c r="O98" s="213"/>
    </row>
    <row r="99" spans="2:15" x14ac:dyDescent="0.25">
      <c r="B99" s="213"/>
      <c r="C99" s="180"/>
      <c r="D99" s="213"/>
      <c r="E99" s="213"/>
      <c r="F99" s="213"/>
      <c r="G99" s="213"/>
      <c r="H99" s="213"/>
      <c r="I99" s="213"/>
      <c r="J99" s="213"/>
      <c r="K99" s="213"/>
      <c r="L99" s="213"/>
      <c r="M99" s="213"/>
      <c r="N99" s="213"/>
      <c r="O99" s="213"/>
    </row>
    <row r="100" spans="2:15" x14ac:dyDescent="0.25">
      <c r="B100" s="213"/>
      <c r="C100" s="180"/>
      <c r="D100" s="213"/>
      <c r="E100" s="213"/>
      <c r="F100" s="213"/>
      <c r="G100" s="213"/>
      <c r="H100" s="213"/>
      <c r="I100" s="213"/>
      <c r="J100" s="213"/>
      <c r="K100" s="213"/>
      <c r="L100" s="213"/>
      <c r="M100" s="213"/>
      <c r="N100" s="213"/>
      <c r="O100" s="213"/>
    </row>
    <row r="101" spans="2:15" x14ac:dyDescent="0.25">
      <c r="B101" s="213"/>
      <c r="C101" s="180"/>
      <c r="D101" s="213"/>
      <c r="E101" s="213"/>
      <c r="F101" s="213"/>
      <c r="G101" s="213"/>
      <c r="H101" s="213"/>
      <c r="I101" s="213"/>
      <c r="J101" s="213"/>
      <c r="K101" s="213"/>
      <c r="L101" s="213"/>
      <c r="M101" s="213"/>
      <c r="N101" s="213"/>
      <c r="O101" s="213"/>
    </row>
    <row r="102" spans="2:15" x14ac:dyDescent="0.25">
      <c r="B102" s="213"/>
      <c r="C102" s="180"/>
      <c r="D102" s="33"/>
      <c r="E102" s="78"/>
      <c r="F102" s="213"/>
      <c r="G102" s="213"/>
      <c r="H102" s="213"/>
      <c r="I102" s="213"/>
      <c r="J102" s="213"/>
      <c r="K102" s="213"/>
      <c r="L102" s="213"/>
      <c r="M102" s="213"/>
      <c r="N102" s="213"/>
      <c r="O102" s="213"/>
    </row>
    <row r="103" spans="2:15" x14ac:dyDescent="0.25">
      <c r="B103" s="213"/>
      <c r="C103" s="216"/>
      <c r="D103" s="132"/>
      <c r="E103" s="78"/>
      <c r="F103" s="213"/>
      <c r="G103" s="213"/>
      <c r="H103" s="213"/>
      <c r="I103" s="213"/>
      <c r="J103" s="213"/>
      <c r="K103" s="213"/>
      <c r="L103" s="213"/>
      <c r="M103" s="213"/>
      <c r="N103" s="213"/>
      <c r="O103" s="213"/>
    </row>
    <row r="104" spans="2:15" x14ac:dyDescent="0.25">
      <c r="B104" s="213"/>
      <c r="C104" s="216"/>
      <c r="E104" s="150"/>
      <c r="F104" s="213"/>
      <c r="G104" s="213"/>
      <c r="H104" s="213"/>
      <c r="I104" s="213"/>
      <c r="J104" s="213"/>
      <c r="K104" s="213"/>
      <c r="L104" s="213"/>
      <c r="M104" s="213"/>
      <c r="N104" s="213"/>
      <c r="O104" s="213"/>
    </row>
    <row r="105" spans="2:15" x14ac:dyDescent="0.25">
      <c r="B105" s="213"/>
      <c r="C105" s="216"/>
      <c r="D105" s="213"/>
      <c r="E105" s="213"/>
      <c r="F105" s="213"/>
      <c r="G105" s="213"/>
      <c r="H105" s="213"/>
      <c r="I105" s="213"/>
      <c r="J105" s="213"/>
      <c r="K105" s="213"/>
      <c r="L105" s="213"/>
      <c r="M105" s="213"/>
      <c r="N105" s="213"/>
      <c r="O105" s="213"/>
    </row>
    <row r="106" spans="2:15" x14ac:dyDescent="0.25">
      <c r="B106" s="213"/>
      <c r="C106" s="216"/>
      <c r="D106" s="213"/>
      <c r="E106" s="213"/>
      <c r="F106" s="213"/>
      <c r="G106" s="213"/>
      <c r="H106" s="213"/>
      <c r="I106" s="213"/>
      <c r="J106" s="213"/>
      <c r="K106" s="213"/>
      <c r="L106" s="213"/>
      <c r="M106" s="213"/>
      <c r="N106" s="213"/>
      <c r="O106" s="213"/>
    </row>
    <row r="107" spans="2:15" x14ac:dyDescent="0.25">
      <c r="B107" s="213"/>
      <c r="C107" s="216"/>
      <c r="D107" s="213"/>
      <c r="E107" s="213"/>
      <c r="F107" s="213"/>
      <c r="G107" s="213"/>
      <c r="H107" s="213"/>
      <c r="I107" s="213"/>
      <c r="J107" s="213"/>
      <c r="K107" s="213"/>
      <c r="L107" s="213"/>
      <c r="M107" s="213"/>
      <c r="N107" s="213"/>
      <c r="O107" s="213"/>
    </row>
    <row r="108" spans="2:15" x14ac:dyDescent="0.25">
      <c r="B108" s="213"/>
      <c r="C108" s="216"/>
      <c r="D108" s="213"/>
      <c r="E108" s="213"/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</row>
    <row r="109" spans="2:15" x14ac:dyDescent="0.25">
      <c r="B109" s="213"/>
      <c r="C109" s="216"/>
      <c r="D109" s="213"/>
      <c r="J109" s="213"/>
      <c r="K109" s="213"/>
      <c r="L109" s="213"/>
      <c r="M109" s="213"/>
      <c r="N109" s="213"/>
      <c r="O109" s="213"/>
    </row>
    <row r="110" spans="2:15" x14ac:dyDescent="0.25">
      <c r="B110" s="213"/>
      <c r="C110" s="216"/>
      <c r="D110" s="213"/>
      <c r="J110" s="213"/>
      <c r="K110" s="213"/>
      <c r="L110" s="213"/>
      <c r="M110" s="213"/>
      <c r="N110" s="213"/>
      <c r="O110" s="213"/>
    </row>
    <row r="111" spans="2:15" x14ac:dyDescent="0.25">
      <c r="B111" s="213"/>
      <c r="C111" s="216"/>
      <c r="D111" s="213"/>
      <c r="J111" s="213"/>
      <c r="K111" s="213"/>
      <c r="L111" s="213"/>
      <c r="M111" s="213"/>
      <c r="N111" s="213"/>
      <c r="O111" s="213"/>
    </row>
    <row r="112" spans="2:15" x14ac:dyDescent="0.25">
      <c r="B112" s="213"/>
      <c r="C112" s="216"/>
      <c r="D112" s="213"/>
      <c r="J112" s="213"/>
      <c r="K112" s="213"/>
      <c r="L112" s="213"/>
      <c r="M112" s="213"/>
      <c r="N112" s="213"/>
      <c r="O112" s="213"/>
    </row>
    <row r="113" spans="2:15" x14ac:dyDescent="0.25">
      <c r="B113" s="213"/>
      <c r="C113" s="216"/>
      <c r="D113" s="213"/>
      <c r="J113" s="213"/>
      <c r="K113" s="213"/>
      <c r="L113" s="213"/>
      <c r="M113" s="213"/>
      <c r="N113" s="213"/>
      <c r="O113" s="213"/>
    </row>
    <row r="114" spans="2:15" x14ac:dyDescent="0.25">
      <c r="B114" s="213"/>
      <c r="C114" s="216"/>
      <c r="D114" s="213"/>
      <c r="E114" s="130"/>
      <c r="F114" s="33"/>
      <c r="G114"/>
      <c r="H114" s="130"/>
      <c r="I114" s="33"/>
      <c r="J114" s="213"/>
      <c r="K114" s="213"/>
      <c r="L114" s="213"/>
      <c r="M114" s="213"/>
      <c r="N114" s="213"/>
      <c r="O114" s="213"/>
    </row>
    <row r="115" spans="2:15" x14ac:dyDescent="0.25">
      <c r="B115" s="213"/>
      <c r="C115" s="216"/>
      <c r="D115" s="213"/>
      <c r="E115" s="131"/>
      <c r="F115" s="132"/>
      <c r="G115"/>
      <c r="H115" s="136"/>
      <c r="I115" s="132"/>
      <c r="J115" s="213"/>
      <c r="K115" s="213"/>
      <c r="L115" s="213"/>
      <c r="M115" s="213"/>
      <c r="N115" s="213"/>
      <c r="O115" s="213"/>
    </row>
    <row r="116" spans="2:15" x14ac:dyDescent="0.25">
      <c r="B116" s="213"/>
      <c r="C116" s="216"/>
      <c r="D116" s="213"/>
      <c r="E116" s="130"/>
      <c r="F116" s="33"/>
      <c r="G116"/>
      <c r="H116" s="130"/>
      <c r="I116" s="33"/>
      <c r="J116" s="213"/>
      <c r="K116" s="213"/>
      <c r="L116" s="213"/>
      <c r="M116" s="213"/>
      <c r="N116" s="213"/>
      <c r="O116" s="213"/>
    </row>
    <row r="117" spans="2:15" x14ac:dyDescent="0.25">
      <c r="B117" s="213"/>
      <c r="C117" s="216"/>
      <c r="D117" s="213"/>
      <c r="E117" s="130"/>
      <c r="F117" s="33"/>
      <c r="G117"/>
      <c r="H117" s="130"/>
      <c r="I117" s="33"/>
      <c r="J117" s="213"/>
      <c r="K117" s="213"/>
      <c r="L117" s="213"/>
      <c r="M117" s="213"/>
      <c r="N117" s="213"/>
      <c r="O117" s="213"/>
    </row>
    <row r="118" spans="2:15" x14ac:dyDescent="0.25">
      <c r="B118" s="213"/>
      <c r="C118" s="216"/>
      <c r="D118" s="213"/>
      <c r="E118" s="130"/>
      <c r="H118" s="136"/>
      <c r="I118" s="132"/>
      <c r="J118" s="213"/>
      <c r="K118" s="213"/>
      <c r="L118" s="213"/>
      <c r="M118" s="213"/>
      <c r="N118" s="213"/>
      <c r="O118" s="213"/>
    </row>
    <row r="119" spans="2:15" x14ac:dyDescent="0.25">
      <c r="B119" s="213"/>
      <c r="C119" s="216"/>
      <c r="D119" s="213"/>
      <c r="E119" s="131"/>
      <c r="H119" s="131"/>
      <c r="I119" s="132"/>
      <c r="J119" s="213"/>
      <c r="K119" s="213"/>
      <c r="L119" s="213"/>
      <c r="M119" s="213"/>
      <c r="N119" s="213"/>
      <c r="O119" s="213"/>
    </row>
    <row r="120" spans="2:15" x14ac:dyDescent="0.25">
      <c r="B120" s="213"/>
      <c r="C120" s="216"/>
      <c r="D120" s="213"/>
      <c r="J120" s="213"/>
      <c r="K120" s="213"/>
      <c r="L120" s="213"/>
      <c r="M120" s="213"/>
      <c r="N120" s="213"/>
      <c r="O120" s="213"/>
    </row>
    <row r="121" spans="2:15" x14ac:dyDescent="0.25">
      <c r="B121" s="213"/>
      <c r="C121" s="216"/>
      <c r="D121" s="213"/>
      <c r="E121" s="213"/>
      <c r="F121" s="213"/>
      <c r="G121" s="213"/>
      <c r="H121" s="213"/>
      <c r="I121" s="213"/>
      <c r="J121" s="213"/>
      <c r="K121" s="213"/>
      <c r="L121" s="213"/>
      <c r="M121" s="213"/>
      <c r="N121" s="213"/>
      <c r="O121" s="213"/>
    </row>
    <row r="122" spans="2:15" x14ac:dyDescent="0.25">
      <c r="B122" s="213"/>
      <c r="C122" s="216"/>
      <c r="D122" s="213"/>
      <c r="E122" s="213"/>
      <c r="F122" s="213"/>
      <c r="G122" s="213"/>
      <c r="H122" s="213"/>
      <c r="I122" s="213"/>
      <c r="J122" s="213"/>
      <c r="K122" s="213"/>
      <c r="L122" s="213"/>
      <c r="M122" s="213"/>
      <c r="N122" s="213"/>
      <c r="O122" s="213"/>
    </row>
    <row r="123" spans="2:15" x14ac:dyDescent="0.25">
      <c r="B123" s="213"/>
      <c r="C123" s="216"/>
      <c r="D123" s="213"/>
      <c r="E123" s="213"/>
      <c r="F123" s="213"/>
      <c r="G123" s="213"/>
      <c r="H123" s="213"/>
      <c r="I123" s="213"/>
      <c r="J123" s="213"/>
      <c r="K123" s="213"/>
      <c r="L123" s="213"/>
      <c r="M123" s="213"/>
      <c r="N123" s="213"/>
      <c r="O123" s="213"/>
    </row>
  </sheetData>
  <mergeCells count="2">
    <mergeCell ref="C59:D59"/>
    <mergeCell ref="F59:G59"/>
  </mergeCells>
  <hyperlinks>
    <hyperlink ref="A1" location="Inicio!A1" display="Inicio" xr:uid="{5C4A37EE-DD6B-45DC-8053-E55F94596A25}"/>
  </hyperlink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6646A-DD4A-4A43-B79E-ED2B590AAB45}">
  <sheetPr>
    <tabColor rgb="FFFFFF00"/>
  </sheetPr>
  <dimension ref="A1:Y129"/>
  <sheetViews>
    <sheetView showGridLines="0" topLeftCell="A21" zoomScale="80" zoomScaleNormal="80" zoomScaleSheetLayoutView="100" workbookViewId="0">
      <selection activeCell="E36" sqref="E36"/>
    </sheetView>
  </sheetViews>
  <sheetFormatPr defaultColWidth="8.5703125" defaultRowHeight="15.75" x14ac:dyDescent="0.25"/>
  <cols>
    <col min="1" max="2" width="8.5703125" style="89"/>
    <col min="3" max="3" width="37.5703125" style="89" customWidth="1"/>
    <col min="4" max="4" width="29.28515625" style="18" customWidth="1"/>
    <col min="5" max="5" width="18.140625" style="18" customWidth="1"/>
    <col min="6" max="6" width="13.28515625" style="18" customWidth="1"/>
    <col min="7" max="7" width="18.42578125" style="18" bestFit="1" customWidth="1"/>
    <col min="8" max="14" width="12.7109375" style="18" bestFit="1" customWidth="1"/>
    <col min="15" max="15" width="2.28515625" style="18" customWidth="1"/>
    <col min="16" max="16" width="17.28515625" style="18" customWidth="1"/>
    <col min="17" max="17" width="11.28515625" style="89" bestFit="1" customWidth="1"/>
    <col min="18" max="19" width="8.5703125" style="89"/>
    <col min="20" max="20" width="30.28515625" style="89" customWidth="1"/>
    <col min="21" max="21" width="13.28515625" style="89" customWidth="1"/>
    <col min="22" max="22" width="12.42578125" style="89" bestFit="1" customWidth="1"/>
    <col min="23" max="24" width="12.7109375" style="89" customWidth="1"/>
    <col min="25" max="25" width="11.85546875" style="89" customWidth="1"/>
    <col min="26" max="16384" width="8.5703125" style="89"/>
  </cols>
  <sheetData>
    <row r="1" spans="1:25" x14ac:dyDescent="0.25">
      <c r="A1" s="879" t="s">
        <v>2821</v>
      </c>
    </row>
    <row r="2" spans="1:25" x14ac:dyDescent="0.25">
      <c r="C2" s="89" t="s">
        <v>3880</v>
      </c>
    </row>
    <row r="3" spans="1:25" x14ac:dyDescent="0.25">
      <c r="C3" s="240"/>
      <c r="D3" s="242" t="s">
        <v>3072</v>
      </c>
      <c r="E3" s="242">
        <v>1</v>
      </c>
      <c r="F3" s="242">
        <v>2</v>
      </c>
      <c r="G3" s="242">
        <v>3</v>
      </c>
      <c r="H3" s="242">
        <v>4</v>
      </c>
      <c r="I3" s="242">
        <v>5</v>
      </c>
      <c r="J3" s="242">
        <v>6</v>
      </c>
      <c r="K3" s="242">
        <v>7</v>
      </c>
      <c r="L3" s="242">
        <v>8</v>
      </c>
      <c r="M3" s="242">
        <v>9</v>
      </c>
      <c r="N3" s="242">
        <v>10</v>
      </c>
      <c r="P3" s="747" t="s">
        <v>3089</v>
      </c>
      <c r="Q3" s="241"/>
      <c r="T3" s="22" t="s">
        <v>3879</v>
      </c>
      <c r="U3" s="644">
        <v>2021</v>
      </c>
      <c r="V3" s="644">
        <v>2022</v>
      </c>
      <c r="W3" s="644">
        <v>2023</v>
      </c>
      <c r="X3" s="644">
        <v>2024</v>
      </c>
      <c r="Y3" s="536">
        <v>2025</v>
      </c>
    </row>
    <row r="4" spans="1:25" x14ac:dyDescent="0.25">
      <c r="C4" s="244" t="s">
        <v>3087</v>
      </c>
      <c r="D4" s="729">
        <f>+'EEFF Apple y cálculo ratios'!G4</f>
        <v>416161</v>
      </c>
      <c r="E4" s="394">
        <f>+D4*(1+E5)</f>
        <v>436969.05000000005</v>
      </c>
      <c r="F4" s="394">
        <f t="shared" ref="F4:N4" si="0">+E4*(1+F5)</f>
        <v>458817.50250000006</v>
      </c>
      <c r="G4" s="394">
        <f t="shared" si="0"/>
        <v>481758.37762500008</v>
      </c>
      <c r="H4" s="394">
        <f t="shared" si="0"/>
        <v>505846.2965062501</v>
      </c>
      <c r="I4" s="394">
        <f t="shared" si="0"/>
        <v>531138.61133156263</v>
      </c>
      <c r="J4" s="394">
        <f t="shared" si="0"/>
        <v>557695.5418981408</v>
      </c>
      <c r="K4" s="394">
        <f t="shared" si="0"/>
        <v>585580.31899304781</v>
      </c>
      <c r="L4" s="394">
        <f t="shared" si="0"/>
        <v>614859.33494270022</v>
      </c>
      <c r="M4" s="394">
        <f t="shared" si="0"/>
        <v>645602.30168983527</v>
      </c>
      <c r="N4" s="394">
        <f t="shared" si="0"/>
        <v>677882.41677432705</v>
      </c>
      <c r="P4" s="748">
        <f>+N4*(1+P5)</f>
        <v>698218.88927755691</v>
      </c>
      <c r="Q4" s="241"/>
      <c r="T4" s="730" t="s">
        <v>2931</v>
      </c>
      <c r="U4" s="737"/>
      <c r="V4" s="737"/>
      <c r="W4" s="737">
        <f>+'EEFF Apple y cálculo ratios'!E348</f>
        <v>62146</v>
      </c>
      <c r="X4" s="737">
        <f>+'EEFF Apple y cálculo ratios'!F348</f>
        <v>56950</v>
      </c>
      <c r="Y4" s="731">
        <f>+'EEFF Apple y cálculo ratios'!G348</f>
        <v>73733</v>
      </c>
    </row>
    <row r="5" spans="1:25" x14ac:dyDescent="0.25">
      <c r="C5" s="244" t="s">
        <v>3088</v>
      </c>
      <c r="D5" s="727"/>
      <c r="E5" s="247">
        <v>0.05</v>
      </c>
      <c r="F5" s="247">
        <f>+E5</f>
        <v>0.05</v>
      </c>
      <c r="G5" s="247">
        <f t="shared" ref="G5:N6" si="1">+F5</f>
        <v>0.05</v>
      </c>
      <c r="H5" s="247">
        <f t="shared" si="1"/>
        <v>0.05</v>
      </c>
      <c r="I5" s="247">
        <f t="shared" si="1"/>
        <v>0.05</v>
      </c>
      <c r="J5" s="247">
        <f t="shared" si="1"/>
        <v>0.05</v>
      </c>
      <c r="K5" s="247">
        <f t="shared" si="1"/>
        <v>0.05</v>
      </c>
      <c r="L5" s="247">
        <f t="shared" si="1"/>
        <v>0.05</v>
      </c>
      <c r="M5" s="247">
        <f t="shared" si="1"/>
        <v>0.05</v>
      </c>
      <c r="N5" s="247">
        <f t="shared" si="1"/>
        <v>0.05</v>
      </c>
      <c r="P5" s="746">
        <v>0.03</v>
      </c>
      <c r="Q5" s="241"/>
      <c r="T5" s="629" t="s">
        <v>2809</v>
      </c>
      <c r="U5" s="523"/>
      <c r="V5" s="523"/>
      <c r="W5" s="523">
        <f>+'EEFF Apple y cálculo ratios'!E349</f>
        <v>17382</v>
      </c>
      <c r="X5" s="523">
        <f>+'EEFF Apple y cálculo ratios'!F349</f>
        <v>22511</v>
      </c>
      <c r="Y5" s="516">
        <f>+'EEFF Apple y cálculo ratios'!G349</f>
        <v>20329</v>
      </c>
    </row>
    <row r="6" spans="1:25" x14ac:dyDescent="0.25">
      <c r="C6" s="244" t="s">
        <v>3091</v>
      </c>
      <c r="D6" s="728">
        <f>+D7/D4</f>
        <v>0.31970799762591884</v>
      </c>
      <c r="E6" s="247">
        <v>0.3</v>
      </c>
      <c r="F6" s="247">
        <f>+E6</f>
        <v>0.3</v>
      </c>
      <c r="G6" s="247">
        <f t="shared" si="1"/>
        <v>0.3</v>
      </c>
      <c r="H6" s="247">
        <f t="shared" si="1"/>
        <v>0.3</v>
      </c>
      <c r="I6" s="247">
        <f t="shared" si="1"/>
        <v>0.3</v>
      </c>
      <c r="J6" s="247">
        <f t="shared" si="1"/>
        <v>0.3</v>
      </c>
      <c r="K6" s="247">
        <f t="shared" si="1"/>
        <v>0.3</v>
      </c>
      <c r="L6" s="247">
        <f t="shared" si="1"/>
        <v>0.3</v>
      </c>
      <c r="M6" s="247">
        <f t="shared" si="1"/>
        <v>0.3</v>
      </c>
      <c r="N6" s="247">
        <f t="shared" si="1"/>
        <v>0.3</v>
      </c>
      <c r="P6" s="746">
        <f>+N6</f>
        <v>0.3</v>
      </c>
      <c r="Q6" s="241"/>
      <c r="T6" s="629" t="s">
        <v>2812</v>
      </c>
      <c r="U6" s="523"/>
      <c r="V6" s="523"/>
      <c r="W6" s="523">
        <f>+'EEFF Apple y cálculo ratios'!E350</f>
        <v>95281</v>
      </c>
      <c r="X6" s="523">
        <f>+'EEFF Apple y cálculo ratios'!F350</f>
        <v>96548</v>
      </c>
      <c r="Y6" s="516">
        <f>+'EEFF Apple y cálculo ratios'!G350</f>
        <v>78328</v>
      </c>
    </row>
    <row r="7" spans="1:25" x14ac:dyDescent="0.25">
      <c r="C7" s="244" t="s">
        <v>3092</v>
      </c>
      <c r="D7" s="729">
        <f>+'EEFF Apple y cálculo ratios'!G8</f>
        <v>133050</v>
      </c>
      <c r="E7" s="396">
        <f>+E4*E6</f>
        <v>131090.715</v>
      </c>
      <c r="F7" s="396">
        <f t="shared" ref="F7:M7" si="2">+F4*F6</f>
        <v>137645.25075000001</v>
      </c>
      <c r="G7" s="396">
        <f t="shared" si="2"/>
        <v>144527.51328750001</v>
      </c>
      <c r="H7" s="396">
        <f t="shared" si="2"/>
        <v>151753.88895187504</v>
      </c>
      <c r="I7" s="396">
        <f t="shared" si="2"/>
        <v>159341.58339946877</v>
      </c>
      <c r="J7" s="396">
        <f t="shared" si="2"/>
        <v>167308.66256944224</v>
      </c>
      <c r="K7" s="396">
        <f t="shared" si="2"/>
        <v>175674.09569791434</v>
      </c>
      <c r="L7" s="396">
        <f t="shared" si="2"/>
        <v>184457.80048281007</v>
      </c>
      <c r="M7" s="396">
        <f t="shared" si="2"/>
        <v>193680.69050695057</v>
      </c>
      <c r="N7" s="396">
        <f>+N4*N6</f>
        <v>203364.7250322981</v>
      </c>
      <c r="P7" s="748">
        <f>+P4*P6</f>
        <v>209465.66678326708</v>
      </c>
      <c r="Q7" s="249"/>
      <c r="T7" s="732" t="s">
        <v>2930</v>
      </c>
      <c r="U7" s="523"/>
      <c r="V7" s="523"/>
      <c r="W7" s="523">
        <f>+'EEFF Apple y cálculo ratios'!E351</f>
        <v>-162099</v>
      </c>
      <c r="X7" s="523">
        <f>+'EEFF Apple y cálculo ratios'!F351</f>
        <v>-156650</v>
      </c>
      <c r="Y7" s="516">
        <f>+'EEFF Apple y cálculo ratios'!G351</f>
        <v>-132420</v>
      </c>
    </row>
    <row r="8" spans="1:25" x14ac:dyDescent="0.25">
      <c r="C8" s="244" t="s">
        <v>3084</v>
      </c>
      <c r="D8" s="728">
        <f>+-'Capital Allocation Apple'!L14/'Capital Allocation Apple'!L13</f>
        <v>0.24091123689786073</v>
      </c>
      <c r="E8" s="247">
        <v>0.21</v>
      </c>
      <c r="F8" s="247">
        <f>+E8</f>
        <v>0.21</v>
      </c>
      <c r="G8" s="247">
        <f t="shared" ref="G8:N8" si="3">+F8</f>
        <v>0.21</v>
      </c>
      <c r="H8" s="247">
        <f t="shared" si="3"/>
        <v>0.21</v>
      </c>
      <c r="I8" s="247">
        <f t="shared" si="3"/>
        <v>0.21</v>
      </c>
      <c r="J8" s="247">
        <f t="shared" si="3"/>
        <v>0.21</v>
      </c>
      <c r="K8" s="247">
        <f t="shared" si="3"/>
        <v>0.21</v>
      </c>
      <c r="L8" s="247">
        <f t="shared" si="3"/>
        <v>0.21</v>
      </c>
      <c r="M8" s="247">
        <f t="shared" si="3"/>
        <v>0.21</v>
      </c>
      <c r="N8" s="247">
        <f t="shared" si="3"/>
        <v>0.21</v>
      </c>
      <c r="P8" s="746">
        <f>+N8</f>
        <v>0.21</v>
      </c>
      <c r="Q8" s="241"/>
      <c r="T8" s="733" t="s">
        <v>2924</v>
      </c>
      <c r="U8" s="524"/>
      <c r="V8" s="524"/>
      <c r="W8" s="524">
        <f>+'EEFF Apple y cálculo ratios'!E352</f>
        <v>-49436</v>
      </c>
      <c r="X8" s="524">
        <f>+'EEFF Apple y cálculo ratios'!F352</f>
        <v>-37591</v>
      </c>
      <c r="Y8" s="518">
        <f>+'EEFF Apple y cálculo ratios'!G352</f>
        <v>-33763</v>
      </c>
    </row>
    <row r="9" spans="1:25" x14ac:dyDescent="0.25">
      <c r="C9" s="244" t="s">
        <v>2915</v>
      </c>
      <c r="D9" s="729">
        <f>+D7*(1-D8)</f>
        <v>100996.75993073963</v>
      </c>
      <c r="E9" s="396">
        <f>+E7*(1-E8)</f>
        <v>103561.66485</v>
      </c>
      <c r="F9" s="396">
        <f t="shared" ref="F9:N9" si="4">+F7*(1-F8)</f>
        <v>108739.74809250001</v>
      </c>
      <c r="G9" s="396">
        <f t="shared" si="4"/>
        <v>114176.73549712502</v>
      </c>
      <c r="H9" s="396">
        <f t="shared" si="4"/>
        <v>119885.57227198129</v>
      </c>
      <c r="I9" s="396">
        <f t="shared" si="4"/>
        <v>125879.85088558034</v>
      </c>
      <c r="J9" s="396">
        <f t="shared" si="4"/>
        <v>132173.84342985938</v>
      </c>
      <c r="K9" s="396">
        <f t="shared" si="4"/>
        <v>138782.53560135234</v>
      </c>
      <c r="L9" s="396">
        <f t="shared" si="4"/>
        <v>145721.66238141997</v>
      </c>
      <c r="M9" s="396">
        <f t="shared" si="4"/>
        <v>153007.74550049097</v>
      </c>
      <c r="N9" s="396">
        <f t="shared" si="4"/>
        <v>160658.13277551549</v>
      </c>
      <c r="P9" s="748">
        <f>+P7*(1-P8)</f>
        <v>165477.876758781</v>
      </c>
      <c r="Q9" s="241"/>
      <c r="T9" s="733" t="s">
        <v>2813</v>
      </c>
      <c r="U9" s="523"/>
      <c r="V9" s="523"/>
      <c r="W9" s="523">
        <f>+'EEFF Apple y cálculo ratios'!E353</f>
        <v>49848</v>
      </c>
      <c r="X9" s="523">
        <f>+'EEFF Apple y cálculo ratios'!F353</f>
        <v>35090</v>
      </c>
      <c r="Y9" s="516">
        <f>+'EEFF Apple y cálculo ratios'!G353</f>
        <v>41549</v>
      </c>
    </row>
    <row r="10" spans="1:25" x14ac:dyDescent="0.25"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P10" s="100"/>
      <c r="Q10" s="241"/>
      <c r="T10" s="733" t="s">
        <v>2933</v>
      </c>
      <c r="U10" s="524"/>
      <c r="V10" s="524"/>
      <c r="W10" s="524">
        <f>+'EEFF Apple y cálculo ratios'!E354</f>
        <v>28693.666666666668</v>
      </c>
      <c r="X10" s="524">
        <f>+'EEFF Apple y cálculo ratios'!F354</f>
        <v>30885.000000000004</v>
      </c>
      <c r="Y10" s="518">
        <f>+'EEFF Apple y cálculo ratios'!G354</f>
        <v>33490</v>
      </c>
    </row>
    <row r="11" spans="1:25" x14ac:dyDescent="0.25">
      <c r="C11" s="250" t="s">
        <v>3108</v>
      </c>
      <c r="D11" s="100">
        <f>+'EEFF Apple y cálculo ratios'!G177</f>
        <v>116805.70000000001</v>
      </c>
      <c r="E11" s="100">
        <f>+D11+E16</f>
        <v>122007.71250000002</v>
      </c>
      <c r="F11" s="100">
        <f t="shared" ref="F11:N11" si="5">+E11+F16</f>
        <v>127469.82562500003</v>
      </c>
      <c r="G11" s="100">
        <f t="shared" si="5"/>
        <v>133205.04440625003</v>
      </c>
      <c r="H11" s="100">
        <f t="shared" si="5"/>
        <v>139227.02412656252</v>
      </c>
      <c r="I11" s="100">
        <f t="shared" si="5"/>
        <v>145550.10283289064</v>
      </c>
      <c r="J11" s="100">
        <f t="shared" si="5"/>
        <v>152189.33547453518</v>
      </c>
      <c r="K11" s="100">
        <f t="shared" si="5"/>
        <v>159160.52974826194</v>
      </c>
      <c r="L11" s="100">
        <f t="shared" si="5"/>
        <v>166480.28373567504</v>
      </c>
      <c r="M11" s="100">
        <f t="shared" si="5"/>
        <v>174166.0254224588</v>
      </c>
      <c r="N11" s="100">
        <f t="shared" si="5"/>
        <v>182236.05419358175</v>
      </c>
      <c r="P11" s="100">
        <f>+N11+P16</f>
        <v>198270.73217408379</v>
      </c>
      <c r="Q11" s="241"/>
      <c r="T11" s="734" t="s">
        <v>2185</v>
      </c>
      <c r="U11" s="738"/>
      <c r="V11" s="738"/>
      <c r="W11" s="738">
        <f>+'EEFF Apple y cálculo ratios'!E355</f>
        <v>91251.666666666672</v>
      </c>
      <c r="X11" s="738">
        <f>+'EEFF Apple y cálculo ratios'!F355</f>
        <v>85334</v>
      </c>
      <c r="Y11" s="735">
        <f>+'EEFF Apple y cálculo ratios'!G355</f>
        <v>115009</v>
      </c>
    </row>
    <row r="12" spans="1:25" x14ac:dyDescent="0.25">
      <c r="C12" s="250" t="s">
        <v>2699</v>
      </c>
      <c r="D12" s="248">
        <f t="shared" ref="D12:N12" si="6">+D9/D11</f>
        <v>0.86465609067656479</v>
      </c>
      <c r="E12" s="248">
        <f t="shared" si="6"/>
        <v>0.84881244577059001</v>
      </c>
      <c r="F12" s="248">
        <f t="shared" si="6"/>
        <v>0.85306265666667247</v>
      </c>
      <c r="G12" s="248">
        <f t="shared" si="6"/>
        <v>0.85715023786117073</v>
      </c>
      <c r="H12" s="248">
        <f t="shared" si="6"/>
        <v>0.86107975821562388</v>
      </c>
      <c r="I12" s="248">
        <f t="shared" si="6"/>
        <v>0.86485580178604093</v>
      </c>
      <c r="J12" s="248">
        <f t="shared" si="6"/>
        <v>0.86848295261776165</v>
      </c>
      <c r="K12" s="248">
        <f t="shared" si="6"/>
        <v>0.87196578084314824</v>
      </c>
      <c r="L12" s="248">
        <f t="shared" si="6"/>
        <v>0.87530883004011417</v>
      </c>
      <c r="M12" s="248">
        <f t="shared" si="6"/>
        <v>0.87851660580388113</v>
      </c>
      <c r="N12" s="248">
        <f t="shared" si="6"/>
        <v>0.88159356547994105</v>
      </c>
      <c r="P12" s="853">
        <v>0.30959999999999999</v>
      </c>
      <c r="Q12" s="241"/>
      <c r="T12" s="733" t="s">
        <v>3087</v>
      </c>
      <c r="U12" s="524"/>
      <c r="V12" s="524"/>
      <c r="W12" s="524">
        <f>+'EEFF Apple y cálculo ratios'!E356</f>
        <v>383285</v>
      </c>
      <c r="X12" s="524">
        <f>+'EEFF Apple y cálculo ratios'!F356</f>
        <v>391035</v>
      </c>
      <c r="Y12" s="518">
        <f>+'EEFF Apple y cálculo ratios'!G356</f>
        <v>416161</v>
      </c>
    </row>
    <row r="13" spans="1:25" x14ac:dyDescent="0.25">
      <c r="C13" s="250" t="s">
        <v>3120</v>
      </c>
      <c r="D13" s="248"/>
      <c r="E13" s="248"/>
      <c r="F13" s="248"/>
      <c r="G13" s="248"/>
      <c r="H13" s="248"/>
      <c r="I13" s="248"/>
      <c r="J13" s="248"/>
      <c r="K13" s="248"/>
      <c r="L13" s="248"/>
      <c r="M13" s="248"/>
      <c r="N13" s="248"/>
      <c r="P13" s="251">
        <f>+E26</f>
        <v>0.03</v>
      </c>
      <c r="Q13" s="241"/>
      <c r="T13" s="736" t="s">
        <v>3107</v>
      </c>
      <c r="U13" s="739"/>
      <c r="V13" s="739"/>
      <c r="W13" s="739">
        <f>+W12/W11</f>
        <v>4.2003068437106172</v>
      </c>
      <c r="X13" s="739">
        <f t="shared" ref="X13:Y13" si="7">+X12/X11</f>
        <v>4.5824056062062013</v>
      </c>
      <c r="Y13" s="740">
        <f t="shared" si="7"/>
        <v>3.6185081167560798</v>
      </c>
    </row>
    <row r="14" spans="1:25" x14ac:dyDescent="0.25">
      <c r="C14" s="250" t="s">
        <v>3106</v>
      </c>
      <c r="D14" s="100"/>
      <c r="E14" s="100">
        <f t="shared" ref="E14:N14" si="8">++E4-D4</f>
        <v>20808.050000000047</v>
      </c>
      <c r="F14" s="100">
        <f t="shared" si="8"/>
        <v>21848.452500000014</v>
      </c>
      <c r="G14" s="100">
        <f t="shared" si="8"/>
        <v>22940.87512500002</v>
      </c>
      <c r="H14" s="100">
        <f t="shared" si="8"/>
        <v>24087.918881250022</v>
      </c>
      <c r="I14" s="100">
        <f t="shared" si="8"/>
        <v>25292.314825312525</v>
      </c>
      <c r="J14" s="100">
        <f t="shared" si="8"/>
        <v>26556.930566578172</v>
      </c>
      <c r="K14" s="100">
        <f t="shared" si="8"/>
        <v>27884.777094907011</v>
      </c>
      <c r="L14" s="100">
        <f t="shared" si="8"/>
        <v>29279.015949652414</v>
      </c>
      <c r="M14" s="100">
        <f t="shared" si="8"/>
        <v>30742.96674713504</v>
      </c>
      <c r="N14" s="100">
        <f t="shared" si="8"/>
        <v>32280.115084491787</v>
      </c>
      <c r="P14" s="100"/>
      <c r="Q14" s="241"/>
    </row>
    <row r="15" spans="1:25" x14ac:dyDescent="0.25">
      <c r="C15" s="250" t="s">
        <v>3107</v>
      </c>
      <c r="D15" s="741">
        <v>4</v>
      </c>
      <c r="E15" s="741">
        <f>+D15</f>
        <v>4</v>
      </c>
      <c r="F15" s="741">
        <f t="shared" ref="F15:N15" si="9">+E15</f>
        <v>4</v>
      </c>
      <c r="G15" s="741">
        <f t="shared" si="9"/>
        <v>4</v>
      </c>
      <c r="H15" s="741">
        <f t="shared" si="9"/>
        <v>4</v>
      </c>
      <c r="I15" s="741">
        <f t="shared" si="9"/>
        <v>4</v>
      </c>
      <c r="J15" s="741">
        <f t="shared" si="9"/>
        <v>4</v>
      </c>
      <c r="K15" s="741">
        <f t="shared" si="9"/>
        <v>4</v>
      </c>
      <c r="L15" s="741">
        <f t="shared" si="9"/>
        <v>4</v>
      </c>
      <c r="M15" s="741">
        <f t="shared" si="9"/>
        <v>4</v>
      </c>
      <c r="N15" s="741">
        <f t="shared" si="9"/>
        <v>4</v>
      </c>
      <c r="P15" s="100"/>
      <c r="Q15" s="241"/>
    </row>
    <row r="16" spans="1:25" x14ac:dyDescent="0.25">
      <c r="D16" s="742" t="s">
        <v>3109</v>
      </c>
      <c r="E16" s="743">
        <f>+E14/E15</f>
        <v>5202.0125000000116</v>
      </c>
      <c r="F16" s="743">
        <f>+F14/F15</f>
        <v>5462.1131250000035</v>
      </c>
      <c r="G16" s="743">
        <f t="shared" ref="G16:N16" si="10">+G14/G15</f>
        <v>5735.2187812500051</v>
      </c>
      <c r="H16" s="743">
        <f t="shared" si="10"/>
        <v>6021.9797203125054</v>
      </c>
      <c r="I16" s="743">
        <f t="shared" si="10"/>
        <v>6323.0787063281314</v>
      </c>
      <c r="J16" s="743">
        <f t="shared" si="10"/>
        <v>6639.232641644543</v>
      </c>
      <c r="K16" s="743">
        <f t="shared" si="10"/>
        <v>6971.1942737267527</v>
      </c>
      <c r="L16" s="743">
        <f t="shared" si="10"/>
        <v>7319.7539874131035</v>
      </c>
      <c r="M16" s="743">
        <f t="shared" si="10"/>
        <v>7685.7416867837601</v>
      </c>
      <c r="N16" s="743">
        <f t="shared" si="10"/>
        <v>8070.0287711229466</v>
      </c>
      <c r="P16" s="743">
        <f>+(P13/P12)*P9</f>
        <v>16034.677980502036</v>
      </c>
      <c r="Q16" s="241"/>
    </row>
    <row r="17" spans="3:17" x14ac:dyDescent="0.25">
      <c r="C17" s="25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P17" s="100"/>
      <c r="Q17" s="241"/>
    </row>
    <row r="18" spans="3:17" x14ac:dyDescent="0.25">
      <c r="D18" s="744" t="s">
        <v>3069</v>
      </c>
      <c r="E18" s="745">
        <f t="shared" ref="E18:N18" si="11">+E9-E16</f>
        <v>98359.652349999989</v>
      </c>
      <c r="F18" s="745">
        <f t="shared" si="11"/>
        <v>103277.63496750001</v>
      </c>
      <c r="G18" s="745">
        <f t="shared" si="11"/>
        <v>108441.51671587501</v>
      </c>
      <c r="H18" s="745">
        <f t="shared" si="11"/>
        <v>113863.59255166879</v>
      </c>
      <c r="I18" s="745">
        <f t="shared" si="11"/>
        <v>119556.77217925221</v>
      </c>
      <c r="J18" s="745">
        <f t="shared" si="11"/>
        <v>125534.61078821484</v>
      </c>
      <c r="K18" s="745">
        <f t="shared" si="11"/>
        <v>131811.34132762559</v>
      </c>
      <c r="L18" s="745">
        <f t="shared" si="11"/>
        <v>138401.90839400687</v>
      </c>
      <c r="M18" s="745">
        <f t="shared" si="11"/>
        <v>145322.00381370721</v>
      </c>
      <c r="N18" s="745">
        <f t="shared" si="11"/>
        <v>152588.10400439255</v>
      </c>
      <c r="P18" s="745">
        <f>+P9-P16</f>
        <v>149443.19877827895</v>
      </c>
      <c r="Q18" s="241"/>
    </row>
    <row r="19" spans="3:17" x14ac:dyDescent="0.25">
      <c r="C19" s="25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P19" s="100"/>
      <c r="Q19" s="241"/>
    </row>
    <row r="20" spans="3:17" x14ac:dyDescent="0.25">
      <c r="D20" s="753" t="s">
        <v>3117</v>
      </c>
      <c r="E20" s="750">
        <f>+D56</f>
        <v>8.1146674276379477E-2</v>
      </c>
      <c r="F20" s="750">
        <f>+E20</f>
        <v>8.1146674276379477E-2</v>
      </c>
      <c r="G20" s="750">
        <f t="shared" ref="G20:N20" si="12">+F20</f>
        <v>8.1146674276379477E-2</v>
      </c>
      <c r="H20" s="750">
        <f t="shared" si="12"/>
        <v>8.1146674276379477E-2</v>
      </c>
      <c r="I20" s="750">
        <f t="shared" si="12"/>
        <v>8.1146674276379477E-2</v>
      </c>
      <c r="J20" s="750">
        <f t="shared" si="12"/>
        <v>8.1146674276379477E-2</v>
      </c>
      <c r="K20" s="750">
        <f t="shared" si="12"/>
        <v>8.1146674276379477E-2</v>
      </c>
      <c r="L20" s="750">
        <f t="shared" si="12"/>
        <v>8.1146674276379477E-2</v>
      </c>
      <c r="M20" s="750">
        <f t="shared" si="12"/>
        <v>8.1146674276379477E-2</v>
      </c>
      <c r="N20" s="684">
        <f t="shared" si="12"/>
        <v>8.1146674276379477E-2</v>
      </c>
      <c r="P20" s="251"/>
      <c r="Q20" s="241"/>
    </row>
    <row r="21" spans="3:17" x14ac:dyDescent="0.25">
      <c r="D21" s="754" t="s">
        <v>3077</v>
      </c>
      <c r="E21" s="255">
        <f t="shared" ref="E21:N21" si="13">1/(1+E20)^E3</f>
        <v>0.92494388022726726</v>
      </c>
      <c r="F21" s="255">
        <f t="shared" si="13"/>
        <v>0.85552118156987345</v>
      </c>
      <c r="G21" s="255">
        <f t="shared" si="13"/>
        <v>0.79130908129785538</v>
      </c>
      <c r="H21" s="255">
        <f t="shared" si="13"/>
        <v>0.73191649211471244</v>
      </c>
      <c r="I21" s="255">
        <f t="shared" si="13"/>
        <v>0.67698168021891225</v>
      </c>
      <c r="J21" s="255">
        <f t="shared" si="13"/>
        <v>0.62617006214445581</v>
      </c>
      <c r="K21" s="255">
        <f t="shared" si="13"/>
        <v>0.57917216696204199</v>
      </c>
      <c r="L21" s="255">
        <f t="shared" si="13"/>
        <v>0.53570175142950582</v>
      </c>
      <c r="M21" s="255">
        <f t="shared" si="13"/>
        <v>0.49549405661175022</v>
      </c>
      <c r="N21" s="752">
        <f t="shared" si="13"/>
        <v>0.45830419535202149</v>
      </c>
      <c r="P21" s="255"/>
      <c r="Q21" s="241"/>
    </row>
    <row r="22" spans="3:17" x14ac:dyDescent="0.25">
      <c r="D22" s="755" t="s">
        <v>3118</v>
      </c>
      <c r="E22" s="756">
        <f>+E18*E21</f>
        <v>90977.158502414037</v>
      </c>
      <c r="F22" s="757">
        <f t="shared" ref="F22:N22" si="14">+F18*F21</f>
        <v>88356.20429713768</v>
      </c>
      <c r="G22" s="757">
        <f t="shared" si="14"/>
        <v>85810.756966985078</v>
      </c>
      <c r="H22" s="757">
        <f t="shared" si="14"/>
        <v>83338.641239996316</v>
      </c>
      <c r="I22" s="757">
        <f t="shared" si="14"/>
        <v>80937.744511459867</v>
      </c>
      <c r="J22" s="757">
        <f t="shared" si="14"/>
        <v>78606.015038536556</v>
      </c>
      <c r="K22" s="757">
        <f t="shared" si="14"/>
        <v>76341.46018689427</v>
      </c>
      <c r="L22" s="757">
        <f t="shared" si="14"/>
        <v>74142.144727855499</v>
      </c>
      <c r="M22" s="758">
        <f t="shared" si="14"/>
        <v>72006.18918460203</v>
      </c>
      <c r="N22" s="759">
        <f t="shared" si="14"/>
        <v>69931.768226023691</v>
      </c>
      <c r="P22" s="100"/>
      <c r="Q22" s="241"/>
    </row>
    <row r="23" spans="3:17" x14ac:dyDescent="0.25">
      <c r="C23" s="25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248"/>
      <c r="Q23" s="241"/>
    </row>
    <row r="24" spans="3:17" ht="31.5" x14ac:dyDescent="0.25">
      <c r="D24" s="749" t="s">
        <v>3119</v>
      </c>
      <c r="E24" s="609">
        <f>+SUM(E22:N22)</f>
        <v>800448.08288190491</v>
      </c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241"/>
    </row>
    <row r="25" spans="3:17" x14ac:dyDescent="0.25">
      <c r="D25" s="760" t="s">
        <v>3121</v>
      </c>
      <c r="E25" s="639">
        <f>+P18</f>
        <v>149443.19877827895</v>
      </c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241"/>
    </row>
    <row r="26" spans="3:17" x14ac:dyDescent="0.25">
      <c r="D26" s="760" t="s">
        <v>3123</v>
      </c>
      <c r="E26" s="660">
        <v>0.03</v>
      </c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241"/>
    </row>
    <row r="27" spans="3:17" x14ac:dyDescent="0.25">
      <c r="D27" s="760" t="s">
        <v>3122</v>
      </c>
      <c r="E27" s="660">
        <f>+D56</f>
        <v>8.1146674276379477E-2</v>
      </c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241"/>
    </row>
    <row r="28" spans="3:17" x14ac:dyDescent="0.25">
      <c r="D28" s="760" t="s">
        <v>3078</v>
      </c>
      <c r="E28" s="639">
        <f>+E25/(E27-E26)</f>
        <v>2921855.6414975883</v>
      </c>
      <c r="F28" s="100"/>
      <c r="G28" s="100"/>
      <c r="H28" s="100"/>
      <c r="I28" s="100"/>
      <c r="J28" s="100"/>
      <c r="K28" s="251"/>
      <c r="L28" s="100"/>
      <c r="M28" s="100"/>
      <c r="N28" s="100"/>
      <c r="O28" s="100"/>
      <c r="P28" s="100"/>
      <c r="Q28" s="241"/>
    </row>
    <row r="29" spans="3:17" x14ac:dyDescent="0.25">
      <c r="D29" s="751" t="s">
        <v>3129</v>
      </c>
      <c r="E29" s="640">
        <f>+E28/(1+E27)^10</f>
        <v>1339098.6987113168</v>
      </c>
      <c r="F29" s="251"/>
      <c r="G29" s="255"/>
      <c r="H29" s="100"/>
      <c r="I29" s="268"/>
      <c r="J29" s="100"/>
      <c r="K29" s="251"/>
      <c r="L29" s="100"/>
      <c r="M29" s="100"/>
      <c r="N29" s="100"/>
      <c r="O29" s="100"/>
      <c r="P29" s="100"/>
      <c r="Q29" s="241"/>
    </row>
    <row r="30" spans="3:17" x14ac:dyDescent="0.25">
      <c r="D30" s="761" t="s">
        <v>3124</v>
      </c>
      <c r="E30" s="763">
        <f>+E24+E29</f>
        <v>2139546.7815932217</v>
      </c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241"/>
    </row>
    <row r="31" spans="3:17" x14ac:dyDescent="0.25">
      <c r="D31" s="760" t="s">
        <v>3125</v>
      </c>
      <c r="E31" s="639">
        <f>-'EEFF Apple y cálculo ratios'!G29-'EEFF Apple y cálculo ratios'!G32</f>
        <v>-98657</v>
      </c>
      <c r="F31" s="25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241"/>
    </row>
    <row r="32" spans="3:17" x14ac:dyDescent="0.25">
      <c r="D32" s="760" t="s">
        <v>3085</v>
      </c>
      <c r="E32" s="639">
        <v>0</v>
      </c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241"/>
    </row>
    <row r="33" spans="3:17" x14ac:dyDescent="0.25">
      <c r="D33" s="760" t="s">
        <v>3086</v>
      </c>
      <c r="E33" s="639">
        <f>+'EEFF Apple y cálculo ratios'!G17+'EEFF Apple y cálculo ratios'!G18+'EEFF Apple y cálculo ratios'!G23</f>
        <v>132420</v>
      </c>
      <c r="F33" s="100"/>
      <c r="J33" s="100"/>
      <c r="K33" s="100"/>
      <c r="L33" s="100"/>
      <c r="M33" s="100"/>
      <c r="N33" s="100"/>
      <c r="O33" s="100"/>
      <c r="P33" s="100"/>
      <c r="Q33" s="241"/>
    </row>
    <row r="34" spans="3:17" x14ac:dyDescent="0.25">
      <c r="D34" s="762" t="s">
        <v>3126</v>
      </c>
      <c r="E34" s="764">
        <f>+E30+E31+E33</f>
        <v>2173309.7815932217</v>
      </c>
      <c r="F34" s="100"/>
      <c r="J34" s="100"/>
      <c r="K34" s="100"/>
      <c r="L34" s="100"/>
      <c r="M34" s="100"/>
      <c r="N34" s="100"/>
      <c r="O34" s="100"/>
      <c r="P34" s="100"/>
      <c r="Q34" s="241"/>
    </row>
    <row r="35" spans="3:17" x14ac:dyDescent="0.25">
      <c r="D35" s="256"/>
      <c r="E35" s="100"/>
      <c r="F35" s="251"/>
      <c r="J35" s="100"/>
      <c r="K35" s="100"/>
      <c r="L35" s="100"/>
      <c r="M35" s="100"/>
      <c r="N35" s="100"/>
      <c r="O35" s="100"/>
      <c r="P35" s="100"/>
      <c r="Q35" s="241"/>
    </row>
    <row r="36" spans="3:17" ht="18.75" x14ac:dyDescent="0.3">
      <c r="D36" s="765" t="s">
        <v>3269</v>
      </c>
      <c r="E36" s="766">
        <f>+'EEFF Apple y cálculo ratios'!C328</f>
        <v>4125754.7200000007</v>
      </c>
      <c r="F36" s="100"/>
      <c r="G36" s="993" t="s">
        <v>3845</v>
      </c>
      <c r="H36" s="993"/>
      <c r="I36" s="767">
        <f>+(E36/E34)-1</f>
        <v>0.89837397086367976</v>
      </c>
      <c r="J36" s="100"/>
      <c r="K36" s="100"/>
      <c r="L36" s="100"/>
      <c r="M36" s="100"/>
      <c r="N36" s="100"/>
      <c r="O36" s="100"/>
      <c r="P36" s="100"/>
      <c r="Q36" s="241"/>
    </row>
    <row r="37" spans="3:17" x14ac:dyDescent="0.25">
      <c r="D37" s="25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241"/>
    </row>
    <row r="38" spans="3:17" x14ac:dyDescent="0.25">
      <c r="F38" s="100"/>
      <c r="G38" s="268"/>
      <c r="H38" s="100"/>
      <c r="I38" s="100"/>
      <c r="J38" s="100"/>
      <c r="K38" s="100"/>
      <c r="L38" s="100"/>
      <c r="M38" s="100"/>
      <c r="N38" s="100"/>
      <c r="O38" s="100"/>
      <c r="P38" s="100"/>
      <c r="Q38" s="241"/>
    </row>
    <row r="39" spans="3:17" x14ac:dyDescent="0.25"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241"/>
    </row>
    <row r="40" spans="3:17" x14ac:dyDescent="0.25">
      <c r="C40" s="250"/>
      <c r="D40" s="100"/>
      <c r="E40" s="100"/>
      <c r="F40" s="100"/>
      <c r="G40" s="268"/>
      <c r="H40" s="100"/>
      <c r="I40" s="100"/>
      <c r="J40" s="100"/>
      <c r="K40" s="100"/>
      <c r="L40" s="100"/>
      <c r="M40" s="100"/>
      <c r="N40" s="100"/>
      <c r="O40" s="100"/>
      <c r="P40" s="100"/>
      <c r="Q40" s="241"/>
    </row>
    <row r="41" spans="3:17" x14ac:dyDescent="0.25">
      <c r="C41" s="25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241"/>
    </row>
    <row r="42" spans="3:17" ht="16.5" thickBot="1" x14ac:dyDescent="0.3">
      <c r="C42" s="262" t="s">
        <v>3110</v>
      </c>
      <c r="D42" s="102"/>
      <c r="E42" s="102"/>
      <c r="F42" s="102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241"/>
    </row>
    <row r="43" spans="3:17" x14ac:dyDescent="0.25">
      <c r="C43" s="250" t="s">
        <v>3111</v>
      </c>
      <c r="D43" s="251">
        <v>4.0800000000000003E-2</v>
      </c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241"/>
    </row>
    <row r="44" spans="3:17" x14ac:dyDescent="0.25">
      <c r="C44" s="250" t="s">
        <v>3112</v>
      </c>
      <c r="D44" s="252">
        <v>1.1100000000000001</v>
      </c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241"/>
    </row>
    <row r="45" spans="3:17" x14ac:dyDescent="0.25">
      <c r="C45" s="250" t="s">
        <v>3113</v>
      </c>
      <c r="D45" s="251">
        <v>3.73E-2</v>
      </c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241"/>
    </row>
    <row r="46" spans="3:17" x14ac:dyDescent="0.25">
      <c r="C46" s="250" t="s">
        <v>3114</v>
      </c>
      <c r="D46" s="251">
        <f>+D43+(D44*D45)</f>
        <v>8.2202999999999998E-2</v>
      </c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241"/>
    </row>
    <row r="47" spans="3:17" x14ac:dyDescent="0.25">
      <c r="C47" s="250"/>
      <c r="D47" s="251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241"/>
    </row>
    <row r="48" spans="3:17" x14ac:dyDescent="0.25">
      <c r="C48" s="250" t="s">
        <v>3258</v>
      </c>
      <c r="D48" s="251">
        <v>6.0000000000000001E-3</v>
      </c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241"/>
    </row>
    <row r="49" spans="3:22" x14ac:dyDescent="0.25">
      <c r="C49" s="250" t="s">
        <v>3259</v>
      </c>
      <c r="D49" s="251">
        <v>0</v>
      </c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241"/>
    </row>
    <row r="50" spans="3:22" x14ac:dyDescent="0.25">
      <c r="C50" s="250" t="s">
        <v>3115</v>
      </c>
      <c r="D50" s="251">
        <f>+D43+D48+D49</f>
        <v>4.6800000000000001E-2</v>
      </c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241"/>
    </row>
    <row r="51" spans="3:22" x14ac:dyDescent="0.25">
      <c r="C51" s="250" t="s">
        <v>3116</v>
      </c>
      <c r="D51" s="251">
        <v>0.21</v>
      </c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241"/>
    </row>
    <row r="52" spans="3:22" x14ac:dyDescent="0.25">
      <c r="C52" s="250"/>
      <c r="D52" s="251"/>
      <c r="E52" s="100" t="s">
        <v>2181</v>
      </c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241"/>
    </row>
    <row r="53" spans="3:22" x14ac:dyDescent="0.25">
      <c r="C53" s="250" t="s">
        <v>2223</v>
      </c>
      <c r="D53" s="100">
        <f>+E36</f>
        <v>4125754.7200000007</v>
      </c>
      <c r="E53" s="251">
        <f>+D53/(D53+D54)</f>
        <v>0.97664597900509564</v>
      </c>
      <c r="F53" s="100"/>
      <c r="G53" s="100">
        <f>+D62*D61*1000000</f>
        <v>4125754720000</v>
      </c>
      <c r="H53" s="100"/>
      <c r="I53" s="100"/>
      <c r="J53" s="100"/>
      <c r="K53" s="100"/>
      <c r="L53" s="100"/>
      <c r="M53" s="100"/>
      <c r="N53" s="100"/>
      <c r="O53" s="100"/>
      <c r="P53" s="100"/>
      <c r="Q53" s="241"/>
    </row>
    <row r="54" spans="3:22" x14ac:dyDescent="0.25">
      <c r="C54" s="250" t="s">
        <v>3074</v>
      </c>
      <c r="D54" s="100">
        <f>+-E31</f>
        <v>98657</v>
      </c>
      <c r="E54" s="251">
        <f>100%-E53</f>
        <v>2.3354020994904356E-2</v>
      </c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241"/>
    </row>
    <row r="55" spans="3:22" x14ac:dyDescent="0.25">
      <c r="C55" s="250"/>
      <c r="D55" s="100"/>
      <c r="E55" s="251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241"/>
    </row>
    <row r="56" spans="3:22" x14ac:dyDescent="0.25">
      <c r="C56" s="253" t="s">
        <v>3083</v>
      </c>
      <c r="D56" s="254">
        <f>+(D46*E53)+(D50*(1-D51)*E54)</f>
        <v>8.1146674276379477E-2</v>
      </c>
      <c r="E56" s="251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241"/>
    </row>
    <row r="57" spans="3:22" x14ac:dyDescent="0.25">
      <c r="C57" s="154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241"/>
    </row>
    <row r="59" spans="3:22" x14ac:dyDescent="0.25">
      <c r="F59" s="252"/>
      <c r="G59" s="252"/>
      <c r="H59" s="252"/>
      <c r="I59" s="252"/>
      <c r="J59" s="252"/>
      <c r="K59" s="252"/>
      <c r="L59" s="252"/>
      <c r="M59" s="252"/>
      <c r="N59" s="252"/>
    </row>
    <row r="60" spans="3:22" x14ac:dyDescent="0.25">
      <c r="C60" s="266" t="s">
        <v>2223</v>
      </c>
      <c r="D60" s="100">
        <f>+E36</f>
        <v>4125754.7200000007</v>
      </c>
      <c r="E60" s="783">
        <v>1</v>
      </c>
      <c r="F60" s="784">
        <v>2</v>
      </c>
      <c r="G60" s="784">
        <v>3</v>
      </c>
      <c r="H60" s="784">
        <v>4</v>
      </c>
      <c r="I60" s="784">
        <v>5</v>
      </c>
      <c r="J60" s="784">
        <v>6</v>
      </c>
      <c r="K60" s="784">
        <v>7</v>
      </c>
      <c r="L60" s="784">
        <v>8</v>
      </c>
      <c r="M60" s="784">
        <v>9</v>
      </c>
      <c r="N60" s="785">
        <v>10</v>
      </c>
    </row>
    <row r="61" spans="3:22" x14ac:dyDescent="0.25">
      <c r="C61" s="266" t="s">
        <v>3140</v>
      </c>
      <c r="D61" s="100">
        <f>+'Cap5. V múltiplos AAPL'!C13</f>
        <v>14776</v>
      </c>
      <c r="E61" s="769"/>
      <c r="F61" s="21" t="s">
        <v>3264</v>
      </c>
      <c r="N61" s="770"/>
    </row>
    <row r="62" spans="3:22" x14ac:dyDescent="0.25">
      <c r="C62" s="266" t="s">
        <v>2179</v>
      </c>
      <c r="D62" s="252">
        <f>+D60/D61</f>
        <v>279.22000000000003</v>
      </c>
      <c r="E62" s="786">
        <f>+D61*(1+$D$63)</f>
        <v>14406.6</v>
      </c>
      <c r="F62" s="787">
        <f t="shared" ref="F62:M62" si="15">+E62*(1+$D$63)</f>
        <v>14046.434999999999</v>
      </c>
      <c r="G62" s="787">
        <f t="shared" si="15"/>
        <v>13695.274125</v>
      </c>
      <c r="H62" s="787">
        <f t="shared" si="15"/>
        <v>13352.892271875</v>
      </c>
      <c r="I62" s="787">
        <f t="shared" si="15"/>
        <v>13019.069965078124</v>
      </c>
      <c r="J62" s="787">
        <f t="shared" si="15"/>
        <v>12693.59321595117</v>
      </c>
      <c r="K62" s="787">
        <f t="shared" si="15"/>
        <v>12376.253385552391</v>
      </c>
      <c r="L62" s="787">
        <f t="shared" si="15"/>
        <v>12066.84705091358</v>
      </c>
      <c r="M62" s="787">
        <f t="shared" si="15"/>
        <v>11765.175874640741</v>
      </c>
      <c r="N62" s="641">
        <f>+M62*(1+$D$63)</f>
        <v>11471.046477774722</v>
      </c>
      <c r="V62" s="89">
        <f>+(279.22/0.32)^(1/24)-1</f>
        <v>0.32596844612918585</v>
      </c>
    </row>
    <row r="63" spans="3:22" x14ac:dyDescent="0.25">
      <c r="C63" s="266" t="s">
        <v>3141</v>
      </c>
      <c r="D63" s="782">
        <v>-2.5000000000000001E-2</v>
      </c>
    </row>
    <row r="64" spans="3:22" x14ac:dyDescent="0.25">
      <c r="F64" s="21" t="s">
        <v>3267</v>
      </c>
    </row>
    <row r="65" spans="3:23" x14ac:dyDescent="0.25">
      <c r="D65" s="674" t="s">
        <v>3069</v>
      </c>
      <c r="E65" s="788">
        <f t="shared" ref="E65:N65" si="16">+E18</f>
        <v>98359.652349999989</v>
      </c>
      <c r="F65" s="789">
        <f t="shared" si="16"/>
        <v>103277.63496750001</v>
      </c>
      <c r="G65" s="789">
        <f t="shared" si="16"/>
        <v>108441.51671587501</v>
      </c>
      <c r="H65" s="789">
        <f t="shared" si="16"/>
        <v>113863.59255166879</v>
      </c>
      <c r="I65" s="789">
        <f t="shared" si="16"/>
        <v>119556.77217925221</v>
      </c>
      <c r="J65" s="789">
        <f t="shared" si="16"/>
        <v>125534.61078821484</v>
      </c>
      <c r="K65" s="789">
        <f t="shared" si="16"/>
        <v>131811.34132762559</v>
      </c>
      <c r="L65" s="789">
        <f t="shared" si="16"/>
        <v>138401.90839400687</v>
      </c>
      <c r="M65" s="789">
        <f t="shared" si="16"/>
        <v>145322.00381370721</v>
      </c>
      <c r="N65" s="768">
        <f t="shared" si="16"/>
        <v>152588.10400439255</v>
      </c>
    </row>
    <row r="66" spans="3:23" x14ac:dyDescent="0.25">
      <c r="C66" s="266" t="s">
        <v>3142</v>
      </c>
      <c r="D66" s="251">
        <v>0.15</v>
      </c>
      <c r="F66" s="21" t="s">
        <v>3265</v>
      </c>
      <c r="W66" s="89">
        <v>14776000000</v>
      </c>
    </row>
    <row r="67" spans="3:23" x14ac:dyDescent="0.25">
      <c r="D67" s="794" t="s">
        <v>3143</v>
      </c>
      <c r="E67" s="790">
        <f>+E18*$D$66</f>
        <v>14753.947852499998</v>
      </c>
      <c r="F67" s="790">
        <f>+F65*$D$66</f>
        <v>15491.645245125001</v>
      </c>
      <c r="G67" s="790">
        <f t="shared" ref="G67:N67" si="17">+G65*$D$66</f>
        <v>16266.227507381251</v>
      </c>
      <c r="H67" s="790">
        <f t="shared" si="17"/>
        <v>17079.538882750316</v>
      </c>
      <c r="I67" s="790">
        <f t="shared" si="17"/>
        <v>17933.515826887829</v>
      </c>
      <c r="J67" s="790">
        <f t="shared" si="17"/>
        <v>18830.191618232224</v>
      </c>
      <c r="K67" s="790">
        <f t="shared" si="17"/>
        <v>19771.701199143838</v>
      </c>
      <c r="L67" s="790">
        <f t="shared" si="17"/>
        <v>20760.286259101031</v>
      </c>
      <c r="M67" s="790">
        <f t="shared" si="17"/>
        <v>21798.30057205608</v>
      </c>
      <c r="N67" s="791">
        <f t="shared" si="17"/>
        <v>22888.215600658881</v>
      </c>
      <c r="W67" s="99" t="e">
        <f>+W66*#REF!</f>
        <v>#REF!</v>
      </c>
    </row>
    <row r="68" spans="3:23" x14ac:dyDescent="0.25">
      <c r="D68" s="795" t="s">
        <v>3144</v>
      </c>
      <c r="E68" s="792">
        <f>+E67/E62</f>
        <v>1.0241103280787971</v>
      </c>
      <c r="F68" s="792">
        <f t="shared" ref="F68:N68" si="18">+F67/F62</f>
        <v>1.1028880456233201</v>
      </c>
      <c r="G68" s="792">
        <f t="shared" si="18"/>
        <v>1.1877255875943447</v>
      </c>
      <c r="H68" s="792">
        <f t="shared" si="18"/>
        <v>1.2790890943323714</v>
      </c>
      <c r="I68" s="792">
        <f t="shared" si="18"/>
        <v>1.3774805631271692</v>
      </c>
      <c r="J68" s="792">
        <f t="shared" si="18"/>
        <v>1.4834406064446441</v>
      </c>
      <c r="K68" s="792">
        <f t="shared" si="18"/>
        <v>1.5975514223250016</v>
      </c>
      <c r="L68" s="792">
        <f t="shared" si="18"/>
        <v>1.7204399932730787</v>
      </c>
      <c r="M68" s="792">
        <f t="shared" si="18"/>
        <v>1.8527815312171614</v>
      </c>
      <c r="N68" s="793">
        <f t="shared" si="18"/>
        <v>1.9953031874646354</v>
      </c>
    </row>
    <row r="69" spans="3:23" x14ac:dyDescent="0.25">
      <c r="C69" s="266" t="s">
        <v>3076</v>
      </c>
      <c r="D69" s="100">
        <f>+E25</f>
        <v>149443.19877827895</v>
      </c>
      <c r="F69" s="21" t="s">
        <v>3266</v>
      </c>
    </row>
    <row r="70" spans="3:23" x14ac:dyDescent="0.25">
      <c r="C70" s="266" t="s">
        <v>3145</v>
      </c>
      <c r="D70" s="252">
        <f>+D69/N62</f>
        <v>13.027860977446721</v>
      </c>
    </row>
    <row r="71" spans="3:23" x14ac:dyDescent="0.25">
      <c r="C71" s="266" t="s">
        <v>3146</v>
      </c>
      <c r="D71" s="441">
        <v>23</v>
      </c>
    </row>
    <row r="73" spans="3:23" x14ac:dyDescent="0.25">
      <c r="D73" s="18" t="s">
        <v>3882</v>
      </c>
    </row>
    <row r="75" spans="3:23" x14ac:dyDescent="0.25">
      <c r="D75" s="776" t="s">
        <v>2826</v>
      </c>
      <c r="E75" s="771">
        <v>1</v>
      </c>
      <c r="F75" s="242">
        <v>2</v>
      </c>
      <c r="G75" s="242">
        <v>3</v>
      </c>
      <c r="H75" s="242">
        <v>4</v>
      </c>
      <c r="I75" s="242">
        <v>5</v>
      </c>
      <c r="J75" s="242">
        <v>6</v>
      </c>
      <c r="K75" s="242">
        <v>7</v>
      </c>
      <c r="L75" s="242">
        <v>8</v>
      </c>
      <c r="M75" s="242">
        <v>9</v>
      </c>
      <c r="N75" s="242">
        <v>10</v>
      </c>
    </row>
    <row r="76" spans="3:23" x14ac:dyDescent="0.25">
      <c r="C76" s="655" t="s">
        <v>3137</v>
      </c>
      <c r="D76" s="773">
        <f>-D62</f>
        <v>-279.22000000000003</v>
      </c>
      <c r="F76" s="404"/>
      <c r="G76" s="404"/>
      <c r="H76" s="404"/>
      <c r="I76" s="404"/>
      <c r="J76" s="404"/>
      <c r="K76" s="404"/>
      <c r="L76" s="404"/>
      <c r="M76" s="401"/>
      <c r="N76" s="397"/>
    </row>
    <row r="77" spans="3:23" x14ac:dyDescent="0.25">
      <c r="C77" s="669" t="s">
        <v>3138</v>
      </c>
      <c r="D77" s="774"/>
      <c r="E77" s="252">
        <f t="shared" ref="E77:N77" si="19">+E67/E62</f>
        <v>1.0241103280787971</v>
      </c>
      <c r="F77" s="403">
        <f t="shared" si="19"/>
        <v>1.1028880456233201</v>
      </c>
      <c r="G77" s="403">
        <f t="shared" si="19"/>
        <v>1.1877255875943447</v>
      </c>
      <c r="H77" s="403">
        <f t="shared" si="19"/>
        <v>1.2790890943323714</v>
      </c>
      <c r="I77" s="403">
        <f t="shared" si="19"/>
        <v>1.3774805631271692</v>
      </c>
      <c r="J77" s="403">
        <f t="shared" si="19"/>
        <v>1.4834406064446441</v>
      </c>
      <c r="K77" s="403">
        <f t="shared" si="19"/>
        <v>1.5975514223250016</v>
      </c>
      <c r="L77" s="403">
        <f t="shared" si="19"/>
        <v>1.7204399932730787</v>
      </c>
      <c r="M77" s="400">
        <f t="shared" si="19"/>
        <v>1.8527815312171614</v>
      </c>
      <c r="N77" s="398">
        <f t="shared" si="19"/>
        <v>1.9953031874646354</v>
      </c>
    </row>
    <row r="78" spans="3:23" x14ac:dyDescent="0.25">
      <c r="C78" s="656" t="s">
        <v>3139</v>
      </c>
      <c r="D78" s="775"/>
      <c r="E78" s="772"/>
      <c r="F78" s="405"/>
      <c r="G78" s="405"/>
      <c r="H78" s="405"/>
      <c r="I78" s="405"/>
      <c r="J78" s="405"/>
      <c r="K78" s="405"/>
      <c r="L78" s="405"/>
      <c r="M78" s="402"/>
      <c r="N78" s="399">
        <f>+D70*D71</f>
        <v>299.64080248127459</v>
      </c>
    </row>
    <row r="79" spans="3:23" x14ac:dyDescent="0.25">
      <c r="C79" s="266"/>
      <c r="D79" s="779">
        <f t="shared" ref="D79:N79" si="20">+SUM(D76:D78)</f>
        <v>-279.22000000000003</v>
      </c>
      <c r="E79" s="779">
        <f t="shared" si="20"/>
        <v>1.0241103280787971</v>
      </c>
      <c r="F79" s="779">
        <f t="shared" si="20"/>
        <v>1.1028880456233201</v>
      </c>
      <c r="G79" s="779">
        <f t="shared" si="20"/>
        <v>1.1877255875943447</v>
      </c>
      <c r="H79" s="779">
        <f t="shared" si="20"/>
        <v>1.2790890943323714</v>
      </c>
      <c r="I79" s="779">
        <f t="shared" si="20"/>
        <v>1.3774805631271692</v>
      </c>
      <c r="J79" s="779">
        <f t="shared" si="20"/>
        <v>1.4834406064446441</v>
      </c>
      <c r="K79" s="779">
        <f t="shared" si="20"/>
        <v>1.5975514223250016</v>
      </c>
      <c r="L79" s="779">
        <f t="shared" si="20"/>
        <v>1.7204399932730787</v>
      </c>
      <c r="M79" s="780">
        <f t="shared" si="20"/>
        <v>1.8527815312171614</v>
      </c>
      <c r="N79" s="781">
        <f t="shared" si="20"/>
        <v>301.63610566873922</v>
      </c>
    </row>
    <row r="80" spans="3:23" ht="16.5" thickBot="1" x14ac:dyDescent="0.3"/>
    <row r="81" spans="3:16" ht="16.5" thickBot="1" x14ac:dyDescent="0.3">
      <c r="D81" s="778" t="s">
        <v>2826</v>
      </c>
      <c r="E81" s="777">
        <f>+IRR(D79:N79)</f>
        <v>1.2121544522101235E-2</v>
      </c>
    </row>
    <row r="86" spans="3:16" x14ac:dyDescent="0.25">
      <c r="H86" s="100"/>
    </row>
    <row r="89" spans="3:16" ht="31.5" x14ac:dyDescent="0.25">
      <c r="C89" s="244" t="s">
        <v>3257</v>
      </c>
      <c r="D89" s="242" t="s">
        <v>3187</v>
      </c>
      <c r="E89" s="242" t="s">
        <v>3253</v>
      </c>
      <c r="F89" s="242" t="s">
        <v>3107</v>
      </c>
      <c r="G89" s="242">
        <v>1</v>
      </c>
      <c r="H89" s="242">
        <v>2</v>
      </c>
      <c r="I89" s="242">
        <v>3</v>
      </c>
      <c r="J89" s="242">
        <v>4</v>
      </c>
      <c r="K89" s="242">
        <v>5</v>
      </c>
      <c r="L89" s="242">
        <v>6</v>
      </c>
      <c r="M89" s="242">
        <v>7</v>
      </c>
      <c r="N89" s="242">
        <v>8</v>
      </c>
      <c r="O89" s="242">
        <v>9</v>
      </c>
      <c r="P89" s="242">
        <v>10</v>
      </c>
    </row>
    <row r="90" spans="3:16" x14ac:dyDescent="0.25">
      <c r="C90" s="391" t="s">
        <v>3251</v>
      </c>
      <c r="D90" s="20" t="s">
        <v>3254</v>
      </c>
      <c r="E90" s="101">
        <v>0.75</v>
      </c>
      <c r="F90" s="18">
        <v>3.34</v>
      </c>
      <c r="G90" s="101">
        <f>1-G91</f>
        <v>0.73</v>
      </c>
      <c r="H90" s="101">
        <f t="shared" ref="H90:P90" si="21">1-H91</f>
        <v>0.71</v>
      </c>
      <c r="I90" s="101">
        <f t="shared" si="21"/>
        <v>0.69</v>
      </c>
      <c r="J90" s="101">
        <f t="shared" si="21"/>
        <v>0.66999999999999993</v>
      </c>
      <c r="K90" s="101">
        <f t="shared" si="21"/>
        <v>0.64</v>
      </c>
      <c r="L90" s="101">
        <f t="shared" si="21"/>
        <v>0.61</v>
      </c>
      <c r="M90" s="101">
        <f t="shared" si="21"/>
        <v>0.58000000000000007</v>
      </c>
      <c r="N90" s="101">
        <f t="shared" si="21"/>
        <v>0.55000000000000004</v>
      </c>
      <c r="O90" s="101">
        <f t="shared" si="21"/>
        <v>0.52</v>
      </c>
      <c r="P90" s="101">
        <f t="shared" si="21"/>
        <v>0.5</v>
      </c>
    </row>
    <row r="91" spans="3:16" x14ac:dyDescent="0.25">
      <c r="C91" s="391" t="s">
        <v>3252</v>
      </c>
      <c r="D91" s="20" t="s">
        <v>3255</v>
      </c>
      <c r="E91" s="101">
        <v>0.25</v>
      </c>
      <c r="F91" s="18">
        <v>4.71</v>
      </c>
      <c r="G91" s="101">
        <v>0.27</v>
      </c>
      <c r="H91" s="101">
        <v>0.28999999999999998</v>
      </c>
      <c r="I91" s="101">
        <v>0.31</v>
      </c>
      <c r="J91" s="101">
        <v>0.33</v>
      </c>
      <c r="K91" s="101">
        <v>0.36</v>
      </c>
      <c r="L91" s="101">
        <v>0.39</v>
      </c>
      <c r="M91" s="101">
        <v>0.42</v>
      </c>
      <c r="N91" s="101">
        <v>0.45</v>
      </c>
      <c r="O91" s="101">
        <v>0.48</v>
      </c>
      <c r="P91" s="101">
        <v>0.5</v>
      </c>
    </row>
    <row r="92" spans="3:16" x14ac:dyDescent="0.25">
      <c r="E92" s="392" t="s">
        <v>3256</v>
      </c>
      <c r="F92" s="393">
        <f>+F90*E90+E91*F91</f>
        <v>3.6825000000000001</v>
      </c>
      <c r="G92" s="393">
        <f>+G90*$F$90+G91*$F$91</f>
        <v>3.7098999999999998</v>
      </c>
      <c r="H92" s="393">
        <f t="shared" ref="H92:P92" si="22">+H90*$F$90+H91*$F$91</f>
        <v>3.7372999999999998</v>
      </c>
      <c r="I92" s="393">
        <f t="shared" si="22"/>
        <v>3.7646999999999995</v>
      </c>
      <c r="J92" s="393">
        <f t="shared" si="22"/>
        <v>3.7920999999999996</v>
      </c>
      <c r="K92" s="393">
        <f t="shared" si="22"/>
        <v>3.8331999999999997</v>
      </c>
      <c r="L92" s="393">
        <f t="shared" si="22"/>
        <v>3.8742999999999999</v>
      </c>
      <c r="M92" s="393">
        <f t="shared" si="22"/>
        <v>3.9154</v>
      </c>
      <c r="N92" s="393">
        <f t="shared" si="22"/>
        <v>3.9565000000000001</v>
      </c>
      <c r="O92" s="393">
        <f t="shared" si="22"/>
        <v>3.9975999999999994</v>
      </c>
      <c r="P92" s="393">
        <f t="shared" si="22"/>
        <v>4.0250000000000004</v>
      </c>
    </row>
    <row r="98" spans="3:4" x14ac:dyDescent="0.25">
      <c r="C98" s="266" t="s">
        <v>3260</v>
      </c>
      <c r="D98" s="100">
        <f>+E25</f>
        <v>149443.19877827895</v>
      </c>
    </row>
    <row r="99" spans="3:4" x14ac:dyDescent="0.25">
      <c r="C99" s="266" t="s">
        <v>3261</v>
      </c>
      <c r="D99" s="18">
        <v>25</v>
      </c>
    </row>
    <row r="100" spans="3:4" x14ac:dyDescent="0.25">
      <c r="C100" s="266" t="s">
        <v>3263</v>
      </c>
      <c r="D100" s="100">
        <f>+D98*D99</f>
        <v>3736079.969456974</v>
      </c>
    </row>
    <row r="101" spans="3:4" x14ac:dyDescent="0.25">
      <c r="C101" s="391" t="s">
        <v>3262</v>
      </c>
      <c r="D101" s="103">
        <f>+D100/(1+E27)^10</f>
        <v>1712261.1241727835</v>
      </c>
    </row>
    <row r="102" spans="3:4" x14ac:dyDescent="0.25">
      <c r="C102" s="266"/>
    </row>
    <row r="103" spans="3:4" x14ac:dyDescent="0.25">
      <c r="C103" s="266" t="s">
        <v>3073</v>
      </c>
      <c r="D103" s="100">
        <f>+E24</f>
        <v>800448.08288190491</v>
      </c>
    </row>
    <row r="104" spans="3:4" x14ac:dyDescent="0.25">
      <c r="C104" s="253" t="s">
        <v>2670</v>
      </c>
      <c r="D104" s="257">
        <f>+D101+D103</f>
        <v>2512709.2070546886</v>
      </c>
    </row>
    <row r="105" spans="3:4" x14ac:dyDescent="0.25">
      <c r="C105" s="256" t="s">
        <v>3125</v>
      </c>
      <c r="D105" s="100">
        <f>+E31</f>
        <v>-98657</v>
      </c>
    </row>
    <row r="106" spans="3:4" x14ac:dyDescent="0.25">
      <c r="C106" s="256" t="s">
        <v>3085</v>
      </c>
      <c r="D106" s="100">
        <f>+E32</f>
        <v>0</v>
      </c>
    </row>
    <row r="107" spans="3:4" x14ac:dyDescent="0.25">
      <c r="C107" s="256" t="s">
        <v>3086</v>
      </c>
      <c r="D107" s="100">
        <f>+E33</f>
        <v>132420</v>
      </c>
    </row>
    <row r="108" spans="3:4" x14ac:dyDescent="0.25">
      <c r="C108" s="253" t="s">
        <v>3126</v>
      </c>
      <c r="D108" s="257">
        <f>+D104+D105+D107</f>
        <v>2546472.2070546886</v>
      </c>
    </row>
    <row r="109" spans="3:4" x14ac:dyDescent="0.25">
      <c r="C109" s="256"/>
      <c r="D109" s="100"/>
    </row>
    <row r="110" spans="3:4" x14ac:dyDescent="0.25">
      <c r="C110" s="258" t="s">
        <v>3127</v>
      </c>
      <c r="D110" s="259">
        <v>3640000</v>
      </c>
    </row>
    <row r="111" spans="3:4" ht="16.5" thickBot="1" x14ac:dyDescent="0.3">
      <c r="C111" s="250"/>
      <c r="D111" s="100"/>
    </row>
    <row r="112" spans="3:4" ht="16.5" thickBot="1" x14ac:dyDescent="0.3">
      <c r="C112" s="260" t="s">
        <v>3128</v>
      </c>
      <c r="D112" s="261">
        <f>+D108/D110-1</f>
        <v>-0.30041972333662403</v>
      </c>
    </row>
    <row r="113" spans="3:14" x14ac:dyDescent="0.25">
      <c r="C113" s="250" t="s">
        <v>2757</v>
      </c>
      <c r="D113" s="268">
        <f>+(D108/D110)^(0.1)-1</f>
        <v>-3.5096780025117624E-2</v>
      </c>
    </row>
    <row r="117" spans="3:14" ht="16.5" thickBot="1" x14ac:dyDescent="0.3">
      <c r="C117" s="262" t="s">
        <v>3136</v>
      </c>
      <c r="D117" s="102"/>
      <c r="E117" s="102">
        <v>1</v>
      </c>
      <c r="F117" s="102">
        <v>2</v>
      </c>
      <c r="G117" s="102">
        <v>3</v>
      </c>
      <c r="H117" s="102">
        <v>4</v>
      </c>
      <c r="I117" s="102">
        <v>5</v>
      </c>
      <c r="J117" s="102">
        <v>6</v>
      </c>
      <c r="K117" s="102">
        <v>7</v>
      </c>
      <c r="L117" s="102">
        <v>8</v>
      </c>
      <c r="M117" s="102">
        <v>9</v>
      </c>
      <c r="N117" s="102">
        <v>10</v>
      </c>
    </row>
    <row r="118" spans="3:14" x14ac:dyDescent="0.25">
      <c r="C118" s="266" t="s">
        <v>3137</v>
      </c>
      <c r="D118" s="252">
        <v>-100</v>
      </c>
    </row>
    <row r="119" spans="3:14" x14ac:dyDescent="0.25">
      <c r="C119" s="266" t="s">
        <v>3138</v>
      </c>
      <c r="E119" s="252">
        <v>0</v>
      </c>
      <c r="F119" s="252">
        <v>0</v>
      </c>
      <c r="G119" s="252">
        <v>0</v>
      </c>
      <c r="H119" s="252">
        <v>0</v>
      </c>
      <c r="I119" s="252">
        <v>0</v>
      </c>
      <c r="J119" s="252">
        <v>0</v>
      </c>
      <c r="K119" s="252">
        <v>0</v>
      </c>
      <c r="L119" s="252">
        <v>0</v>
      </c>
      <c r="M119" s="252">
        <v>25</v>
      </c>
      <c r="N119" s="252"/>
    </row>
    <row r="120" spans="3:14" x14ac:dyDescent="0.25">
      <c r="C120" s="266" t="s">
        <v>3139</v>
      </c>
      <c r="D120" s="267"/>
      <c r="E120" s="267"/>
      <c r="F120" s="267"/>
      <c r="G120" s="267"/>
      <c r="H120" s="267"/>
      <c r="I120" s="267"/>
      <c r="J120" s="267"/>
      <c r="K120" s="267"/>
      <c r="L120" s="267"/>
      <c r="M120" s="267"/>
      <c r="N120" s="271">
        <v>200</v>
      </c>
    </row>
    <row r="121" spans="3:14" x14ac:dyDescent="0.25">
      <c r="C121" s="266"/>
      <c r="D121" s="252">
        <f t="shared" ref="D121:N121" si="23">+SUM(D118:D120)</f>
        <v>-100</v>
      </c>
      <c r="E121" s="252">
        <f t="shared" si="23"/>
        <v>0</v>
      </c>
      <c r="F121" s="252">
        <f t="shared" si="23"/>
        <v>0</v>
      </c>
      <c r="G121" s="252">
        <f t="shared" si="23"/>
        <v>0</v>
      </c>
      <c r="H121" s="252">
        <f t="shared" si="23"/>
        <v>0</v>
      </c>
      <c r="I121" s="252">
        <f t="shared" si="23"/>
        <v>0</v>
      </c>
      <c r="J121" s="252">
        <f t="shared" si="23"/>
        <v>0</v>
      </c>
      <c r="K121" s="252">
        <f t="shared" si="23"/>
        <v>0</v>
      </c>
      <c r="L121" s="252">
        <f t="shared" si="23"/>
        <v>0</v>
      </c>
      <c r="M121" s="252">
        <f t="shared" si="23"/>
        <v>25</v>
      </c>
      <c r="N121" s="252">
        <f t="shared" si="23"/>
        <v>200</v>
      </c>
    </row>
    <row r="122" spans="3:14" x14ac:dyDescent="0.25">
      <c r="C122" s="266"/>
      <c r="D122" s="252"/>
      <c r="E122" s="252"/>
      <c r="F122" s="252"/>
      <c r="G122" s="252"/>
      <c r="H122" s="252"/>
      <c r="I122" s="252"/>
      <c r="J122" s="252"/>
      <c r="K122" s="252"/>
      <c r="L122" s="252"/>
      <c r="M122" s="252"/>
      <c r="N122" s="252"/>
    </row>
    <row r="123" spans="3:14" x14ac:dyDescent="0.25">
      <c r="D123" s="269" t="s">
        <v>2826</v>
      </c>
      <c r="E123" s="270">
        <f>+IRR(D121:N121)</f>
        <v>8.5497612866982209E-2</v>
      </c>
      <c r="F123" s="252"/>
      <c r="G123" s="252"/>
      <c r="H123" s="252"/>
      <c r="I123" s="252"/>
      <c r="J123" s="252"/>
      <c r="K123" s="252"/>
      <c r="L123" s="252"/>
      <c r="M123" s="252"/>
      <c r="N123" s="252"/>
    </row>
    <row r="129" spans="5:5" x14ac:dyDescent="0.25">
      <c r="E129" s="251"/>
    </row>
  </sheetData>
  <mergeCells count="1">
    <mergeCell ref="G36:H36"/>
  </mergeCells>
  <hyperlinks>
    <hyperlink ref="A1" location="Inicio!A1" display="Inicio" xr:uid="{4723A884-9360-4839-9893-76EDAD99B68E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F6F13-6E56-499F-8477-FE9A169FD00D}">
  <sheetPr>
    <tabColor theme="1"/>
  </sheetPr>
  <dimension ref="A1:S383"/>
  <sheetViews>
    <sheetView showGridLines="0" zoomScaleNormal="100" zoomScaleSheetLayoutView="100" workbookViewId="0"/>
  </sheetViews>
  <sheetFormatPr defaultColWidth="9" defaultRowHeight="15" x14ac:dyDescent="0.25"/>
  <cols>
    <col min="1" max="1" width="6.7109375" style="22" bestFit="1" customWidth="1"/>
    <col min="2" max="2" width="47.7109375" style="22" customWidth="1"/>
    <col min="3" max="3" width="15.7109375" style="22" customWidth="1"/>
    <col min="4" max="4" width="13.7109375" style="22" customWidth="1"/>
    <col min="5" max="5" width="13.28515625" style="22" bestFit="1" customWidth="1"/>
    <col min="6" max="6" width="10.85546875" style="22" customWidth="1"/>
    <col min="7" max="7" width="9.85546875" style="22" customWidth="1"/>
    <col min="8" max="8" width="15.140625" style="22" customWidth="1"/>
    <col min="9" max="9" width="32.28515625" style="22" bestFit="1" customWidth="1"/>
    <col min="10" max="10" width="22.85546875" style="22" customWidth="1"/>
    <col min="11" max="11" width="31.140625" style="22" customWidth="1"/>
    <col min="12" max="12" width="27" style="22" customWidth="1"/>
    <col min="13" max="13" width="29" style="22" customWidth="1"/>
    <col min="14" max="14" width="28.7109375" style="22" customWidth="1"/>
    <col min="15" max="15" width="12.85546875" style="22" bestFit="1" customWidth="1"/>
    <col min="16" max="16" width="37" style="22" customWidth="1"/>
    <col min="17" max="17" width="11.140625" style="22" customWidth="1"/>
    <col min="18" max="18" width="9" style="22"/>
    <col min="19" max="19" width="28.85546875" style="22" customWidth="1"/>
    <col min="20" max="16384" width="9" style="22"/>
  </cols>
  <sheetData>
    <row r="1" spans="1:19" x14ac:dyDescent="0.25">
      <c r="A1" s="879" t="s">
        <v>2821</v>
      </c>
    </row>
    <row r="3" spans="1:19" x14ac:dyDescent="0.25">
      <c r="C3" s="890">
        <v>2021</v>
      </c>
      <c r="D3" s="890">
        <v>2022</v>
      </c>
      <c r="E3" s="890">
        <v>2023</v>
      </c>
      <c r="F3" s="890">
        <v>2024</v>
      </c>
      <c r="G3" s="890">
        <v>2025</v>
      </c>
      <c r="I3" s="994"/>
      <c r="J3" s="994"/>
      <c r="L3" s="994"/>
      <c r="M3" s="994"/>
      <c r="O3" s="994"/>
      <c r="P3" s="994"/>
      <c r="R3" s="994"/>
      <c r="S3" s="994"/>
    </row>
    <row r="4" spans="1:19" x14ac:dyDescent="0.25">
      <c r="B4" s="208" t="s">
        <v>2788</v>
      </c>
      <c r="C4" s="190">
        <v>365817</v>
      </c>
      <c r="D4" s="190">
        <v>394328</v>
      </c>
      <c r="E4" s="190">
        <v>383285</v>
      </c>
      <c r="F4" s="190">
        <v>391035</v>
      </c>
      <c r="G4" s="190">
        <v>416161</v>
      </c>
      <c r="I4" s="239"/>
      <c r="J4" s="33"/>
      <c r="L4" s="208"/>
      <c r="M4" s="132"/>
      <c r="O4" s="239"/>
      <c r="P4" s="33"/>
      <c r="R4" s="208"/>
      <c r="S4" s="132"/>
    </row>
    <row r="5" spans="1:19" x14ac:dyDescent="0.25">
      <c r="B5" s="239" t="s">
        <v>2789</v>
      </c>
      <c r="C5" s="180">
        <f>-(192266+20715)</f>
        <v>-212981</v>
      </c>
      <c r="D5" s="180">
        <f>-(201471+22075)</f>
        <v>-223546</v>
      </c>
      <c r="E5" s="180">
        <f>-(189282+24855)</f>
        <v>-214137</v>
      </c>
      <c r="F5" s="180">
        <v>-210352</v>
      </c>
      <c r="G5" s="180">
        <v>-220960</v>
      </c>
      <c r="I5" s="239"/>
      <c r="J5" s="33"/>
      <c r="O5" s="239"/>
      <c r="P5" s="33"/>
    </row>
    <row r="6" spans="1:19" x14ac:dyDescent="0.25">
      <c r="B6" s="208" t="s">
        <v>2790</v>
      </c>
      <c r="C6" s="190">
        <f>+C4+C5</f>
        <v>152836</v>
      </c>
      <c r="D6" s="190">
        <f>+D4+D5</f>
        <v>170782</v>
      </c>
      <c r="E6" s="190">
        <f>+E4+E5</f>
        <v>169148</v>
      </c>
      <c r="F6" s="190">
        <f>+F4+F5</f>
        <v>180683</v>
      </c>
      <c r="G6" s="190">
        <f>+G4+G5</f>
        <v>195201</v>
      </c>
      <c r="I6" s="239"/>
      <c r="J6" s="33"/>
      <c r="L6" s="239"/>
      <c r="M6" s="33"/>
      <c r="O6" s="239"/>
      <c r="P6" s="33"/>
      <c r="R6" s="239"/>
      <c r="S6" s="33"/>
    </row>
    <row r="7" spans="1:19" x14ac:dyDescent="0.25">
      <c r="B7" s="239" t="s">
        <v>2791</v>
      </c>
      <c r="C7" s="180">
        <f>-(21914+21973)</f>
        <v>-43887</v>
      </c>
      <c r="D7" s="180">
        <f>-(26251+25094)</f>
        <v>-51345</v>
      </c>
      <c r="E7" s="180">
        <f>-(29915+24932)</f>
        <v>-54847</v>
      </c>
      <c r="F7" s="180">
        <f>-26097-31370</f>
        <v>-57467</v>
      </c>
      <c r="G7" s="180">
        <f>-34550-27601</f>
        <v>-62151</v>
      </c>
      <c r="I7" s="239"/>
      <c r="J7" s="33"/>
      <c r="L7" s="239"/>
      <c r="M7" s="33"/>
      <c r="O7" s="239"/>
      <c r="P7" s="33"/>
      <c r="R7" s="239"/>
      <c r="S7" s="33"/>
    </row>
    <row r="8" spans="1:19" x14ac:dyDescent="0.25">
      <c r="B8" s="208" t="s">
        <v>2792</v>
      </c>
      <c r="C8" s="190">
        <f>+C6+C7</f>
        <v>108949</v>
      </c>
      <c r="D8" s="190">
        <f>+D6+D7</f>
        <v>119437</v>
      </c>
      <c r="E8" s="190">
        <f>+E6+E7</f>
        <v>114301</v>
      </c>
      <c r="F8" s="190">
        <f>+F6+F7</f>
        <v>123216</v>
      </c>
      <c r="G8" s="190">
        <f>+G6+G7</f>
        <v>133050</v>
      </c>
      <c r="I8" s="239"/>
      <c r="J8" s="33"/>
      <c r="L8" s="239"/>
      <c r="M8" s="33"/>
      <c r="O8" s="239"/>
      <c r="P8" s="33"/>
      <c r="R8" s="239"/>
      <c r="S8" s="33"/>
    </row>
    <row r="9" spans="1:19" x14ac:dyDescent="0.25">
      <c r="B9" s="239" t="s">
        <v>2793</v>
      </c>
      <c r="C9" s="180">
        <v>258</v>
      </c>
      <c r="D9" s="180">
        <v>-334</v>
      </c>
      <c r="E9" s="180">
        <v>-565</v>
      </c>
      <c r="F9" s="180">
        <v>269</v>
      </c>
      <c r="G9" s="180">
        <v>-321</v>
      </c>
      <c r="I9" s="208"/>
      <c r="J9" s="132"/>
      <c r="L9" s="208"/>
      <c r="M9" s="132"/>
      <c r="O9" s="208"/>
      <c r="P9" s="132"/>
      <c r="R9" s="208"/>
      <c r="S9" s="132"/>
    </row>
    <row r="10" spans="1:19" x14ac:dyDescent="0.25">
      <c r="B10" s="208" t="s">
        <v>2794</v>
      </c>
      <c r="C10" s="190">
        <f>+C8+C9</f>
        <v>109207</v>
      </c>
      <c r="D10" s="190">
        <f>+D8+D9</f>
        <v>119103</v>
      </c>
      <c r="E10" s="190">
        <f>+E8+E9</f>
        <v>113736</v>
      </c>
      <c r="F10" s="190">
        <f>+F8+F9</f>
        <v>123485</v>
      </c>
      <c r="G10" s="190">
        <f>+G8+G9</f>
        <v>132729</v>
      </c>
      <c r="I10" s="239"/>
      <c r="J10" s="33"/>
      <c r="L10" s="239"/>
      <c r="M10" s="33"/>
      <c r="O10" s="239"/>
      <c r="P10" s="33"/>
      <c r="R10" s="239"/>
      <c r="S10" s="33"/>
    </row>
    <row r="11" spans="1:19" x14ac:dyDescent="0.25">
      <c r="B11" s="239" t="s">
        <v>2795</v>
      </c>
      <c r="C11" s="180">
        <v>-14527</v>
      </c>
      <c r="D11" s="180">
        <v>-19300</v>
      </c>
      <c r="E11" s="180">
        <v>-16741</v>
      </c>
      <c r="F11" s="180">
        <v>-29749</v>
      </c>
      <c r="G11" s="180">
        <v>-20719</v>
      </c>
      <c r="I11" s="239"/>
      <c r="J11" s="33"/>
      <c r="L11" s="239"/>
      <c r="M11" s="33"/>
      <c r="O11" s="239"/>
      <c r="P11" s="33"/>
      <c r="R11" s="239"/>
      <c r="S11" s="33"/>
    </row>
    <row r="12" spans="1:19" x14ac:dyDescent="0.25">
      <c r="B12" s="891" t="s">
        <v>2796</v>
      </c>
      <c r="C12" s="189">
        <f>+C10+C11</f>
        <v>94680</v>
      </c>
      <c r="D12" s="189">
        <f>+D10+D11</f>
        <v>99803</v>
      </c>
      <c r="E12" s="189">
        <f>+E10+E11</f>
        <v>96995</v>
      </c>
      <c r="F12" s="189">
        <f>+F10+F11</f>
        <v>93736</v>
      </c>
      <c r="G12" s="189">
        <f>+G10+G11</f>
        <v>112010</v>
      </c>
      <c r="I12" s="239"/>
      <c r="J12" s="33"/>
      <c r="L12" s="208"/>
      <c r="M12" s="132"/>
      <c r="O12" s="239"/>
      <c r="P12" s="33"/>
      <c r="R12" s="208"/>
      <c r="S12" s="132"/>
    </row>
    <row r="13" spans="1:19" x14ac:dyDescent="0.25">
      <c r="B13" s="22" t="s">
        <v>3218</v>
      </c>
      <c r="C13" s="180">
        <f>+C8+C42</f>
        <v>120233</v>
      </c>
      <c r="D13" s="180">
        <f t="shared" ref="D13:G13" si="0">+D8+D42</f>
        <v>130541</v>
      </c>
      <c r="E13" s="180">
        <f t="shared" si="0"/>
        <v>125820</v>
      </c>
      <c r="F13" s="180">
        <f t="shared" si="0"/>
        <v>134661</v>
      </c>
      <c r="G13" s="180">
        <f t="shared" si="0"/>
        <v>144748</v>
      </c>
      <c r="I13" s="208"/>
      <c r="J13" s="132"/>
      <c r="L13" s="208"/>
      <c r="M13" s="132"/>
      <c r="O13" s="208"/>
      <c r="P13" s="132"/>
      <c r="R13" s="208"/>
      <c r="S13" s="132"/>
    </row>
    <row r="14" spans="1:19" x14ac:dyDescent="0.25">
      <c r="I14" s="208"/>
      <c r="J14" s="132"/>
      <c r="L14" s="208"/>
      <c r="M14" s="132"/>
      <c r="O14" s="208"/>
      <c r="P14" s="132"/>
      <c r="R14" s="208"/>
      <c r="S14" s="132"/>
    </row>
    <row r="15" spans="1:19" x14ac:dyDescent="0.25">
      <c r="I15" s="208"/>
      <c r="J15" s="132"/>
      <c r="L15" s="208"/>
      <c r="M15" s="132"/>
      <c r="O15" s="208"/>
      <c r="P15" s="132"/>
      <c r="R15" s="208"/>
      <c r="S15" s="132"/>
    </row>
    <row r="16" spans="1:19" x14ac:dyDescent="0.25">
      <c r="D16" s="890">
        <v>2022</v>
      </c>
      <c r="E16" s="890">
        <v>2023</v>
      </c>
      <c r="F16" s="890">
        <v>2024</v>
      </c>
      <c r="G16" s="890">
        <v>2025</v>
      </c>
      <c r="I16" s="208"/>
      <c r="J16" s="132"/>
      <c r="L16" s="208"/>
      <c r="M16" s="132"/>
      <c r="O16" s="208"/>
      <c r="P16" s="132"/>
      <c r="R16" s="208"/>
      <c r="S16" s="132"/>
    </row>
    <row r="17" spans="2:19" x14ac:dyDescent="0.25">
      <c r="B17" s="239" t="s">
        <v>2797</v>
      </c>
      <c r="D17" s="33">
        <v>23646</v>
      </c>
      <c r="E17" s="33">
        <v>29965</v>
      </c>
      <c r="F17" s="33">
        <f>+'Capital Allocation Apple'!L20</f>
        <v>29943</v>
      </c>
      <c r="G17" s="33">
        <v>35934</v>
      </c>
      <c r="I17" s="208"/>
      <c r="J17" s="132"/>
      <c r="L17" s="208"/>
      <c r="M17" s="132"/>
      <c r="O17" s="208"/>
      <c r="P17" s="132"/>
      <c r="R17" s="208"/>
      <c r="S17" s="132"/>
    </row>
    <row r="18" spans="2:19" x14ac:dyDescent="0.25">
      <c r="B18" s="239" t="s">
        <v>2798</v>
      </c>
      <c r="D18" s="33">
        <v>24658</v>
      </c>
      <c r="E18" s="33">
        <v>31590</v>
      </c>
      <c r="F18" s="33">
        <f>+'Capital Allocation Apple'!L21</f>
        <v>35228</v>
      </c>
      <c r="G18" s="33">
        <v>18763</v>
      </c>
      <c r="I18" s="208"/>
      <c r="J18" s="132"/>
      <c r="L18" s="208"/>
      <c r="M18" s="132"/>
      <c r="O18" s="208"/>
      <c r="P18" s="132"/>
      <c r="R18" s="208"/>
      <c r="S18" s="132"/>
    </row>
    <row r="19" spans="2:19" x14ac:dyDescent="0.25">
      <c r="B19" s="239" t="s">
        <v>2799</v>
      </c>
      <c r="D19" s="33">
        <v>28184</v>
      </c>
      <c r="E19" s="33">
        <v>29508</v>
      </c>
      <c r="F19" s="33">
        <v>33410</v>
      </c>
      <c r="G19" s="33">
        <v>39777</v>
      </c>
      <c r="I19" s="208"/>
      <c r="J19" s="132"/>
      <c r="L19" s="208"/>
      <c r="M19" s="132"/>
      <c r="O19" s="208"/>
      <c r="P19" s="132"/>
      <c r="R19" s="208"/>
      <c r="S19" s="132"/>
    </row>
    <row r="20" spans="2:19" x14ac:dyDescent="0.25">
      <c r="B20" s="239" t="s">
        <v>2801</v>
      </c>
      <c r="D20" s="33">
        <v>4946</v>
      </c>
      <c r="E20" s="33">
        <v>6331</v>
      </c>
      <c r="F20" s="33">
        <f>+'Capital Allocation Apple'!L23</f>
        <v>7286</v>
      </c>
      <c r="G20" s="33">
        <v>5718</v>
      </c>
      <c r="I20" s="208"/>
      <c r="J20" s="132"/>
      <c r="L20" s="208"/>
      <c r="M20" s="132"/>
      <c r="O20" s="208"/>
      <c r="P20" s="132"/>
      <c r="R20" s="208"/>
      <c r="S20" s="132"/>
    </row>
    <row r="21" spans="2:19" x14ac:dyDescent="0.25">
      <c r="B21" s="239" t="s">
        <v>2800</v>
      </c>
      <c r="D21" s="33">
        <f>32748+21223</f>
        <v>53971</v>
      </c>
      <c r="E21" s="33">
        <f>31477+14695</f>
        <v>46172</v>
      </c>
      <c r="F21" s="33">
        <f>14287+32833</f>
        <v>47120</v>
      </c>
      <c r="G21" s="33">
        <f>33180+14585</f>
        <v>47765</v>
      </c>
      <c r="I21" s="208"/>
      <c r="J21" s="132"/>
      <c r="L21" s="208"/>
      <c r="M21" s="132"/>
      <c r="O21" s="208"/>
      <c r="P21" s="132"/>
      <c r="R21" s="208"/>
      <c r="S21" s="132"/>
    </row>
    <row r="22" spans="2:19" x14ac:dyDescent="0.25">
      <c r="B22" s="892" t="s">
        <v>2802</v>
      </c>
      <c r="C22" s="919"/>
      <c r="D22" s="135">
        <f>+SUM(D17:D21)</f>
        <v>135405</v>
      </c>
      <c r="E22" s="135">
        <f>+SUM(E17:E21)</f>
        <v>143566</v>
      </c>
      <c r="F22" s="135">
        <f>+SUM(F17:F21)</f>
        <v>152987</v>
      </c>
      <c r="G22" s="135">
        <f>+SUM(G17:G21)</f>
        <v>147957</v>
      </c>
      <c r="I22" s="208"/>
      <c r="J22" s="132"/>
      <c r="L22" s="208"/>
      <c r="M22" s="132"/>
      <c r="O22" s="208"/>
      <c r="P22" s="132"/>
      <c r="R22" s="208"/>
      <c r="S22" s="132"/>
    </row>
    <row r="23" spans="2:19" x14ac:dyDescent="0.25">
      <c r="B23" s="239" t="s">
        <v>2803</v>
      </c>
      <c r="D23" s="33">
        <v>120805</v>
      </c>
      <c r="E23" s="33">
        <v>100544</v>
      </c>
      <c r="F23" s="33">
        <f>+'Capital Allocation Apple'!L28</f>
        <v>91479</v>
      </c>
      <c r="G23" s="33">
        <v>77723</v>
      </c>
      <c r="I23" s="208"/>
      <c r="J23" s="132"/>
      <c r="L23" s="208"/>
      <c r="M23" s="132"/>
      <c r="O23" s="208"/>
      <c r="P23" s="132"/>
      <c r="R23" s="208"/>
      <c r="S23" s="132"/>
    </row>
    <row r="24" spans="2:19" x14ac:dyDescent="0.25">
      <c r="B24" s="239" t="s">
        <v>2804</v>
      </c>
      <c r="D24" s="33">
        <v>42117</v>
      </c>
      <c r="E24" s="33">
        <v>43715</v>
      </c>
      <c r="F24" s="33">
        <f>+'Capital Allocation Apple'!L27</f>
        <v>45680</v>
      </c>
      <c r="G24" s="33">
        <v>49834</v>
      </c>
      <c r="I24" s="208"/>
      <c r="J24" s="132"/>
      <c r="L24" s="208"/>
      <c r="M24" s="132"/>
      <c r="O24" s="208"/>
      <c r="P24" s="132"/>
      <c r="R24" s="208"/>
      <c r="S24" s="132"/>
    </row>
    <row r="25" spans="2:19" x14ac:dyDescent="0.25">
      <c r="B25" s="239" t="s">
        <v>2805</v>
      </c>
      <c r="D25" s="33">
        <v>54428</v>
      </c>
      <c r="E25" s="33">
        <v>64758</v>
      </c>
      <c r="F25" s="33">
        <f>+'Capital Allocation Apple'!L30+'Capital Allocation Apple'!L31</f>
        <v>74834</v>
      </c>
      <c r="G25" s="33">
        <v>83727</v>
      </c>
      <c r="I25" s="208"/>
      <c r="J25" s="132"/>
      <c r="L25" s="208"/>
      <c r="M25" s="132"/>
      <c r="O25" s="208"/>
      <c r="P25" s="132"/>
      <c r="R25" s="208"/>
      <c r="S25" s="132"/>
    </row>
    <row r="26" spans="2:19" x14ac:dyDescent="0.25">
      <c r="B26" s="208" t="s">
        <v>2806</v>
      </c>
      <c r="D26" s="132">
        <f>+SUM(D23:D25)</f>
        <v>217350</v>
      </c>
      <c r="E26" s="132">
        <f>+SUM(E23:E25)</f>
        <v>209017</v>
      </c>
      <c r="F26" s="132">
        <f>+SUM(F23:F25)</f>
        <v>211993</v>
      </c>
      <c r="G26" s="132">
        <f>+SUM(G23:G25)</f>
        <v>211284</v>
      </c>
      <c r="I26" s="208"/>
      <c r="J26" s="132"/>
      <c r="L26" s="208"/>
      <c r="M26" s="132"/>
      <c r="O26" s="208"/>
      <c r="P26" s="132"/>
      <c r="R26" s="208"/>
      <c r="S26" s="132"/>
    </row>
    <row r="27" spans="2:19" x14ac:dyDescent="0.25">
      <c r="B27" s="920" t="s">
        <v>2807</v>
      </c>
      <c r="C27" s="921"/>
      <c r="D27" s="922">
        <f>+D26+D22</f>
        <v>352755</v>
      </c>
      <c r="E27" s="922">
        <f>+E26+E22</f>
        <v>352583</v>
      </c>
      <c r="F27" s="922">
        <f>+F26+F22</f>
        <v>364980</v>
      </c>
      <c r="G27" s="922">
        <f>+G26+G22</f>
        <v>359241</v>
      </c>
      <c r="I27" s="208"/>
      <c r="J27" s="132"/>
      <c r="L27" s="208"/>
      <c r="M27" s="132"/>
      <c r="O27" s="208"/>
      <c r="P27" s="132"/>
      <c r="R27" s="208"/>
      <c r="S27" s="132"/>
    </row>
    <row r="28" spans="2:19" x14ac:dyDescent="0.25">
      <c r="B28" s="239" t="s">
        <v>2808</v>
      </c>
      <c r="D28" s="33">
        <v>64115</v>
      </c>
      <c r="E28" s="33">
        <v>62611</v>
      </c>
      <c r="F28" s="33">
        <f>+'Capital Allocation Apple'!L34</f>
        <v>68960</v>
      </c>
      <c r="G28" s="33">
        <v>69860</v>
      </c>
      <c r="I28" s="208"/>
      <c r="J28" s="132"/>
      <c r="L28" s="208"/>
      <c r="M28" s="132"/>
      <c r="O28" s="208"/>
      <c r="P28" s="132"/>
      <c r="R28" s="208"/>
      <c r="S28" s="132"/>
    </row>
    <row r="29" spans="2:19" x14ac:dyDescent="0.25">
      <c r="B29" s="239" t="s">
        <v>2809</v>
      </c>
      <c r="D29" s="33">
        <f>'Capital Allocation Apple'!J37+'Capital Allocation Apple'!J38+'Capital Allocation Apple'!J36</f>
        <v>22773</v>
      </c>
      <c r="E29" s="33">
        <f>'Capital Allocation Apple'!K37+'Capital Allocation Apple'!K38+'Capital Allocation Apple'!K36</f>
        <v>17382</v>
      </c>
      <c r="F29" s="33">
        <f>+'Capital Allocation Apple'!L36+'Capital Allocation Apple'!L37+'Capital Allocation Apple'!L38</f>
        <v>22511</v>
      </c>
      <c r="G29" s="33">
        <f>7979+12350</f>
        <v>20329</v>
      </c>
      <c r="I29" s="208"/>
      <c r="J29" s="132"/>
      <c r="L29" s="208"/>
      <c r="M29" s="132"/>
      <c r="O29" s="208"/>
      <c r="P29" s="132"/>
      <c r="R29" s="208"/>
      <c r="S29" s="132"/>
    </row>
    <row r="30" spans="2:19" x14ac:dyDescent="0.25">
      <c r="B30" s="239" t="s">
        <v>2810</v>
      </c>
      <c r="D30" s="33">
        <f>+'Capital Allocation Apple'!J40+'Capital Allocation Apple'!J39</f>
        <v>67094</v>
      </c>
      <c r="E30" s="33">
        <f>+'Capital Allocation Apple'!K40+'Capital Allocation Apple'!K39</f>
        <v>65315</v>
      </c>
      <c r="F30" s="33">
        <f>+'Capital Allocation Apple'!L39+'Capital Allocation Apple'!L40</f>
        <v>84921</v>
      </c>
      <c r="G30" s="33">
        <f>9055+66387</f>
        <v>75442</v>
      </c>
      <c r="I30" s="208"/>
      <c r="J30" s="132"/>
      <c r="L30" s="208"/>
      <c r="M30" s="132"/>
      <c r="O30" s="208"/>
      <c r="P30" s="132"/>
      <c r="R30" s="208"/>
      <c r="S30" s="132"/>
    </row>
    <row r="31" spans="2:19" x14ac:dyDescent="0.25">
      <c r="B31" s="892" t="s">
        <v>2811</v>
      </c>
      <c r="C31" s="919"/>
      <c r="D31" s="135">
        <f>+SUM(D28:D30)</f>
        <v>153982</v>
      </c>
      <c r="E31" s="135">
        <f>+SUM(E28:E30)</f>
        <v>145308</v>
      </c>
      <c r="F31" s="135">
        <f>+SUM(F28:F30)</f>
        <v>176392</v>
      </c>
      <c r="G31" s="135">
        <f>+SUM(G28:G30)</f>
        <v>165631</v>
      </c>
      <c r="I31" s="208"/>
      <c r="J31" s="132"/>
      <c r="L31" s="208"/>
      <c r="M31" s="132"/>
      <c r="O31" s="208"/>
      <c r="P31" s="132"/>
      <c r="R31" s="208"/>
      <c r="S31" s="132"/>
    </row>
    <row r="32" spans="2:19" x14ac:dyDescent="0.25">
      <c r="B32" s="239" t="s">
        <v>2812</v>
      </c>
      <c r="D32" s="33">
        <v>98959</v>
      </c>
      <c r="E32" s="33">
        <v>95281</v>
      </c>
      <c r="F32" s="33">
        <f>+'Capital Allocation Apple'!L42+'Capital Allocation Apple'!L43</f>
        <v>96548</v>
      </c>
      <c r="G32" s="33">
        <v>78328</v>
      </c>
      <c r="I32" s="208"/>
      <c r="J32" s="132"/>
      <c r="L32" s="208"/>
      <c r="M32" s="132"/>
      <c r="O32" s="208"/>
      <c r="P32" s="132"/>
      <c r="R32" s="208"/>
      <c r="S32" s="132"/>
    </row>
    <row r="33" spans="2:19" x14ac:dyDescent="0.25">
      <c r="B33" s="239" t="s">
        <v>2813</v>
      </c>
      <c r="D33" s="33">
        <v>49142</v>
      </c>
      <c r="E33" s="33">
        <v>49848</v>
      </c>
      <c r="F33" s="33">
        <f>+'Capital Allocation Apple'!L46</f>
        <v>35090</v>
      </c>
      <c r="G33" s="33">
        <v>41549</v>
      </c>
      <c r="I33" s="208"/>
      <c r="J33" s="132"/>
      <c r="L33" s="208"/>
      <c r="M33" s="132"/>
      <c r="O33" s="208"/>
      <c r="P33" s="132"/>
      <c r="R33" s="208"/>
      <c r="S33" s="132"/>
    </row>
    <row r="34" spans="2:19" x14ac:dyDescent="0.25">
      <c r="B34" s="892" t="s">
        <v>2814</v>
      </c>
      <c r="C34" s="919"/>
      <c r="D34" s="135">
        <f>+SUM(D32:D33)</f>
        <v>148101</v>
      </c>
      <c r="E34" s="135">
        <f>+SUM(E32:E33)</f>
        <v>145129</v>
      </c>
      <c r="F34" s="135">
        <f>+SUM(F32:F33)</f>
        <v>131638</v>
      </c>
      <c r="G34" s="135">
        <f>+SUM(G32:G33)</f>
        <v>119877</v>
      </c>
      <c r="I34" s="208"/>
      <c r="J34" s="132"/>
      <c r="L34" s="208"/>
      <c r="M34" s="132"/>
      <c r="O34" s="208"/>
      <c r="P34" s="132"/>
      <c r="R34" s="208"/>
      <c r="S34" s="132"/>
    </row>
    <row r="35" spans="2:19" x14ac:dyDescent="0.25">
      <c r="B35" s="920" t="s">
        <v>2817</v>
      </c>
      <c r="C35" s="921"/>
      <c r="D35" s="922">
        <f>+D31+D34</f>
        <v>302083</v>
      </c>
      <c r="E35" s="922">
        <f>+E31+E34</f>
        <v>290437</v>
      </c>
      <c r="F35" s="922">
        <f>+F31+F34</f>
        <v>308030</v>
      </c>
      <c r="G35" s="922">
        <f>+G31+G34</f>
        <v>285508</v>
      </c>
      <c r="I35" s="208"/>
      <c r="J35" s="132"/>
      <c r="L35" s="208"/>
      <c r="M35" s="132"/>
      <c r="O35" s="208"/>
      <c r="P35" s="132"/>
      <c r="R35" s="208"/>
      <c r="S35" s="132"/>
    </row>
    <row r="36" spans="2:19" x14ac:dyDescent="0.25">
      <c r="B36" s="208" t="s">
        <v>2815</v>
      </c>
      <c r="D36" s="132">
        <v>50672</v>
      </c>
      <c r="E36" s="132">
        <v>62146</v>
      </c>
      <c r="F36" s="132">
        <f>+'Capital Allocation Apple'!L52</f>
        <v>56950</v>
      </c>
      <c r="G36" s="132">
        <v>73733</v>
      </c>
      <c r="I36" s="208"/>
      <c r="J36" s="132"/>
      <c r="L36" s="208"/>
      <c r="M36" s="132"/>
      <c r="O36" s="208"/>
      <c r="P36" s="132"/>
      <c r="R36" s="208"/>
      <c r="S36" s="132"/>
    </row>
    <row r="37" spans="2:19" x14ac:dyDescent="0.25">
      <c r="B37" s="923" t="s">
        <v>2816</v>
      </c>
      <c r="C37" s="924"/>
      <c r="D37" s="925">
        <f>+D36+D35</f>
        <v>352755</v>
      </c>
      <c r="E37" s="925">
        <f>+E36+E35</f>
        <v>352583</v>
      </c>
      <c r="F37" s="925">
        <f>+F36+F35</f>
        <v>364980</v>
      </c>
      <c r="G37" s="925">
        <f>+G36+G35</f>
        <v>359241</v>
      </c>
      <c r="I37" s="208"/>
      <c r="J37" s="132"/>
      <c r="L37" s="208"/>
      <c r="M37" s="132"/>
      <c r="O37" s="208"/>
      <c r="P37" s="132"/>
      <c r="R37" s="208"/>
      <c r="S37" s="132"/>
    </row>
    <row r="38" spans="2:19" x14ac:dyDescent="0.25">
      <c r="I38" s="208"/>
      <c r="J38" s="132"/>
      <c r="L38" s="208"/>
      <c r="M38" s="132"/>
      <c r="O38" s="208"/>
      <c r="P38" s="132"/>
      <c r="R38" s="208"/>
      <c r="S38" s="132"/>
    </row>
    <row r="40" spans="2:19" x14ac:dyDescent="0.25">
      <c r="B40" s="890" t="s">
        <v>2960</v>
      </c>
      <c r="C40" s="890">
        <v>2021</v>
      </c>
      <c r="D40" s="890">
        <v>2022</v>
      </c>
      <c r="E40" s="890">
        <v>2023</v>
      </c>
      <c r="F40" s="890">
        <v>2024</v>
      </c>
      <c r="G40" s="890">
        <v>2025</v>
      </c>
    </row>
    <row r="41" spans="2:19" x14ac:dyDescent="0.25">
      <c r="B41" s="22" t="s">
        <v>2934</v>
      </c>
      <c r="C41" s="180">
        <v>94680</v>
      </c>
      <c r="D41" s="180">
        <v>99803</v>
      </c>
      <c r="E41" s="180">
        <v>96995</v>
      </c>
      <c r="F41" s="180">
        <v>93736</v>
      </c>
      <c r="G41" s="180">
        <v>112010</v>
      </c>
    </row>
    <row r="42" spans="2:19" x14ac:dyDescent="0.25">
      <c r="B42" s="22" t="s">
        <v>2937</v>
      </c>
      <c r="C42" s="180">
        <v>11284</v>
      </c>
      <c r="D42" s="180">
        <v>11104</v>
      </c>
      <c r="E42" s="180">
        <v>11519</v>
      </c>
      <c r="F42" s="180">
        <v>11445</v>
      </c>
      <c r="G42" s="180">
        <v>11698</v>
      </c>
    </row>
    <row r="43" spans="2:19" x14ac:dyDescent="0.25">
      <c r="B43" s="22" t="s">
        <v>2938</v>
      </c>
      <c r="C43" s="180">
        <v>7906</v>
      </c>
      <c r="D43" s="180">
        <v>9038</v>
      </c>
      <c r="E43" s="180">
        <v>10833</v>
      </c>
      <c r="F43" s="180">
        <v>11688</v>
      </c>
      <c r="G43" s="180">
        <v>12863</v>
      </c>
    </row>
    <row r="44" spans="2:19" x14ac:dyDescent="0.25">
      <c r="B44" s="22" t="s">
        <v>2939</v>
      </c>
      <c r="C44" s="180">
        <v>-4921</v>
      </c>
      <c r="D44" s="180">
        <v>1006</v>
      </c>
      <c r="E44" s="180">
        <v>-2227</v>
      </c>
      <c r="F44" s="180">
        <v>-2266</v>
      </c>
      <c r="G44" s="180">
        <v>-89</v>
      </c>
    </row>
    <row r="45" spans="2:19" x14ac:dyDescent="0.25">
      <c r="B45" s="22" t="s">
        <v>2940</v>
      </c>
      <c r="C45" s="180">
        <v>-10125</v>
      </c>
      <c r="D45" s="180">
        <v>-1823</v>
      </c>
      <c r="E45" s="180">
        <v>-1688</v>
      </c>
      <c r="F45" s="180">
        <v>-3788</v>
      </c>
      <c r="G45" s="180">
        <v>-6682</v>
      </c>
    </row>
    <row r="46" spans="2:19" x14ac:dyDescent="0.25">
      <c r="B46" s="22" t="s">
        <v>2941</v>
      </c>
      <c r="C46" s="180">
        <v>-2642</v>
      </c>
      <c r="D46" s="180">
        <v>1484</v>
      </c>
      <c r="E46" s="180">
        <v>-1618</v>
      </c>
      <c r="F46" s="180">
        <v>-1046</v>
      </c>
      <c r="G46" s="180">
        <v>1400</v>
      </c>
    </row>
    <row r="47" spans="2:19" x14ac:dyDescent="0.25">
      <c r="B47" s="22" t="s">
        <v>2942</v>
      </c>
      <c r="C47" s="180">
        <v>12326</v>
      </c>
      <c r="D47" s="180">
        <v>9448</v>
      </c>
      <c r="E47" s="180">
        <v>-1889</v>
      </c>
      <c r="F47" s="180">
        <v>6020</v>
      </c>
      <c r="G47" s="180">
        <v>902</v>
      </c>
    </row>
    <row r="48" spans="2:19" x14ac:dyDescent="0.25">
      <c r="B48" s="22" t="s">
        <v>2944</v>
      </c>
      <c r="C48" s="180">
        <v>-4470</v>
      </c>
      <c r="D48" s="180">
        <v>-7909</v>
      </c>
      <c r="E48" s="180">
        <v>-1382</v>
      </c>
      <c r="F48" s="180">
        <v>2465</v>
      </c>
      <c r="G48" s="180">
        <v>-20620</v>
      </c>
      <c r="I48" s="33"/>
    </row>
    <row r="49" spans="2:7" x14ac:dyDescent="0.25">
      <c r="B49" s="558" t="s">
        <v>2945</v>
      </c>
      <c r="C49" s="559">
        <f>+SUM(C41:C48)</f>
        <v>104038</v>
      </c>
      <c r="D49" s="559">
        <f t="shared" ref="D49:G49" si="1">+SUM(D41:D48)</f>
        <v>122151</v>
      </c>
      <c r="E49" s="559">
        <f t="shared" si="1"/>
        <v>110543</v>
      </c>
      <c r="F49" s="559">
        <f t="shared" si="1"/>
        <v>118254</v>
      </c>
      <c r="G49" s="559">
        <f t="shared" si="1"/>
        <v>111482</v>
      </c>
    </row>
    <row r="50" spans="2:7" x14ac:dyDescent="0.25">
      <c r="B50" s="22" t="s">
        <v>3464</v>
      </c>
      <c r="C50" s="180">
        <v>-11085</v>
      </c>
      <c r="D50" s="180">
        <v>-10708</v>
      </c>
      <c r="E50" s="180">
        <v>-10959</v>
      </c>
      <c r="F50" s="180">
        <v>-9447</v>
      </c>
      <c r="G50" s="180">
        <v>-12715</v>
      </c>
    </row>
    <row r="51" spans="2:7" x14ac:dyDescent="0.25">
      <c r="B51" s="22" t="s">
        <v>2949</v>
      </c>
      <c r="C51" s="180">
        <v>-3075</v>
      </c>
      <c r="D51" s="180">
        <v>-9560</v>
      </c>
      <c r="E51" s="180">
        <v>16001</v>
      </c>
      <c r="F51" s="180">
        <v>13690</v>
      </c>
      <c r="G51" s="180">
        <v>29390</v>
      </c>
    </row>
    <row r="52" spans="2:7" x14ac:dyDescent="0.25">
      <c r="B52" s="22" t="s">
        <v>2950</v>
      </c>
      <c r="C52" s="180">
        <v>-385</v>
      </c>
      <c r="D52" s="180">
        <v>-2086</v>
      </c>
      <c r="E52" s="180">
        <v>-1337</v>
      </c>
      <c r="F52" s="180">
        <v>-1308</v>
      </c>
      <c r="G52" s="180">
        <v>-1480</v>
      </c>
    </row>
    <row r="53" spans="2:7" x14ac:dyDescent="0.25">
      <c r="B53" s="558" t="s">
        <v>2951</v>
      </c>
      <c r="C53" s="559">
        <f>+SUM(C50:C52)</f>
        <v>-14545</v>
      </c>
      <c r="D53" s="559">
        <f t="shared" ref="D53:G53" si="2">+SUM(D50:D52)</f>
        <v>-22354</v>
      </c>
      <c r="E53" s="559">
        <f t="shared" si="2"/>
        <v>3705</v>
      </c>
      <c r="F53" s="559">
        <f t="shared" si="2"/>
        <v>2935</v>
      </c>
      <c r="G53" s="559">
        <f t="shared" si="2"/>
        <v>15195</v>
      </c>
    </row>
    <row r="54" spans="2:7" x14ac:dyDescent="0.25">
      <c r="B54" s="22" t="s">
        <v>2952</v>
      </c>
      <c r="C54" s="180">
        <v>21415</v>
      </c>
      <c r="D54" s="180">
        <v>9420</v>
      </c>
      <c r="E54" s="180">
        <v>5228</v>
      </c>
      <c r="F54" s="180">
        <v>3960</v>
      </c>
      <c r="G54" s="180">
        <v>4481</v>
      </c>
    </row>
    <row r="55" spans="2:7" x14ac:dyDescent="0.25">
      <c r="B55" s="22" t="s">
        <v>2953</v>
      </c>
      <c r="C55" s="180">
        <v>-8750</v>
      </c>
      <c r="D55" s="180">
        <v>-9543</v>
      </c>
      <c r="E55" s="180">
        <v>-15129</v>
      </c>
      <c r="F55" s="180">
        <v>-9958</v>
      </c>
      <c r="G55" s="180">
        <v>-12964</v>
      </c>
    </row>
    <row r="56" spans="2:7" x14ac:dyDescent="0.25">
      <c r="B56" s="22" t="s">
        <v>3678</v>
      </c>
      <c r="C56" s="180"/>
      <c r="D56" s="180"/>
      <c r="E56" s="180"/>
      <c r="F56" s="180"/>
      <c r="G56" s="180">
        <v>-5960</v>
      </c>
    </row>
    <row r="57" spans="2:7" x14ac:dyDescent="0.25">
      <c r="B57" s="22" t="s">
        <v>2954</v>
      </c>
      <c r="C57" s="180"/>
      <c r="D57" s="180"/>
      <c r="E57" s="180"/>
      <c r="F57" s="180"/>
      <c r="G57" s="180"/>
    </row>
    <row r="58" spans="2:7" x14ac:dyDescent="0.25">
      <c r="B58" s="22" t="s">
        <v>2955</v>
      </c>
      <c r="C58" s="180">
        <v>-92527</v>
      </c>
      <c r="D58" s="180">
        <v>-95625</v>
      </c>
      <c r="E58" s="180">
        <v>-82981</v>
      </c>
      <c r="F58" s="180">
        <v>-100390</v>
      </c>
      <c r="G58" s="180">
        <v>-90711</v>
      </c>
    </row>
    <row r="59" spans="2:7" x14ac:dyDescent="0.25">
      <c r="B59" s="22" t="s">
        <v>3465</v>
      </c>
      <c r="C59" s="180">
        <v>-14467</v>
      </c>
      <c r="D59" s="180">
        <v>-14841</v>
      </c>
      <c r="E59" s="180">
        <v>-15025</v>
      </c>
      <c r="F59" s="180">
        <v>-15234</v>
      </c>
      <c r="G59" s="180">
        <v>-15421</v>
      </c>
    </row>
    <row r="60" spans="2:7" x14ac:dyDescent="0.25">
      <c r="B60" s="22" t="s">
        <v>2957</v>
      </c>
      <c r="C60" s="180">
        <v>976</v>
      </c>
      <c r="D60" s="180">
        <v>-160</v>
      </c>
      <c r="E60" s="180">
        <v>-581</v>
      </c>
      <c r="F60" s="180">
        <v>-361</v>
      </c>
      <c r="G60" s="180">
        <v>-111</v>
      </c>
    </row>
    <row r="61" spans="2:7" x14ac:dyDescent="0.25">
      <c r="B61" s="558" t="s">
        <v>2958</v>
      </c>
      <c r="C61" s="559">
        <f>+SUM(C54:C60)</f>
        <v>-93353</v>
      </c>
      <c r="D61" s="559">
        <f t="shared" ref="D61:G61" si="3">+SUM(D54:D60)</f>
        <v>-110749</v>
      </c>
      <c r="E61" s="559">
        <f t="shared" si="3"/>
        <v>-108488</v>
      </c>
      <c r="F61" s="559">
        <f t="shared" si="3"/>
        <v>-121983</v>
      </c>
      <c r="G61" s="559">
        <f t="shared" si="3"/>
        <v>-120686</v>
      </c>
    </row>
    <row r="62" spans="2:7" x14ac:dyDescent="0.25">
      <c r="C62" s="180"/>
      <c r="D62" s="180"/>
      <c r="E62" s="180"/>
      <c r="F62" s="180"/>
      <c r="G62" s="180"/>
    </row>
    <row r="63" spans="2:7" x14ac:dyDescent="0.25">
      <c r="B63" s="22" t="s">
        <v>3466</v>
      </c>
      <c r="C63" s="180">
        <v>-3860</v>
      </c>
      <c r="D63" s="180">
        <v>-10952</v>
      </c>
      <c r="E63" s="180">
        <v>5760</v>
      </c>
      <c r="F63" s="180">
        <v>-794</v>
      </c>
      <c r="G63" s="180">
        <v>5991</v>
      </c>
    </row>
    <row r="64" spans="2:7" x14ac:dyDescent="0.25">
      <c r="B64" s="22" t="s">
        <v>3467</v>
      </c>
      <c r="C64" s="180">
        <v>39789</v>
      </c>
      <c r="D64" s="180">
        <v>35929</v>
      </c>
      <c r="E64" s="180">
        <v>24977</v>
      </c>
      <c r="F64" s="180">
        <v>30737</v>
      </c>
      <c r="G64" s="180">
        <v>29943</v>
      </c>
    </row>
    <row r="65" spans="2:7" x14ac:dyDescent="0.25">
      <c r="B65" s="926" t="s">
        <v>3468</v>
      </c>
      <c r="C65" s="721">
        <v>35929</v>
      </c>
      <c r="D65" s="721">
        <v>24977</v>
      </c>
      <c r="E65" s="721">
        <v>30737</v>
      </c>
      <c r="F65" s="721">
        <v>29943</v>
      </c>
      <c r="G65" s="721">
        <v>35934</v>
      </c>
    </row>
    <row r="68" spans="2:7" x14ac:dyDescent="0.25">
      <c r="B68" s="22" t="s">
        <v>3747</v>
      </c>
    </row>
    <row r="69" spans="2:7" x14ac:dyDescent="0.25">
      <c r="C69" s="496">
        <v>2021</v>
      </c>
      <c r="D69" s="496">
        <v>2022</v>
      </c>
      <c r="E69" s="496">
        <v>2023</v>
      </c>
      <c r="F69" s="496">
        <v>2024</v>
      </c>
      <c r="G69" s="496">
        <v>2025</v>
      </c>
    </row>
    <row r="70" spans="2:7" x14ac:dyDescent="0.25">
      <c r="B70" s="897" t="s">
        <v>2820</v>
      </c>
      <c r="C70" s="898"/>
      <c r="D70" s="898">
        <f>+D12/D27</f>
        <v>0.28292440929256851</v>
      </c>
      <c r="E70" s="898">
        <f>+E12/E27</f>
        <v>0.27509834563776475</v>
      </c>
      <c r="F70" s="898">
        <f>+F12/F27</f>
        <v>0.25682503150857583</v>
      </c>
      <c r="G70" s="898">
        <f>+G12/G27</f>
        <v>0.31179625933565491</v>
      </c>
    </row>
    <row r="72" spans="2:7" x14ac:dyDescent="0.25">
      <c r="B72" s="22" t="s">
        <v>3749</v>
      </c>
    </row>
    <row r="73" spans="2:7" x14ac:dyDescent="0.25">
      <c r="C73" s="496">
        <v>2021</v>
      </c>
      <c r="D73" s="496">
        <v>2022</v>
      </c>
      <c r="E73" s="496">
        <v>2023</v>
      </c>
      <c r="F73" s="496">
        <v>2024</v>
      </c>
      <c r="G73" s="496">
        <v>2025</v>
      </c>
    </row>
    <row r="74" spans="2:7" x14ac:dyDescent="0.25">
      <c r="B74" s="899" t="s">
        <v>3185</v>
      </c>
      <c r="C74" s="329"/>
      <c r="D74" s="329">
        <f>+D12</f>
        <v>99803</v>
      </c>
      <c r="E74" s="329">
        <f>+E12</f>
        <v>96995</v>
      </c>
      <c r="F74" s="329">
        <f>+F12</f>
        <v>93736</v>
      </c>
      <c r="G74" s="329">
        <f>+G12</f>
        <v>112010</v>
      </c>
    </row>
    <row r="75" spans="2:7" x14ac:dyDescent="0.25">
      <c r="B75" s="899" t="s">
        <v>3186</v>
      </c>
      <c r="C75" s="329"/>
      <c r="D75" s="329">
        <f>+D27</f>
        <v>352755</v>
      </c>
      <c r="E75" s="329">
        <f>+E27</f>
        <v>352583</v>
      </c>
      <c r="F75" s="329">
        <f>+F27</f>
        <v>364980</v>
      </c>
      <c r="G75" s="329">
        <f>+G27</f>
        <v>359241</v>
      </c>
    </row>
    <row r="76" spans="2:7" x14ac:dyDescent="0.25">
      <c r="B76" s="897" t="s">
        <v>2820</v>
      </c>
      <c r="C76" s="900"/>
      <c r="D76" s="900"/>
      <c r="E76" s="901">
        <f>+E74/AVERAGE(D75:E75)</f>
        <v>0.27503126160790997</v>
      </c>
      <c r="F76" s="901">
        <f>+F74/AVERAGE(E75:F75)</f>
        <v>0.26126207733676349</v>
      </c>
      <c r="G76" s="901">
        <f>+G74/AVERAGE(F75:G75)</f>
        <v>0.3093254683307996</v>
      </c>
    </row>
    <row r="77" spans="2:7" x14ac:dyDescent="0.25">
      <c r="B77" s="22" t="s">
        <v>3748</v>
      </c>
    </row>
    <row r="80" spans="2:7" x14ac:dyDescent="0.25">
      <c r="B80" s="22" t="s">
        <v>3742</v>
      </c>
    </row>
    <row r="81" spans="2:7" x14ac:dyDescent="0.25">
      <c r="B81" s="191" t="s">
        <v>2891</v>
      </c>
      <c r="C81" s="192">
        <v>2021</v>
      </c>
      <c r="D81" s="192">
        <v>2022</v>
      </c>
      <c r="E81" s="192">
        <v>2023</v>
      </c>
      <c r="F81" s="192">
        <v>2024</v>
      </c>
      <c r="G81" s="192">
        <v>2025</v>
      </c>
    </row>
    <row r="82" spans="2:7" x14ac:dyDescent="0.25">
      <c r="B82" s="239" t="str">
        <f>+B17</f>
        <v>Caja y equivalentes</v>
      </c>
      <c r="C82" s="180"/>
      <c r="D82" s="180">
        <f>+D17*0.05</f>
        <v>1182.3</v>
      </c>
      <c r="E82" s="180">
        <f>+E17*0.05</f>
        <v>1498.25</v>
      </c>
      <c r="F82" s="180">
        <f>+F17*0.05</f>
        <v>1497.15</v>
      </c>
      <c r="G82" s="180">
        <f>+G17*0.05</f>
        <v>1796.7</v>
      </c>
    </row>
    <row r="83" spans="2:7" x14ac:dyDescent="0.25">
      <c r="B83" s="239" t="str">
        <f>+B19</f>
        <v>Clientes</v>
      </c>
      <c r="C83" s="180"/>
      <c r="D83" s="180">
        <f t="shared" ref="D83:G85" si="4">+D19</f>
        <v>28184</v>
      </c>
      <c r="E83" s="180">
        <f t="shared" si="4"/>
        <v>29508</v>
      </c>
      <c r="F83" s="180">
        <f t="shared" si="4"/>
        <v>33410</v>
      </c>
      <c r="G83" s="180">
        <f t="shared" si="4"/>
        <v>39777</v>
      </c>
    </row>
    <row r="84" spans="2:7" x14ac:dyDescent="0.25">
      <c r="B84" s="239" t="str">
        <f>+B20</f>
        <v>Inventarios</v>
      </c>
      <c r="C84" s="180"/>
      <c r="D84" s="180">
        <f t="shared" si="4"/>
        <v>4946</v>
      </c>
      <c r="E84" s="180">
        <f t="shared" si="4"/>
        <v>6331</v>
      </c>
      <c r="F84" s="180">
        <f t="shared" si="4"/>
        <v>7286</v>
      </c>
      <c r="G84" s="180">
        <f t="shared" si="4"/>
        <v>5718</v>
      </c>
    </row>
    <row r="85" spans="2:7" x14ac:dyDescent="0.25">
      <c r="B85" s="239" t="str">
        <f>+B21</f>
        <v>Otros activos corrientes</v>
      </c>
      <c r="C85" s="180"/>
      <c r="D85" s="180">
        <f t="shared" si="4"/>
        <v>53971</v>
      </c>
      <c r="E85" s="180">
        <f t="shared" si="4"/>
        <v>46172</v>
      </c>
      <c r="F85" s="180">
        <f t="shared" si="4"/>
        <v>47120</v>
      </c>
      <c r="G85" s="180">
        <f t="shared" si="4"/>
        <v>47765</v>
      </c>
    </row>
    <row r="86" spans="2:7" x14ac:dyDescent="0.25">
      <c r="B86" s="895" t="s">
        <v>2888</v>
      </c>
      <c r="C86" s="188"/>
      <c r="D86" s="188">
        <f>+SUM(D82:D85)</f>
        <v>88283.3</v>
      </c>
      <c r="E86" s="188">
        <f>+SUM(E82:E85)</f>
        <v>83509.25</v>
      </c>
      <c r="F86" s="188">
        <f>+SUM(F82:F85)</f>
        <v>89313.15</v>
      </c>
      <c r="G86" s="188">
        <f>+SUM(G82:G85)</f>
        <v>95056.7</v>
      </c>
    </row>
    <row r="87" spans="2:7" x14ac:dyDescent="0.25">
      <c r="B87" s="239" t="str">
        <f>+B28</f>
        <v>Proveedores</v>
      </c>
      <c r="C87" s="180"/>
      <c r="D87" s="180">
        <f>+D28</f>
        <v>64115</v>
      </c>
      <c r="E87" s="180">
        <f>+E28</f>
        <v>62611</v>
      </c>
      <c r="F87" s="180">
        <f>+F28</f>
        <v>68960</v>
      </c>
      <c r="G87" s="180">
        <f>+G28</f>
        <v>69860</v>
      </c>
    </row>
    <row r="88" spans="2:7" x14ac:dyDescent="0.25">
      <c r="B88" s="239" t="str">
        <f>+B30</f>
        <v>Otros pasivos corrientes</v>
      </c>
      <c r="C88" s="180"/>
      <c r="D88" s="180">
        <f>+D30</f>
        <v>67094</v>
      </c>
      <c r="E88" s="180">
        <f>+E30</f>
        <v>65315</v>
      </c>
      <c r="F88" s="180">
        <f>+F30</f>
        <v>84921</v>
      </c>
      <c r="G88" s="180">
        <f>+G30</f>
        <v>75442</v>
      </c>
    </row>
    <row r="89" spans="2:7" x14ac:dyDescent="0.25">
      <c r="B89" s="895" t="s">
        <v>2889</v>
      </c>
      <c r="C89" s="188"/>
      <c r="D89" s="188">
        <f>+SUM(D87:D88)</f>
        <v>131209</v>
      </c>
      <c r="E89" s="188">
        <f>+SUM(E87:E88)</f>
        <v>127926</v>
      </c>
      <c r="F89" s="188">
        <f>+SUM(F87:F88)</f>
        <v>153881</v>
      </c>
      <c r="G89" s="188">
        <f>+SUM(G87:G88)</f>
        <v>145302</v>
      </c>
    </row>
    <row r="90" spans="2:7" x14ac:dyDescent="0.25">
      <c r="B90" s="891" t="s">
        <v>2890</v>
      </c>
      <c r="C90" s="189"/>
      <c r="D90" s="189">
        <f>+D86-D89</f>
        <v>-42925.7</v>
      </c>
      <c r="E90" s="189">
        <f>+E86-E89</f>
        <v>-44416.75</v>
      </c>
      <c r="F90" s="189">
        <f>+F86-F89</f>
        <v>-64567.850000000006</v>
      </c>
      <c r="G90" s="189">
        <f>+G86-G89</f>
        <v>-50245.3</v>
      </c>
    </row>
    <row r="91" spans="2:7" x14ac:dyDescent="0.25">
      <c r="B91" s="22" t="s">
        <v>3568</v>
      </c>
      <c r="E91" s="180">
        <f>-(E90-D90)</f>
        <v>1491.0500000000029</v>
      </c>
      <c r="F91" s="180">
        <f>-(F90-E90)</f>
        <v>20151.100000000006</v>
      </c>
      <c r="G91" s="180">
        <f>-(G90-F90)</f>
        <v>-14322.550000000003</v>
      </c>
    </row>
    <row r="94" spans="2:7" x14ac:dyDescent="0.25">
      <c r="B94" s="22" t="s">
        <v>3755</v>
      </c>
      <c r="C94" s="192">
        <v>2021</v>
      </c>
      <c r="D94" s="192">
        <v>2022</v>
      </c>
      <c r="E94" s="192">
        <v>2023</v>
      </c>
      <c r="F94" s="192">
        <v>2024</v>
      </c>
      <c r="G94" s="192">
        <v>2025</v>
      </c>
    </row>
    <row r="95" spans="2:7" x14ac:dyDescent="0.25">
      <c r="B95" s="239" t="s">
        <v>3087</v>
      </c>
      <c r="C95" s="180"/>
      <c r="D95" s="180">
        <f>+D4</f>
        <v>394328</v>
      </c>
      <c r="E95" s="180">
        <f t="shared" ref="E95:G95" si="5">+E4</f>
        <v>383285</v>
      </c>
      <c r="F95" s="180">
        <f t="shared" si="5"/>
        <v>391035</v>
      </c>
      <c r="G95" s="180">
        <f t="shared" si="5"/>
        <v>416161</v>
      </c>
    </row>
    <row r="96" spans="2:7" x14ac:dyDescent="0.25">
      <c r="B96" s="239" t="s">
        <v>3427</v>
      </c>
      <c r="C96" s="180"/>
      <c r="D96" s="180">
        <f>+D19</f>
        <v>28184</v>
      </c>
      <c r="E96" s="180">
        <f>+E19</f>
        <v>29508</v>
      </c>
      <c r="F96" s="180">
        <f>+F19</f>
        <v>33410</v>
      </c>
      <c r="G96" s="180">
        <f>+G19</f>
        <v>39777</v>
      </c>
    </row>
    <row r="97" spans="2:7" x14ac:dyDescent="0.25">
      <c r="B97" s="892" t="s">
        <v>3429</v>
      </c>
      <c r="C97" s="491"/>
      <c r="D97" s="491">
        <f>+(D96/D95)*365</f>
        <v>26.087825363656648</v>
      </c>
      <c r="E97" s="491">
        <f t="shared" ref="E97:G97" si="6">+(E96/E95)*365</f>
        <v>28.100290906244702</v>
      </c>
      <c r="F97" s="491">
        <f>+(F96/F95)*365</f>
        <v>31.185571624023428</v>
      </c>
      <c r="G97" s="491">
        <f t="shared" si="6"/>
        <v>34.886990852098108</v>
      </c>
    </row>
    <row r="98" spans="2:7" x14ac:dyDescent="0.25">
      <c r="B98" s="239" t="s">
        <v>3743</v>
      </c>
      <c r="C98" s="180"/>
      <c r="D98" s="180">
        <f>+-D5</f>
        <v>223546</v>
      </c>
      <c r="E98" s="180">
        <f t="shared" ref="E98:G98" si="7">+-E5</f>
        <v>214137</v>
      </c>
      <c r="F98" s="180">
        <f t="shared" si="7"/>
        <v>210352</v>
      </c>
      <c r="G98" s="180">
        <f t="shared" si="7"/>
        <v>220960</v>
      </c>
    </row>
    <row r="99" spans="2:7" x14ac:dyDescent="0.25">
      <c r="B99" s="239" t="s">
        <v>3428</v>
      </c>
      <c r="C99" s="180"/>
      <c r="D99" s="180">
        <f>+D28</f>
        <v>64115</v>
      </c>
      <c r="E99" s="180">
        <f>+E28</f>
        <v>62611</v>
      </c>
      <c r="F99" s="180">
        <f>+F28</f>
        <v>68960</v>
      </c>
      <c r="G99" s="180">
        <f>+G28</f>
        <v>69860</v>
      </c>
    </row>
    <row r="100" spans="2:7" x14ac:dyDescent="0.25">
      <c r="B100" s="892" t="s">
        <v>3430</v>
      </c>
      <c r="C100" s="491"/>
      <c r="D100" s="491">
        <f>+(D99/D98)*365</f>
        <v>104.68527730310539</v>
      </c>
      <c r="E100" s="491">
        <f t="shared" ref="E100:G100" si="8">+(E99/E98)*365</f>
        <v>106.72146803214764</v>
      </c>
      <c r="F100" s="491">
        <f t="shared" si="8"/>
        <v>119.65847721913744</v>
      </c>
      <c r="G100" s="491">
        <f t="shared" si="8"/>
        <v>115.40052498189718</v>
      </c>
    </row>
    <row r="101" spans="2:7" x14ac:dyDescent="0.25">
      <c r="B101" s="239" t="s">
        <v>3743</v>
      </c>
      <c r="C101" s="180"/>
      <c r="D101" s="180">
        <f>+D98</f>
        <v>223546</v>
      </c>
      <c r="E101" s="180">
        <f t="shared" ref="E101:G101" si="9">+E98</f>
        <v>214137</v>
      </c>
      <c r="F101" s="180">
        <f t="shared" si="9"/>
        <v>210352</v>
      </c>
      <c r="G101" s="180">
        <f t="shared" si="9"/>
        <v>220960</v>
      </c>
    </row>
    <row r="102" spans="2:7" x14ac:dyDescent="0.25">
      <c r="B102" s="239" t="s">
        <v>3431</v>
      </c>
      <c r="C102" s="180"/>
      <c r="D102" s="180">
        <f>+D20</f>
        <v>4946</v>
      </c>
      <c r="E102" s="180">
        <f>+E20</f>
        <v>6331</v>
      </c>
      <c r="F102" s="180">
        <f>+F20</f>
        <v>7286</v>
      </c>
      <c r="G102" s="180">
        <f>+G20</f>
        <v>5718</v>
      </c>
    </row>
    <row r="103" spans="2:7" x14ac:dyDescent="0.25">
      <c r="B103" s="892" t="s">
        <v>3432</v>
      </c>
      <c r="C103" s="491"/>
      <c r="D103" s="491">
        <f>+(D102/D101)*365</f>
        <v>8.0756980666171607</v>
      </c>
      <c r="E103" s="491">
        <f t="shared" ref="E103:G103" si="10">+(E102/E101)*365</f>
        <v>10.791292490321617</v>
      </c>
      <c r="F103" s="491">
        <f t="shared" si="10"/>
        <v>12.642570548414087</v>
      </c>
      <c r="G103" s="491">
        <f t="shared" si="10"/>
        <v>9.4454652425778427</v>
      </c>
    </row>
    <row r="107" spans="2:7" x14ac:dyDescent="0.25">
      <c r="B107" s="22" t="s">
        <v>3757</v>
      </c>
    </row>
    <row r="108" spans="2:7" x14ac:dyDescent="0.25">
      <c r="B108" s="191" t="s">
        <v>3188</v>
      </c>
      <c r="C108" s="192">
        <v>2021</v>
      </c>
      <c r="D108" s="192">
        <v>2022</v>
      </c>
      <c r="E108" s="192">
        <v>2023</v>
      </c>
      <c r="F108" s="192">
        <v>2024</v>
      </c>
      <c r="G108" s="192">
        <v>2025</v>
      </c>
    </row>
    <row r="109" spans="2:7" x14ac:dyDescent="0.25">
      <c r="B109" s="208" t="s">
        <v>2892</v>
      </c>
      <c r="C109" s="190"/>
      <c r="D109" s="190">
        <f>D26</f>
        <v>217350</v>
      </c>
      <c r="E109" s="190">
        <f>E26</f>
        <v>209017</v>
      </c>
      <c r="F109" s="190">
        <f>F26</f>
        <v>211993</v>
      </c>
      <c r="G109" s="190">
        <f>G26</f>
        <v>211284</v>
      </c>
    </row>
    <row r="110" spans="2:7" x14ac:dyDescent="0.25">
      <c r="B110" s="239" t="s">
        <v>2803</v>
      </c>
      <c r="C110" s="180"/>
      <c r="D110" s="180">
        <f t="shared" ref="D110:G112" si="11">+D23</f>
        <v>120805</v>
      </c>
      <c r="E110" s="180">
        <f t="shared" si="11"/>
        <v>100544</v>
      </c>
      <c r="F110" s="180">
        <f t="shared" si="11"/>
        <v>91479</v>
      </c>
      <c r="G110" s="180">
        <f t="shared" si="11"/>
        <v>77723</v>
      </c>
    </row>
    <row r="111" spans="2:7" x14ac:dyDescent="0.25">
      <c r="B111" s="239" t="s">
        <v>2804</v>
      </c>
      <c r="C111" s="180"/>
      <c r="D111" s="180">
        <f t="shared" si="11"/>
        <v>42117</v>
      </c>
      <c r="E111" s="180">
        <f t="shared" si="11"/>
        <v>43715</v>
      </c>
      <c r="F111" s="180">
        <f t="shared" si="11"/>
        <v>45680</v>
      </c>
      <c r="G111" s="180">
        <f t="shared" si="11"/>
        <v>49834</v>
      </c>
    </row>
    <row r="112" spans="2:7" x14ac:dyDescent="0.25">
      <c r="B112" s="239" t="s">
        <v>2805</v>
      </c>
      <c r="C112" s="180"/>
      <c r="D112" s="180">
        <f t="shared" si="11"/>
        <v>54428</v>
      </c>
      <c r="E112" s="180">
        <f t="shared" si="11"/>
        <v>64758</v>
      </c>
      <c r="F112" s="180">
        <f t="shared" si="11"/>
        <v>74834</v>
      </c>
      <c r="G112" s="180">
        <f t="shared" si="11"/>
        <v>83727</v>
      </c>
    </row>
    <row r="113" spans="2:7" ht="15.75" thickBot="1" x14ac:dyDescent="0.3">
      <c r="B113" s="309" t="s">
        <v>2893</v>
      </c>
      <c r="C113" s="198"/>
      <c r="D113" s="198">
        <f>+D90</f>
        <v>-42925.7</v>
      </c>
      <c r="E113" s="198">
        <f>+E90</f>
        <v>-44416.75</v>
      </c>
      <c r="F113" s="198">
        <f>+F90</f>
        <v>-64567.850000000006</v>
      </c>
      <c r="G113" s="198">
        <f>+G90</f>
        <v>-50245.3</v>
      </c>
    </row>
    <row r="114" spans="2:7" x14ac:dyDescent="0.25">
      <c r="B114" s="208" t="s">
        <v>2894</v>
      </c>
      <c r="C114" s="190"/>
      <c r="D114" s="190">
        <f>+D109+D113</f>
        <v>174424.3</v>
      </c>
      <c r="E114" s="190">
        <f t="shared" ref="E114:G114" si="12">+E109+E113</f>
        <v>164600.25</v>
      </c>
      <c r="F114" s="190">
        <f t="shared" si="12"/>
        <v>147425.15</v>
      </c>
      <c r="G114" s="190">
        <f t="shared" si="12"/>
        <v>161038.70000000001</v>
      </c>
    </row>
    <row r="116" spans="2:7" x14ac:dyDescent="0.25">
      <c r="B116" s="208" t="s">
        <v>2895</v>
      </c>
      <c r="C116" s="190"/>
      <c r="D116" s="190">
        <f>+D8</f>
        <v>119437</v>
      </c>
      <c r="E116" s="190">
        <f t="shared" ref="E116:G116" si="13">+E8</f>
        <v>114301</v>
      </c>
      <c r="F116" s="190">
        <f t="shared" si="13"/>
        <v>123216</v>
      </c>
      <c r="G116" s="190">
        <f t="shared" si="13"/>
        <v>133050</v>
      </c>
    </row>
    <row r="117" spans="2:7" s="889" customFormat="1" ht="15.75" thickBot="1" x14ac:dyDescent="0.3">
      <c r="B117" s="22"/>
      <c r="C117" s="22"/>
      <c r="D117" s="22"/>
      <c r="E117" s="22"/>
      <c r="F117" s="22"/>
      <c r="G117" s="22"/>
    </row>
    <row r="118" spans="2:7" ht="15.75" thickBot="1" x14ac:dyDescent="0.3">
      <c r="B118" s="493" t="s">
        <v>3433</v>
      </c>
      <c r="C118" s="880"/>
      <c r="D118" s="880">
        <f>+D116/D114</f>
        <v>0.68474977397071402</v>
      </c>
      <c r="E118" s="880">
        <f>+E116/E114</f>
        <v>0.69441571322036266</v>
      </c>
      <c r="F118" s="880">
        <f>+F116/F114</f>
        <v>0.83578683827013234</v>
      </c>
      <c r="G118" s="881">
        <f>+G116/G114</f>
        <v>0.82619891988695882</v>
      </c>
    </row>
    <row r="122" spans="2:7" x14ac:dyDescent="0.25">
      <c r="C122" s="626">
        <v>2021</v>
      </c>
      <c r="D122" s="626">
        <v>2022</v>
      </c>
      <c r="E122" s="626">
        <v>2023</v>
      </c>
      <c r="F122" s="626">
        <v>2024</v>
      </c>
      <c r="G122" s="626">
        <v>2025</v>
      </c>
    </row>
    <row r="123" spans="2:7" x14ac:dyDescent="0.25">
      <c r="B123" s="927" t="s">
        <v>2652</v>
      </c>
      <c r="C123" s="901"/>
      <c r="D123" s="901">
        <f>+D70</f>
        <v>0.28292440929256851</v>
      </c>
      <c r="E123" s="901">
        <f t="shared" ref="E123:G123" si="14">+E70</f>
        <v>0.27509834563776475</v>
      </c>
      <c r="F123" s="901">
        <f t="shared" si="14"/>
        <v>0.25682503150857583</v>
      </c>
      <c r="G123" s="901">
        <f t="shared" si="14"/>
        <v>0.31179625933565491</v>
      </c>
    </row>
    <row r="126" spans="2:7" x14ac:dyDescent="0.25">
      <c r="C126" s="496">
        <v>2021</v>
      </c>
      <c r="D126" s="496">
        <v>2022</v>
      </c>
      <c r="E126" s="496">
        <v>2023</v>
      </c>
      <c r="F126" s="496">
        <v>2024</v>
      </c>
      <c r="G126" s="496">
        <v>2025</v>
      </c>
    </row>
    <row r="127" spans="2:7" x14ac:dyDescent="0.25">
      <c r="B127" s="495" t="s">
        <v>3433</v>
      </c>
      <c r="C127" s="882"/>
      <c r="D127" s="882">
        <f>+D118</f>
        <v>0.68474977397071402</v>
      </c>
      <c r="E127" s="882">
        <f t="shared" ref="E127:G127" si="15">+E118</f>
        <v>0.69441571322036266</v>
      </c>
      <c r="F127" s="882">
        <f t="shared" si="15"/>
        <v>0.83578683827013234</v>
      </c>
      <c r="G127" s="882">
        <f t="shared" si="15"/>
        <v>0.82619891988695882</v>
      </c>
    </row>
    <row r="128" spans="2:7" x14ac:dyDescent="0.25">
      <c r="B128" s="494" t="s">
        <v>2652</v>
      </c>
      <c r="C128" s="882"/>
      <c r="D128" s="882">
        <f>+D123</f>
        <v>0.28292440929256851</v>
      </c>
      <c r="E128" s="882">
        <f>+E123</f>
        <v>0.27509834563776475</v>
      </c>
      <c r="F128" s="882">
        <f>+F123</f>
        <v>0.25682503150857583</v>
      </c>
      <c r="G128" s="882">
        <f>+G123</f>
        <v>0.31179625933565491</v>
      </c>
    </row>
    <row r="130" spans="2:7" x14ac:dyDescent="0.25">
      <c r="B130" s="22" t="s">
        <v>3765</v>
      </c>
    </row>
    <row r="131" spans="2:7" x14ac:dyDescent="0.25">
      <c r="B131" s="191" t="s">
        <v>3195</v>
      </c>
      <c r="C131" s="192">
        <v>2021</v>
      </c>
      <c r="D131" s="192">
        <v>2022</v>
      </c>
      <c r="E131" s="192">
        <v>2023</v>
      </c>
      <c r="F131" s="192">
        <v>2024</v>
      </c>
      <c r="G131" s="192">
        <v>2025</v>
      </c>
    </row>
    <row r="132" spans="2:7" x14ac:dyDescent="0.25">
      <c r="B132" s="208" t="s">
        <v>2910</v>
      </c>
      <c r="E132" s="190">
        <f>+'Cap4. Ajustes I+D Apple'!C19</f>
        <v>118189.33333333334</v>
      </c>
      <c r="F132" s="190">
        <f>+'Cap4. Ajustes I+D Apple'!D19</f>
        <v>125407.33333333334</v>
      </c>
      <c r="G132" s="190">
        <f>+'Cap4. Ajustes I+D Apple'!E19</f>
        <v>135655</v>
      </c>
    </row>
    <row r="133" spans="2:7" x14ac:dyDescent="0.25">
      <c r="B133" s="239"/>
      <c r="E133" s="180"/>
    </row>
    <row r="134" spans="2:7" x14ac:dyDescent="0.25">
      <c r="B134" s="896" t="s">
        <v>2803</v>
      </c>
      <c r="C134" s="236"/>
      <c r="D134" s="236"/>
      <c r="E134" s="236">
        <v>0</v>
      </c>
      <c r="F134" s="236">
        <v>0</v>
      </c>
      <c r="G134" s="236">
        <v>0</v>
      </c>
    </row>
    <row r="135" spans="2:7" x14ac:dyDescent="0.25">
      <c r="B135" s="239" t="s">
        <v>2804</v>
      </c>
      <c r="C135" s="180"/>
      <c r="D135" s="180"/>
      <c r="E135" s="180">
        <f>+E24</f>
        <v>43715</v>
      </c>
      <c r="F135" s="180">
        <f>+F24</f>
        <v>45680</v>
      </c>
      <c r="G135" s="180">
        <f>+G24</f>
        <v>49834</v>
      </c>
    </row>
    <row r="136" spans="2:7" x14ac:dyDescent="0.25">
      <c r="B136" s="896" t="s">
        <v>2911</v>
      </c>
      <c r="C136" s="236"/>
      <c r="D136" s="236"/>
      <c r="E136" s="236">
        <f>+'Cap4. Ajustes I+D Apple'!M29</f>
        <v>28693.666666666668</v>
      </c>
      <c r="F136" s="236">
        <f>+'Cap4. Ajustes I+D Apple'!O29</f>
        <v>30885.000000000004</v>
      </c>
      <c r="G136" s="236">
        <f>+'Cap4. Ajustes I+D Apple'!J29</f>
        <v>33490</v>
      </c>
    </row>
    <row r="137" spans="2:7" x14ac:dyDescent="0.25">
      <c r="B137" s="239" t="s">
        <v>2805</v>
      </c>
      <c r="C137" s="180"/>
      <c r="D137" s="180"/>
      <c r="E137" s="180">
        <f>+E25</f>
        <v>64758</v>
      </c>
      <c r="F137" s="180">
        <f>+F25</f>
        <v>74834</v>
      </c>
      <c r="G137" s="180">
        <f>+G25</f>
        <v>83727</v>
      </c>
    </row>
    <row r="138" spans="2:7" x14ac:dyDescent="0.25">
      <c r="B138" s="208" t="s">
        <v>2912</v>
      </c>
      <c r="C138" s="190"/>
      <c r="D138" s="190"/>
      <c r="E138" s="190">
        <f>+SUM(E134:E137)</f>
        <v>137166.66666666669</v>
      </c>
      <c r="F138" s="190">
        <f>+SUM(F134:F137)</f>
        <v>151399</v>
      </c>
      <c r="G138" s="190">
        <f>+SUM(G134:G137)</f>
        <v>167051</v>
      </c>
    </row>
    <row r="139" spans="2:7" x14ac:dyDescent="0.25">
      <c r="B139" s="239"/>
      <c r="C139" s="180"/>
      <c r="D139" s="180"/>
      <c r="E139" s="180"/>
    </row>
    <row r="140" spans="2:7" ht="15.75" thickBot="1" x14ac:dyDescent="0.3">
      <c r="B140" s="309" t="s">
        <v>2893</v>
      </c>
      <c r="C140" s="198"/>
      <c r="D140" s="198"/>
      <c r="E140" s="198">
        <f>+E113</f>
        <v>-44416.75</v>
      </c>
      <c r="F140" s="198">
        <f>+F90</f>
        <v>-64567.850000000006</v>
      </c>
      <c r="G140" s="198">
        <f>+G90</f>
        <v>-50245.3</v>
      </c>
    </row>
    <row r="141" spans="2:7" x14ac:dyDescent="0.25">
      <c r="B141" s="208" t="s">
        <v>2894</v>
      </c>
      <c r="C141" s="190"/>
      <c r="D141" s="190"/>
      <c r="E141" s="190">
        <f>+E140+E138</f>
        <v>92749.916666666686</v>
      </c>
      <c r="F141" s="190">
        <f>+F140+F138</f>
        <v>86831.15</v>
      </c>
      <c r="G141" s="190">
        <f>+G140+G138</f>
        <v>116805.7</v>
      </c>
    </row>
    <row r="142" spans="2:7" ht="15.75" thickBot="1" x14ac:dyDescent="0.3">
      <c r="B142" s="239"/>
      <c r="C142" s="180"/>
      <c r="D142" s="180"/>
      <c r="E142" s="180"/>
    </row>
    <row r="143" spans="2:7" ht="15.75" thickBot="1" x14ac:dyDescent="0.3">
      <c r="B143" s="527" t="s">
        <v>3433</v>
      </c>
      <c r="C143" s="883"/>
      <c r="D143" s="883"/>
      <c r="E143" s="883">
        <f>+E132/E141</f>
        <v>1.2742796714103066</v>
      </c>
      <c r="F143" s="883">
        <f>+F132/F141</f>
        <v>1.4442666408694731</v>
      </c>
      <c r="G143" s="883">
        <f>+G132/G141</f>
        <v>1.1613731179214712</v>
      </c>
    </row>
    <row r="145" spans="2:7" x14ac:dyDescent="0.25">
      <c r="B145" s="22" t="s">
        <v>3769</v>
      </c>
    </row>
    <row r="146" spans="2:7" x14ac:dyDescent="0.25">
      <c r="B146" s="495" t="s">
        <v>2913</v>
      </c>
      <c r="C146" s="528">
        <v>2021</v>
      </c>
      <c r="D146" s="528">
        <v>2022</v>
      </c>
      <c r="E146" s="528">
        <v>2023</v>
      </c>
      <c r="F146" s="528">
        <v>2024</v>
      </c>
      <c r="G146" s="529">
        <v>2025</v>
      </c>
    </row>
    <row r="147" spans="2:7" x14ac:dyDescent="0.25">
      <c r="B147" s="629" t="s">
        <v>2910</v>
      </c>
      <c r="C147" s="180"/>
      <c r="D147" s="180"/>
      <c r="E147" s="180">
        <f>+'Cap4. Ajustes I+D Apple'!C19</f>
        <v>118189.33333333334</v>
      </c>
      <c r="F147" s="180">
        <f>+'Cap4. Ajustes I+D Apple'!D19</f>
        <v>125407.33333333334</v>
      </c>
      <c r="G147" s="516">
        <f>+'Cap4. Ajustes I+D Apple'!E19</f>
        <v>135655</v>
      </c>
    </row>
    <row r="148" spans="2:7" x14ac:dyDescent="0.25">
      <c r="B148" s="629" t="s">
        <v>3443</v>
      </c>
      <c r="C148" s="180"/>
      <c r="D148" s="180"/>
      <c r="E148" s="180">
        <f>+E11</f>
        <v>-16741</v>
      </c>
      <c r="F148" s="180">
        <f t="shared" ref="F148:G148" si="16">+F11</f>
        <v>-29749</v>
      </c>
      <c r="G148" s="180">
        <f t="shared" si="16"/>
        <v>-20719</v>
      </c>
    </row>
    <row r="149" spans="2:7" x14ac:dyDescent="0.25">
      <c r="B149" s="629" t="s">
        <v>3444</v>
      </c>
      <c r="C149" s="180"/>
      <c r="D149" s="180"/>
      <c r="E149" s="180">
        <f>-'Cap4. Ajustes I+D Apple'!C87</f>
        <v>-816.55000000000052</v>
      </c>
      <c r="F149" s="180">
        <f>-'Cap4. Ajustes I+D Apple'!D87</f>
        <v>-460.18000000000052</v>
      </c>
      <c r="G149" s="516">
        <f>-'Cap4. Ajustes I+D Apple'!E87</f>
        <v>-547.04999999999995</v>
      </c>
    </row>
    <row r="150" spans="2:7" x14ac:dyDescent="0.25">
      <c r="B150" s="630" t="s">
        <v>2915</v>
      </c>
      <c r="C150" s="315"/>
      <c r="D150" s="315"/>
      <c r="E150" s="315">
        <f>+SUM(E147:E149)</f>
        <v>100631.78333333334</v>
      </c>
      <c r="F150" s="315">
        <f>+SUM(F147:F149)</f>
        <v>95198.153333333335</v>
      </c>
      <c r="G150" s="531">
        <f>+SUM(G147:G149)</f>
        <v>114388.95</v>
      </c>
    </row>
    <row r="151" spans="2:7" x14ac:dyDescent="0.25">
      <c r="B151" s="629"/>
      <c r="C151" s="180"/>
      <c r="D151" s="180"/>
      <c r="E151" s="180"/>
      <c r="F151" s="180"/>
      <c r="G151" s="516"/>
    </row>
    <row r="152" spans="2:7" x14ac:dyDescent="0.25">
      <c r="B152" s="629" t="s">
        <v>2803</v>
      </c>
      <c r="C152" s="180"/>
      <c r="D152" s="180"/>
      <c r="E152" s="180">
        <v>0</v>
      </c>
      <c r="F152" s="180">
        <v>0</v>
      </c>
      <c r="G152" s="516">
        <v>0</v>
      </c>
    </row>
    <row r="153" spans="2:7" x14ac:dyDescent="0.25">
      <c r="B153" s="629" t="s">
        <v>2804</v>
      </c>
      <c r="C153" s="180"/>
      <c r="D153" s="180"/>
      <c r="E153" s="180">
        <f>+E24</f>
        <v>43715</v>
      </c>
      <c r="F153" s="180">
        <f>+F24</f>
        <v>45680</v>
      </c>
      <c r="G153" s="516">
        <f>+G24</f>
        <v>49834</v>
      </c>
    </row>
    <row r="154" spans="2:7" x14ac:dyDescent="0.25">
      <c r="B154" s="732" t="s">
        <v>2911</v>
      </c>
      <c r="C154" s="180"/>
      <c r="D154" s="180"/>
      <c r="E154" s="180">
        <f>+E136</f>
        <v>28693.666666666668</v>
      </c>
      <c r="F154" s="180">
        <f>+F136</f>
        <v>30885.000000000004</v>
      </c>
      <c r="G154" s="516">
        <f>+G136</f>
        <v>33490</v>
      </c>
    </row>
    <row r="155" spans="2:7" x14ac:dyDescent="0.25">
      <c r="B155" s="629" t="s">
        <v>2805</v>
      </c>
      <c r="C155" s="180"/>
      <c r="D155" s="180"/>
      <c r="E155" s="180">
        <f>+E25</f>
        <v>64758</v>
      </c>
      <c r="F155" s="180">
        <f>+F25</f>
        <v>74834</v>
      </c>
      <c r="G155" s="516">
        <f>+G25</f>
        <v>83727</v>
      </c>
    </row>
    <row r="156" spans="2:7" x14ac:dyDescent="0.25">
      <c r="B156" s="733" t="s">
        <v>2912</v>
      </c>
      <c r="C156" s="190"/>
      <c r="D156" s="190"/>
      <c r="E156" s="190">
        <f>+SUM(E152:E155)</f>
        <v>137166.66666666669</v>
      </c>
      <c r="F156" s="190">
        <f>+SUM(F152:F155)</f>
        <v>151399</v>
      </c>
      <c r="G156" s="518">
        <f>+SUM(G152:G155)</f>
        <v>167051</v>
      </c>
    </row>
    <row r="157" spans="2:7" x14ac:dyDescent="0.25">
      <c r="B157" s="629"/>
      <c r="C157" s="180"/>
      <c r="D157" s="180"/>
      <c r="E157" s="180"/>
      <c r="F157" s="180"/>
      <c r="G157" s="516"/>
    </row>
    <row r="158" spans="2:7" ht="15.75" thickBot="1" x14ac:dyDescent="0.3">
      <c r="B158" s="884" t="s">
        <v>2893</v>
      </c>
      <c r="C158" s="198"/>
      <c r="D158" s="198"/>
      <c r="E158" s="198">
        <f>+E140</f>
        <v>-44416.75</v>
      </c>
      <c r="F158" s="198">
        <f>+F113</f>
        <v>-64567.850000000006</v>
      </c>
      <c r="G158" s="530">
        <f>+G113</f>
        <v>-50245.3</v>
      </c>
    </row>
    <row r="159" spans="2:7" x14ac:dyDescent="0.25">
      <c r="B159" s="630" t="s">
        <v>2894</v>
      </c>
      <c r="C159" s="315"/>
      <c r="D159" s="315"/>
      <c r="E159" s="315">
        <f>+E158+E156</f>
        <v>92749.916666666686</v>
      </c>
      <c r="F159" s="315">
        <f>+F158+F156</f>
        <v>86831.15</v>
      </c>
      <c r="G159" s="531">
        <f>+G158+G156</f>
        <v>116805.7</v>
      </c>
    </row>
    <row r="160" spans="2:7" ht="15.75" thickBot="1" x14ac:dyDescent="0.3">
      <c r="B160" s="629"/>
      <c r="C160" s="180"/>
      <c r="D160" s="180"/>
      <c r="E160" s="180"/>
      <c r="F160" s="180"/>
      <c r="G160" s="516"/>
    </row>
    <row r="161" spans="2:7" x14ac:dyDescent="0.25">
      <c r="B161" s="886" t="s">
        <v>2699</v>
      </c>
      <c r="C161" s="887"/>
      <c r="D161" s="887"/>
      <c r="E161" s="887">
        <f>E150/E159</f>
        <v>1.0849797708713125</v>
      </c>
      <c r="F161" s="887">
        <f>F150/F159</f>
        <v>1.096359467003873</v>
      </c>
      <c r="G161" s="888">
        <f>G150/G159</f>
        <v>0.97930965697735639</v>
      </c>
    </row>
    <row r="163" spans="2:7" x14ac:dyDescent="0.25">
      <c r="B163" s="22" t="s">
        <v>3779</v>
      </c>
    </row>
    <row r="164" spans="2:7" x14ac:dyDescent="0.25">
      <c r="B164" s="495" t="s">
        <v>3023</v>
      </c>
      <c r="C164" s="528">
        <v>2021</v>
      </c>
      <c r="D164" s="528">
        <v>2022</v>
      </c>
      <c r="E164" s="528">
        <v>2023</v>
      </c>
      <c r="F164" s="528">
        <v>2024</v>
      </c>
      <c r="G164" s="529">
        <v>2025</v>
      </c>
    </row>
    <row r="165" spans="2:7" x14ac:dyDescent="0.25">
      <c r="B165" s="629" t="s">
        <v>2910</v>
      </c>
      <c r="C165" s="180"/>
      <c r="D165" s="180"/>
      <c r="E165" s="180">
        <f>+E147</f>
        <v>118189.33333333334</v>
      </c>
      <c r="F165" s="180">
        <f>+F147</f>
        <v>125407.33333333334</v>
      </c>
      <c r="G165" s="516">
        <f>+G147</f>
        <v>135655</v>
      </c>
    </row>
    <row r="166" spans="2:7" x14ac:dyDescent="0.25">
      <c r="B166" s="629" t="s">
        <v>2914</v>
      </c>
      <c r="C166" s="180"/>
      <c r="D166" s="180"/>
      <c r="E166" s="180">
        <f>+E149+E148</f>
        <v>-17557.55</v>
      </c>
      <c r="F166" s="180">
        <f>+F149+F148</f>
        <v>-30209.18</v>
      </c>
      <c r="G166" s="516">
        <f>+G149+G148</f>
        <v>-21266.05</v>
      </c>
    </row>
    <row r="167" spans="2:7" x14ac:dyDescent="0.25">
      <c r="B167" s="630" t="s">
        <v>2915</v>
      </c>
      <c r="C167" s="315"/>
      <c r="D167" s="315"/>
      <c r="E167" s="315">
        <f>+SUM(E165:E166)</f>
        <v>100631.78333333334</v>
      </c>
      <c r="F167" s="315">
        <f>+SUM(F165:F166)</f>
        <v>95198.15333333335</v>
      </c>
      <c r="G167" s="531">
        <f>+SUM(G165:G166)</f>
        <v>114388.95</v>
      </c>
    </row>
    <row r="168" spans="2:7" x14ac:dyDescent="0.25">
      <c r="B168" s="629"/>
      <c r="C168" s="180"/>
      <c r="D168" s="180"/>
      <c r="E168" s="180"/>
      <c r="F168" s="180"/>
      <c r="G168" s="516"/>
    </row>
    <row r="169" spans="2:7" x14ac:dyDescent="0.25">
      <c r="B169" s="733" t="s">
        <v>2931</v>
      </c>
      <c r="C169" s="190"/>
      <c r="D169" s="190"/>
      <c r="E169" s="190">
        <f>+E36</f>
        <v>62146</v>
      </c>
      <c r="F169" s="190">
        <f>+F36</f>
        <v>56950</v>
      </c>
      <c r="G169" s="518">
        <f>+G36</f>
        <v>73733</v>
      </c>
    </row>
    <row r="170" spans="2:7" x14ac:dyDescent="0.25">
      <c r="B170" s="629" t="str">
        <f>+B29</f>
        <v>Deuda a corto plazo</v>
      </c>
      <c r="C170" s="180"/>
      <c r="D170" s="180"/>
      <c r="E170" s="180">
        <f>+E29</f>
        <v>17382</v>
      </c>
      <c r="F170" s="180">
        <f>+F29</f>
        <v>22511</v>
      </c>
      <c r="G170" s="516">
        <f>+G29</f>
        <v>20329</v>
      </c>
    </row>
    <row r="171" spans="2:7" x14ac:dyDescent="0.25">
      <c r="B171" s="629" t="str">
        <f>+B32</f>
        <v>Deuda a largo plazo</v>
      </c>
      <c r="C171" s="180"/>
      <c r="D171" s="180"/>
      <c r="E171" s="180">
        <f>+E32</f>
        <v>95281</v>
      </c>
      <c r="F171" s="180">
        <f>+F32</f>
        <v>96548</v>
      </c>
      <c r="G171" s="516">
        <f>+G32</f>
        <v>78328</v>
      </c>
    </row>
    <row r="172" spans="2:7" x14ac:dyDescent="0.25">
      <c r="B172" s="732" t="s">
        <v>3844</v>
      </c>
      <c r="C172" s="180"/>
      <c r="D172" s="180"/>
      <c r="E172" s="180">
        <f>+(E18+E23+(E17*0.95))*-1</f>
        <v>-160600.75</v>
      </c>
      <c r="F172" s="180">
        <f>+(F18+F23+(F17*0.95))*-1</f>
        <v>-155152.85</v>
      </c>
      <c r="G172" s="516">
        <f>+(G18+G23+(G17*0.95))*-1</f>
        <v>-130623.29999999999</v>
      </c>
    </row>
    <row r="173" spans="2:7" x14ac:dyDescent="0.25">
      <c r="B173" s="733" t="s">
        <v>2924</v>
      </c>
      <c r="C173" s="190"/>
      <c r="D173" s="190"/>
      <c r="E173" s="190">
        <f>+SUM(E170:E172)</f>
        <v>-47937.75</v>
      </c>
      <c r="F173" s="190">
        <f>+SUM(F170:F172)</f>
        <v>-36093.850000000006</v>
      </c>
      <c r="G173" s="518">
        <f>+SUM(G170:G172)</f>
        <v>-31966.299999999988</v>
      </c>
    </row>
    <row r="174" spans="2:7" x14ac:dyDescent="0.25">
      <c r="B174" s="733" t="s">
        <v>2932</v>
      </c>
      <c r="C174" s="180"/>
      <c r="D174" s="180"/>
      <c r="E174" s="180">
        <f>+E33</f>
        <v>49848</v>
      </c>
      <c r="F174" s="180">
        <f>+F33</f>
        <v>35090</v>
      </c>
      <c r="G174" s="516">
        <f>+G33</f>
        <v>41549</v>
      </c>
    </row>
    <row r="175" spans="2:7" x14ac:dyDescent="0.25">
      <c r="B175" s="733" t="s">
        <v>2933</v>
      </c>
      <c r="C175" s="190"/>
      <c r="D175" s="190"/>
      <c r="E175" s="190">
        <f>+E154</f>
        <v>28693.666666666668</v>
      </c>
      <c r="F175" s="190">
        <f>+F154</f>
        <v>30885.000000000004</v>
      </c>
      <c r="G175" s="518">
        <f>+G154</f>
        <v>33490</v>
      </c>
    </row>
    <row r="176" spans="2:7" x14ac:dyDescent="0.25">
      <c r="B176" s="537"/>
      <c r="G176" s="885"/>
    </row>
    <row r="177" spans="2:7" x14ac:dyDescent="0.25">
      <c r="B177" s="630" t="s">
        <v>2185</v>
      </c>
      <c r="C177" s="315"/>
      <c r="D177" s="315"/>
      <c r="E177" s="315">
        <f>+E173+E169+E174+E175</f>
        <v>92749.916666666672</v>
      </c>
      <c r="F177" s="315">
        <f>+F173+F169+F174+F175</f>
        <v>86831.15</v>
      </c>
      <c r="G177" s="531">
        <f>+G173+G169+G174+G175</f>
        <v>116805.70000000001</v>
      </c>
    </row>
    <row r="178" spans="2:7" ht="15.75" thickBot="1" x14ac:dyDescent="0.3">
      <c r="B178" s="629"/>
      <c r="C178" s="180"/>
      <c r="D178" s="180"/>
      <c r="E178" s="180"/>
      <c r="F178" s="180"/>
      <c r="G178" s="516"/>
    </row>
    <row r="179" spans="2:7" x14ac:dyDescent="0.25">
      <c r="B179" s="886" t="s">
        <v>2173</v>
      </c>
      <c r="C179" s="887"/>
      <c r="D179" s="887"/>
      <c r="E179" s="887">
        <f>+E167/E177</f>
        <v>1.0849797708713125</v>
      </c>
      <c r="F179" s="887">
        <f>+F167/F177</f>
        <v>1.0963594670038732</v>
      </c>
      <c r="G179" s="888">
        <f>+G167/G177</f>
        <v>0.97930965697735628</v>
      </c>
    </row>
    <row r="183" spans="2:7" x14ac:dyDescent="0.25">
      <c r="B183" s="22" t="s">
        <v>3792</v>
      </c>
    </row>
    <row r="184" spans="2:7" x14ac:dyDescent="0.25">
      <c r="B184" s="890" t="s">
        <v>3457</v>
      </c>
      <c r="C184" s="890">
        <v>2021</v>
      </c>
      <c r="D184" s="890">
        <v>2022</v>
      </c>
      <c r="E184" s="890">
        <v>2023</v>
      </c>
      <c r="F184" s="890">
        <v>2024</v>
      </c>
      <c r="G184" s="890">
        <v>2025</v>
      </c>
    </row>
    <row r="185" spans="2:7" x14ac:dyDescent="0.25">
      <c r="B185" s="22" t="s">
        <v>3679</v>
      </c>
      <c r="C185" s="180">
        <v>0</v>
      </c>
      <c r="D185" s="180">
        <v>0</v>
      </c>
      <c r="E185" s="180">
        <v>0</v>
      </c>
      <c r="F185" s="180">
        <v>0</v>
      </c>
      <c r="G185" s="180">
        <v>0</v>
      </c>
    </row>
    <row r="186" spans="2:7" x14ac:dyDescent="0.25">
      <c r="B186" s="22" t="s">
        <v>3680</v>
      </c>
      <c r="C186" s="180">
        <f>+C54+C55</f>
        <v>12665</v>
      </c>
      <c r="D186" s="180">
        <f>+D54+D55</f>
        <v>-123</v>
      </c>
      <c r="E186" s="180">
        <f>+E54+E55</f>
        <v>-9901</v>
      </c>
      <c r="F186" s="180">
        <f>+F54+F55</f>
        <v>-5998</v>
      </c>
      <c r="G186" s="180">
        <f>+G54+G55</f>
        <v>-8483</v>
      </c>
    </row>
    <row r="187" spans="2:7" x14ac:dyDescent="0.25">
      <c r="B187" s="558" t="s">
        <v>3535</v>
      </c>
      <c r="C187" s="559">
        <f>+SUM(C185:C186)</f>
        <v>12665</v>
      </c>
      <c r="D187" s="559">
        <f t="shared" ref="D187:G187" si="17">+SUM(D185:D186)</f>
        <v>-123</v>
      </c>
      <c r="E187" s="559">
        <f t="shared" si="17"/>
        <v>-9901</v>
      </c>
      <c r="F187" s="559">
        <f t="shared" si="17"/>
        <v>-5998</v>
      </c>
      <c r="G187" s="559">
        <f t="shared" si="17"/>
        <v>-8483</v>
      </c>
    </row>
    <row r="188" spans="2:7" x14ac:dyDescent="0.25">
      <c r="C188" s="180"/>
      <c r="D188" s="180"/>
      <c r="E188" s="180"/>
      <c r="F188" s="180"/>
      <c r="G188" s="180"/>
    </row>
    <row r="189" spans="2:7" x14ac:dyDescent="0.25">
      <c r="B189" s="22" t="s">
        <v>3746</v>
      </c>
      <c r="C189" s="180">
        <f>+C58</f>
        <v>-92527</v>
      </c>
      <c r="D189" s="180">
        <f>+D58</f>
        <v>-95625</v>
      </c>
      <c r="E189" s="180">
        <v>-77550</v>
      </c>
      <c r="F189" s="180">
        <v>-94949</v>
      </c>
      <c r="G189" s="180">
        <f>+G58</f>
        <v>-90711</v>
      </c>
    </row>
    <row r="190" spans="2:7" x14ac:dyDescent="0.25">
      <c r="B190" s="22" t="s">
        <v>3681</v>
      </c>
      <c r="C190" s="180">
        <f>+C59</f>
        <v>-14467</v>
      </c>
      <c r="D190" s="180">
        <f>+D59</f>
        <v>-14841</v>
      </c>
      <c r="E190" s="180">
        <f>+E59</f>
        <v>-15025</v>
      </c>
      <c r="F190" s="180">
        <f>+F59</f>
        <v>-15234</v>
      </c>
      <c r="G190" s="180">
        <f>+G59</f>
        <v>-15421</v>
      </c>
    </row>
    <row r="191" spans="2:7" x14ac:dyDescent="0.25">
      <c r="B191" s="558" t="s">
        <v>3536</v>
      </c>
      <c r="C191" s="559">
        <f>+SUM(C189:C190)</f>
        <v>-106994</v>
      </c>
      <c r="D191" s="559">
        <f t="shared" ref="D191:G191" si="18">+SUM(D189:D190)</f>
        <v>-110466</v>
      </c>
      <c r="E191" s="559">
        <f t="shared" si="18"/>
        <v>-92575</v>
      </c>
      <c r="F191" s="559">
        <f t="shared" si="18"/>
        <v>-110183</v>
      </c>
      <c r="G191" s="559">
        <f t="shared" si="18"/>
        <v>-106132</v>
      </c>
    </row>
    <row r="193" spans="2:7" x14ac:dyDescent="0.25">
      <c r="B193" s="583" t="s">
        <v>2815</v>
      </c>
      <c r="C193" s="584">
        <f>+C187+C191</f>
        <v>-94329</v>
      </c>
      <c r="D193" s="584">
        <f t="shared" ref="D193:F193" si="19">+D187+D191</f>
        <v>-110589</v>
      </c>
      <c r="E193" s="584">
        <f t="shared" si="19"/>
        <v>-102476</v>
      </c>
      <c r="F193" s="584">
        <f t="shared" si="19"/>
        <v>-116181</v>
      </c>
      <c r="G193" s="584">
        <f>+G187+G191</f>
        <v>-114615</v>
      </c>
    </row>
    <row r="197" spans="2:7" x14ac:dyDescent="0.25">
      <c r="B197" s="22" t="s">
        <v>3792</v>
      </c>
    </row>
    <row r="198" spans="2:7" x14ac:dyDescent="0.25">
      <c r="B198" s="890" t="s">
        <v>3457</v>
      </c>
      <c r="C198" s="890">
        <v>2021</v>
      </c>
      <c r="D198" s="890">
        <v>2022</v>
      </c>
      <c r="E198" s="890">
        <v>2023</v>
      </c>
      <c r="F198" s="890">
        <v>2024</v>
      </c>
      <c r="G198" s="890">
        <v>2025</v>
      </c>
    </row>
    <row r="199" spans="2:7" x14ac:dyDescent="0.25">
      <c r="B199" s="22" t="s">
        <v>3679</v>
      </c>
      <c r="C199" s="180"/>
      <c r="D199" s="180"/>
      <c r="E199" s="180">
        <f t="shared" ref="E199:G205" si="20">+E185</f>
        <v>0</v>
      </c>
      <c r="F199" s="180">
        <f t="shared" si="20"/>
        <v>0</v>
      </c>
      <c r="G199" s="180">
        <f t="shared" si="20"/>
        <v>0</v>
      </c>
    </row>
    <row r="200" spans="2:7" x14ac:dyDescent="0.25">
      <c r="B200" s="22" t="s">
        <v>3680</v>
      </c>
      <c r="C200" s="180"/>
      <c r="D200" s="180"/>
      <c r="E200" s="180">
        <f t="shared" si="20"/>
        <v>-9901</v>
      </c>
      <c r="F200" s="180">
        <f t="shared" si="20"/>
        <v>-5998</v>
      </c>
      <c r="G200" s="180">
        <f t="shared" si="20"/>
        <v>-8483</v>
      </c>
    </row>
    <row r="201" spans="2:7" x14ac:dyDescent="0.25">
      <c r="B201" s="558" t="s">
        <v>3535</v>
      </c>
      <c r="C201" s="559"/>
      <c r="D201" s="559"/>
      <c r="E201" s="559">
        <f t="shared" si="20"/>
        <v>-9901</v>
      </c>
      <c r="F201" s="559">
        <f t="shared" si="20"/>
        <v>-5998</v>
      </c>
      <c r="G201" s="559">
        <f t="shared" si="20"/>
        <v>-8483</v>
      </c>
    </row>
    <row r="202" spans="2:7" x14ac:dyDescent="0.25">
      <c r="C202" s="180"/>
      <c r="D202" s="180"/>
      <c r="E202" s="180">
        <f t="shared" si="20"/>
        <v>0</v>
      </c>
      <c r="F202" s="180">
        <f t="shared" si="20"/>
        <v>0</v>
      </c>
      <c r="G202" s="180">
        <f t="shared" si="20"/>
        <v>0</v>
      </c>
    </row>
    <row r="203" spans="2:7" x14ac:dyDescent="0.25">
      <c r="B203" s="22" t="s">
        <v>3746</v>
      </c>
      <c r="C203" s="180"/>
      <c r="D203" s="180"/>
      <c r="E203" s="180">
        <f t="shared" si="20"/>
        <v>-77550</v>
      </c>
      <c r="F203" s="180">
        <f t="shared" si="20"/>
        <v>-94949</v>
      </c>
      <c r="G203" s="180">
        <f t="shared" si="20"/>
        <v>-90711</v>
      </c>
    </row>
    <row r="204" spans="2:7" x14ac:dyDescent="0.25">
      <c r="B204" s="22" t="s">
        <v>3681</v>
      </c>
      <c r="C204" s="180"/>
      <c r="D204" s="180"/>
      <c r="E204" s="180">
        <f t="shared" si="20"/>
        <v>-15025</v>
      </c>
      <c r="F204" s="180">
        <f t="shared" si="20"/>
        <v>-15234</v>
      </c>
      <c r="G204" s="180">
        <f t="shared" si="20"/>
        <v>-15421</v>
      </c>
    </row>
    <row r="205" spans="2:7" x14ac:dyDescent="0.25">
      <c r="B205" s="558" t="s">
        <v>3536</v>
      </c>
      <c r="C205" s="559"/>
      <c r="D205" s="559"/>
      <c r="E205" s="559">
        <f t="shared" si="20"/>
        <v>-92575</v>
      </c>
      <c r="F205" s="559">
        <f t="shared" si="20"/>
        <v>-110183</v>
      </c>
      <c r="G205" s="559">
        <f t="shared" si="20"/>
        <v>-106132</v>
      </c>
    </row>
    <row r="207" spans="2:7" x14ac:dyDescent="0.25">
      <c r="B207" s="583" t="s">
        <v>2815</v>
      </c>
      <c r="C207" s="584"/>
      <c r="D207" s="584"/>
      <c r="E207" s="584">
        <f>+E193</f>
        <v>-102476</v>
      </c>
      <c r="F207" s="584">
        <f>+F193</f>
        <v>-116181</v>
      </c>
      <c r="G207" s="584">
        <f>+G193</f>
        <v>-114615</v>
      </c>
    </row>
    <row r="209" spans="2:11" x14ac:dyDescent="0.25">
      <c r="K209" s="33"/>
    </row>
    <row r="210" spans="2:11" x14ac:dyDescent="0.25">
      <c r="B210" s="48" t="s">
        <v>2693</v>
      </c>
      <c r="C210" s="890">
        <v>2021</v>
      </c>
      <c r="D210" s="890">
        <v>2022</v>
      </c>
      <c r="E210" s="890">
        <v>2023</v>
      </c>
      <c r="F210" s="890">
        <v>2024</v>
      </c>
      <c r="G210" s="890">
        <v>2025</v>
      </c>
    </row>
    <row r="211" spans="2:11" x14ac:dyDescent="0.25">
      <c r="B211" s="22" t="s">
        <v>3143</v>
      </c>
      <c r="C211" s="180">
        <f>+C59</f>
        <v>-14467</v>
      </c>
      <c r="D211" s="180">
        <f>+D59</f>
        <v>-14841</v>
      </c>
      <c r="E211" s="180">
        <f>+E59</f>
        <v>-15025</v>
      </c>
      <c r="F211" s="180">
        <f>+F59</f>
        <v>-15234</v>
      </c>
      <c r="G211" s="180">
        <f>+G59</f>
        <v>-15421</v>
      </c>
    </row>
    <row r="212" spans="2:11" x14ac:dyDescent="0.25">
      <c r="B212" s="22" t="s">
        <v>3207</v>
      </c>
      <c r="C212" s="180">
        <f>+C12</f>
        <v>94680</v>
      </c>
      <c r="D212" s="180">
        <f t="shared" ref="D212:G212" si="21">+D12</f>
        <v>99803</v>
      </c>
      <c r="E212" s="180">
        <f t="shared" si="21"/>
        <v>96995</v>
      </c>
      <c r="F212" s="180">
        <f t="shared" si="21"/>
        <v>93736</v>
      </c>
      <c r="G212" s="180">
        <f t="shared" si="21"/>
        <v>112010</v>
      </c>
    </row>
    <row r="213" spans="2:11" x14ac:dyDescent="0.25">
      <c r="B213" s="610" t="s">
        <v>2693</v>
      </c>
      <c r="C213" s="611">
        <f>-C211/C212</f>
        <v>0.15279890156316012</v>
      </c>
      <c r="D213" s="611">
        <f t="shared" ref="D213:F213" si="22">-D211/D212</f>
        <v>0.14870294480125848</v>
      </c>
      <c r="E213" s="611">
        <f t="shared" si="22"/>
        <v>0.1549048920047425</v>
      </c>
      <c r="F213" s="611">
        <f t="shared" si="22"/>
        <v>0.16252026969360758</v>
      </c>
      <c r="G213" s="611">
        <f>-G211/G212</f>
        <v>0.13767520757075261</v>
      </c>
    </row>
    <row r="216" spans="2:11" x14ac:dyDescent="0.25">
      <c r="B216" s="239" t="s">
        <v>3814</v>
      </c>
      <c r="C216" s="626">
        <v>2021</v>
      </c>
      <c r="D216" s="626">
        <v>2022</v>
      </c>
      <c r="E216" s="626">
        <v>2023</v>
      </c>
      <c r="F216" s="626">
        <v>2024</v>
      </c>
      <c r="G216" s="626">
        <v>2025</v>
      </c>
    </row>
    <row r="217" spans="2:11" x14ac:dyDescent="0.25">
      <c r="B217" s="628" t="s">
        <v>2910</v>
      </c>
      <c r="C217" s="522"/>
      <c r="D217" s="522"/>
      <c r="E217" s="522">
        <f t="shared" ref="E217:G218" si="23">+E165</f>
        <v>118189.33333333334</v>
      </c>
      <c r="F217" s="522">
        <f t="shared" si="23"/>
        <v>125407.33333333334</v>
      </c>
      <c r="G217" s="522">
        <f t="shared" si="23"/>
        <v>135655</v>
      </c>
    </row>
    <row r="218" spans="2:11" x14ac:dyDescent="0.25">
      <c r="B218" s="629" t="s">
        <v>2914</v>
      </c>
      <c r="C218" s="523"/>
      <c r="D218" s="523"/>
      <c r="E218" s="523">
        <f t="shared" si="23"/>
        <v>-17557.55</v>
      </c>
      <c r="F218" s="523">
        <f t="shared" si="23"/>
        <v>-30209.18</v>
      </c>
      <c r="G218" s="523">
        <f t="shared" si="23"/>
        <v>-21266.05</v>
      </c>
    </row>
    <row r="219" spans="2:11" x14ac:dyDescent="0.25">
      <c r="B219" s="630" t="s">
        <v>3018</v>
      </c>
      <c r="C219" s="627"/>
      <c r="D219" s="627"/>
      <c r="E219" s="627">
        <f t="shared" ref="E219:F219" si="24">+SUM(E217:E218)</f>
        <v>100631.78333333334</v>
      </c>
      <c r="F219" s="627">
        <f t="shared" si="24"/>
        <v>95198.15333333335</v>
      </c>
      <c r="G219" s="627">
        <f>+SUM(G217:G218)</f>
        <v>114388.95</v>
      </c>
    </row>
    <row r="220" spans="2:11" x14ac:dyDescent="0.25">
      <c r="B220" s="629" t="s">
        <v>3564</v>
      </c>
      <c r="C220" s="523"/>
      <c r="D220" s="523"/>
      <c r="E220" s="523">
        <f t="shared" ref="E220:G221" si="25">+E42</f>
        <v>11519</v>
      </c>
      <c r="F220" s="523">
        <f t="shared" si="25"/>
        <v>11445</v>
      </c>
      <c r="G220" s="523">
        <f t="shared" si="25"/>
        <v>11698</v>
      </c>
    </row>
    <row r="221" spans="2:11" x14ac:dyDescent="0.25">
      <c r="B221" s="629" t="s">
        <v>3565</v>
      </c>
      <c r="C221" s="523"/>
      <c r="D221" s="523"/>
      <c r="E221" s="523">
        <f t="shared" si="25"/>
        <v>10833</v>
      </c>
      <c r="F221" s="523">
        <f t="shared" si="25"/>
        <v>11688</v>
      </c>
      <c r="G221" s="523">
        <f t="shared" si="25"/>
        <v>12863</v>
      </c>
    </row>
    <row r="222" spans="2:11" x14ac:dyDescent="0.25">
      <c r="B222" s="629" t="s">
        <v>3566</v>
      </c>
      <c r="C222" s="523"/>
      <c r="D222" s="523"/>
      <c r="E222" s="523">
        <f>-(E113-D113)</f>
        <v>1491.0500000000029</v>
      </c>
      <c r="F222" s="523">
        <f>-(F113-E113)</f>
        <v>20151.100000000006</v>
      </c>
      <c r="G222" s="523">
        <f>-(G113-F113)</f>
        <v>-14322.550000000003</v>
      </c>
    </row>
    <row r="223" spans="2:11" x14ac:dyDescent="0.25">
      <c r="B223" s="629" t="s">
        <v>3209</v>
      </c>
      <c r="C223" s="523"/>
      <c r="D223" s="523"/>
      <c r="E223" s="523">
        <f>+E50</f>
        <v>-10959</v>
      </c>
      <c r="F223" s="523">
        <f>+F50</f>
        <v>-9447</v>
      </c>
      <c r="G223" s="523">
        <f>+G50</f>
        <v>-12715</v>
      </c>
    </row>
    <row r="224" spans="2:11" x14ac:dyDescent="0.25">
      <c r="B224" s="631" t="s">
        <v>3567</v>
      </c>
      <c r="C224" s="319"/>
      <c r="D224" s="319"/>
      <c r="E224" s="319">
        <f t="shared" ref="E224:F224" si="26">+SUM(E219:E223)</f>
        <v>113515.83333333334</v>
      </c>
      <c r="F224" s="319">
        <f t="shared" si="26"/>
        <v>129035.25333333336</v>
      </c>
      <c r="G224" s="319">
        <f>+SUM(G219:G223)</f>
        <v>111912.40000000001</v>
      </c>
    </row>
    <row r="228" spans="2:7" x14ac:dyDescent="0.25">
      <c r="B228" s="22" t="s">
        <v>3815</v>
      </c>
      <c r="C228" s="626">
        <v>2021</v>
      </c>
      <c r="D228" s="626">
        <v>2022</v>
      </c>
      <c r="E228" s="626">
        <v>2023</v>
      </c>
      <c r="F228" s="626">
        <v>2024</v>
      </c>
      <c r="G228" s="626">
        <v>2025</v>
      </c>
    </row>
    <row r="229" spans="2:7" x14ac:dyDescent="0.25">
      <c r="B229" s="632" t="s">
        <v>3569</v>
      </c>
      <c r="C229" s="329"/>
      <c r="D229" s="329"/>
      <c r="E229" s="329">
        <f>+E49+E50</f>
        <v>99584</v>
      </c>
      <c r="F229" s="329">
        <f>+F49+F50</f>
        <v>108807</v>
      </c>
      <c r="G229" s="329">
        <f>+G49+G50</f>
        <v>98767</v>
      </c>
    </row>
    <row r="230" spans="2:7" x14ac:dyDescent="0.25">
      <c r="B230" s="632" t="s">
        <v>2918</v>
      </c>
      <c r="C230" s="329"/>
      <c r="D230" s="329"/>
      <c r="E230" s="329">
        <f>+E159</f>
        <v>92749.916666666686</v>
      </c>
      <c r="F230" s="329">
        <f>+F159</f>
        <v>86831.15</v>
      </c>
      <c r="G230" s="329">
        <f>+G159</f>
        <v>116805.7</v>
      </c>
    </row>
    <row r="231" spans="2:7" x14ac:dyDescent="0.25">
      <c r="B231" s="633" t="s">
        <v>3570</v>
      </c>
      <c r="C231" s="634"/>
      <c r="D231" s="634"/>
      <c r="E231" s="634">
        <f t="shared" ref="E231:F231" si="27">+E229/E230</f>
        <v>1.0736829053754764</v>
      </c>
      <c r="F231" s="634">
        <f t="shared" si="27"/>
        <v>1.2530871697541723</v>
      </c>
      <c r="G231" s="634">
        <f>+G229/G230</f>
        <v>0.84556661190335747</v>
      </c>
    </row>
    <row r="233" spans="2:7" x14ac:dyDescent="0.25">
      <c r="C233" s="626">
        <v>2021</v>
      </c>
      <c r="D233" s="626">
        <v>2022</v>
      </c>
      <c r="E233" s="626">
        <v>2023</v>
      </c>
      <c r="F233" s="626">
        <v>2024</v>
      </c>
      <c r="G233" s="626">
        <v>2025</v>
      </c>
    </row>
    <row r="234" spans="2:7" x14ac:dyDescent="0.25">
      <c r="B234" s="632" t="s">
        <v>3571</v>
      </c>
      <c r="C234" s="329"/>
      <c r="D234" s="329"/>
      <c r="E234" s="329">
        <f>+E224</f>
        <v>113515.83333333334</v>
      </c>
      <c r="F234" s="329">
        <f>+F224</f>
        <v>129035.25333333336</v>
      </c>
      <c r="G234" s="329">
        <f>+G224</f>
        <v>111912.40000000001</v>
      </c>
    </row>
    <row r="235" spans="2:7" x14ac:dyDescent="0.25">
      <c r="B235" s="632" t="s">
        <v>2918</v>
      </c>
      <c r="C235" s="329"/>
      <c r="D235" s="329"/>
      <c r="E235" s="329">
        <f>+E230</f>
        <v>92749.916666666686</v>
      </c>
      <c r="F235" s="329">
        <f t="shared" ref="F235:G235" si="28">+F230</f>
        <v>86831.15</v>
      </c>
      <c r="G235" s="329">
        <f t="shared" si="28"/>
        <v>116805.7</v>
      </c>
    </row>
    <row r="236" spans="2:7" x14ac:dyDescent="0.25">
      <c r="B236" s="633" t="s">
        <v>3572</v>
      </c>
      <c r="C236" s="634"/>
      <c r="D236" s="634"/>
      <c r="E236" s="634">
        <f t="shared" ref="E236:G236" si="29">+E234/E235</f>
        <v>1.2238914859761778</v>
      </c>
      <c r="F236" s="634">
        <f t="shared" si="29"/>
        <v>1.4860479601310517</v>
      </c>
      <c r="G236" s="634">
        <f t="shared" si="29"/>
        <v>0.95810735263775659</v>
      </c>
    </row>
    <row r="239" spans="2:7" x14ac:dyDescent="0.25">
      <c r="B239" s="22" t="s">
        <v>3816</v>
      </c>
    </row>
    <row r="240" spans="2:7" x14ac:dyDescent="0.25">
      <c r="B240" s="239"/>
      <c r="C240" s="626">
        <v>2021</v>
      </c>
      <c r="D240" s="626">
        <v>2022</v>
      </c>
      <c r="E240" s="626">
        <v>2023</v>
      </c>
      <c r="F240" s="626">
        <v>2024</v>
      </c>
      <c r="G240" s="626">
        <v>2025</v>
      </c>
    </row>
    <row r="241" spans="2:7" x14ac:dyDescent="0.25">
      <c r="B241" s="628" t="s">
        <v>2910</v>
      </c>
      <c r="C241" s="522"/>
      <c r="D241" s="522"/>
      <c r="E241" s="522">
        <f t="shared" ref="E241:G242" si="30">+E217</f>
        <v>118189.33333333334</v>
      </c>
      <c r="F241" s="522">
        <f t="shared" si="30"/>
        <v>125407.33333333334</v>
      </c>
      <c r="G241" s="522">
        <f t="shared" si="30"/>
        <v>135655</v>
      </c>
    </row>
    <row r="242" spans="2:7" x14ac:dyDescent="0.25">
      <c r="B242" s="629" t="s">
        <v>2914</v>
      </c>
      <c r="C242" s="523"/>
      <c r="D242" s="523"/>
      <c r="E242" s="523">
        <f t="shared" si="30"/>
        <v>-17557.55</v>
      </c>
      <c r="F242" s="523">
        <f t="shared" si="30"/>
        <v>-30209.18</v>
      </c>
      <c r="G242" s="523">
        <f t="shared" si="30"/>
        <v>-21266.05</v>
      </c>
    </row>
    <row r="243" spans="2:7" x14ac:dyDescent="0.25">
      <c r="B243" s="630" t="s">
        <v>3018</v>
      </c>
      <c r="C243" s="627"/>
      <c r="D243" s="627"/>
      <c r="E243" s="627">
        <f>+SUM(E241:E242)</f>
        <v>100631.78333333334</v>
      </c>
      <c r="F243" s="627">
        <f t="shared" ref="F243:G243" si="31">+SUM(F241:F242)</f>
        <v>95198.15333333335</v>
      </c>
      <c r="G243" s="627">
        <f t="shared" si="31"/>
        <v>114388.95</v>
      </c>
    </row>
    <row r="244" spans="2:7" x14ac:dyDescent="0.25">
      <c r="B244" s="629" t="s">
        <v>3564</v>
      </c>
      <c r="C244" s="523"/>
      <c r="D244" s="523"/>
      <c r="E244" s="523">
        <f>+E220</f>
        <v>11519</v>
      </c>
      <c r="F244" s="523">
        <f>+F220</f>
        <v>11445</v>
      </c>
      <c r="G244" s="523">
        <f>+G220</f>
        <v>11698</v>
      </c>
    </row>
    <row r="245" spans="2:7" x14ac:dyDescent="0.25">
      <c r="B245" s="635" t="s">
        <v>3565</v>
      </c>
      <c r="C245" s="636"/>
      <c r="D245" s="636"/>
      <c r="E245" s="636">
        <v>0</v>
      </c>
      <c r="F245" s="636">
        <v>0</v>
      </c>
      <c r="G245" s="636">
        <v>0</v>
      </c>
    </row>
    <row r="246" spans="2:7" x14ac:dyDescent="0.25">
      <c r="B246" s="629" t="s">
        <v>3566</v>
      </c>
      <c r="C246" s="523"/>
      <c r="D246" s="523"/>
      <c r="E246" s="523">
        <f t="shared" ref="E246:G247" si="32">+E222</f>
        <v>1491.0500000000029</v>
      </c>
      <c r="F246" s="523">
        <f t="shared" si="32"/>
        <v>20151.100000000006</v>
      </c>
      <c r="G246" s="523">
        <f t="shared" si="32"/>
        <v>-14322.550000000003</v>
      </c>
    </row>
    <row r="247" spans="2:7" x14ac:dyDescent="0.25">
      <c r="B247" s="629" t="s">
        <v>3209</v>
      </c>
      <c r="C247" s="523"/>
      <c r="D247" s="523"/>
      <c r="E247" s="523">
        <f t="shared" si="32"/>
        <v>-10959</v>
      </c>
      <c r="F247" s="523">
        <f t="shared" si="32"/>
        <v>-9447</v>
      </c>
      <c r="G247" s="523">
        <f t="shared" si="32"/>
        <v>-12715</v>
      </c>
    </row>
    <row r="248" spans="2:7" x14ac:dyDescent="0.25">
      <c r="B248" s="631" t="s">
        <v>3567</v>
      </c>
      <c r="C248" s="319"/>
      <c r="D248" s="319"/>
      <c r="E248" s="319">
        <f>+SUM(E243:E247)</f>
        <v>102682.83333333334</v>
      </c>
      <c r="F248" s="319">
        <f t="shared" ref="F248:G248" si="33">+SUM(F243:F247)</f>
        <v>117347.25333333336</v>
      </c>
      <c r="G248" s="319">
        <f t="shared" si="33"/>
        <v>99049.4</v>
      </c>
    </row>
    <row r="250" spans="2:7" x14ac:dyDescent="0.25">
      <c r="C250" s="626">
        <v>2021</v>
      </c>
      <c r="D250" s="626">
        <v>2022</v>
      </c>
      <c r="E250" s="626">
        <v>2023</v>
      </c>
      <c r="F250" s="626">
        <v>2024</v>
      </c>
      <c r="G250" s="626">
        <v>2025</v>
      </c>
    </row>
    <row r="251" spans="2:7" x14ac:dyDescent="0.25">
      <c r="B251" s="632" t="s">
        <v>3571</v>
      </c>
      <c r="C251" s="329"/>
      <c r="D251" s="329"/>
      <c r="E251" s="329">
        <f>+E248</f>
        <v>102682.83333333334</v>
      </c>
      <c r="F251" s="329">
        <f t="shared" ref="F251:G251" si="34">+F248</f>
        <v>117347.25333333336</v>
      </c>
      <c r="G251" s="329">
        <f t="shared" si="34"/>
        <v>99049.4</v>
      </c>
    </row>
    <row r="252" spans="2:7" x14ac:dyDescent="0.25">
      <c r="B252" s="632" t="s">
        <v>2918</v>
      </c>
      <c r="C252" s="329"/>
      <c r="D252" s="329"/>
      <c r="E252" s="329">
        <f>+E235</f>
        <v>92749.916666666686</v>
      </c>
      <c r="F252" s="329">
        <f>+F235</f>
        <v>86831.15</v>
      </c>
      <c r="G252" s="329">
        <f>+G235</f>
        <v>116805.7</v>
      </c>
    </row>
    <row r="253" spans="2:7" x14ac:dyDescent="0.25">
      <c r="B253" s="633" t="s">
        <v>3572</v>
      </c>
      <c r="C253" s="634"/>
      <c r="D253" s="634"/>
      <c r="E253" s="634">
        <f t="shared" ref="E253:G253" si="35">+E251/E252</f>
        <v>1.1070935373706534</v>
      </c>
      <c r="F253" s="634">
        <f t="shared" si="35"/>
        <v>1.3514418884620711</v>
      </c>
      <c r="G253" s="634">
        <f t="shared" si="35"/>
        <v>0.84798430213594023</v>
      </c>
    </row>
    <row r="255" spans="2:7" x14ac:dyDescent="0.25">
      <c r="B255" s="22" t="s">
        <v>3819</v>
      </c>
    </row>
    <row r="256" spans="2:7" x14ac:dyDescent="0.25">
      <c r="B256" s="637" t="s">
        <v>3017</v>
      </c>
      <c r="C256" s="626">
        <v>2021</v>
      </c>
      <c r="D256" s="626">
        <v>2022</v>
      </c>
      <c r="E256" s="626">
        <v>2023</v>
      </c>
      <c r="F256" s="626">
        <v>2024</v>
      </c>
      <c r="G256" s="638">
        <v>2025</v>
      </c>
    </row>
    <row r="257" spans="2:7" x14ac:dyDescent="0.25">
      <c r="B257" s="629" t="s">
        <v>3005</v>
      </c>
      <c r="C257" s="523"/>
      <c r="D257" s="523"/>
      <c r="E257" s="523">
        <f>+E12</f>
        <v>96995</v>
      </c>
      <c r="F257" s="523">
        <f t="shared" ref="F257:G257" si="36">+F12</f>
        <v>93736</v>
      </c>
      <c r="G257" s="523">
        <f t="shared" si="36"/>
        <v>112010</v>
      </c>
    </row>
    <row r="258" spans="2:7" x14ac:dyDescent="0.25">
      <c r="B258" s="629" t="s">
        <v>3006</v>
      </c>
      <c r="C258" s="523"/>
      <c r="D258" s="523"/>
      <c r="E258" s="523">
        <f>+E244</f>
        <v>11519</v>
      </c>
      <c r="F258" s="523">
        <f t="shared" ref="F258:G258" si="37">+F244</f>
        <v>11445</v>
      </c>
      <c r="G258" s="516">
        <f t="shared" si="37"/>
        <v>11698</v>
      </c>
    </row>
    <row r="259" spans="2:7" x14ac:dyDescent="0.25">
      <c r="B259" s="635" t="s">
        <v>3213</v>
      </c>
      <c r="C259" s="636"/>
      <c r="D259" s="636"/>
      <c r="E259" s="636">
        <v>0</v>
      </c>
      <c r="F259" s="636">
        <v>0</v>
      </c>
      <c r="G259" s="903">
        <v>0</v>
      </c>
    </row>
    <row r="260" spans="2:7" x14ac:dyDescent="0.25">
      <c r="B260" s="629" t="s">
        <v>3007</v>
      </c>
      <c r="C260" s="523"/>
      <c r="D260" s="523"/>
      <c r="E260" s="523">
        <f>+E247</f>
        <v>-10959</v>
      </c>
      <c r="F260" s="523">
        <f t="shared" ref="F260:G260" si="38">+F247</f>
        <v>-9447</v>
      </c>
      <c r="G260" s="516">
        <f t="shared" si="38"/>
        <v>-12715</v>
      </c>
    </row>
    <row r="261" spans="2:7" x14ac:dyDescent="0.25">
      <c r="B261" s="629" t="s">
        <v>3011</v>
      </c>
      <c r="C261" s="523"/>
      <c r="D261" s="523"/>
      <c r="E261" s="523">
        <f>+E246</f>
        <v>1491.0500000000029</v>
      </c>
      <c r="F261" s="523">
        <f t="shared" ref="F261:G261" si="39">+F246</f>
        <v>20151.100000000006</v>
      </c>
      <c r="G261" s="516">
        <f t="shared" si="39"/>
        <v>-14322.550000000003</v>
      </c>
    </row>
    <row r="262" spans="2:7" x14ac:dyDescent="0.25">
      <c r="B262" s="733" t="s">
        <v>3012</v>
      </c>
      <c r="C262" s="524"/>
      <c r="D262" s="524"/>
      <c r="E262" s="524">
        <f>+SUM(E257:E261)</f>
        <v>99046.05</v>
      </c>
      <c r="F262" s="524">
        <f t="shared" ref="F262:G262" si="40">+SUM(F257:F261)</f>
        <v>115885.1</v>
      </c>
      <c r="G262" s="518">
        <f t="shared" si="40"/>
        <v>96670.45</v>
      </c>
    </row>
    <row r="263" spans="2:7" x14ac:dyDescent="0.25">
      <c r="B263" s="629" t="s">
        <v>3206</v>
      </c>
      <c r="C263" s="523"/>
      <c r="D263" s="523"/>
      <c r="E263" s="523">
        <f>+E54+E55</f>
        <v>-9901</v>
      </c>
      <c r="F263" s="523">
        <f>+F54+F55</f>
        <v>-5998</v>
      </c>
      <c r="G263" s="516">
        <f>+G54+G55</f>
        <v>-8483</v>
      </c>
    </row>
    <row r="264" spans="2:7" x14ac:dyDescent="0.25">
      <c r="B264" s="904" t="s">
        <v>3573</v>
      </c>
      <c r="C264" s="668"/>
      <c r="D264" s="668"/>
      <c r="E264" s="668">
        <f>+SUM(E262:E263)</f>
        <v>89145.05</v>
      </c>
      <c r="F264" s="668">
        <f t="shared" ref="F264:G264" si="41">+SUM(F262:F263)</f>
        <v>109887.1</v>
      </c>
      <c r="G264" s="905">
        <f t="shared" si="41"/>
        <v>88187.45</v>
      </c>
    </row>
    <row r="265" spans="2:7" x14ac:dyDescent="0.25">
      <c r="B265" s="208"/>
      <c r="E265" s="190"/>
      <c r="F265" s="190"/>
    </row>
    <row r="266" spans="2:7" x14ac:dyDescent="0.25">
      <c r="B266" s="637" t="s">
        <v>3017</v>
      </c>
      <c r="C266" s="626">
        <v>2021</v>
      </c>
      <c r="D266" s="626">
        <v>2022</v>
      </c>
      <c r="E266" s="626">
        <v>2023</v>
      </c>
      <c r="F266" s="626">
        <v>2024</v>
      </c>
      <c r="G266" s="638">
        <v>2025</v>
      </c>
    </row>
    <row r="267" spans="2:7" x14ac:dyDescent="0.25">
      <c r="B267" s="629" t="s">
        <v>3005</v>
      </c>
      <c r="C267" s="523"/>
      <c r="D267" s="523"/>
      <c r="E267" s="523">
        <f>+E257</f>
        <v>96995</v>
      </c>
      <c r="F267" s="523">
        <f t="shared" ref="F267:G267" si="42">+F257</f>
        <v>93736</v>
      </c>
      <c r="G267" s="523">
        <f t="shared" si="42"/>
        <v>112010</v>
      </c>
    </row>
    <row r="268" spans="2:7" x14ac:dyDescent="0.25">
      <c r="B268" s="629" t="s">
        <v>3006</v>
      </c>
      <c r="C268" s="523"/>
      <c r="D268" s="523"/>
      <c r="E268" s="523">
        <f t="shared" ref="E268:G268" si="43">+E258</f>
        <v>11519</v>
      </c>
      <c r="F268" s="523">
        <f t="shared" si="43"/>
        <v>11445</v>
      </c>
      <c r="G268" s="523">
        <f t="shared" si="43"/>
        <v>11698</v>
      </c>
    </row>
    <row r="269" spans="2:7" x14ac:dyDescent="0.25">
      <c r="B269" s="629" t="s">
        <v>3213</v>
      </c>
      <c r="C269" s="523"/>
      <c r="D269" s="523"/>
      <c r="E269" s="523">
        <f>+E43</f>
        <v>10833</v>
      </c>
      <c r="F269" s="523">
        <f>+F43</f>
        <v>11688</v>
      </c>
      <c r="G269" s="523">
        <f>+G43</f>
        <v>12863</v>
      </c>
    </row>
    <row r="270" spans="2:7" x14ac:dyDescent="0.25">
      <c r="B270" s="629" t="s">
        <v>3007</v>
      </c>
      <c r="C270" s="523"/>
      <c r="D270" s="523"/>
      <c r="E270" s="523">
        <f t="shared" ref="E270:G271" si="44">+E260</f>
        <v>-10959</v>
      </c>
      <c r="F270" s="523">
        <f t="shared" si="44"/>
        <v>-9447</v>
      </c>
      <c r="G270" s="523">
        <f t="shared" si="44"/>
        <v>-12715</v>
      </c>
    </row>
    <row r="271" spans="2:7" x14ac:dyDescent="0.25">
      <c r="B271" s="629" t="s">
        <v>3011</v>
      </c>
      <c r="C271" s="523"/>
      <c r="D271" s="523"/>
      <c r="E271" s="523">
        <f t="shared" si="44"/>
        <v>1491.0500000000029</v>
      </c>
      <c r="F271" s="523">
        <f t="shared" si="44"/>
        <v>20151.100000000006</v>
      </c>
      <c r="G271" s="523">
        <f t="shared" si="44"/>
        <v>-14322.550000000003</v>
      </c>
    </row>
    <row r="272" spans="2:7" x14ac:dyDescent="0.25">
      <c r="B272" s="733" t="s">
        <v>3012</v>
      </c>
      <c r="C272" s="524"/>
      <c r="D272" s="524"/>
      <c r="E272" s="524">
        <f>+SUM(E267:E271)</f>
        <v>109879.05</v>
      </c>
      <c r="F272" s="524">
        <f t="shared" ref="F272:G272" si="45">+SUM(F267:F271)</f>
        <v>127573.1</v>
      </c>
      <c r="G272" s="518">
        <f t="shared" si="45"/>
        <v>109533.45</v>
      </c>
    </row>
    <row r="273" spans="2:7" x14ac:dyDescent="0.25">
      <c r="B273" s="629" t="s">
        <v>3206</v>
      </c>
      <c r="C273" s="523"/>
      <c r="D273" s="523"/>
      <c r="E273" s="523">
        <f>+E263</f>
        <v>-9901</v>
      </c>
      <c r="F273" s="523">
        <f t="shared" ref="F273:G273" si="46">+F263</f>
        <v>-5998</v>
      </c>
      <c r="G273" s="523">
        <f t="shared" si="46"/>
        <v>-8483</v>
      </c>
    </row>
    <row r="274" spans="2:7" x14ac:dyDescent="0.25">
      <c r="B274" s="904" t="s">
        <v>3573</v>
      </c>
      <c r="C274" s="668"/>
      <c r="D274" s="668"/>
      <c r="E274" s="668">
        <f>+SUM(E272:E273)</f>
        <v>99978.05</v>
      </c>
      <c r="F274" s="668">
        <f t="shared" ref="F274:G274" si="47">+SUM(F272:F273)</f>
        <v>121575.1</v>
      </c>
      <c r="G274" s="905">
        <f t="shared" si="47"/>
        <v>101050.45</v>
      </c>
    </row>
    <row r="277" spans="2:7" x14ac:dyDescent="0.25">
      <c r="B277" s="208"/>
      <c r="C277" s="626">
        <v>2021</v>
      </c>
      <c r="D277" s="626">
        <v>2022</v>
      </c>
      <c r="E277" s="626">
        <v>2023</v>
      </c>
      <c r="F277" s="626">
        <v>2024</v>
      </c>
      <c r="G277" s="638">
        <v>2025</v>
      </c>
    </row>
    <row r="278" spans="2:7" x14ac:dyDescent="0.25">
      <c r="B278" s="628" t="s">
        <v>3574</v>
      </c>
      <c r="C278" s="522"/>
      <c r="D278" s="522"/>
      <c r="E278" s="522">
        <f>+E59</f>
        <v>-15025</v>
      </c>
      <c r="F278" s="522">
        <f>+F59</f>
        <v>-15234</v>
      </c>
      <c r="G278" s="906">
        <f>+G59</f>
        <v>-15421</v>
      </c>
    </row>
    <row r="279" spans="2:7" x14ac:dyDescent="0.25">
      <c r="B279" s="629" t="s">
        <v>3207</v>
      </c>
      <c r="C279" s="523"/>
      <c r="D279" s="523"/>
      <c r="E279" s="523">
        <f>+E12</f>
        <v>96995</v>
      </c>
      <c r="F279" s="523">
        <f t="shared" ref="F279:G279" si="48">+F12</f>
        <v>93736</v>
      </c>
      <c r="G279" s="523">
        <f t="shared" si="48"/>
        <v>112010</v>
      </c>
    </row>
    <row r="280" spans="2:7" x14ac:dyDescent="0.25">
      <c r="B280" s="907" t="s">
        <v>2693</v>
      </c>
      <c r="C280" s="908"/>
      <c r="D280" s="908"/>
      <c r="E280" s="908">
        <f>+-E278/E279</f>
        <v>0.1549048920047425</v>
      </c>
      <c r="F280" s="908">
        <f t="shared" ref="F280:G280" si="49">+-F278/F279</f>
        <v>0.16252026969360758</v>
      </c>
      <c r="G280" s="909">
        <f t="shared" si="49"/>
        <v>0.13767520757075261</v>
      </c>
    </row>
    <row r="282" spans="2:7" x14ac:dyDescent="0.25">
      <c r="B282" s="22" t="s">
        <v>3822</v>
      </c>
      <c r="C282" s="626">
        <v>2021</v>
      </c>
      <c r="D282" s="626">
        <v>2022</v>
      </c>
      <c r="E282" s="626">
        <v>2023</v>
      </c>
      <c r="F282" s="626">
        <v>2024</v>
      </c>
      <c r="G282" s="638">
        <v>2025</v>
      </c>
    </row>
    <row r="283" spans="2:7" x14ac:dyDescent="0.25">
      <c r="B283" s="628" t="s">
        <v>3215</v>
      </c>
      <c r="C283" s="522"/>
      <c r="D283" s="522"/>
      <c r="E283" s="522">
        <f>+E189</f>
        <v>-77550</v>
      </c>
      <c r="F283" s="522">
        <f>+F189</f>
        <v>-94949</v>
      </c>
      <c r="G283" s="906">
        <f>+G58</f>
        <v>-90711</v>
      </c>
    </row>
    <row r="284" spans="2:7" x14ac:dyDescent="0.25">
      <c r="B284" s="629" t="s">
        <v>3152</v>
      </c>
      <c r="C284" s="523"/>
      <c r="D284" s="523"/>
      <c r="E284" s="523">
        <f>+E278</f>
        <v>-15025</v>
      </c>
      <c r="F284" s="523">
        <f>+F278</f>
        <v>-15234</v>
      </c>
      <c r="G284" s="516">
        <f>+G278</f>
        <v>-15421</v>
      </c>
    </row>
    <row r="285" spans="2:7" x14ac:dyDescent="0.25">
      <c r="B285" s="910" t="s">
        <v>3536</v>
      </c>
      <c r="C285" s="911"/>
      <c r="D285" s="911"/>
      <c r="E285" s="911">
        <f>+SUM(E283:E284)</f>
        <v>-92575</v>
      </c>
      <c r="F285" s="911">
        <f t="shared" ref="F285:G285" si="50">+SUM(F283:F284)</f>
        <v>-110183</v>
      </c>
      <c r="G285" s="912">
        <f t="shared" si="50"/>
        <v>-106132</v>
      </c>
    </row>
    <row r="286" spans="2:7" x14ac:dyDescent="0.25">
      <c r="B286" s="910" t="s">
        <v>3576</v>
      </c>
      <c r="C286" s="911"/>
      <c r="D286" s="911"/>
      <c r="E286" s="911">
        <f>+E264</f>
        <v>89145.05</v>
      </c>
      <c r="F286" s="911">
        <f>+F264</f>
        <v>109887.1</v>
      </c>
      <c r="G286" s="912">
        <f>+G264</f>
        <v>88187.45</v>
      </c>
    </row>
    <row r="287" spans="2:7" x14ac:dyDescent="0.25">
      <c r="B287" s="907" t="s">
        <v>3217</v>
      </c>
      <c r="C287" s="908"/>
      <c r="D287" s="908"/>
      <c r="E287" s="908">
        <f>-E285/E286</f>
        <v>1.0384760567187969</v>
      </c>
      <c r="F287" s="908">
        <f t="shared" ref="F287:G287" si="51">-F285/F286</f>
        <v>1.0026927637547991</v>
      </c>
      <c r="G287" s="909">
        <f t="shared" si="51"/>
        <v>1.2034819013363014</v>
      </c>
    </row>
    <row r="288" spans="2:7" x14ac:dyDescent="0.25">
      <c r="B288" s="913" t="s">
        <v>3577</v>
      </c>
      <c r="E288" s="902"/>
    </row>
    <row r="289" spans="2:9" x14ac:dyDescent="0.25">
      <c r="B289" s="902"/>
      <c r="E289" s="902"/>
    </row>
    <row r="290" spans="2:9" x14ac:dyDescent="0.25">
      <c r="C290" s="626">
        <v>2021</v>
      </c>
      <c r="D290" s="626">
        <v>2022</v>
      </c>
      <c r="E290" s="626">
        <v>2023</v>
      </c>
      <c r="F290" s="626">
        <v>2024</v>
      </c>
      <c r="G290" s="638">
        <v>2025</v>
      </c>
    </row>
    <row r="291" spans="2:9" x14ac:dyDescent="0.25">
      <c r="B291" s="628" t="s">
        <v>3215</v>
      </c>
      <c r="C291" s="522">
        <f t="shared" ref="C291:D291" si="52">+C283</f>
        <v>0</v>
      </c>
      <c r="D291" s="522">
        <f t="shared" si="52"/>
        <v>0</v>
      </c>
      <c r="E291" s="522">
        <f>+E283</f>
        <v>-77550</v>
      </c>
      <c r="F291" s="522">
        <f t="shared" ref="F291:G292" si="53">+F283</f>
        <v>-94949</v>
      </c>
      <c r="G291" s="522">
        <f t="shared" si="53"/>
        <v>-90711</v>
      </c>
    </row>
    <row r="292" spans="2:9" x14ac:dyDescent="0.25">
      <c r="B292" s="629" t="s">
        <v>3152</v>
      </c>
      <c r="C292" s="523">
        <f t="shared" ref="C292:D292" si="54">+C284</f>
        <v>0</v>
      </c>
      <c r="D292" s="523">
        <f t="shared" si="54"/>
        <v>0</v>
      </c>
      <c r="E292" s="523">
        <f>+E284</f>
        <v>-15025</v>
      </c>
      <c r="F292" s="523">
        <f t="shared" si="53"/>
        <v>-15234</v>
      </c>
      <c r="G292" s="523">
        <f t="shared" si="53"/>
        <v>-15421</v>
      </c>
    </row>
    <row r="293" spans="2:9" x14ac:dyDescent="0.25">
      <c r="B293" s="910" t="s">
        <v>3536</v>
      </c>
      <c r="C293" s="911">
        <f t="shared" ref="C293:D293" si="55">+SUM(C291:C292)</f>
        <v>0</v>
      </c>
      <c r="D293" s="911">
        <f t="shared" si="55"/>
        <v>0</v>
      </c>
      <c r="E293" s="911">
        <f>+SUM(E291:E292)</f>
        <v>-92575</v>
      </c>
      <c r="F293" s="911">
        <f t="shared" ref="F293:G293" si="56">+SUM(F291:F292)</f>
        <v>-110183</v>
      </c>
      <c r="G293" s="912">
        <f t="shared" si="56"/>
        <v>-106132</v>
      </c>
    </row>
    <row r="294" spans="2:9" x14ac:dyDescent="0.25">
      <c r="B294" s="910" t="s">
        <v>3575</v>
      </c>
      <c r="C294" s="911">
        <f t="shared" ref="C294:D294" si="57">+C274</f>
        <v>0</v>
      </c>
      <c r="D294" s="911">
        <f t="shared" si="57"/>
        <v>0</v>
      </c>
      <c r="E294" s="911">
        <f>+E274</f>
        <v>99978.05</v>
      </c>
      <c r="F294" s="911">
        <f t="shared" ref="F294:G294" si="58">+F274</f>
        <v>121575.1</v>
      </c>
      <c r="G294" s="911">
        <f t="shared" si="58"/>
        <v>101050.45</v>
      </c>
    </row>
    <row r="295" spans="2:9" x14ac:dyDescent="0.25">
      <c r="B295" s="907" t="s">
        <v>3217</v>
      </c>
      <c r="C295" s="908"/>
      <c r="D295" s="908"/>
      <c r="E295" s="908">
        <f>-E293/E294</f>
        <v>0.92595324673765889</v>
      </c>
      <c r="F295" s="908">
        <f t="shared" ref="F295:G295" si="59">-F293/F294</f>
        <v>0.90629577931665284</v>
      </c>
      <c r="G295" s="909">
        <f t="shared" si="59"/>
        <v>1.050287257503554</v>
      </c>
    </row>
    <row r="296" spans="2:9" x14ac:dyDescent="0.25">
      <c r="B296" s="913"/>
      <c r="C296" s="902"/>
      <c r="I296" s="894"/>
    </row>
    <row r="297" spans="2:9" x14ac:dyDescent="0.25">
      <c r="I297" s="894"/>
    </row>
    <row r="298" spans="2:9" x14ac:dyDescent="0.25">
      <c r="B298" s="22" t="s">
        <v>3828</v>
      </c>
      <c r="C298" s="644">
        <v>2021</v>
      </c>
      <c r="D298" s="644">
        <v>2022</v>
      </c>
      <c r="E298" s="644">
        <v>2023</v>
      </c>
      <c r="F298" s="644">
        <v>2024</v>
      </c>
      <c r="G298" s="644">
        <v>2025</v>
      </c>
      <c r="I298" s="894"/>
    </row>
    <row r="299" spans="2:9" x14ac:dyDescent="0.25">
      <c r="B299" s="632" t="s">
        <v>3584</v>
      </c>
      <c r="C299" s="522"/>
      <c r="D299" s="522">
        <f>+D12</f>
        <v>99803</v>
      </c>
      <c r="E299" s="522">
        <f t="shared" ref="E299:G299" si="60">+E12</f>
        <v>96995</v>
      </c>
      <c r="F299" s="522">
        <f t="shared" si="60"/>
        <v>93736</v>
      </c>
      <c r="G299" s="522">
        <f t="shared" si="60"/>
        <v>112010</v>
      </c>
      <c r="I299" s="894"/>
    </row>
    <row r="300" spans="2:9" x14ac:dyDescent="0.25">
      <c r="B300" s="632" t="s">
        <v>2931</v>
      </c>
      <c r="C300" s="522"/>
      <c r="D300" s="522">
        <f>+D36</f>
        <v>50672</v>
      </c>
      <c r="E300" s="522">
        <f>+E36</f>
        <v>62146</v>
      </c>
      <c r="F300" s="522">
        <f>+F36</f>
        <v>56950</v>
      </c>
      <c r="G300" s="522">
        <f>+G36</f>
        <v>73733</v>
      </c>
      <c r="I300" s="894"/>
    </row>
    <row r="301" spans="2:9" x14ac:dyDescent="0.25">
      <c r="B301" s="914" t="s">
        <v>2207</v>
      </c>
      <c r="C301" s="915"/>
      <c r="D301" s="915">
        <f>+D299/D300</f>
        <v>1.9695887275023682</v>
      </c>
      <c r="E301" s="915">
        <f t="shared" ref="E301:G301" si="61">+E299/E300</f>
        <v>1.5607601454639075</v>
      </c>
      <c r="F301" s="915">
        <f t="shared" si="61"/>
        <v>1.6459350307287095</v>
      </c>
      <c r="G301" s="915">
        <f t="shared" si="61"/>
        <v>1.5191298333175105</v>
      </c>
      <c r="I301" s="894"/>
    </row>
    <row r="302" spans="2:9" x14ac:dyDescent="0.25">
      <c r="I302" s="894"/>
    </row>
    <row r="304" spans="2:9" x14ac:dyDescent="0.25">
      <c r="B304" s="22" t="s">
        <v>3829</v>
      </c>
    </row>
    <row r="305" spans="2:7" x14ac:dyDescent="0.25">
      <c r="B305" s="648" t="s">
        <v>3028</v>
      </c>
      <c r="C305" s="644"/>
      <c r="D305" s="644">
        <v>2022</v>
      </c>
      <c r="E305" s="644">
        <v>2023</v>
      </c>
      <c r="F305" s="644">
        <v>2024</v>
      </c>
      <c r="G305" s="644">
        <v>2025</v>
      </c>
    </row>
    <row r="306" spans="2:7" x14ac:dyDescent="0.25">
      <c r="B306" s="632" t="s">
        <v>3029</v>
      </c>
      <c r="C306" s="329"/>
      <c r="D306" s="329">
        <f>+D299</f>
        <v>99803</v>
      </c>
      <c r="E306" s="329">
        <f t="shared" ref="E306:G306" si="62">+E299</f>
        <v>96995</v>
      </c>
      <c r="F306" s="329">
        <f t="shared" si="62"/>
        <v>93736</v>
      </c>
      <c r="G306" s="329">
        <f t="shared" si="62"/>
        <v>112010</v>
      </c>
    </row>
    <row r="307" spans="2:7" x14ac:dyDescent="0.25">
      <c r="B307" s="632" t="s">
        <v>3003</v>
      </c>
      <c r="C307" s="329"/>
      <c r="D307" s="329">
        <f>+D10</f>
        <v>119103</v>
      </c>
      <c r="E307" s="329">
        <f t="shared" ref="E307:G307" si="63">+E10</f>
        <v>113736</v>
      </c>
      <c r="F307" s="329">
        <f t="shared" si="63"/>
        <v>123485</v>
      </c>
      <c r="G307" s="329">
        <f t="shared" si="63"/>
        <v>132729</v>
      </c>
    </row>
    <row r="308" spans="2:7" x14ac:dyDescent="0.25">
      <c r="B308" s="914" t="s">
        <v>3030</v>
      </c>
      <c r="C308" s="915"/>
      <c r="D308" s="915">
        <f>+D306/D307</f>
        <v>0.83795538315575591</v>
      </c>
      <c r="E308" s="915">
        <f t="shared" ref="E308:G308" si="64">+E306/E307</f>
        <v>0.85280825771963142</v>
      </c>
      <c r="F308" s="915">
        <f t="shared" si="64"/>
        <v>0.75908814835810012</v>
      </c>
      <c r="G308" s="915">
        <f t="shared" si="64"/>
        <v>0.84389997664413952</v>
      </c>
    </row>
    <row r="309" spans="2:7" x14ac:dyDescent="0.25">
      <c r="B309" s="632" t="s">
        <v>3003</v>
      </c>
      <c r="C309" s="329"/>
      <c r="D309" s="329">
        <f>+D307</f>
        <v>119103</v>
      </c>
      <c r="E309" s="329">
        <f t="shared" ref="E309:G309" si="65">+E307</f>
        <v>113736</v>
      </c>
      <c r="F309" s="329">
        <f t="shared" si="65"/>
        <v>123485</v>
      </c>
      <c r="G309" s="329">
        <f t="shared" si="65"/>
        <v>132729</v>
      </c>
    </row>
    <row r="310" spans="2:7" x14ac:dyDescent="0.25">
      <c r="B310" s="632" t="s">
        <v>2895</v>
      </c>
      <c r="C310" s="329"/>
      <c r="D310" s="329">
        <f>+D8</f>
        <v>119437</v>
      </c>
      <c r="E310" s="329">
        <f t="shared" ref="E310:G310" si="66">+E8</f>
        <v>114301</v>
      </c>
      <c r="F310" s="329">
        <f t="shared" si="66"/>
        <v>123216</v>
      </c>
      <c r="G310" s="329">
        <f t="shared" si="66"/>
        <v>133050</v>
      </c>
    </row>
    <row r="311" spans="2:7" x14ac:dyDescent="0.25">
      <c r="B311" s="916" t="s">
        <v>3585</v>
      </c>
      <c r="C311" s="915"/>
      <c r="D311" s="915">
        <f>+D309/D310</f>
        <v>0.99720354663965105</v>
      </c>
      <c r="E311" s="915">
        <f t="shared" ref="E311:G311" si="67">+E309/E310</f>
        <v>0.99505691113813532</v>
      </c>
      <c r="F311" s="915">
        <f t="shared" si="67"/>
        <v>1.0021831580314244</v>
      </c>
      <c r="G311" s="915">
        <f t="shared" si="67"/>
        <v>0.99758737316798196</v>
      </c>
    </row>
    <row r="312" spans="2:7" x14ac:dyDescent="0.25">
      <c r="B312" s="632" t="s">
        <v>2895</v>
      </c>
      <c r="C312" s="329"/>
      <c r="D312" s="329">
        <f>+D310</f>
        <v>119437</v>
      </c>
      <c r="E312" s="329">
        <f t="shared" ref="E312:G312" si="68">+E310</f>
        <v>114301</v>
      </c>
      <c r="F312" s="329">
        <f t="shared" si="68"/>
        <v>123216</v>
      </c>
      <c r="G312" s="329">
        <f t="shared" si="68"/>
        <v>133050</v>
      </c>
    </row>
    <row r="313" spans="2:7" x14ac:dyDescent="0.25">
      <c r="B313" s="632" t="s">
        <v>3032</v>
      </c>
      <c r="C313" s="329"/>
      <c r="D313" s="329">
        <f>+D4</f>
        <v>394328</v>
      </c>
      <c r="E313" s="329">
        <f t="shared" ref="E313:G313" si="69">+E4</f>
        <v>383285</v>
      </c>
      <c r="F313" s="329">
        <f t="shared" si="69"/>
        <v>391035</v>
      </c>
      <c r="G313" s="329">
        <f t="shared" si="69"/>
        <v>416161</v>
      </c>
    </row>
    <row r="314" spans="2:7" x14ac:dyDescent="0.25">
      <c r="B314" s="916" t="s">
        <v>3033</v>
      </c>
      <c r="C314" s="915"/>
      <c r="D314" s="915">
        <f>+D312/D313</f>
        <v>0.30288744395528594</v>
      </c>
      <c r="E314" s="915">
        <f t="shared" ref="E314:G314" si="70">+E312/E313</f>
        <v>0.29821412265024722</v>
      </c>
      <c r="F314" s="915">
        <f t="shared" si="70"/>
        <v>0.31510222870075566</v>
      </c>
      <c r="G314" s="915">
        <f t="shared" si="70"/>
        <v>0.31970799762591884</v>
      </c>
    </row>
    <row r="315" spans="2:7" x14ac:dyDescent="0.25">
      <c r="B315" s="632" t="s">
        <v>3034</v>
      </c>
      <c r="C315" s="329"/>
      <c r="D315" s="329">
        <f>+D313</f>
        <v>394328</v>
      </c>
      <c r="E315" s="329">
        <f t="shared" ref="E315:G315" si="71">+E313</f>
        <v>383285</v>
      </c>
      <c r="F315" s="329">
        <f t="shared" si="71"/>
        <v>391035</v>
      </c>
      <c r="G315" s="329">
        <f t="shared" si="71"/>
        <v>416161</v>
      </c>
    </row>
    <row r="316" spans="2:7" x14ac:dyDescent="0.25">
      <c r="B316" s="632" t="s">
        <v>3035</v>
      </c>
      <c r="C316" s="329"/>
      <c r="D316" s="329">
        <f>+D27</f>
        <v>352755</v>
      </c>
      <c r="E316" s="329">
        <f>+E27</f>
        <v>352583</v>
      </c>
      <c r="F316" s="329">
        <f>+F27</f>
        <v>364980</v>
      </c>
      <c r="G316" s="329">
        <f>+G27</f>
        <v>359241</v>
      </c>
    </row>
    <row r="317" spans="2:7" x14ac:dyDescent="0.25">
      <c r="B317" s="916" t="s">
        <v>3036</v>
      </c>
      <c r="C317" s="915"/>
      <c r="D317" s="915">
        <f>+D315/D316</f>
        <v>1.1178523337727317</v>
      </c>
      <c r="E317" s="915">
        <f t="shared" ref="E317:G317" si="72">+E315/E316</f>
        <v>1.0870773690166571</v>
      </c>
      <c r="F317" s="915">
        <f t="shared" si="72"/>
        <v>1.0713874732862074</v>
      </c>
      <c r="G317" s="915">
        <f t="shared" si="72"/>
        <v>1.1584451663368045</v>
      </c>
    </row>
    <row r="318" spans="2:7" x14ac:dyDescent="0.25">
      <c r="B318" s="632" t="s">
        <v>3035</v>
      </c>
      <c r="C318" s="329"/>
      <c r="D318" s="329">
        <f>+D316</f>
        <v>352755</v>
      </c>
      <c r="E318" s="329">
        <f t="shared" ref="E318:G318" si="73">+E316</f>
        <v>352583</v>
      </c>
      <c r="F318" s="329">
        <f t="shared" si="73"/>
        <v>364980</v>
      </c>
      <c r="G318" s="329">
        <f t="shared" si="73"/>
        <v>359241</v>
      </c>
    </row>
    <row r="319" spans="2:7" x14ac:dyDescent="0.25">
      <c r="B319" s="632" t="s">
        <v>2931</v>
      </c>
      <c r="C319" s="329"/>
      <c r="D319" s="329">
        <f>+D36</f>
        <v>50672</v>
      </c>
      <c r="E319" s="329">
        <f>+E36</f>
        <v>62146</v>
      </c>
      <c r="F319" s="329">
        <f>+F36</f>
        <v>56950</v>
      </c>
      <c r="G319" s="329">
        <f>+G36</f>
        <v>73733</v>
      </c>
    </row>
    <row r="320" spans="2:7" x14ac:dyDescent="0.25">
      <c r="B320" s="916" t="s">
        <v>3037</v>
      </c>
      <c r="C320" s="915"/>
      <c r="D320" s="915">
        <f>+D318/D319</f>
        <v>6.9615369434796337</v>
      </c>
      <c r="E320" s="915">
        <f t="shared" ref="E320:G320" si="74">+E318/E319</f>
        <v>5.6734624915521517</v>
      </c>
      <c r="F320" s="915">
        <f t="shared" si="74"/>
        <v>6.408779631255487</v>
      </c>
      <c r="G320" s="915">
        <f t="shared" si="74"/>
        <v>4.8721874872852045</v>
      </c>
    </row>
    <row r="321" spans="2:10" x14ac:dyDescent="0.25">
      <c r="B321" s="648" t="s">
        <v>2207</v>
      </c>
      <c r="C321" s="917"/>
      <c r="D321" s="917">
        <f>+D308*D311*D314*D317*D320</f>
        <v>1.9695887275023678</v>
      </c>
      <c r="E321" s="917">
        <f t="shared" ref="E321:G321" si="75">+E308*E311*E314*E317*E320</f>
        <v>1.5607601454639077</v>
      </c>
      <c r="F321" s="917">
        <f t="shared" si="75"/>
        <v>1.6459350307287091</v>
      </c>
      <c r="G321" s="917">
        <f t="shared" si="75"/>
        <v>1.5191298333175103</v>
      </c>
    </row>
    <row r="323" spans="2:10" x14ac:dyDescent="0.25">
      <c r="B323" s="22" t="s">
        <v>2682</v>
      </c>
      <c r="C323" s="329">
        <v>14776000000</v>
      </c>
    </row>
    <row r="324" spans="2:10" x14ac:dyDescent="0.25">
      <c r="B324" s="22" t="s">
        <v>3837</v>
      </c>
      <c r="C324" s="934">
        <v>279.22000000000003</v>
      </c>
      <c r="J324" s="57"/>
    </row>
    <row r="325" spans="2:10" x14ac:dyDescent="0.25">
      <c r="B325" s="22" t="s">
        <v>3127</v>
      </c>
      <c r="C325" s="329">
        <f>+C324*C323</f>
        <v>4125754720000.0005</v>
      </c>
      <c r="J325" s="57"/>
    </row>
    <row r="327" spans="2:10" x14ac:dyDescent="0.25">
      <c r="C327" s="626">
        <v>2025</v>
      </c>
    </row>
    <row r="328" spans="2:10" x14ac:dyDescent="0.25">
      <c r="B328" s="628" t="s">
        <v>3599</v>
      </c>
      <c r="C328" s="522">
        <f>+C325/1000000</f>
        <v>4125754.7200000007</v>
      </c>
    </row>
    <row r="329" spans="2:10" x14ac:dyDescent="0.25">
      <c r="B329" s="629" t="s">
        <v>3600</v>
      </c>
      <c r="C329" s="523">
        <f>+G32</f>
        <v>78328</v>
      </c>
    </row>
    <row r="330" spans="2:10" x14ac:dyDescent="0.25">
      <c r="B330" s="629" t="s">
        <v>3601</v>
      </c>
      <c r="C330" s="523">
        <f>+G29</f>
        <v>20329</v>
      </c>
    </row>
    <row r="331" spans="2:10" x14ac:dyDescent="0.25">
      <c r="B331" s="629" t="s">
        <v>3602</v>
      </c>
      <c r="C331" s="523">
        <f>-G17</f>
        <v>-35934</v>
      </c>
    </row>
    <row r="332" spans="2:10" x14ac:dyDescent="0.25">
      <c r="B332" s="629" t="s">
        <v>3603</v>
      </c>
      <c r="C332" s="523">
        <f>-G18</f>
        <v>-18763</v>
      </c>
    </row>
    <row r="333" spans="2:10" x14ac:dyDescent="0.25">
      <c r="B333" s="629" t="s">
        <v>3604</v>
      </c>
      <c r="C333" s="523">
        <f>-G23</f>
        <v>-77723</v>
      </c>
    </row>
    <row r="334" spans="2:10" x14ac:dyDescent="0.25">
      <c r="B334" s="904" t="s">
        <v>3605</v>
      </c>
      <c r="C334" s="668">
        <f>+SUM(C328:C333)</f>
        <v>4091991.7200000007</v>
      </c>
    </row>
    <row r="337" spans="2:17" x14ac:dyDescent="0.25">
      <c r="B337" s="918" t="s">
        <v>2895</v>
      </c>
      <c r="C337" s="935">
        <f>+G8</f>
        <v>133050</v>
      </c>
    </row>
    <row r="339" spans="2:17" x14ac:dyDescent="0.25">
      <c r="B339" s="918" t="s">
        <v>3606</v>
      </c>
      <c r="C339" s="936">
        <f>+C334/C337</f>
        <v>30.755292897406996</v>
      </c>
    </row>
    <row r="342" spans="2:17" x14ac:dyDescent="0.25">
      <c r="C342" s="644">
        <v>2020</v>
      </c>
      <c r="D342" s="644">
        <v>2022</v>
      </c>
      <c r="E342" s="644">
        <v>2024</v>
      </c>
      <c r="F342" s="644">
        <v>2024</v>
      </c>
      <c r="G342" s="644">
        <v>2025</v>
      </c>
      <c r="P342" s="207"/>
      <c r="Q342" s="207"/>
    </row>
    <row r="343" spans="2:17" x14ac:dyDescent="0.25">
      <c r="B343" s="945" t="s">
        <v>3105</v>
      </c>
      <c r="C343" s="825"/>
      <c r="D343" s="325">
        <f>+D4</f>
        <v>394328</v>
      </c>
      <c r="E343" s="325">
        <f t="shared" ref="E343:G343" si="76">+E4</f>
        <v>383285</v>
      </c>
      <c r="F343" s="325">
        <f t="shared" si="76"/>
        <v>391035</v>
      </c>
      <c r="G343" s="325">
        <f t="shared" si="76"/>
        <v>416161</v>
      </c>
      <c r="P343" s="796"/>
      <c r="Q343" s="796"/>
    </row>
    <row r="344" spans="2:17" x14ac:dyDescent="0.25">
      <c r="B344" s="946" t="s">
        <v>3106</v>
      </c>
      <c r="C344" s="825"/>
      <c r="D344" s="325"/>
      <c r="E344" s="329">
        <f>+E343-D343</f>
        <v>-11043</v>
      </c>
      <c r="F344" s="329">
        <f>+F343-E343</f>
        <v>7750</v>
      </c>
      <c r="G344" s="329">
        <f>+G343-F343</f>
        <v>25126</v>
      </c>
    </row>
    <row r="347" spans="2:17" x14ac:dyDescent="0.25">
      <c r="B347" s="22" t="s">
        <v>3879</v>
      </c>
      <c r="C347" s="644">
        <v>2021</v>
      </c>
      <c r="D347" s="644">
        <v>2022</v>
      </c>
      <c r="E347" s="644">
        <v>2023</v>
      </c>
      <c r="F347" s="644">
        <v>2024</v>
      </c>
      <c r="G347" s="536">
        <v>2025</v>
      </c>
      <c r="J347" s="207"/>
      <c r="K347" s="207"/>
    </row>
    <row r="348" spans="2:17" x14ac:dyDescent="0.25">
      <c r="B348" s="730" t="s">
        <v>2931</v>
      </c>
      <c r="C348" s="737"/>
      <c r="D348" s="737"/>
      <c r="E348" s="737">
        <f>+E36</f>
        <v>62146</v>
      </c>
      <c r="F348" s="737">
        <f>+F36</f>
        <v>56950</v>
      </c>
      <c r="G348" s="731">
        <f>+G36</f>
        <v>73733</v>
      </c>
      <c r="J348" s="190"/>
      <c r="K348" s="190"/>
    </row>
    <row r="349" spans="2:17" x14ac:dyDescent="0.25">
      <c r="B349" s="629" t="s">
        <v>2809</v>
      </c>
      <c r="C349" s="523"/>
      <c r="D349" s="523"/>
      <c r="E349" s="523">
        <f>+E29</f>
        <v>17382</v>
      </c>
      <c r="F349" s="523">
        <f>+F29</f>
        <v>22511</v>
      </c>
      <c r="G349" s="516">
        <f>+G29</f>
        <v>20329</v>
      </c>
      <c r="J349" s="180"/>
      <c r="K349" s="180"/>
    </row>
    <row r="350" spans="2:17" x14ac:dyDescent="0.25">
      <c r="B350" s="629" t="s">
        <v>2812</v>
      </c>
      <c r="C350" s="523"/>
      <c r="D350" s="523"/>
      <c r="E350" s="523">
        <f>+E32</f>
        <v>95281</v>
      </c>
      <c r="F350" s="523">
        <f>+F32</f>
        <v>96548</v>
      </c>
      <c r="G350" s="516">
        <f>+G32</f>
        <v>78328</v>
      </c>
      <c r="J350" s="180"/>
      <c r="K350" s="180"/>
    </row>
    <row r="351" spans="2:17" x14ac:dyDescent="0.25">
      <c r="B351" s="732" t="s">
        <v>2930</v>
      </c>
      <c r="C351" s="523"/>
      <c r="D351" s="523"/>
      <c r="E351" s="523">
        <f>-E17-E18-E23</f>
        <v>-162099</v>
      </c>
      <c r="F351" s="523">
        <f>-F17-F18-F23</f>
        <v>-156650</v>
      </c>
      <c r="G351" s="516">
        <f>-G17-G18-G23</f>
        <v>-132420</v>
      </c>
      <c r="J351" s="180"/>
      <c r="K351" s="180"/>
      <c r="P351" s="57"/>
    </row>
    <row r="352" spans="2:17" x14ac:dyDescent="0.25">
      <c r="B352" s="733" t="s">
        <v>2924</v>
      </c>
      <c r="C352" s="524"/>
      <c r="D352" s="524"/>
      <c r="E352" s="524">
        <f>+SUM(E349:E351)</f>
        <v>-49436</v>
      </c>
      <c r="F352" s="524">
        <f t="shared" ref="F352:G352" si="77">+SUM(F349:F351)</f>
        <v>-37591</v>
      </c>
      <c r="G352" s="518">
        <f t="shared" si="77"/>
        <v>-33763</v>
      </c>
      <c r="J352" s="190"/>
      <c r="K352" s="190"/>
    </row>
    <row r="353" spans="2:13" x14ac:dyDescent="0.25">
      <c r="B353" s="733" t="s">
        <v>2813</v>
      </c>
      <c r="C353" s="523"/>
      <c r="D353" s="523"/>
      <c r="E353" s="523">
        <f>+E33</f>
        <v>49848</v>
      </c>
      <c r="F353" s="523">
        <f>+F33</f>
        <v>35090</v>
      </c>
      <c r="G353" s="516">
        <f>+G33</f>
        <v>41549</v>
      </c>
      <c r="I353" s="33"/>
      <c r="J353" s="180"/>
      <c r="K353" s="180"/>
    </row>
    <row r="354" spans="2:13" x14ac:dyDescent="0.25">
      <c r="B354" s="733" t="s">
        <v>2933</v>
      </c>
      <c r="C354" s="524"/>
      <c r="D354" s="524"/>
      <c r="E354" s="524">
        <f>+E175</f>
        <v>28693.666666666668</v>
      </c>
      <c r="F354" s="524">
        <f>+F175</f>
        <v>30885.000000000004</v>
      </c>
      <c r="G354" s="518">
        <f>+G175</f>
        <v>33490</v>
      </c>
      <c r="J354" s="190"/>
      <c r="K354" s="190"/>
    </row>
    <row r="355" spans="2:13" x14ac:dyDescent="0.25">
      <c r="B355" s="734" t="s">
        <v>2185</v>
      </c>
      <c r="C355" s="738"/>
      <c r="D355" s="738"/>
      <c r="E355" s="738">
        <f>+E348+E352+E353+E354</f>
        <v>91251.666666666672</v>
      </c>
      <c r="F355" s="738">
        <f>+F348+F352+F353+F354</f>
        <v>85334</v>
      </c>
      <c r="G355" s="735">
        <f>+G348+G352+G353+G354</f>
        <v>115009</v>
      </c>
      <c r="J355" s="190"/>
      <c r="K355" s="190"/>
    </row>
    <row r="356" spans="2:13" x14ac:dyDescent="0.25">
      <c r="B356" s="733" t="s">
        <v>3087</v>
      </c>
      <c r="C356" s="524"/>
      <c r="D356" s="524"/>
      <c r="E356" s="524">
        <f>+E4</f>
        <v>383285</v>
      </c>
      <c r="F356" s="524">
        <f t="shared" ref="F356:G356" si="78">+F4</f>
        <v>391035</v>
      </c>
      <c r="G356" s="524">
        <f t="shared" si="78"/>
        <v>416161</v>
      </c>
      <c r="J356" s="190"/>
      <c r="K356" s="190"/>
    </row>
    <row r="357" spans="2:13" x14ac:dyDescent="0.25">
      <c r="B357" s="736" t="s">
        <v>3107</v>
      </c>
      <c r="C357" s="739"/>
      <c r="D357" s="739"/>
      <c r="E357" s="739">
        <f>+E356/E355</f>
        <v>4.2003068437106172</v>
      </c>
      <c r="F357" s="739">
        <f t="shared" ref="F357:G357" si="79">+F356/F355</f>
        <v>4.5824056062062013</v>
      </c>
      <c r="G357" s="740">
        <f t="shared" si="79"/>
        <v>3.6185081167560798</v>
      </c>
      <c r="J357" s="944"/>
      <c r="K357" s="944"/>
    </row>
    <row r="358" spans="2:13" x14ac:dyDescent="0.25">
      <c r="I358" s="208"/>
      <c r="J358" s="492"/>
      <c r="K358" s="492"/>
      <c r="L358" s="492"/>
      <c r="M358" s="492"/>
    </row>
    <row r="359" spans="2:13" x14ac:dyDescent="0.25">
      <c r="I359" s="208"/>
      <c r="J359" s="492"/>
      <c r="K359" s="492"/>
      <c r="L359" s="492"/>
      <c r="M359" s="492"/>
    </row>
    <row r="370" spans="4:14" x14ac:dyDescent="0.25">
      <c r="N370" s="33"/>
    </row>
    <row r="380" spans="4:14" x14ac:dyDescent="0.25">
      <c r="D380" s="33"/>
    </row>
    <row r="382" spans="4:14" x14ac:dyDescent="0.25">
      <c r="D382" s="33"/>
    </row>
    <row r="383" spans="4:14" x14ac:dyDescent="0.25">
      <c r="D383" s="33"/>
    </row>
  </sheetData>
  <mergeCells count="4">
    <mergeCell ref="I3:J3"/>
    <mergeCell ref="L3:M3"/>
    <mergeCell ref="O3:P3"/>
    <mergeCell ref="R3:S3"/>
  </mergeCells>
  <hyperlinks>
    <hyperlink ref="A1" location="Inicio!A1" display="Inicio" xr:uid="{B907FE8F-C549-4AFE-B83F-B7253501A51F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6CA1D-E4E1-8A4A-A136-1A78F5BF1080}">
  <sheetPr>
    <tabColor theme="1"/>
  </sheetPr>
  <dimension ref="A1:R321"/>
  <sheetViews>
    <sheetView showGridLines="0" zoomScaleNormal="100" zoomScaleSheetLayoutView="100" workbookViewId="0"/>
  </sheetViews>
  <sheetFormatPr defaultColWidth="9" defaultRowHeight="15.75" x14ac:dyDescent="0.25"/>
  <cols>
    <col min="1" max="1" width="9" style="151"/>
    <col min="2" max="2" width="45.140625" style="151" customWidth="1"/>
    <col min="3" max="3" width="14.42578125" style="151" bestFit="1" customWidth="1"/>
    <col min="4" max="6" width="12.42578125" style="151" bestFit="1" customWidth="1"/>
    <col min="7" max="8" width="12.85546875" style="151" bestFit="1" customWidth="1"/>
    <col min="9" max="9" width="24.28515625" style="151" customWidth="1"/>
    <col min="10" max="11" width="12.85546875" style="151" bestFit="1" customWidth="1"/>
    <col min="12" max="13" width="12.7109375" style="151" bestFit="1" customWidth="1"/>
    <col min="14" max="14" width="14.5703125" style="151" customWidth="1"/>
    <col min="15" max="15" width="9.140625" style="151" bestFit="1" customWidth="1"/>
    <col min="16" max="16" width="9" style="151"/>
    <col min="17" max="17" width="9.140625" style="151" bestFit="1" customWidth="1"/>
    <col min="18" max="16384" width="9" style="151"/>
  </cols>
  <sheetData>
    <row r="1" spans="1:13" x14ac:dyDescent="0.25">
      <c r="A1" s="879" t="s">
        <v>2821</v>
      </c>
    </row>
    <row r="2" spans="1:13" x14ac:dyDescent="0.25">
      <c r="B2" s="332" t="s">
        <v>2992</v>
      </c>
      <c r="C2" s="333">
        <v>42273</v>
      </c>
      <c r="D2" s="333">
        <v>42637</v>
      </c>
      <c r="E2" s="333">
        <v>43008</v>
      </c>
      <c r="F2" s="333">
        <v>43372</v>
      </c>
      <c r="G2" s="333">
        <v>43736</v>
      </c>
      <c r="H2" s="333">
        <v>44100</v>
      </c>
      <c r="I2" s="333">
        <v>44464</v>
      </c>
      <c r="J2" s="333">
        <v>44828</v>
      </c>
      <c r="K2" s="333">
        <v>45199</v>
      </c>
      <c r="L2" s="333">
        <v>45563</v>
      </c>
      <c r="M2" s="333">
        <v>45927</v>
      </c>
    </row>
    <row r="3" spans="1:13" x14ac:dyDescent="0.25">
      <c r="B3" s="334" t="s">
        <v>2993</v>
      </c>
      <c r="C3" s="100">
        <v>233715</v>
      </c>
      <c r="D3" s="100">
        <v>215639</v>
      </c>
      <c r="E3" s="100">
        <v>229234</v>
      </c>
      <c r="F3" s="100">
        <v>265595</v>
      </c>
      <c r="G3" s="100">
        <v>260174</v>
      </c>
      <c r="H3" s="100">
        <v>274515</v>
      </c>
      <c r="I3" s="100">
        <v>365817</v>
      </c>
      <c r="J3" s="100">
        <v>394328</v>
      </c>
      <c r="K3" s="100">
        <v>383285</v>
      </c>
      <c r="L3" s="100">
        <v>391035</v>
      </c>
      <c r="M3" s="100">
        <v>416161</v>
      </c>
    </row>
    <row r="4" spans="1:13" x14ac:dyDescent="0.25">
      <c r="B4" s="334" t="s">
        <v>2994</v>
      </c>
      <c r="C4" s="100">
        <v>-140089</v>
      </c>
      <c r="D4" s="100">
        <v>-131376</v>
      </c>
      <c r="E4" s="100">
        <v>-141048</v>
      </c>
      <c r="F4" s="100">
        <v>-163756</v>
      </c>
      <c r="G4" s="100">
        <v>-161782</v>
      </c>
      <c r="H4" s="100">
        <v>-169559</v>
      </c>
      <c r="I4" s="100">
        <v>-212981</v>
      </c>
      <c r="J4" s="100">
        <v>-223546</v>
      </c>
      <c r="K4" s="100">
        <v>-214137</v>
      </c>
      <c r="L4" s="100">
        <v>-210352</v>
      </c>
      <c r="M4" s="100">
        <v>-220960</v>
      </c>
    </row>
    <row r="5" spans="1:13" x14ac:dyDescent="0.25">
      <c r="B5" s="335" t="s">
        <v>2995</v>
      </c>
      <c r="C5" s="103">
        <f t="shared" ref="C5:K5" si="0">+SUM(C3:C4)</f>
        <v>93626</v>
      </c>
      <c r="D5" s="103">
        <f t="shared" si="0"/>
        <v>84263</v>
      </c>
      <c r="E5" s="103">
        <f t="shared" si="0"/>
        <v>88186</v>
      </c>
      <c r="F5" s="103">
        <f t="shared" si="0"/>
        <v>101839</v>
      </c>
      <c r="G5" s="103">
        <f t="shared" si="0"/>
        <v>98392</v>
      </c>
      <c r="H5" s="103">
        <f t="shared" si="0"/>
        <v>104956</v>
      </c>
      <c r="I5" s="103">
        <f t="shared" si="0"/>
        <v>152836</v>
      </c>
      <c r="J5" s="103">
        <f t="shared" si="0"/>
        <v>170782</v>
      </c>
      <c r="K5" s="103">
        <f t="shared" si="0"/>
        <v>169148</v>
      </c>
      <c r="L5" s="103">
        <f t="shared" ref="L5:M5" si="1">+SUM(L3:L4)</f>
        <v>180683</v>
      </c>
      <c r="M5" s="103">
        <f t="shared" si="1"/>
        <v>195201</v>
      </c>
    </row>
    <row r="6" spans="1:13" x14ac:dyDescent="0.25">
      <c r="B6" s="334" t="s">
        <v>2996</v>
      </c>
      <c r="C6" s="100">
        <v>-14329</v>
      </c>
      <c r="D6" s="100">
        <v>-14194</v>
      </c>
      <c r="E6" s="100">
        <v>-15261</v>
      </c>
      <c r="F6" s="100">
        <v>-16705</v>
      </c>
      <c r="G6" s="100">
        <v>-18245</v>
      </c>
      <c r="H6" s="100">
        <v>-19916</v>
      </c>
      <c r="I6" s="100">
        <v>-21973</v>
      </c>
      <c r="J6" s="100">
        <v>-25094</v>
      </c>
      <c r="K6" s="100">
        <v>-24932</v>
      </c>
      <c r="L6" s="100">
        <v>-26097</v>
      </c>
      <c r="M6" s="100">
        <v>-27601</v>
      </c>
    </row>
    <row r="7" spans="1:13" x14ac:dyDescent="0.25">
      <c r="B7" s="334" t="s">
        <v>2997</v>
      </c>
      <c r="C7" s="100">
        <v>-8067</v>
      </c>
      <c r="D7" s="100">
        <v>-10045</v>
      </c>
      <c r="E7" s="100">
        <v>-11581</v>
      </c>
      <c r="F7" s="100">
        <v>-14236</v>
      </c>
      <c r="G7" s="100">
        <v>-16217</v>
      </c>
      <c r="H7" s="100">
        <v>-18752</v>
      </c>
      <c r="I7" s="100">
        <v>-21914</v>
      </c>
      <c r="J7" s="100">
        <v>-26251</v>
      </c>
      <c r="K7" s="100">
        <v>-29915</v>
      </c>
      <c r="L7" s="100">
        <v>-31370</v>
      </c>
      <c r="M7" s="100">
        <v>-34550</v>
      </c>
    </row>
    <row r="8" spans="1:13" x14ac:dyDescent="0.25">
      <c r="B8" s="335" t="s">
        <v>2998</v>
      </c>
      <c r="C8" s="103">
        <f t="shared" ref="C8:K8" si="2">+SUM(C5:C7)</f>
        <v>71230</v>
      </c>
      <c r="D8" s="103">
        <f t="shared" si="2"/>
        <v>60024</v>
      </c>
      <c r="E8" s="103">
        <f t="shared" si="2"/>
        <v>61344</v>
      </c>
      <c r="F8" s="103">
        <f t="shared" si="2"/>
        <v>70898</v>
      </c>
      <c r="G8" s="103">
        <f t="shared" si="2"/>
        <v>63930</v>
      </c>
      <c r="H8" s="103">
        <f t="shared" si="2"/>
        <v>66288</v>
      </c>
      <c r="I8" s="103">
        <f t="shared" si="2"/>
        <v>108949</v>
      </c>
      <c r="J8" s="103">
        <f t="shared" si="2"/>
        <v>119437</v>
      </c>
      <c r="K8" s="103">
        <f t="shared" si="2"/>
        <v>114301</v>
      </c>
      <c r="L8" s="103">
        <f t="shared" ref="L8:M8" si="3">+SUM(L5:L7)</f>
        <v>123216</v>
      </c>
      <c r="M8" s="103">
        <f t="shared" si="3"/>
        <v>133050</v>
      </c>
    </row>
    <row r="9" spans="1:13" x14ac:dyDescent="0.25">
      <c r="B9" s="335" t="s">
        <v>3090</v>
      </c>
      <c r="C9" s="336">
        <f>+C8/C3</f>
        <v>0.30477290717326661</v>
      </c>
      <c r="D9" s="336">
        <f t="shared" ref="D9:L9" si="4">+D8/D3</f>
        <v>0.27835410106706115</v>
      </c>
      <c r="E9" s="336">
        <f t="shared" si="4"/>
        <v>0.26760428208729942</v>
      </c>
      <c r="F9" s="336">
        <f t="shared" si="4"/>
        <v>0.26694026619477024</v>
      </c>
      <c r="G9" s="336">
        <f t="shared" si="4"/>
        <v>0.24572017188496928</v>
      </c>
      <c r="H9" s="336">
        <f t="shared" si="4"/>
        <v>0.24147314354406862</v>
      </c>
      <c r="I9" s="336">
        <f t="shared" si="4"/>
        <v>0.29782377527561593</v>
      </c>
      <c r="J9" s="336">
        <f t="shared" si="4"/>
        <v>0.30288744395528594</v>
      </c>
      <c r="K9" s="336">
        <f t="shared" si="4"/>
        <v>0.29821412265024722</v>
      </c>
      <c r="L9" s="336">
        <f t="shared" si="4"/>
        <v>0.31510222870075566</v>
      </c>
      <c r="M9" s="336"/>
    </row>
    <row r="10" spans="1:13" x14ac:dyDescent="0.25">
      <c r="B10" s="334" t="s">
        <v>2999</v>
      </c>
      <c r="C10" s="100">
        <v>-733</v>
      </c>
      <c r="D10" s="100">
        <v>-1456</v>
      </c>
      <c r="E10" s="100">
        <v>-2323</v>
      </c>
      <c r="F10" s="100">
        <v>-3240</v>
      </c>
      <c r="G10" s="100">
        <v>-3576</v>
      </c>
      <c r="H10" s="100">
        <v>-2873</v>
      </c>
      <c r="I10" s="100">
        <v>-2645</v>
      </c>
      <c r="J10" s="100">
        <v>-2931</v>
      </c>
      <c r="K10" s="100">
        <v>-3933</v>
      </c>
      <c r="L10" s="100">
        <v>269</v>
      </c>
      <c r="M10" s="100">
        <v>-321</v>
      </c>
    </row>
    <row r="11" spans="1:13" x14ac:dyDescent="0.25">
      <c r="B11" s="334" t="s">
        <v>3000</v>
      </c>
      <c r="C11" s="100">
        <v>2921</v>
      </c>
      <c r="D11" s="100">
        <v>3999</v>
      </c>
      <c r="E11" s="100">
        <v>5201</v>
      </c>
      <c r="F11" s="100">
        <v>5686</v>
      </c>
      <c r="G11" s="100">
        <v>4961</v>
      </c>
      <c r="H11" s="100">
        <v>3763</v>
      </c>
      <c r="I11" s="100">
        <v>2843</v>
      </c>
      <c r="J11" s="100">
        <v>2825</v>
      </c>
      <c r="K11" s="100">
        <v>3750</v>
      </c>
      <c r="L11" s="100"/>
      <c r="M11" s="100"/>
    </row>
    <row r="12" spans="1:13" x14ac:dyDescent="0.25">
      <c r="B12" s="334" t="s">
        <v>3001</v>
      </c>
      <c r="C12" s="100">
        <v>-903</v>
      </c>
      <c r="D12" s="100">
        <v>-1195</v>
      </c>
      <c r="E12" s="100">
        <v>-133</v>
      </c>
      <c r="F12" s="100">
        <v>-441</v>
      </c>
      <c r="G12" s="100">
        <v>422</v>
      </c>
      <c r="H12" s="100">
        <v>-87</v>
      </c>
      <c r="I12" s="100">
        <v>60</v>
      </c>
      <c r="J12" s="100">
        <v>-228</v>
      </c>
      <c r="K12" s="100">
        <v>-382</v>
      </c>
      <c r="L12" s="100"/>
      <c r="M12" s="100"/>
    </row>
    <row r="13" spans="1:13" x14ac:dyDescent="0.25">
      <c r="B13" s="335" t="s">
        <v>3003</v>
      </c>
      <c r="C13" s="103">
        <f t="shared" ref="C13:K13" si="5">+SUM(C8:C12)</f>
        <v>72515.30477290717</v>
      </c>
      <c r="D13" s="103">
        <f t="shared" si="5"/>
        <v>61372.278354101065</v>
      </c>
      <c r="E13" s="103">
        <f t="shared" si="5"/>
        <v>64089.267604282089</v>
      </c>
      <c r="F13" s="103">
        <f t="shared" si="5"/>
        <v>72903.2669402662</v>
      </c>
      <c r="G13" s="103">
        <f t="shared" si="5"/>
        <v>65737.245720171893</v>
      </c>
      <c r="H13" s="103">
        <f t="shared" si="5"/>
        <v>67091.241473143542</v>
      </c>
      <c r="I13" s="103">
        <f t="shared" si="5"/>
        <v>109207.29782377527</v>
      </c>
      <c r="J13" s="103">
        <f t="shared" si="5"/>
        <v>119103.30288744396</v>
      </c>
      <c r="K13" s="103">
        <f t="shared" si="5"/>
        <v>113736.29821412265</v>
      </c>
      <c r="L13" s="103">
        <f t="shared" ref="L13:M13" si="6">+SUM(L8:L12)</f>
        <v>123485.31510222871</v>
      </c>
      <c r="M13" s="103">
        <f t="shared" si="6"/>
        <v>132729</v>
      </c>
    </row>
    <row r="14" spans="1:13" x14ac:dyDescent="0.25">
      <c r="B14" s="334" t="s">
        <v>3002</v>
      </c>
      <c r="C14" s="100">
        <v>-19121</v>
      </c>
      <c r="D14" s="100">
        <v>-15685</v>
      </c>
      <c r="E14" s="100">
        <v>-15738</v>
      </c>
      <c r="F14" s="100">
        <v>-13372</v>
      </c>
      <c r="G14" s="100">
        <v>-10481</v>
      </c>
      <c r="H14" s="100">
        <v>-9680</v>
      </c>
      <c r="I14" s="100">
        <v>-14527</v>
      </c>
      <c r="J14" s="100">
        <v>-19300</v>
      </c>
      <c r="K14" s="100">
        <v>-16741</v>
      </c>
      <c r="L14" s="100">
        <v>-29749</v>
      </c>
      <c r="M14" s="100">
        <v>-20719</v>
      </c>
    </row>
    <row r="15" spans="1:13" x14ac:dyDescent="0.25">
      <c r="B15" s="334" t="s">
        <v>3103</v>
      </c>
      <c r="C15" s="336">
        <f t="shared" ref="C15:L15" si="7">-C14/C13</f>
        <v>0.26368226762447394</v>
      </c>
      <c r="D15" s="336">
        <f t="shared" si="7"/>
        <v>0.25557141466220124</v>
      </c>
      <c r="E15" s="336">
        <f t="shared" si="7"/>
        <v>0.24556373614961508</v>
      </c>
      <c r="F15" s="336">
        <f t="shared" si="7"/>
        <v>0.18342113544728306</v>
      </c>
      <c r="G15" s="336">
        <f t="shared" si="7"/>
        <v>0.1594377720754406</v>
      </c>
      <c r="H15" s="336">
        <f t="shared" si="7"/>
        <v>0.14428112801989035</v>
      </c>
      <c r="I15" s="336">
        <f t="shared" si="7"/>
        <v>0.13302224566934903</v>
      </c>
      <c r="J15" s="336">
        <f t="shared" si="7"/>
        <v>0.16204420475424644</v>
      </c>
      <c r="K15" s="336">
        <f t="shared" si="7"/>
        <v>0.14719135634679262</v>
      </c>
      <c r="L15" s="336">
        <f t="shared" si="7"/>
        <v>0.24091123689786073</v>
      </c>
      <c r="M15" s="336"/>
    </row>
    <row r="16" spans="1:13" x14ac:dyDescent="0.25">
      <c r="B16" s="334" t="s">
        <v>3104</v>
      </c>
      <c r="C16" s="336">
        <f>+-C14/C8</f>
        <v>0.26844026393373577</v>
      </c>
      <c r="D16" s="336">
        <f t="shared" ref="D16:K16" si="8">+-D14/D8</f>
        <v>0.26131214180994267</v>
      </c>
      <c r="E16" s="336">
        <f t="shared" si="8"/>
        <v>0.25655320813771521</v>
      </c>
      <c r="F16" s="336">
        <f t="shared" si="8"/>
        <v>0.18860898755959266</v>
      </c>
      <c r="G16" s="336">
        <f t="shared" si="8"/>
        <v>0.16394493977788205</v>
      </c>
      <c r="H16" s="336">
        <f t="shared" si="8"/>
        <v>0.14602944726043929</v>
      </c>
      <c r="I16" s="336">
        <f t="shared" si="8"/>
        <v>0.13333761668303518</v>
      </c>
      <c r="J16" s="336">
        <f t="shared" si="8"/>
        <v>0.16159146663094351</v>
      </c>
      <c r="K16" s="336">
        <f t="shared" si="8"/>
        <v>0.14646416041854401</v>
      </c>
      <c r="L16" s="336">
        <f>+-L14/L8</f>
        <v>0.24143780028567718</v>
      </c>
      <c r="M16" s="336"/>
    </row>
    <row r="17" spans="2:18" x14ac:dyDescent="0.25">
      <c r="B17" s="335" t="s">
        <v>3004</v>
      </c>
      <c r="C17" s="103">
        <f t="shared" ref="C17:K17" si="9">+SUM(C13:C14)</f>
        <v>53394.30477290717</v>
      </c>
      <c r="D17" s="103">
        <f t="shared" si="9"/>
        <v>45687.278354101065</v>
      </c>
      <c r="E17" s="103">
        <f t="shared" si="9"/>
        <v>48351.267604282089</v>
      </c>
      <c r="F17" s="103">
        <f t="shared" si="9"/>
        <v>59531.2669402662</v>
      </c>
      <c r="G17" s="103">
        <f t="shared" si="9"/>
        <v>55256.245720171893</v>
      </c>
      <c r="H17" s="103">
        <f t="shared" si="9"/>
        <v>57411.241473143542</v>
      </c>
      <c r="I17" s="103">
        <f t="shared" si="9"/>
        <v>94680.297823775269</v>
      </c>
      <c r="J17" s="103">
        <f t="shared" si="9"/>
        <v>99803.302887443962</v>
      </c>
      <c r="K17" s="103">
        <f t="shared" si="9"/>
        <v>96995.298214122653</v>
      </c>
      <c r="L17" s="103">
        <f t="shared" ref="L17:M17" si="10">+SUM(L13:L14)</f>
        <v>93736.315102228706</v>
      </c>
      <c r="M17" s="103">
        <f t="shared" si="10"/>
        <v>112010</v>
      </c>
    </row>
    <row r="19" spans="2:18" x14ac:dyDescent="0.25">
      <c r="B19" s="332" t="s">
        <v>2961</v>
      </c>
      <c r="C19" s="333">
        <v>42273</v>
      </c>
      <c r="D19" s="333">
        <v>42637</v>
      </c>
      <c r="E19" s="333">
        <v>43008</v>
      </c>
      <c r="F19" s="333">
        <v>43372</v>
      </c>
      <c r="G19" s="333">
        <v>43736</v>
      </c>
      <c r="H19" s="333">
        <v>44100</v>
      </c>
      <c r="I19" s="333">
        <v>44464</v>
      </c>
      <c r="J19" s="333">
        <v>44828</v>
      </c>
      <c r="K19" s="333">
        <v>45199</v>
      </c>
      <c r="L19" s="333">
        <v>45565</v>
      </c>
      <c r="M19" s="333">
        <v>45566</v>
      </c>
    </row>
    <row r="20" spans="2:18" x14ac:dyDescent="0.25">
      <c r="B20" s="334" t="s">
        <v>3008</v>
      </c>
      <c r="C20" s="100">
        <v>21120</v>
      </c>
      <c r="D20" s="100">
        <v>20484</v>
      </c>
      <c r="E20" s="100">
        <v>20289</v>
      </c>
      <c r="F20" s="100">
        <v>25913</v>
      </c>
      <c r="G20" s="100">
        <v>48844</v>
      </c>
      <c r="H20" s="100">
        <v>38016</v>
      </c>
      <c r="I20" s="100">
        <v>34940</v>
      </c>
      <c r="J20" s="100">
        <v>23646</v>
      </c>
      <c r="K20" s="100">
        <v>29965</v>
      </c>
      <c r="L20" s="100">
        <v>29943</v>
      </c>
    </row>
    <row r="21" spans="2:18" x14ac:dyDescent="0.25">
      <c r="B21" s="334" t="s">
        <v>3009</v>
      </c>
      <c r="C21" s="100">
        <v>20875</v>
      </c>
      <c r="D21" s="100">
        <v>46671</v>
      </c>
      <c r="E21" s="100">
        <v>53892</v>
      </c>
      <c r="F21" s="100">
        <v>40388</v>
      </c>
      <c r="G21" s="100">
        <v>51713</v>
      </c>
      <c r="H21" s="100">
        <v>52927</v>
      </c>
      <c r="I21" s="100">
        <v>27699</v>
      </c>
      <c r="J21" s="100">
        <v>24658</v>
      </c>
      <c r="K21" s="100">
        <v>31590</v>
      </c>
      <c r="L21" s="100">
        <v>35228</v>
      </c>
    </row>
    <row r="22" spans="2:18" x14ac:dyDescent="0.25">
      <c r="B22" s="334" t="s">
        <v>2962</v>
      </c>
      <c r="C22" s="100">
        <v>30343</v>
      </c>
      <c r="D22" s="100">
        <v>29299</v>
      </c>
      <c r="E22" s="100">
        <v>35673</v>
      </c>
      <c r="F22" s="100">
        <v>48995</v>
      </c>
      <c r="G22" s="100">
        <v>45804</v>
      </c>
      <c r="H22" s="100">
        <v>37445</v>
      </c>
      <c r="I22" s="100">
        <v>51506</v>
      </c>
      <c r="J22" s="100">
        <v>60932</v>
      </c>
      <c r="K22" s="100">
        <v>60985</v>
      </c>
      <c r="L22" s="100">
        <v>66243</v>
      </c>
    </row>
    <row r="23" spans="2:18" x14ac:dyDescent="0.25">
      <c r="B23" s="334" t="s">
        <v>2963</v>
      </c>
      <c r="C23" s="100">
        <v>2349</v>
      </c>
      <c r="D23" s="100">
        <v>2132</v>
      </c>
      <c r="E23" s="100">
        <v>4855</v>
      </c>
      <c r="F23" s="100">
        <v>3956</v>
      </c>
      <c r="G23" s="100">
        <v>4106</v>
      </c>
      <c r="H23" s="100">
        <v>4061</v>
      </c>
      <c r="I23" s="100">
        <v>6580</v>
      </c>
      <c r="J23" s="100">
        <v>4946</v>
      </c>
      <c r="K23" s="100">
        <v>6331</v>
      </c>
      <c r="L23" s="100">
        <v>7286</v>
      </c>
    </row>
    <row r="24" spans="2:18" x14ac:dyDescent="0.25">
      <c r="B24" s="334" t="s">
        <v>2964</v>
      </c>
      <c r="C24" s="100"/>
      <c r="D24" s="100"/>
      <c r="E24" s="100"/>
      <c r="F24" s="100"/>
      <c r="G24" s="100">
        <v>23</v>
      </c>
      <c r="H24" s="100"/>
      <c r="I24" s="100"/>
      <c r="J24" s="100"/>
      <c r="K24" s="100"/>
      <c r="L24" s="100"/>
      <c r="P24" s="337"/>
    </row>
    <row r="25" spans="2:18" x14ac:dyDescent="0.25">
      <c r="B25" s="334" t="s">
        <v>2965</v>
      </c>
      <c r="C25" s="100">
        <v>14691</v>
      </c>
      <c r="D25" s="100">
        <v>8283</v>
      </c>
      <c r="E25" s="100">
        <v>13936</v>
      </c>
      <c r="F25" s="100">
        <v>12087</v>
      </c>
      <c r="G25" s="100">
        <v>12329</v>
      </c>
      <c r="H25" s="100">
        <v>11264</v>
      </c>
      <c r="I25" s="100">
        <v>14111</v>
      </c>
      <c r="J25" s="100">
        <v>21223</v>
      </c>
      <c r="K25" s="100">
        <v>14695</v>
      </c>
      <c r="L25" s="100">
        <v>14287</v>
      </c>
      <c r="P25" s="337"/>
    </row>
    <row r="26" spans="2:18" x14ac:dyDescent="0.25">
      <c r="B26" s="335" t="s">
        <v>2966</v>
      </c>
      <c r="C26" s="103">
        <v>89378</v>
      </c>
      <c r="D26" s="103">
        <v>106869</v>
      </c>
      <c r="E26" s="103">
        <v>128645</v>
      </c>
      <c r="F26" s="103">
        <v>131339</v>
      </c>
      <c r="G26" s="103">
        <v>162819</v>
      </c>
      <c r="H26" s="103">
        <v>143713</v>
      </c>
      <c r="I26" s="103">
        <v>134836</v>
      </c>
      <c r="J26" s="103">
        <v>135405</v>
      </c>
      <c r="K26" s="103">
        <v>143566</v>
      </c>
      <c r="L26" s="103">
        <f>+SUM(L20:L25)</f>
        <v>152987</v>
      </c>
    </row>
    <row r="27" spans="2:18" x14ac:dyDescent="0.25">
      <c r="B27" s="334" t="s">
        <v>2967</v>
      </c>
      <c r="C27" s="100">
        <v>22471</v>
      </c>
      <c r="D27" s="100">
        <v>27010</v>
      </c>
      <c r="E27" s="100">
        <v>33783</v>
      </c>
      <c r="F27" s="100">
        <v>41304</v>
      </c>
      <c r="G27" s="100">
        <v>37378</v>
      </c>
      <c r="H27" s="100">
        <v>45336</v>
      </c>
      <c r="I27" s="100">
        <v>49527</v>
      </c>
      <c r="J27" s="100">
        <v>52534</v>
      </c>
      <c r="K27" s="100">
        <v>43715</v>
      </c>
      <c r="L27" s="100">
        <v>45680</v>
      </c>
      <c r="P27" s="337"/>
      <c r="R27" s="337"/>
    </row>
    <row r="28" spans="2:18" x14ac:dyDescent="0.25">
      <c r="B28" s="334" t="s">
        <v>2968</v>
      </c>
      <c r="C28" s="100">
        <v>164065</v>
      </c>
      <c r="D28" s="100">
        <v>170430</v>
      </c>
      <c r="E28" s="100">
        <v>194714</v>
      </c>
      <c r="F28" s="100">
        <v>170799</v>
      </c>
      <c r="G28" s="100">
        <v>105341</v>
      </c>
      <c r="H28" s="100">
        <v>100887</v>
      </c>
      <c r="I28" s="100">
        <v>127877</v>
      </c>
      <c r="J28" s="100">
        <v>120805</v>
      </c>
      <c r="K28" s="100">
        <v>100544</v>
      </c>
      <c r="L28" s="100">
        <v>91479</v>
      </c>
      <c r="P28" s="337"/>
    </row>
    <row r="29" spans="2:18" x14ac:dyDescent="0.25">
      <c r="B29" s="334" t="s">
        <v>2969</v>
      </c>
      <c r="C29" s="100">
        <v>5116</v>
      </c>
      <c r="D29" s="100">
        <v>5414</v>
      </c>
      <c r="E29" s="100"/>
      <c r="F29" s="100"/>
      <c r="G29" s="100"/>
      <c r="H29" s="100"/>
      <c r="I29" s="100"/>
      <c r="J29" s="100"/>
      <c r="K29" s="100"/>
      <c r="L29" s="100"/>
      <c r="P29" s="337"/>
    </row>
    <row r="30" spans="2:18" x14ac:dyDescent="0.25">
      <c r="B30" s="334" t="s">
        <v>2970</v>
      </c>
      <c r="C30" s="100">
        <v>3893</v>
      </c>
      <c r="D30" s="100">
        <v>3206</v>
      </c>
      <c r="E30" s="100"/>
      <c r="F30" s="100"/>
      <c r="G30" s="100"/>
      <c r="H30" s="100"/>
      <c r="I30" s="100"/>
      <c r="J30" s="100"/>
      <c r="K30" s="100">
        <v>17852</v>
      </c>
      <c r="L30" s="100">
        <v>19499</v>
      </c>
    </row>
    <row r="31" spans="2:18" x14ac:dyDescent="0.25">
      <c r="B31" s="334" t="s">
        <v>2971</v>
      </c>
      <c r="C31" s="100">
        <v>5422</v>
      </c>
      <c r="D31" s="100">
        <v>8757</v>
      </c>
      <c r="E31" s="100">
        <v>18177</v>
      </c>
      <c r="F31" s="100">
        <v>22283</v>
      </c>
      <c r="G31" s="100">
        <v>32978</v>
      </c>
      <c r="H31" s="100">
        <v>33952</v>
      </c>
      <c r="I31" s="100">
        <v>38762</v>
      </c>
      <c r="J31" s="100">
        <v>44011</v>
      </c>
      <c r="K31" s="100">
        <v>46906</v>
      </c>
      <c r="L31" s="100">
        <v>55335</v>
      </c>
      <c r="P31" s="337"/>
    </row>
    <row r="32" spans="2:18" x14ac:dyDescent="0.25">
      <c r="B32" s="335" t="s">
        <v>2990</v>
      </c>
      <c r="C32" s="103">
        <f t="shared" ref="C32:K32" si="11">+SUM(C27:C31)</f>
        <v>200967</v>
      </c>
      <c r="D32" s="103">
        <f t="shared" si="11"/>
        <v>214817</v>
      </c>
      <c r="E32" s="103">
        <f t="shared" si="11"/>
        <v>246674</v>
      </c>
      <c r="F32" s="103">
        <f t="shared" si="11"/>
        <v>234386</v>
      </c>
      <c r="G32" s="103">
        <f t="shared" si="11"/>
        <v>175697</v>
      </c>
      <c r="H32" s="103">
        <f t="shared" si="11"/>
        <v>180175</v>
      </c>
      <c r="I32" s="103">
        <f t="shared" si="11"/>
        <v>216166</v>
      </c>
      <c r="J32" s="103">
        <f t="shared" si="11"/>
        <v>217350</v>
      </c>
      <c r="K32" s="103">
        <f t="shared" si="11"/>
        <v>209017</v>
      </c>
      <c r="L32" s="103">
        <f>+SUM(L27:L31)</f>
        <v>211993</v>
      </c>
      <c r="P32" s="337"/>
    </row>
    <row r="33" spans="2:16" x14ac:dyDescent="0.25">
      <c r="B33" s="332" t="s">
        <v>2972</v>
      </c>
      <c r="C33" s="338">
        <f t="shared" ref="C33:K33" si="12">+C32+C26</f>
        <v>290345</v>
      </c>
      <c r="D33" s="338">
        <f t="shared" si="12"/>
        <v>321686</v>
      </c>
      <c r="E33" s="338">
        <f t="shared" si="12"/>
        <v>375319</v>
      </c>
      <c r="F33" s="338">
        <f t="shared" si="12"/>
        <v>365725</v>
      </c>
      <c r="G33" s="338">
        <f t="shared" si="12"/>
        <v>338516</v>
      </c>
      <c r="H33" s="338">
        <f t="shared" si="12"/>
        <v>323888</v>
      </c>
      <c r="I33" s="338">
        <f t="shared" si="12"/>
        <v>351002</v>
      </c>
      <c r="J33" s="338">
        <f>+J32+J26</f>
        <v>352755</v>
      </c>
      <c r="K33" s="338">
        <f t="shared" si="12"/>
        <v>352583</v>
      </c>
      <c r="L33" s="338">
        <f>+L32+L26</f>
        <v>364980</v>
      </c>
      <c r="P33" s="337"/>
    </row>
    <row r="34" spans="2:16" x14ac:dyDescent="0.25">
      <c r="B34" s="334" t="s">
        <v>2973</v>
      </c>
      <c r="C34" s="100">
        <v>35490</v>
      </c>
      <c r="D34" s="100">
        <v>37294</v>
      </c>
      <c r="E34" s="100">
        <v>44242</v>
      </c>
      <c r="F34" s="100">
        <v>55888</v>
      </c>
      <c r="G34" s="100">
        <v>46236</v>
      </c>
      <c r="H34" s="100">
        <v>42296</v>
      </c>
      <c r="I34" s="100">
        <v>54763</v>
      </c>
      <c r="J34" s="100">
        <v>64115</v>
      </c>
      <c r="K34" s="100">
        <v>62611</v>
      </c>
      <c r="L34" s="100">
        <v>68960</v>
      </c>
    </row>
    <row r="35" spans="2:16" x14ac:dyDescent="0.25">
      <c r="B35" s="334" t="s">
        <v>2974</v>
      </c>
      <c r="C35" s="100">
        <v>23169</v>
      </c>
      <c r="D35" s="100">
        <v>21864</v>
      </c>
      <c r="E35" s="100"/>
      <c r="F35" s="100"/>
      <c r="G35" s="100"/>
      <c r="H35" s="100"/>
      <c r="I35" s="100"/>
      <c r="J35" s="100"/>
      <c r="K35" s="100"/>
      <c r="L35" s="100"/>
    </row>
    <row r="36" spans="2:16" x14ac:dyDescent="0.25">
      <c r="B36" s="334" t="s">
        <v>2975</v>
      </c>
      <c r="C36" s="100">
        <v>8499</v>
      </c>
      <c r="D36" s="100">
        <v>8105</v>
      </c>
      <c r="E36" s="100">
        <v>11977</v>
      </c>
      <c r="F36" s="100">
        <v>11964</v>
      </c>
      <c r="G36" s="100">
        <v>5980</v>
      </c>
      <c r="H36" s="100">
        <v>4996</v>
      </c>
      <c r="I36" s="100">
        <v>6000</v>
      </c>
      <c r="J36" s="100">
        <v>9982</v>
      </c>
      <c r="K36" s="100">
        <v>5985</v>
      </c>
      <c r="L36" s="100">
        <v>9967</v>
      </c>
    </row>
    <row r="37" spans="2:16" x14ac:dyDescent="0.25">
      <c r="B37" s="334" t="s">
        <v>2976</v>
      </c>
      <c r="C37" s="100">
        <v>2513</v>
      </c>
      <c r="D37" s="100">
        <v>3500</v>
      </c>
      <c r="E37" s="100">
        <v>6496</v>
      </c>
      <c r="F37" s="100">
        <v>8784</v>
      </c>
      <c r="G37" s="100">
        <v>10260</v>
      </c>
      <c r="H37" s="100">
        <v>8773</v>
      </c>
      <c r="I37" s="100">
        <v>9613</v>
      </c>
      <c r="J37" s="100">
        <v>11128</v>
      </c>
      <c r="K37" s="100">
        <v>9822</v>
      </c>
      <c r="L37" s="100">
        <v>10912</v>
      </c>
    </row>
    <row r="38" spans="2:16" ht="31.5" x14ac:dyDescent="0.25">
      <c r="B38" s="334" t="s">
        <v>2977</v>
      </c>
      <c r="C38" s="100"/>
      <c r="D38" s="100"/>
      <c r="E38" s="100"/>
      <c r="F38" s="100"/>
      <c r="G38" s="100"/>
      <c r="H38" s="100">
        <v>1460</v>
      </c>
      <c r="I38" s="100">
        <v>1528</v>
      </c>
      <c r="J38" s="100">
        <v>1663</v>
      </c>
      <c r="K38" s="100">
        <v>1575</v>
      </c>
      <c r="L38" s="100">
        <v>1632</v>
      </c>
    </row>
    <row r="39" spans="2:16" x14ac:dyDescent="0.25">
      <c r="B39" s="334" t="s">
        <v>2978</v>
      </c>
      <c r="C39" s="100">
        <v>8940</v>
      </c>
      <c r="D39" s="100">
        <v>8080</v>
      </c>
      <c r="E39" s="100">
        <v>7548</v>
      </c>
      <c r="F39" s="100">
        <v>5966</v>
      </c>
      <c r="G39" s="100">
        <v>5522</v>
      </c>
      <c r="H39" s="100">
        <v>6643</v>
      </c>
      <c r="I39" s="100">
        <v>7612</v>
      </c>
      <c r="J39" s="100">
        <v>7912</v>
      </c>
      <c r="K39" s="100">
        <v>8061</v>
      </c>
      <c r="L39" s="100">
        <v>8249</v>
      </c>
    </row>
    <row r="40" spans="2:16" x14ac:dyDescent="0.25">
      <c r="B40" s="334" t="s">
        <v>2810</v>
      </c>
      <c r="C40" s="100">
        <v>1999</v>
      </c>
      <c r="D40" s="100">
        <v>163</v>
      </c>
      <c r="E40" s="100">
        <v>30551</v>
      </c>
      <c r="F40" s="100">
        <v>33327</v>
      </c>
      <c r="G40" s="100">
        <v>37720</v>
      </c>
      <c r="H40" s="100">
        <v>41224</v>
      </c>
      <c r="I40" s="100">
        <v>45965</v>
      </c>
      <c r="J40" s="100">
        <v>59182</v>
      </c>
      <c r="K40" s="100">
        <v>57254</v>
      </c>
      <c r="L40" s="100">
        <f>50071+26601</f>
        <v>76672</v>
      </c>
    </row>
    <row r="41" spans="2:16" x14ac:dyDescent="0.25">
      <c r="B41" s="335" t="s">
        <v>2979</v>
      </c>
      <c r="C41" s="103">
        <v>80610</v>
      </c>
      <c r="D41" s="103">
        <v>79006</v>
      </c>
      <c r="E41" s="103">
        <v>100814</v>
      </c>
      <c r="F41" s="103">
        <v>115929</v>
      </c>
      <c r="G41" s="103">
        <v>105718</v>
      </c>
      <c r="H41" s="103">
        <v>105392</v>
      </c>
      <c r="I41" s="103">
        <v>125481</v>
      </c>
      <c r="J41" s="103">
        <v>153982</v>
      </c>
      <c r="K41" s="103">
        <v>145308</v>
      </c>
      <c r="L41" s="103">
        <f>+SUM(L34:L40)</f>
        <v>176392</v>
      </c>
    </row>
    <row r="42" spans="2:16" x14ac:dyDescent="0.25">
      <c r="B42" s="334" t="s">
        <v>2812</v>
      </c>
      <c r="C42" s="100">
        <v>53329</v>
      </c>
      <c r="D42" s="100">
        <v>75427</v>
      </c>
      <c r="E42" s="100">
        <v>97207</v>
      </c>
      <c r="F42" s="100">
        <v>93735</v>
      </c>
      <c r="G42" s="100">
        <v>91807</v>
      </c>
      <c r="H42" s="100">
        <v>98667</v>
      </c>
      <c r="I42" s="100">
        <v>109106</v>
      </c>
      <c r="J42" s="100">
        <v>98959</v>
      </c>
      <c r="K42" s="100">
        <v>95281</v>
      </c>
      <c r="L42" s="100">
        <v>85750</v>
      </c>
    </row>
    <row r="43" spans="2:16" x14ac:dyDescent="0.25">
      <c r="B43" s="334" t="s">
        <v>2980</v>
      </c>
      <c r="C43" s="100"/>
      <c r="D43" s="100"/>
      <c r="E43" s="100"/>
      <c r="F43" s="100"/>
      <c r="G43" s="100"/>
      <c r="H43" s="100">
        <v>8382</v>
      </c>
      <c r="I43" s="100">
        <v>10275</v>
      </c>
      <c r="J43" s="100">
        <v>10748</v>
      </c>
      <c r="K43" s="100">
        <v>11267</v>
      </c>
      <c r="L43" s="100">
        <v>10798</v>
      </c>
    </row>
    <row r="44" spans="2:16" x14ac:dyDescent="0.25">
      <c r="B44" s="334" t="s">
        <v>2981</v>
      </c>
      <c r="C44" s="100">
        <v>3624</v>
      </c>
      <c r="D44" s="100">
        <v>2930</v>
      </c>
      <c r="E44" s="100">
        <v>2836</v>
      </c>
      <c r="F44" s="100"/>
      <c r="G44" s="100"/>
      <c r="H44" s="100"/>
      <c r="I44" s="100"/>
      <c r="J44" s="100"/>
      <c r="K44" s="100"/>
      <c r="L44" s="100"/>
    </row>
    <row r="45" spans="2:16" x14ac:dyDescent="0.25">
      <c r="B45" s="334" t="s">
        <v>2982</v>
      </c>
      <c r="C45" s="100">
        <v>24062</v>
      </c>
      <c r="D45" s="100">
        <v>26019</v>
      </c>
      <c r="E45" s="100">
        <v>31504</v>
      </c>
      <c r="F45" s="100"/>
      <c r="G45" s="100"/>
      <c r="H45" s="100"/>
      <c r="I45" s="100"/>
      <c r="J45" s="100"/>
      <c r="K45" s="100"/>
      <c r="L45" s="100"/>
    </row>
    <row r="46" spans="2:16" x14ac:dyDescent="0.25">
      <c r="B46" s="334" t="s">
        <v>2983</v>
      </c>
      <c r="C46" s="100">
        <v>9365</v>
      </c>
      <c r="D46" s="100">
        <v>10055</v>
      </c>
      <c r="E46" s="100">
        <v>8911</v>
      </c>
      <c r="F46" s="100">
        <v>48914</v>
      </c>
      <c r="G46" s="100">
        <v>50503</v>
      </c>
      <c r="H46" s="100">
        <v>46108</v>
      </c>
      <c r="I46" s="100">
        <v>43050</v>
      </c>
      <c r="J46" s="100">
        <v>38394</v>
      </c>
      <c r="K46" s="100">
        <v>38581</v>
      </c>
      <c r="L46" s="100">
        <v>35090</v>
      </c>
    </row>
    <row r="47" spans="2:16" x14ac:dyDescent="0.25">
      <c r="B47" s="335" t="s">
        <v>2991</v>
      </c>
      <c r="C47" s="103">
        <f t="shared" ref="C47:K47" si="13">+SUM(C42:C46)</f>
        <v>90380</v>
      </c>
      <c r="D47" s="103">
        <f t="shared" si="13"/>
        <v>114431</v>
      </c>
      <c r="E47" s="103">
        <f t="shared" si="13"/>
        <v>140458</v>
      </c>
      <c r="F47" s="103">
        <f t="shared" si="13"/>
        <v>142649</v>
      </c>
      <c r="G47" s="103">
        <f t="shared" si="13"/>
        <v>142310</v>
      </c>
      <c r="H47" s="103">
        <f t="shared" si="13"/>
        <v>153157</v>
      </c>
      <c r="I47" s="103">
        <f t="shared" si="13"/>
        <v>162431</v>
      </c>
      <c r="J47" s="103">
        <f t="shared" si="13"/>
        <v>148101</v>
      </c>
      <c r="K47" s="103">
        <f t="shared" si="13"/>
        <v>145129</v>
      </c>
      <c r="L47" s="103">
        <f t="shared" ref="L47" si="14">+SUM(L42:L46)</f>
        <v>131638</v>
      </c>
    </row>
    <row r="48" spans="2:16" x14ac:dyDescent="0.25">
      <c r="B48" s="339" t="s">
        <v>2984</v>
      </c>
      <c r="C48" s="340">
        <f t="shared" ref="C48:K48" si="15">+C47+C41</f>
        <v>170990</v>
      </c>
      <c r="D48" s="340">
        <f t="shared" si="15"/>
        <v>193437</v>
      </c>
      <c r="E48" s="340">
        <f t="shared" si="15"/>
        <v>241272</v>
      </c>
      <c r="F48" s="340">
        <f t="shared" si="15"/>
        <v>258578</v>
      </c>
      <c r="G48" s="340">
        <f t="shared" si="15"/>
        <v>248028</v>
      </c>
      <c r="H48" s="340">
        <f t="shared" si="15"/>
        <v>258549</v>
      </c>
      <c r="I48" s="340">
        <f t="shared" si="15"/>
        <v>287912</v>
      </c>
      <c r="J48" s="340">
        <f t="shared" si="15"/>
        <v>302083</v>
      </c>
      <c r="K48" s="340">
        <f t="shared" si="15"/>
        <v>290437</v>
      </c>
      <c r="L48" s="340">
        <f t="shared" ref="L48" si="16">+L47+L41</f>
        <v>308030</v>
      </c>
    </row>
    <row r="49" spans="2:13" x14ac:dyDescent="0.25">
      <c r="B49" s="334" t="s">
        <v>2985</v>
      </c>
      <c r="C49" s="100">
        <v>27416</v>
      </c>
      <c r="D49" s="100">
        <v>31251</v>
      </c>
      <c r="E49" s="100">
        <v>35867</v>
      </c>
      <c r="F49" s="100">
        <v>40201</v>
      </c>
      <c r="G49" s="100">
        <v>45174</v>
      </c>
      <c r="H49" s="100">
        <v>50779</v>
      </c>
      <c r="I49" s="100">
        <v>57365</v>
      </c>
      <c r="J49" s="100">
        <v>64849</v>
      </c>
      <c r="K49" s="100">
        <v>73812</v>
      </c>
      <c r="L49" s="100">
        <v>83276</v>
      </c>
    </row>
    <row r="50" spans="2:13" x14ac:dyDescent="0.25">
      <c r="B50" s="334" t="s">
        <v>2986</v>
      </c>
      <c r="C50" s="100">
        <v>92284</v>
      </c>
      <c r="D50" s="100">
        <v>96364</v>
      </c>
      <c r="E50" s="100">
        <v>98330</v>
      </c>
      <c r="F50" s="100">
        <v>70400</v>
      </c>
      <c r="G50" s="100">
        <v>45898</v>
      </c>
      <c r="H50" s="100">
        <v>14966</v>
      </c>
      <c r="I50" s="100">
        <v>5562</v>
      </c>
      <c r="J50" s="100">
        <v>-3068</v>
      </c>
      <c r="K50" s="100">
        <v>-214</v>
      </c>
      <c r="L50" s="100">
        <v>-19154</v>
      </c>
    </row>
    <row r="51" spans="2:13" x14ac:dyDescent="0.25">
      <c r="B51" s="334" t="s">
        <v>2987</v>
      </c>
      <c r="C51" s="100">
        <v>-345</v>
      </c>
      <c r="D51" s="100">
        <v>634</v>
      </c>
      <c r="E51" s="100">
        <v>-150</v>
      </c>
      <c r="F51" s="100">
        <v>-3454</v>
      </c>
      <c r="G51" s="100">
        <v>-584</v>
      </c>
      <c r="H51" s="100">
        <v>-406</v>
      </c>
      <c r="I51" s="100">
        <v>163</v>
      </c>
      <c r="J51" s="100">
        <v>-11109</v>
      </c>
      <c r="K51" s="100">
        <v>-11452</v>
      </c>
      <c r="L51" s="100">
        <v>-7172</v>
      </c>
    </row>
    <row r="52" spans="2:13" x14ac:dyDescent="0.25">
      <c r="B52" s="339" t="s">
        <v>2988</v>
      </c>
      <c r="C52" s="340">
        <v>119355</v>
      </c>
      <c r="D52" s="340">
        <v>128249</v>
      </c>
      <c r="E52" s="340">
        <v>134047</v>
      </c>
      <c r="F52" s="340">
        <v>107147</v>
      </c>
      <c r="G52" s="340">
        <v>90488</v>
      </c>
      <c r="H52" s="340">
        <v>65339</v>
      </c>
      <c r="I52" s="340">
        <v>63090</v>
      </c>
      <c r="J52" s="340">
        <v>50672</v>
      </c>
      <c r="K52" s="340">
        <v>62146</v>
      </c>
      <c r="L52" s="340">
        <f>+SUM(L49:L51)</f>
        <v>56950</v>
      </c>
    </row>
    <row r="53" spans="2:13" x14ac:dyDescent="0.25">
      <c r="B53" s="332" t="s">
        <v>2989</v>
      </c>
      <c r="C53" s="338">
        <v>290345</v>
      </c>
      <c r="D53" s="338">
        <v>321686</v>
      </c>
      <c r="E53" s="338">
        <v>375319</v>
      </c>
      <c r="F53" s="338">
        <v>365725</v>
      </c>
      <c r="G53" s="338">
        <v>338516</v>
      </c>
      <c r="H53" s="338">
        <v>323888</v>
      </c>
      <c r="I53" s="338">
        <v>351002</v>
      </c>
      <c r="J53" s="338">
        <v>352755</v>
      </c>
      <c r="K53" s="338">
        <v>352583</v>
      </c>
      <c r="L53" s="338">
        <f>+L52+L48</f>
        <v>364980</v>
      </c>
    </row>
    <row r="54" spans="2:13" x14ac:dyDescent="0.25">
      <c r="C54" s="341"/>
      <c r="D54" s="341"/>
      <c r="E54" s="341"/>
      <c r="F54" s="341"/>
      <c r="G54" s="341"/>
      <c r="H54" s="341"/>
      <c r="I54" s="341"/>
      <c r="J54" s="341"/>
      <c r="K54" s="341"/>
      <c r="L54" s="341"/>
    </row>
    <row r="55" spans="2:13" x14ac:dyDescent="0.25">
      <c r="B55" s="332" t="s">
        <v>2960</v>
      </c>
      <c r="C55" s="333">
        <v>42273</v>
      </c>
      <c r="D55" s="333">
        <v>42637</v>
      </c>
      <c r="E55" s="333">
        <v>43008</v>
      </c>
      <c r="F55" s="333">
        <v>43372</v>
      </c>
      <c r="G55" s="333">
        <v>43736</v>
      </c>
      <c r="H55" s="333">
        <v>44100</v>
      </c>
      <c r="I55" s="333">
        <v>44464</v>
      </c>
      <c r="J55" s="333">
        <v>44828</v>
      </c>
      <c r="K55" s="333">
        <v>45199</v>
      </c>
      <c r="L55" s="333">
        <v>45565</v>
      </c>
      <c r="M55" s="333">
        <v>45927</v>
      </c>
    </row>
    <row r="56" spans="2:13" x14ac:dyDescent="0.25">
      <c r="B56" s="334" t="s">
        <v>2934</v>
      </c>
      <c r="C56" s="100">
        <v>53394</v>
      </c>
      <c r="D56" s="100">
        <v>45687</v>
      </c>
      <c r="E56" s="100">
        <v>48351</v>
      </c>
      <c r="F56" s="100">
        <v>59531</v>
      </c>
      <c r="G56" s="100">
        <v>55256</v>
      </c>
      <c r="H56" s="100">
        <v>57411</v>
      </c>
      <c r="I56" s="100">
        <v>94680</v>
      </c>
      <c r="J56" s="100">
        <v>99803</v>
      </c>
      <c r="K56" s="100">
        <v>96995</v>
      </c>
      <c r="L56" s="100">
        <v>93736</v>
      </c>
      <c r="M56" s="100">
        <v>112010</v>
      </c>
    </row>
    <row r="57" spans="2:13" x14ac:dyDescent="0.25">
      <c r="B57" s="334" t="s">
        <v>2935</v>
      </c>
      <c r="C57" s="100">
        <v>9957</v>
      </c>
      <c r="D57" s="100">
        <v>10505</v>
      </c>
      <c r="E57" s="100">
        <v>10157</v>
      </c>
      <c r="F57" s="100">
        <v>10903</v>
      </c>
      <c r="G57" s="100">
        <v>12547</v>
      </c>
      <c r="H57" s="100">
        <v>11056</v>
      </c>
      <c r="I57" s="100">
        <v>11284</v>
      </c>
      <c r="J57" s="100">
        <v>11104</v>
      </c>
      <c r="K57" s="100">
        <v>11519</v>
      </c>
      <c r="L57" s="100">
        <v>11445</v>
      </c>
      <c r="M57" s="100"/>
    </row>
    <row r="58" spans="2:13" ht="31.5" x14ac:dyDescent="0.25">
      <c r="B58" s="334" t="s">
        <v>2936</v>
      </c>
      <c r="C58" s="100">
        <v>1300</v>
      </c>
      <c r="D58" s="100"/>
      <c r="E58" s="100"/>
      <c r="F58" s="100"/>
      <c r="G58" s="100"/>
      <c r="H58" s="100"/>
      <c r="I58" s="100"/>
      <c r="J58" s="100"/>
      <c r="K58" s="100"/>
      <c r="L58" s="100"/>
      <c r="M58" s="100"/>
    </row>
    <row r="59" spans="2:13" x14ac:dyDescent="0.25">
      <c r="B59" s="334" t="s">
        <v>2937</v>
      </c>
      <c r="C59" s="100">
        <v>11257</v>
      </c>
      <c r="D59" s="100">
        <v>10505</v>
      </c>
      <c r="E59" s="100">
        <v>10157</v>
      </c>
      <c r="F59" s="100">
        <v>10903</v>
      </c>
      <c r="G59" s="100">
        <v>12547</v>
      </c>
      <c r="H59" s="100">
        <v>11056</v>
      </c>
      <c r="I59" s="100">
        <v>11284</v>
      </c>
      <c r="J59" s="100">
        <v>11104</v>
      </c>
      <c r="K59" s="100">
        <v>11519</v>
      </c>
      <c r="L59" s="100">
        <f>+L57</f>
        <v>11445</v>
      </c>
      <c r="M59" s="100">
        <v>11698</v>
      </c>
    </row>
    <row r="60" spans="2:13" x14ac:dyDescent="0.25">
      <c r="B60" s="334" t="s">
        <v>2938</v>
      </c>
      <c r="C60" s="100">
        <v>3586</v>
      </c>
      <c r="D60" s="100">
        <v>4210</v>
      </c>
      <c r="E60" s="100">
        <v>4840</v>
      </c>
      <c r="F60" s="100">
        <v>5340</v>
      </c>
      <c r="G60" s="100">
        <v>6068</v>
      </c>
      <c r="H60" s="100">
        <v>6829</v>
      </c>
      <c r="I60" s="100">
        <v>7906</v>
      </c>
      <c r="J60" s="100">
        <v>9038</v>
      </c>
      <c r="K60" s="100">
        <v>10833</v>
      </c>
      <c r="L60" s="100">
        <v>11688</v>
      </c>
      <c r="M60" s="100">
        <v>12863</v>
      </c>
    </row>
    <row r="61" spans="2:13" x14ac:dyDescent="0.25">
      <c r="B61" s="334" t="s">
        <v>2939</v>
      </c>
      <c r="C61" s="100">
        <v>1767</v>
      </c>
      <c r="D61" s="100">
        <v>5424</v>
      </c>
      <c r="E61" s="100">
        <v>5800</v>
      </c>
      <c r="F61" s="100">
        <v>-33034</v>
      </c>
      <c r="G61" s="100">
        <v>-992</v>
      </c>
      <c r="H61" s="100">
        <v>-312</v>
      </c>
      <c r="I61" s="100">
        <v>-4921</v>
      </c>
      <c r="J61" s="100">
        <v>1006</v>
      </c>
      <c r="K61" s="100">
        <v>-2227</v>
      </c>
      <c r="L61" s="100">
        <v>-2266</v>
      </c>
      <c r="M61" s="100">
        <v>-89</v>
      </c>
    </row>
    <row r="62" spans="2:13" x14ac:dyDescent="0.25">
      <c r="B62" s="334" t="s">
        <v>2940</v>
      </c>
      <c r="C62" s="100">
        <v>417</v>
      </c>
      <c r="D62" s="100">
        <v>527</v>
      </c>
      <c r="E62" s="100">
        <v>-2093</v>
      </c>
      <c r="F62" s="100">
        <v>-5322</v>
      </c>
      <c r="G62" s="100">
        <v>245</v>
      </c>
      <c r="H62" s="100">
        <v>6917</v>
      </c>
      <c r="I62" s="100">
        <v>-10125</v>
      </c>
      <c r="J62" s="100">
        <v>-1823</v>
      </c>
      <c r="K62" s="100">
        <v>-1688</v>
      </c>
      <c r="L62" s="100">
        <v>-3788</v>
      </c>
      <c r="M62" s="100">
        <v>-6682</v>
      </c>
    </row>
    <row r="63" spans="2:13" x14ac:dyDescent="0.25">
      <c r="B63" s="334" t="s">
        <v>2941</v>
      </c>
      <c r="C63" s="100">
        <v>-238</v>
      </c>
      <c r="D63" s="100">
        <v>217</v>
      </c>
      <c r="E63" s="100">
        <v>-2723</v>
      </c>
      <c r="F63" s="100">
        <v>828</v>
      </c>
      <c r="G63" s="100">
        <v>-289</v>
      </c>
      <c r="H63" s="100">
        <v>-127</v>
      </c>
      <c r="I63" s="100">
        <v>-2642</v>
      </c>
      <c r="J63" s="100">
        <v>1484</v>
      </c>
      <c r="K63" s="100">
        <v>-1618</v>
      </c>
      <c r="L63" s="100">
        <v>-1046</v>
      </c>
      <c r="M63" s="100">
        <v>1400</v>
      </c>
    </row>
    <row r="64" spans="2:13" x14ac:dyDescent="0.25">
      <c r="B64" s="334" t="s">
        <v>2942</v>
      </c>
      <c r="C64" s="100">
        <v>5001</v>
      </c>
      <c r="D64" s="100">
        <v>2117</v>
      </c>
      <c r="E64" s="100">
        <v>8966</v>
      </c>
      <c r="F64" s="100">
        <v>9175</v>
      </c>
      <c r="G64" s="100">
        <v>-1923</v>
      </c>
      <c r="H64" s="100">
        <v>-4062</v>
      </c>
      <c r="I64" s="100">
        <v>12326</v>
      </c>
      <c r="J64" s="100">
        <v>9448</v>
      </c>
      <c r="K64" s="100">
        <v>-1889</v>
      </c>
      <c r="L64" s="100">
        <v>6020</v>
      </c>
      <c r="M64" s="100">
        <v>902</v>
      </c>
    </row>
    <row r="65" spans="2:13" x14ac:dyDescent="0.25">
      <c r="B65" s="334" t="s">
        <v>2943</v>
      </c>
      <c r="C65" s="100">
        <v>1042</v>
      </c>
      <c r="D65" s="100">
        <v>-1554</v>
      </c>
      <c r="E65" s="100">
        <v>-593</v>
      </c>
      <c r="F65" s="100">
        <v>-3</v>
      </c>
      <c r="G65" s="100">
        <v>-625</v>
      </c>
      <c r="H65" s="100">
        <v>2081</v>
      </c>
      <c r="I65" s="100"/>
      <c r="J65" s="100"/>
      <c r="K65" s="100"/>
      <c r="L65" s="100"/>
      <c r="M65" s="100"/>
    </row>
    <row r="66" spans="2:13" x14ac:dyDescent="0.25">
      <c r="B66" s="334" t="s">
        <v>2944</v>
      </c>
      <c r="C66" s="100">
        <v>5040</v>
      </c>
      <c r="D66" s="100">
        <v>-902</v>
      </c>
      <c r="E66" s="100">
        <v>-8480</v>
      </c>
      <c r="F66" s="100">
        <v>30016</v>
      </c>
      <c r="G66" s="100">
        <v>-896</v>
      </c>
      <c r="H66" s="100">
        <v>881</v>
      </c>
      <c r="I66" s="100">
        <v>-4470</v>
      </c>
      <c r="J66" s="100">
        <v>-7909</v>
      </c>
      <c r="K66" s="100">
        <v>-1382</v>
      </c>
      <c r="L66" s="100">
        <v>2465</v>
      </c>
      <c r="M66" s="100">
        <v>-20620</v>
      </c>
    </row>
    <row r="67" spans="2:13" x14ac:dyDescent="0.25">
      <c r="B67" s="342" t="s">
        <v>2945</v>
      </c>
      <c r="C67" s="343">
        <v>81266</v>
      </c>
      <c r="D67" s="343">
        <v>66231</v>
      </c>
      <c r="E67" s="343">
        <v>64225</v>
      </c>
      <c r="F67" s="343">
        <v>77434</v>
      </c>
      <c r="G67" s="343">
        <v>69391</v>
      </c>
      <c r="H67" s="343">
        <v>80674</v>
      </c>
      <c r="I67" s="343">
        <v>104038</v>
      </c>
      <c r="J67" s="343">
        <v>122151</v>
      </c>
      <c r="K67" s="343">
        <v>110543</v>
      </c>
      <c r="L67" s="343">
        <f>+SUM(L59:L66)+L56</f>
        <v>118254</v>
      </c>
      <c r="M67" s="343">
        <v>111482</v>
      </c>
    </row>
    <row r="68" spans="2:13" x14ac:dyDescent="0.25">
      <c r="B68" s="334" t="s">
        <v>2946</v>
      </c>
      <c r="C68" s="100">
        <v>-11247</v>
      </c>
      <c r="D68" s="100">
        <v>-12734</v>
      </c>
      <c r="E68" s="100">
        <v>-12451</v>
      </c>
      <c r="F68" s="100">
        <v>-13313</v>
      </c>
      <c r="G68" s="100">
        <v>-10495</v>
      </c>
      <c r="H68" s="100">
        <v>-7309</v>
      </c>
      <c r="I68" s="100">
        <v>-11085</v>
      </c>
      <c r="J68" s="100">
        <v>-10708</v>
      </c>
      <c r="K68" s="100">
        <v>-10959</v>
      </c>
      <c r="L68" s="100">
        <v>-9447</v>
      </c>
      <c r="M68" s="100">
        <v>-12715</v>
      </c>
    </row>
    <row r="69" spans="2:13" x14ac:dyDescent="0.25">
      <c r="B69" s="334" t="s">
        <v>2947</v>
      </c>
      <c r="C69" s="100">
        <v>-343</v>
      </c>
      <c r="D69" s="100">
        <v>-297</v>
      </c>
      <c r="E69" s="100">
        <v>-329</v>
      </c>
      <c r="F69" s="100">
        <v>-721</v>
      </c>
      <c r="G69" s="100">
        <v>-624</v>
      </c>
      <c r="H69" s="100">
        <v>-1524</v>
      </c>
      <c r="I69" s="100"/>
      <c r="J69" s="100"/>
      <c r="K69" s="100"/>
      <c r="L69" s="100"/>
      <c r="M69" s="100"/>
    </row>
    <row r="70" spans="2:13" x14ac:dyDescent="0.25">
      <c r="B70" s="334" t="s">
        <v>2948</v>
      </c>
      <c r="C70" s="100">
        <v>-241</v>
      </c>
      <c r="D70" s="100"/>
      <c r="E70" s="100"/>
      <c r="F70" s="100"/>
      <c r="G70" s="100"/>
      <c r="H70" s="100"/>
      <c r="I70" s="100"/>
      <c r="J70" s="100"/>
      <c r="K70" s="100"/>
      <c r="L70" s="100"/>
      <c r="M70" s="100"/>
    </row>
    <row r="71" spans="2:13" ht="31.5" x14ac:dyDescent="0.25">
      <c r="B71" s="334" t="s">
        <v>2949</v>
      </c>
      <c r="C71" s="100">
        <v>-44417</v>
      </c>
      <c r="D71" s="100">
        <v>-32022</v>
      </c>
      <c r="E71" s="100">
        <v>-33542</v>
      </c>
      <c r="F71" s="100">
        <v>30845</v>
      </c>
      <c r="G71" s="100">
        <v>58093</v>
      </c>
      <c r="H71" s="100">
        <v>5453</v>
      </c>
      <c r="I71" s="100">
        <v>-3075</v>
      </c>
      <c r="J71" s="100">
        <v>-9560</v>
      </c>
      <c r="K71" s="100">
        <v>16001</v>
      </c>
      <c r="L71" s="100">
        <v>13690</v>
      </c>
      <c r="M71" s="100">
        <v>29390</v>
      </c>
    </row>
    <row r="72" spans="2:13" x14ac:dyDescent="0.25">
      <c r="B72" s="334" t="s">
        <v>2950</v>
      </c>
      <c r="C72" s="100">
        <v>-26</v>
      </c>
      <c r="D72" s="100">
        <v>-924</v>
      </c>
      <c r="E72" s="100">
        <v>-124</v>
      </c>
      <c r="F72" s="100">
        <v>-745</v>
      </c>
      <c r="G72" s="100">
        <v>-1078</v>
      </c>
      <c r="H72" s="100">
        <v>-909</v>
      </c>
      <c r="I72" s="100">
        <v>-385</v>
      </c>
      <c r="J72" s="100">
        <v>-2086</v>
      </c>
      <c r="K72" s="100">
        <v>-1337</v>
      </c>
      <c r="L72" s="100">
        <v>-1308</v>
      </c>
      <c r="M72" s="100">
        <v>-1480</v>
      </c>
    </row>
    <row r="73" spans="2:13" x14ac:dyDescent="0.25">
      <c r="B73" s="342" t="s">
        <v>2951</v>
      </c>
      <c r="C73" s="343">
        <v>-56274</v>
      </c>
      <c r="D73" s="343">
        <v>-45977</v>
      </c>
      <c r="E73" s="343">
        <v>-46446</v>
      </c>
      <c r="F73" s="343">
        <v>16066</v>
      </c>
      <c r="G73" s="343">
        <v>45896</v>
      </c>
      <c r="H73" s="343">
        <v>-4289</v>
      </c>
      <c r="I73" s="343">
        <v>-14545</v>
      </c>
      <c r="J73" s="343">
        <v>-22354</v>
      </c>
      <c r="K73" s="343">
        <v>3705</v>
      </c>
      <c r="L73" s="343">
        <f>+SUM(L68:L72)</f>
        <v>2935</v>
      </c>
      <c r="M73" s="343">
        <v>15195</v>
      </c>
    </row>
    <row r="74" spans="2:13" x14ac:dyDescent="0.25">
      <c r="B74" s="334" t="s">
        <v>2952</v>
      </c>
      <c r="C74" s="100">
        <v>29305</v>
      </c>
      <c r="D74" s="100">
        <v>24954</v>
      </c>
      <c r="E74" s="100">
        <v>32514</v>
      </c>
      <c r="F74" s="100">
        <v>6969</v>
      </c>
      <c r="G74" s="100">
        <v>6963</v>
      </c>
      <c r="H74" s="100">
        <v>16091</v>
      </c>
      <c r="I74" s="100">
        <v>21415</v>
      </c>
      <c r="J74" s="100">
        <v>9420</v>
      </c>
      <c r="K74" s="100">
        <v>5228</v>
      </c>
      <c r="L74" s="100">
        <v>3960</v>
      </c>
      <c r="M74" s="100">
        <v>4481</v>
      </c>
    </row>
    <row r="75" spans="2:13" x14ac:dyDescent="0.25">
      <c r="B75" s="334" t="s">
        <v>2953</v>
      </c>
      <c r="C75" s="100"/>
      <c r="D75" s="100">
        <v>-2897</v>
      </c>
      <c r="E75" s="100">
        <v>-3500</v>
      </c>
      <c r="F75" s="100">
        <v>-6537</v>
      </c>
      <c r="G75" s="100">
        <v>-14782</v>
      </c>
      <c r="H75" s="100">
        <v>-13592</v>
      </c>
      <c r="I75" s="100">
        <v>-8750</v>
      </c>
      <c r="J75" s="100">
        <v>-9543</v>
      </c>
      <c r="K75" s="100">
        <v>-15129</v>
      </c>
      <c r="L75" s="100">
        <v>-9958</v>
      </c>
      <c r="M75" s="100">
        <v>-12964</v>
      </c>
    </row>
    <row r="76" spans="2:13" x14ac:dyDescent="0.25">
      <c r="B76" s="334" t="s">
        <v>2954</v>
      </c>
      <c r="C76" s="100">
        <v>543</v>
      </c>
      <c r="D76" s="100">
        <v>495</v>
      </c>
      <c r="E76" s="100">
        <v>555</v>
      </c>
      <c r="F76" s="100">
        <v>669</v>
      </c>
      <c r="G76" s="100">
        <v>781</v>
      </c>
      <c r="H76" s="100"/>
      <c r="I76" s="100"/>
      <c r="J76" s="100"/>
      <c r="K76" s="100"/>
      <c r="L76" s="100"/>
      <c r="M76" s="100"/>
    </row>
    <row r="77" spans="2:13" x14ac:dyDescent="0.25">
      <c r="B77" s="334" t="s">
        <v>2955</v>
      </c>
      <c r="C77" s="100">
        <v>-36752</v>
      </c>
      <c r="D77" s="100">
        <v>-31292</v>
      </c>
      <c r="E77" s="100">
        <v>-34774</v>
      </c>
      <c r="F77" s="100">
        <v>-75265</v>
      </c>
      <c r="G77" s="100">
        <v>-69714</v>
      </c>
      <c r="H77" s="100">
        <v>-75992</v>
      </c>
      <c r="I77" s="100">
        <v>-92527</v>
      </c>
      <c r="J77" s="100">
        <v>-95625</v>
      </c>
      <c r="K77" s="100">
        <v>-82981</v>
      </c>
      <c r="L77" s="100">
        <v>-100390</v>
      </c>
      <c r="M77" s="100">
        <v>-96671</v>
      </c>
    </row>
    <row r="78" spans="2:13" x14ac:dyDescent="0.25">
      <c r="B78" s="334" t="s">
        <v>2956</v>
      </c>
      <c r="C78" s="100">
        <v>-11561</v>
      </c>
      <c r="D78" s="100">
        <v>-12150</v>
      </c>
      <c r="E78" s="100">
        <v>-12769</v>
      </c>
      <c r="F78" s="100">
        <v>-13712</v>
      </c>
      <c r="G78" s="100">
        <v>-14119</v>
      </c>
      <c r="H78" s="100">
        <v>-14081</v>
      </c>
      <c r="I78" s="100">
        <v>-14467</v>
      </c>
      <c r="J78" s="100">
        <v>-14841</v>
      </c>
      <c r="K78" s="100">
        <v>-15025</v>
      </c>
      <c r="L78" s="100">
        <v>-15234</v>
      </c>
      <c r="M78" s="100">
        <v>-15421</v>
      </c>
    </row>
    <row r="79" spans="2:13" x14ac:dyDescent="0.25">
      <c r="B79" s="334" t="s">
        <v>2957</v>
      </c>
      <c r="C79" s="100">
        <v>749</v>
      </c>
      <c r="D79" s="100"/>
      <c r="E79" s="100"/>
      <c r="F79" s="100"/>
      <c r="G79" s="100">
        <v>-105</v>
      </c>
      <c r="H79" s="100">
        <v>754</v>
      </c>
      <c r="I79" s="100">
        <v>976</v>
      </c>
      <c r="J79" s="100">
        <v>-160</v>
      </c>
      <c r="K79" s="100">
        <v>-581</v>
      </c>
      <c r="L79" s="100">
        <v>-361</v>
      </c>
      <c r="M79" s="100">
        <v>-111</v>
      </c>
    </row>
    <row r="80" spans="2:13" x14ac:dyDescent="0.25">
      <c r="B80" s="342" t="s">
        <v>2958</v>
      </c>
      <c r="C80" s="343">
        <v>-17716</v>
      </c>
      <c r="D80" s="343">
        <v>-20890</v>
      </c>
      <c r="E80" s="343">
        <v>-17974</v>
      </c>
      <c r="F80" s="343">
        <v>-87876</v>
      </c>
      <c r="G80" s="343">
        <v>-90976</v>
      </c>
      <c r="H80" s="343">
        <v>-86820</v>
      </c>
      <c r="I80" s="343">
        <v>-93353</v>
      </c>
      <c r="J80" s="343">
        <v>-110749</v>
      </c>
      <c r="K80" s="343">
        <v>-108488</v>
      </c>
      <c r="L80" s="343">
        <f>+SUM(L74:L79)</f>
        <v>-121983</v>
      </c>
      <c r="M80" s="343">
        <v>-120686</v>
      </c>
    </row>
    <row r="81" spans="2:13" x14ac:dyDescent="0.25">
      <c r="B81" s="334" t="s">
        <v>2959</v>
      </c>
      <c r="C81" s="100">
        <v>7276</v>
      </c>
      <c r="D81" s="100">
        <v>-636</v>
      </c>
      <c r="E81" s="100">
        <v>-195</v>
      </c>
      <c r="F81" s="100">
        <v>5624</v>
      </c>
      <c r="G81" s="100">
        <v>24311</v>
      </c>
      <c r="H81" s="100">
        <v>-10435</v>
      </c>
      <c r="I81" s="100">
        <v>-3860</v>
      </c>
      <c r="J81" s="100">
        <v>-10952</v>
      </c>
      <c r="K81" s="100">
        <v>5760</v>
      </c>
      <c r="L81" s="100">
        <f>+L80+L73+L67</f>
        <v>-794</v>
      </c>
      <c r="M81" s="100">
        <v>5991</v>
      </c>
    </row>
    <row r="82" spans="2:13" x14ac:dyDescent="0.25">
      <c r="B82" s="334"/>
      <c r="C82" s="100"/>
      <c r="D82" s="100"/>
      <c r="E82" s="100"/>
      <c r="F82" s="100"/>
      <c r="G82" s="100"/>
      <c r="H82" s="100"/>
      <c r="I82" s="100"/>
      <c r="J82" s="100"/>
      <c r="K82" s="100"/>
      <c r="L82" s="100"/>
    </row>
    <row r="83" spans="2:13" x14ac:dyDescent="0.25">
      <c r="B83" s="334"/>
      <c r="C83" s="100"/>
      <c r="D83" s="100"/>
      <c r="E83" s="100"/>
      <c r="F83" s="100"/>
      <c r="G83" s="100"/>
      <c r="H83" s="100"/>
      <c r="I83" s="100"/>
      <c r="J83" s="100"/>
      <c r="K83" s="100"/>
      <c r="L83" s="100"/>
    </row>
    <row r="84" spans="2:13" x14ac:dyDescent="0.25">
      <c r="D84" s="100"/>
      <c r="E84" s="100"/>
      <c r="F84" s="100"/>
      <c r="G84" s="100"/>
      <c r="H84" s="100"/>
      <c r="I84" s="100"/>
      <c r="J84" s="100"/>
      <c r="K84" s="100"/>
      <c r="L84" s="100"/>
    </row>
    <row r="85" spans="2:13" x14ac:dyDescent="0.25">
      <c r="D85" s="100"/>
      <c r="E85" s="100"/>
      <c r="F85" s="100"/>
      <c r="G85" s="100"/>
      <c r="H85" s="100"/>
      <c r="I85" s="100"/>
      <c r="J85" s="100"/>
      <c r="K85" s="100"/>
      <c r="L85" s="100"/>
    </row>
    <row r="86" spans="2:13" x14ac:dyDescent="0.25">
      <c r="B86" s="978" t="s">
        <v>3545</v>
      </c>
      <c r="C86" s="979"/>
      <c r="D86" s="100"/>
      <c r="E86" s="100"/>
      <c r="F86" s="100"/>
      <c r="G86" s="100"/>
      <c r="H86" s="100"/>
      <c r="I86" s="100"/>
      <c r="J86" s="100"/>
      <c r="K86" s="100"/>
      <c r="L86" s="100"/>
    </row>
    <row r="87" spans="2:13" x14ac:dyDescent="0.25">
      <c r="B87" s="593" t="s">
        <v>3537</v>
      </c>
      <c r="C87" s="594">
        <f>+C20+C21+C28</f>
        <v>206060</v>
      </c>
      <c r="D87" s="100"/>
      <c r="E87" s="100"/>
      <c r="F87" s="100"/>
      <c r="G87" s="100"/>
      <c r="H87" s="100"/>
      <c r="I87" s="100"/>
      <c r="J87" s="100"/>
      <c r="K87" s="100"/>
      <c r="L87" s="100"/>
    </row>
    <row r="88" spans="2:13" x14ac:dyDescent="0.25">
      <c r="B88" s="591" t="s">
        <v>3538</v>
      </c>
      <c r="C88" s="592">
        <f>+SUM(D67:M67)</f>
        <v>924423</v>
      </c>
      <c r="D88" s="100"/>
      <c r="E88" s="100"/>
      <c r="F88" s="100"/>
      <c r="G88" s="100"/>
      <c r="H88" s="100"/>
      <c r="I88" s="100"/>
      <c r="J88" s="100"/>
      <c r="K88" s="100"/>
      <c r="L88" s="100"/>
    </row>
    <row r="89" spans="2:13" x14ac:dyDescent="0.25">
      <c r="B89" s="591" t="s">
        <v>3539</v>
      </c>
      <c r="C89" s="592">
        <f>+SUM(D68:M68)+SUM(D69:M69)</f>
        <v>-114711</v>
      </c>
      <c r="D89" s="100"/>
      <c r="E89" s="100"/>
      <c r="F89" s="100"/>
      <c r="G89" s="100"/>
      <c r="H89" s="100"/>
      <c r="I89" s="100"/>
      <c r="J89" s="100"/>
      <c r="K89" s="100"/>
      <c r="L89" s="100"/>
    </row>
    <row r="90" spans="2:13" x14ac:dyDescent="0.25">
      <c r="B90" s="591" t="s">
        <v>3540</v>
      </c>
      <c r="C90" s="592">
        <f>+SUM(D71:M71)</f>
        <v>75273</v>
      </c>
      <c r="D90" s="100"/>
      <c r="E90" s="100"/>
      <c r="F90" s="100"/>
      <c r="G90" s="100"/>
      <c r="H90" s="100"/>
      <c r="I90" s="100"/>
      <c r="J90" s="100"/>
      <c r="K90" s="100"/>
      <c r="L90" s="100"/>
    </row>
    <row r="91" spans="2:13" x14ac:dyDescent="0.25">
      <c r="B91" s="591" t="s">
        <v>3540</v>
      </c>
      <c r="C91" s="592">
        <f>-C90</f>
        <v>-75273</v>
      </c>
      <c r="D91" s="100"/>
      <c r="E91" s="100"/>
      <c r="F91" s="100"/>
      <c r="G91" s="100"/>
      <c r="H91" s="100"/>
      <c r="I91" s="100"/>
      <c r="J91" s="100"/>
      <c r="K91" s="100"/>
      <c r="L91" s="100"/>
    </row>
    <row r="92" spans="2:13" x14ac:dyDescent="0.25">
      <c r="B92" s="591" t="s">
        <v>3541</v>
      </c>
      <c r="C92" s="592">
        <f>+SUM(D74:M74)+SUM(D75:M75)</f>
        <v>34343</v>
      </c>
      <c r="D92" s="100"/>
      <c r="E92" s="100"/>
      <c r="F92" s="100"/>
      <c r="G92" s="100"/>
      <c r="H92" s="100"/>
      <c r="I92" s="100"/>
      <c r="J92" s="100"/>
      <c r="K92" s="100"/>
      <c r="L92" s="100"/>
    </row>
    <row r="93" spans="2:13" x14ac:dyDescent="0.25">
      <c r="B93" s="591" t="s">
        <v>3542</v>
      </c>
      <c r="C93" s="592">
        <f>+SUM(D77:M77)</f>
        <v>-755231</v>
      </c>
      <c r="D93" s="100"/>
      <c r="E93" s="100"/>
      <c r="F93" s="100"/>
      <c r="G93" s="100"/>
      <c r="H93" s="100"/>
      <c r="I93" s="100"/>
      <c r="J93" s="100"/>
      <c r="K93" s="100"/>
      <c r="L93" s="100"/>
    </row>
    <row r="94" spans="2:13" ht="18" customHeight="1" x14ac:dyDescent="0.25">
      <c r="B94" s="591" t="s">
        <v>3543</v>
      </c>
      <c r="C94" s="592">
        <f>+SUM(D78:M78)</f>
        <v>-141819</v>
      </c>
    </row>
    <row r="95" spans="2:13" ht="18" customHeight="1" x14ac:dyDescent="0.25">
      <c r="B95" s="595" t="s">
        <v>3544</v>
      </c>
      <c r="C95" s="596">
        <f>+SUM(C87:C94)</f>
        <v>153065</v>
      </c>
    </row>
    <row r="96" spans="2:13" ht="18" customHeight="1" x14ac:dyDescent="0.25">
      <c r="B96" s="335"/>
      <c r="C96" s="103"/>
    </row>
    <row r="97" spans="2:3" ht="18" customHeight="1" x14ac:dyDescent="0.25">
      <c r="B97" s="978" t="s">
        <v>3545</v>
      </c>
      <c r="C97" s="979"/>
    </row>
    <row r="98" spans="2:3" ht="18" customHeight="1" x14ac:dyDescent="0.25">
      <c r="B98" s="593" t="s">
        <v>3537</v>
      </c>
      <c r="C98" s="594">
        <f>+C87</f>
        <v>206060</v>
      </c>
    </row>
    <row r="99" spans="2:3" x14ac:dyDescent="0.25">
      <c r="B99" s="591" t="s">
        <v>3538</v>
      </c>
      <c r="C99" s="592">
        <f>+C88-C101</f>
        <v>1139254</v>
      </c>
    </row>
    <row r="100" spans="2:3" x14ac:dyDescent="0.25">
      <c r="B100" s="591" t="s">
        <v>3539</v>
      </c>
      <c r="C100" s="592">
        <f>+C89</f>
        <v>-114711</v>
      </c>
    </row>
    <row r="101" spans="2:3" x14ac:dyDescent="0.25">
      <c r="B101" s="591" t="s">
        <v>3546</v>
      </c>
      <c r="C101" s="592">
        <f>+SUM(D7:M7)</f>
        <v>-214831</v>
      </c>
    </row>
    <row r="102" spans="2:3" x14ac:dyDescent="0.25">
      <c r="B102" s="591" t="s">
        <v>3540</v>
      </c>
      <c r="C102" s="592">
        <f>+C90</f>
        <v>75273</v>
      </c>
    </row>
    <row r="103" spans="2:3" x14ac:dyDescent="0.25">
      <c r="B103" s="591" t="s">
        <v>3540</v>
      </c>
      <c r="C103" s="592">
        <f>-C102</f>
        <v>-75273</v>
      </c>
    </row>
    <row r="104" spans="2:3" x14ac:dyDescent="0.25">
      <c r="B104" s="591" t="s">
        <v>3541</v>
      </c>
      <c r="C104" s="592">
        <f>+C92</f>
        <v>34343</v>
      </c>
    </row>
    <row r="105" spans="2:3" x14ac:dyDescent="0.25">
      <c r="B105" s="591" t="s">
        <v>3542</v>
      </c>
      <c r="C105" s="592">
        <f>+C93</f>
        <v>-755231</v>
      </c>
    </row>
    <row r="106" spans="2:3" x14ac:dyDescent="0.25">
      <c r="B106" s="591" t="s">
        <v>3543</v>
      </c>
      <c r="C106" s="592">
        <f>+C94</f>
        <v>-141819</v>
      </c>
    </row>
    <row r="107" spans="2:3" x14ac:dyDescent="0.25">
      <c r="B107" s="595" t="s">
        <v>3544</v>
      </c>
      <c r="C107" s="596">
        <f>+SUM(C98:C106)</f>
        <v>153065</v>
      </c>
    </row>
    <row r="114" spans="3:3" x14ac:dyDescent="0.25">
      <c r="C114" s="90"/>
    </row>
    <row r="115" spans="3:3" x14ac:dyDescent="0.25">
      <c r="C115" s="90"/>
    </row>
    <row r="116" spans="3:3" x14ac:dyDescent="0.25">
      <c r="C116" s="90"/>
    </row>
    <row r="117" spans="3:3" x14ac:dyDescent="0.25">
      <c r="C117" s="90"/>
    </row>
    <row r="118" spans="3:3" x14ac:dyDescent="0.25">
      <c r="C118" s="90"/>
    </row>
    <row r="119" spans="3:3" x14ac:dyDescent="0.25">
      <c r="C119" s="90"/>
    </row>
    <row r="136" spans="2:12" x14ac:dyDescent="0.25">
      <c r="B136" s="332" t="s">
        <v>3017</v>
      </c>
      <c r="C136" s="333">
        <v>42273</v>
      </c>
      <c r="D136" s="333">
        <v>42637</v>
      </c>
      <c r="E136" s="333">
        <v>43008</v>
      </c>
      <c r="F136" s="333">
        <v>43372</v>
      </c>
      <c r="G136" s="333">
        <v>43736</v>
      </c>
      <c r="H136" s="333">
        <v>44100</v>
      </c>
      <c r="I136" s="333">
        <v>44464</v>
      </c>
      <c r="J136" s="333">
        <v>44828</v>
      </c>
      <c r="K136" s="333">
        <v>45199</v>
      </c>
      <c r="L136" s="333">
        <v>45565</v>
      </c>
    </row>
    <row r="137" spans="2:12" x14ac:dyDescent="0.25">
      <c r="B137" s="344" t="s">
        <v>3005</v>
      </c>
      <c r="C137" s="100"/>
      <c r="D137" s="100">
        <f t="shared" ref="D137:L137" si="17">+D17</f>
        <v>45687.278354101065</v>
      </c>
      <c r="E137" s="100">
        <f t="shared" si="17"/>
        <v>48351.267604282089</v>
      </c>
      <c r="F137" s="100">
        <f t="shared" si="17"/>
        <v>59531.2669402662</v>
      </c>
      <c r="G137" s="100">
        <f t="shared" si="17"/>
        <v>55256.245720171893</v>
      </c>
      <c r="H137" s="100">
        <f t="shared" si="17"/>
        <v>57411.241473143542</v>
      </c>
      <c r="I137" s="100">
        <f t="shared" si="17"/>
        <v>94680.297823775269</v>
      </c>
      <c r="J137" s="100">
        <f t="shared" si="17"/>
        <v>99803.302887443962</v>
      </c>
      <c r="K137" s="100">
        <f t="shared" si="17"/>
        <v>96995.298214122653</v>
      </c>
      <c r="L137" s="100">
        <f t="shared" si="17"/>
        <v>93736.315102228706</v>
      </c>
    </row>
    <row r="138" spans="2:12" x14ac:dyDescent="0.25">
      <c r="B138" s="344" t="s">
        <v>3006</v>
      </c>
      <c r="C138" s="100"/>
      <c r="D138" s="100">
        <f t="shared" ref="D138:L138" si="18">+D57</f>
        <v>10505</v>
      </c>
      <c r="E138" s="100">
        <f t="shared" si="18"/>
        <v>10157</v>
      </c>
      <c r="F138" s="100">
        <f t="shared" si="18"/>
        <v>10903</v>
      </c>
      <c r="G138" s="100">
        <f t="shared" si="18"/>
        <v>12547</v>
      </c>
      <c r="H138" s="100">
        <f t="shared" si="18"/>
        <v>11056</v>
      </c>
      <c r="I138" s="100">
        <f t="shared" si="18"/>
        <v>11284</v>
      </c>
      <c r="J138" s="100">
        <f t="shared" si="18"/>
        <v>11104</v>
      </c>
      <c r="K138" s="100">
        <f t="shared" si="18"/>
        <v>11519</v>
      </c>
      <c r="L138" s="100">
        <f t="shared" si="18"/>
        <v>11445</v>
      </c>
    </row>
    <row r="139" spans="2:12" x14ac:dyDescent="0.25">
      <c r="B139" s="344" t="s">
        <v>3007</v>
      </c>
      <c r="C139" s="100"/>
      <c r="D139" s="100">
        <f t="shared" ref="D139:L139" si="19">+D68</f>
        <v>-12734</v>
      </c>
      <c r="E139" s="100">
        <f t="shared" si="19"/>
        <v>-12451</v>
      </c>
      <c r="F139" s="100">
        <f t="shared" si="19"/>
        <v>-13313</v>
      </c>
      <c r="G139" s="100">
        <f t="shared" si="19"/>
        <v>-10495</v>
      </c>
      <c r="H139" s="100">
        <f t="shared" si="19"/>
        <v>-7309</v>
      </c>
      <c r="I139" s="100">
        <f t="shared" si="19"/>
        <v>-11085</v>
      </c>
      <c r="J139" s="100">
        <f t="shared" si="19"/>
        <v>-10708</v>
      </c>
      <c r="K139" s="100">
        <f t="shared" si="19"/>
        <v>-10959</v>
      </c>
      <c r="L139" s="100">
        <f t="shared" si="19"/>
        <v>-9447</v>
      </c>
    </row>
    <row r="140" spans="2:12" x14ac:dyDescent="0.25">
      <c r="B140" s="344" t="s">
        <v>3011</v>
      </c>
      <c r="C140" s="100"/>
      <c r="D140" s="100">
        <f t="shared" ref="D140:K140" si="20">+D168</f>
        <v>6808.8000000000029</v>
      </c>
      <c r="E140" s="100">
        <f t="shared" si="20"/>
        <v>22063.75</v>
      </c>
      <c r="F140" s="100">
        <f t="shared" si="20"/>
        <v>1984.8000000000029</v>
      </c>
      <c r="G140" s="100">
        <f t="shared" si="20"/>
        <v>-4050.5500000000029</v>
      </c>
      <c r="H140" s="100">
        <f t="shared" si="20"/>
        <v>10695.399999999994</v>
      </c>
      <c r="I140" s="100">
        <f t="shared" si="20"/>
        <v>-1096.1999999999971</v>
      </c>
      <c r="J140" s="100">
        <f t="shared" si="20"/>
        <v>8529.6999999999971</v>
      </c>
      <c r="K140" s="100">
        <f t="shared" si="20"/>
        <v>1491.0500000000029</v>
      </c>
      <c r="L140" s="100">
        <f t="shared" ref="L140" si="21">+L168</f>
        <v>20151.100000000006</v>
      </c>
    </row>
    <row r="141" spans="2:12" x14ac:dyDescent="0.25">
      <c r="B141" s="345" t="s">
        <v>3012</v>
      </c>
      <c r="C141" s="103"/>
      <c r="D141" s="103">
        <f t="shared" ref="D141:K141" si="22">+SUM(D137:D140)</f>
        <v>50267.078354101068</v>
      </c>
      <c r="E141" s="103">
        <f t="shared" si="22"/>
        <v>68121.017604282097</v>
      </c>
      <c r="F141" s="103">
        <f t="shared" si="22"/>
        <v>59106.066940266202</v>
      </c>
      <c r="G141" s="103">
        <f t="shared" si="22"/>
        <v>53257.695720171891</v>
      </c>
      <c r="H141" s="103">
        <f t="shared" si="22"/>
        <v>71853.641473143536</v>
      </c>
      <c r="I141" s="103">
        <f t="shared" si="22"/>
        <v>93783.097823775272</v>
      </c>
      <c r="J141" s="103">
        <f t="shared" si="22"/>
        <v>108729.00288744396</v>
      </c>
      <c r="K141" s="103">
        <f t="shared" si="22"/>
        <v>99046.348214122656</v>
      </c>
      <c r="L141" s="103">
        <f t="shared" ref="L141" si="23">+SUM(L137:L140)</f>
        <v>115885.41510222871</v>
      </c>
    </row>
    <row r="142" spans="2:12" x14ac:dyDescent="0.25">
      <c r="B142" s="344" t="s">
        <v>3205</v>
      </c>
      <c r="C142" s="100"/>
      <c r="D142" s="100">
        <f t="shared" ref="D142:L142" si="24">+D74+D75</f>
        <v>22057</v>
      </c>
      <c r="E142" s="100">
        <f t="shared" si="24"/>
        <v>29014</v>
      </c>
      <c r="F142" s="100">
        <f t="shared" si="24"/>
        <v>432</v>
      </c>
      <c r="G142" s="100">
        <f t="shared" si="24"/>
        <v>-7819</v>
      </c>
      <c r="H142" s="100">
        <f t="shared" si="24"/>
        <v>2499</v>
      </c>
      <c r="I142" s="100">
        <f t="shared" si="24"/>
        <v>12665</v>
      </c>
      <c r="J142" s="100">
        <f t="shared" si="24"/>
        <v>-123</v>
      </c>
      <c r="K142" s="100">
        <f t="shared" si="24"/>
        <v>-9901</v>
      </c>
      <c r="L142" s="100">
        <f t="shared" si="24"/>
        <v>-5998</v>
      </c>
    </row>
    <row r="143" spans="2:12" x14ac:dyDescent="0.25">
      <c r="B143" s="345" t="s">
        <v>3013</v>
      </c>
      <c r="C143" s="103"/>
      <c r="D143" s="103"/>
      <c r="E143" s="103">
        <f t="shared" ref="E143:K143" si="25">+E141+E142</f>
        <v>97135.017604282097</v>
      </c>
      <c r="F143" s="103">
        <f t="shared" si="25"/>
        <v>59538.066940266202</v>
      </c>
      <c r="G143" s="103">
        <f t="shared" si="25"/>
        <v>45438.695720171891</v>
      </c>
      <c r="H143" s="103">
        <f t="shared" si="25"/>
        <v>74352.641473143536</v>
      </c>
      <c r="I143" s="103">
        <f t="shared" si="25"/>
        <v>106448.09782377527</v>
      </c>
      <c r="J143" s="103">
        <f t="shared" si="25"/>
        <v>108606.00288744396</v>
      </c>
      <c r="K143" s="103">
        <f t="shared" si="25"/>
        <v>89145.348214122656</v>
      </c>
      <c r="L143" s="103">
        <f t="shared" ref="L143" si="26">+L141+L142</f>
        <v>109887.41510222871</v>
      </c>
    </row>
    <row r="144" spans="2:12" x14ac:dyDescent="0.25">
      <c r="B144" s="344"/>
      <c r="C144" s="100"/>
      <c r="D144" s="100"/>
      <c r="E144" s="100"/>
      <c r="F144" s="100"/>
      <c r="G144" s="100"/>
      <c r="H144" s="100"/>
      <c r="I144" s="100"/>
      <c r="J144" s="100"/>
      <c r="K144" s="100"/>
    </row>
    <row r="145" spans="2:12" x14ac:dyDescent="0.25">
      <c r="B145" s="332" t="s">
        <v>3016</v>
      </c>
      <c r="C145" s="333">
        <v>42273</v>
      </c>
      <c r="D145" s="333">
        <v>42637</v>
      </c>
      <c r="E145" s="333">
        <v>43008</v>
      </c>
      <c r="F145" s="333">
        <v>43372</v>
      </c>
      <c r="G145" s="333">
        <v>43736</v>
      </c>
      <c r="H145" s="333">
        <v>44100</v>
      </c>
      <c r="I145" s="333">
        <v>44464</v>
      </c>
      <c r="J145" s="333">
        <v>44828</v>
      </c>
      <c r="K145" s="333">
        <v>45199</v>
      </c>
      <c r="L145" s="333">
        <v>45565</v>
      </c>
    </row>
    <row r="146" spans="2:12" x14ac:dyDescent="0.25">
      <c r="B146" s="344" t="s">
        <v>2895</v>
      </c>
      <c r="C146" s="100"/>
      <c r="D146" s="100">
        <f t="shared" ref="D146:L146" si="27">+D8</f>
        <v>60024</v>
      </c>
      <c r="E146" s="100">
        <f t="shared" si="27"/>
        <v>61344</v>
      </c>
      <c r="F146" s="100">
        <f t="shared" si="27"/>
        <v>70898</v>
      </c>
      <c r="G146" s="100">
        <f t="shared" si="27"/>
        <v>63930</v>
      </c>
      <c r="H146" s="100">
        <f t="shared" si="27"/>
        <v>66288</v>
      </c>
      <c r="I146" s="100">
        <f t="shared" si="27"/>
        <v>108949</v>
      </c>
      <c r="J146" s="100">
        <f t="shared" si="27"/>
        <v>119437</v>
      </c>
      <c r="K146" s="100">
        <f t="shared" si="27"/>
        <v>114301</v>
      </c>
      <c r="L146" s="100">
        <f t="shared" si="27"/>
        <v>123216</v>
      </c>
    </row>
    <row r="147" spans="2:12" x14ac:dyDescent="0.25">
      <c r="B147" s="344" t="s">
        <v>2914</v>
      </c>
      <c r="C147" s="100"/>
      <c r="D147" s="100">
        <f t="shared" ref="D147:L147" si="28">+D14</f>
        <v>-15685</v>
      </c>
      <c r="E147" s="100">
        <f t="shared" si="28"/>
        <v>-15738</v>
      </c>
      <c r="F147" s="100">
        <f t="shared" si="28"/>
        <v>-13372</v>
      </c>
      <c r="G147" s="100">
        <f t="shared" si="28"/>
        <v>-10481</v>
      </c>
      <c r="H147" s="100">
        <f t="shared" si="28"/>
        <v>-9680</v>
      </c>
      <c r="I147" s="100">
        <f t="shared" si="28"/>
        <v>-14527</v>
      </c>
      <c r="J147" s="100">
        <f t="shared" si="28"/>
        <v>-19300</v>
      </c>
      <c r="K147" s="100">
        <f t="shared" si="28"/>
        <v>-16741</v>
      </c>
      <c r="L147" s="100">
        <f t="shared" si="28"/>
        <v>-29749</v>
      </c>
    </row>
    <row r="148" spans="2:12" x14ac:dyDescent="0.25">
      <c r="B148" s="345" t="s">
        <v>3018</v>
      </c>
      <c r="C148" s="103"/>
      <c r="D148" s="103">
        <f t="shared" ref="D148:K148" si="29">+SUM(D146:D147)</f>
        <v>44339</v>
      </c>
      <c r="E148" s="103">
        <f t="shared" si="29"/>
        <v>45606</v>
      </c>
      <c r="F148" s="103">
        <f t="shared" si="29"/>
        <v>57526</v>
      </c>
      <c r="G148" s="103">
        <f t="shared" si="29"/>
        <v>53449</v>
      </c>
      <c r="H148" s="103">
        <f t="shared" si="29"/>
        <v>56608</v>
      </c>
      <c r="I148" s="103">
        <f t="shared" si="29"/>
        <v>94422</v>
      </c>
      <c r="J148" s="103">
        <f t="shared" si="29"/>
        <v>100137</v>
      </c>
      <c r="K148" s="103">
        <f t="shared" si="29"/>
        <v>97560</v>
      </c>
      <c r="L148" s="103">
        <f t="shared" ref="L148" si="30">+SUM(L146:L147)</f>
        <v>93467</v>
      </c>
    </row>
    <row r="149" spans="2:12" x14ac:dyDescent="0.25">
      <c r="B149" s="344" t="s">
        <v>3006</v>
      </c>
      <c r="C149" s="100"/>
      <c r="D149" s="100">
        <f t="shared" ref="D149:K150" si="31">+D138</f>
        <v>10505</v>
      </c>
      <c r="E149" s="100">
        <f t="shared" si="31"/>
        <v>10157</v>
      </c>
      <c r="F149" s="100">
        <f t="shared" si="31"/>
        <v>10903</v>
      </c>
      <c r="G149" s="100">
        <f t="shared" si="31"/>
        <v>12547</v>
      </c>
      <c r="H149" s="100">
        <f t="shared" si="31"/>
        <v>11056</v>
      </c>
      <c r="I149" s="100">
        <f t="shared" si="31"/>
        <v>11284</v>
      </c>
      <c r="J149" s="100">
        <f t="shared" si="31"/>
        <v>11104</v>
      </c>
      <c r="K149" s="100">
        <f t="shared" si="31"/>
        <v>11519</v>
      </c>
      <c r="L149" s="100">
        <f t="shared" ref="L149" si="32">+L138</f>
        <v>11445</v>
      </c>
    </row>
    <row r="150" spans="2:12" x14ac:dyDescent="0.25">
      <c r="B150" s="344" t="s">
        <v>3007</v>
      </c>
      <c r="C150" s="100"/>
      <c r="D150" s="100">
        <f t="shared" si="31"/>
        <v>-12734</v>
      </c>
      <c r="E150" s="100">
        <f t="shared" si="31"/>
        <v>-12451</v>
      </c>
      <c r="F150" s="100">
        <f t="shared" si="31"/>
        <v>-13313</v>
      </c>
      <c r="G150" s="100">
        <f t="shared" si="31"/>
        <v>-10495</v>
      </c>
      <c r="H150" s="100">
        <f t="shared" si="31"/>
        <v>-7309</v>
      </c>
      <c r="I150" s="100">
        <f t="shared" si="31"/>
        <v>-11085</v>
      </c>
      <c r="J150" s="100">
        <f t="shared" si="31"/>
        <v>-10708</v>
      </c>
      <c r="K150" s="100">
        <f t="shared" si="31"/>
        <v>-10959</v>
      </c>
      <c r="L150" s="100">
        <f t="shared" ref="L150" si="33">+L139</f>
        <v>-9447</v>
      </c>
    </row>
    <row r="151" spans="2:12" x14ac:dyDescent="0.25">
      <c r="B151" s="344" t="s">
        <v>3011</v>
      </c>
      <c r="C151" s="100"/>
      <c r="D151" s="100">
        <f t="shared" ref="D151:K151" si="34">+D168</f>
        <v>6808.8000000000029</v>
      </c>
      <c r="E151" s="100">
        <f t="shared" si="34"/>
        <v>22063.75</v>
      </c>
      <c r="F151" s="100">
        <f t="shared" si="34"/>
        <v>1984.8000000000029</v>
      </c>
      <c r="G151" s="100">
        <f t="shared" si="34"/>
        <v>-4050.5500000000029</v>
      </c>
      <c r="H151" s="100">
        <f t="shared" si="34"/>
        <v>10695.399999999994</v>
      </c>
      <c r="I151" s="100">
        <f t="shared" si="34"/>
        <v>-1096.1999999999971</v>
      </c>
      <c r="J151" s="100">
        <f t="shared" si="34"/>
        <v>8529.6999999999971</v>
      </c>
      <c r="K151" s="100">
        <f t="shared" si="34"/>
        <v>1491.0500000000029</v>
      </c>
      <c r="L151" s="100">
        <f t="shared" ref="L151" si="35">+L168</f>
        <v>20151.100000000006</v>
      </c>
    </row>
    <row r="152" spans="2:12" x14ac:dyDescent="0.25">
      <c r="B152" s="345" t="s">
        <v>3019</v>
      </c>
      <c r="C152" s="103"/>
      <c r="D152" s="103">
        <f t="shared" ref="D152:K152" si="36">+SUM(D148:D151)</f>
        <v>48918.8</v>
      </c>
      <c r="E152" s="103">
        <f t="shared" si="36"/>
        <v>65375.75</v>
      </c>
      <c r="F152" s="103">
        <f t="shared" si="36"/>
        <v>57100.800000000003</v>
      </c>
      <c r="G152" s="103">
        <f t="shared" si="36"/>
        <v>51450.45</v>
      </c>
      <c r="H152" s="103">
        <f t="shared" si="36"/>
        <v>71050.399999999994</v>
      </c>
      <c r="I152" s="103">
        <f t="shared" si="36"/>
        <v>93524.800000000003</v>
      </c>
      <c r="J152" s="103">
        <f t="shared" si="36"/>
        <v>109062.7</v>
      </c>
      <c r="K152" s="103">
        <f t="shared" si="36"/>
        <v>99611.05</v>
      </c>
      <c r="L152" s="103">
        <f t="shared" ref="L152" si="37">+SUM(L148:L151)</f>
        <v>115616.1</v>
      </c>
    </row>
    <row r="153" spans="2:12" x14ac:dyDescent="0.25">
      <c r="B153" s="344"/>
      <c r="C153" s="100"/>
      <c r="D153" s="100"/>
      <c r="E153" s="100"/>
      <c r="F153" s="100"/>
      <c r="G153" s="100"/>
      <c r="H153" s="100"/>
      <c r="I153" s="100"/>
      <c r="J153" s="100"/>
      <c r="K153" s="100"/>
    </row>
    <row r="154" spans="2:12" x14ac:dyDescent="0.25">
      <c r="B154" s="344"/>
      <c r="C154" s="100"/>
      <c r="D154" s="100"/>
      <c r="E154" s="100"/>
      <c r="F154" s="100"/>
      <c r="G154" s="100"/>
      <c r="H154" s="100"/>
      <c r="I154" s="100"/>
      <c r="J154" s="100"/>
      <c r="K154" s="100"/>
    </row>
    <row r="155" spans="2:12" x14ac:dyDescent="0.25">
      <c r="B155" s="344"/>
      <c r="C155" s="100"/>
      <c r="D155" s="100"/>
      <c r="E155" s="100"/>
      <c r="F155" s="100"/>
      <c r="G155" s="100"/>
      <c r="H155" s="100"/>
      <c r="I155" s="100"/>
      <c r="J155" s="100"/>
      <c r="K155" s="100"/>
    </row>
    <row r="156" spans="2:12" x14ac:dyDescent="0.25">
      <c r="B156" s="344"/>
      <c r="C156" s="100"/>
      <c r="D156" s="100"/>
      <c r="E156" s="100"/>
      <c r="F156" s="100"/>
      <c r="G156" s="100"/>
      <c r="H156" s="100"/>
      <c r="I156" s="100"/>
      <c r="J156" s="100"/>
      <c r="K156" s="100"/>
    </row>
    <row r="157" spans="2:12" x14ac:dyDescent="0.25">
      <c r="B157" s="344"/>
      <c r="C157" s="100"/>
      <c r="D157" s="100"/>
      <c r="E157" s="100"/>
      <c r="F157" s="100"/>
      <c r="G157" s="100"/>
      <c r="H157" s="100"/>
      <c r="I157" s="100"/>
      <c r="J157" s="100"/>
      <c r="K157" s="100"/>
    </row>
    <row r="158" spans="2:12" x14ac:dyDescent="0.25">
      <c r="B158" s="332" t="s">
        <v>3015</v>
      </c>
      <c r="C158" s="333">
        <v>42273</v>
      </c>
      <c r="D158" s="333">
        <v>42637</v>
      </c>
      <c r="E158" s="333">
        <v>43008</v>
      </c>
      <c r="F158" s="333">
        <v>43372</v>
      </c>
      <c r="G158" s="333">
        <v>43736</v>
      </c>
      <c r="H158" s="333">
        <v>44100</v>
      </c>
      <c r="I158" s="333">
        <v>44464</v>
      </c>
      <c r="J158" s="333">
        <v>44828</v>
      </c>
      <c r="K158" s="333">
        <v>45199</v>
      </c>
      <c r="L158" s="333">
        <v>45565</v>
      </c>
    </row>
    <row r="159" spans="2:12" x14ac:dyDescent="0.25">
      <c r="B159" s="344" t="s">
        <v>3020</v>
      </c>
      <c r="C159" s="100">
        <f t="shared" ref="C159:L159" si="38">+C20*0.05</f>
        <v>1056</v>
      </c>
      <c r="D159" s="100">
        <f t="shared" si="38"/>
        <v>1024.2</v>
      </c>
      <c r="E159" s="100">
        <f t="shared" si="38"/>
        <v>1014.45</v>
      </c>
      <c r="F159" s="100">
        <f t="shared" si="38"/>
        <v>1295.6500000000001</v>
      </c>
      <c r="G159" s="100">
        <f t="shared" si="38"/>
        <v>2442.2000000000003</v>
      </c>
      <c r="H159" s="100">
        <f t="shared" si="38"/>
        <v>1900.8000000000002</v>
      </c>
      <c r="I159" s="100">
        <f t="shared" si="38"/>
        <v>1747</v>
      </c>
      <c r="J159" s="100">
        <f t="shared" si="38"/>
        <v>1182.3</v>
      </c>
      <c r="K159" s="100">
        <f t="shared" si="38"/>
        <v>1498.25</v>
      </c>
      <c r="L159" s="100">
        <f t="shared" si="38"/>
        <v>1497.15</v>
      </c>
    </row>
    <row r="160" spans="2:12" x14ac:dyDescent="0.25">
      <c r="B160" s="344" t="s">
        <v>2799</v>
      </c>
      <c r="C160" s="100">
        <f t="shared" ref="C160:L160" si="39">+C22</f>
        <v>30343</v>
      </c>
      <c r="D160" s="100">
        <f t="shared" si="39"/>
        <v>29299</v>
      </c>
      <c r="E160" s="100">
        <f t="shared" si="39"/>
        <v>35673</v>
      </c>
      <c r="F160" s="100">
        <f t="shared" si="39"/>
        <v>48995</v>
      </c>
      <c r="G160" s="100">
        <f t="shared" si="39"/>
        <v>45804</v>
      </c>
      <c r="H160" s="100">
        <f t="shared" si="39"/>
        <v>37445</v>
      </c>
      <c r="I160" s="100">
        <f t="shared" si="39"/>
        <v>51506</v>
      </c>
      <c r="J160" s="100">
        <f t="shared" si="39"/>
        <v>60932</v>
      </c>
      <c r="K160" s="100">
        <f t="shared" si="39"/>
        <v>60985</v>
      </c>
      <c r="L160" s="100">
        <f t="shared" si="39"/>
        <v>66243</v>
      </c>
    </row>
    <row r="161" spans="2:12" x14ac:dyDescent="0.25">
      <c r="B161" s="344" t="s">
        <v>2801</v>
      </c>
      <c r="C161" s="100">
        <f t="shared" ref="C161:L161" si="40">+C23</f>
        <v>2349</v>
      </c>
      <c r="D161" s="100">
        <f t="shared" si="40"/>
        <v>2132</v>
      </c>
      <c r="E161" s="100">
        <f t="shared" si="40"/>
        <v>4855</v>
      </c>
      <c r="F161" s="100">
        <f t="shared" si="40"/>
        <v>3956</v>
      </c>
      <c r="G161" s="100">
        <f t="shared" si="40"/>
        <v>4106</v>
      </c>
      <c r="H161" s="100">
        <f t="shared" si="40"/>
        <v>4061</v>
      </c>
      <c r="I161" s="100">
        <f t="shared" si="40"/>
        <v>6580</v>
      </c>
      <c r="J161" s="100">
        <f t="shared" si="40"/>
        <v>4946</v>
      </c>
      <c r="K161" s="100">
        <f t="shared" si="40"/>
        <v>6331</v>
      </c>
      <c r="L161" s="100">
        <f t="shared" si="40"/>
        <v>7286</v>
      </c>
    </row>
    <row r="162" spans="2:12" x14ac:dyDescent="0.25">
      <c r="B162" s="344" t="s">
        <v>2800</v>
      </c>
      <c r="C162" s="100">
        <f t="shared" ref="C162:L162" si="41">+C25</f>
        <v>14691</v>
      </c>
      <c r="D162" s="100">
        <f t="shared" si="41"/>
        <v>8283</v>
      </c>
      <c r="E162" s="100">
        <f t="shared" si="41"/>
        <v>13936</v>
      </c>
      <c r="F162" s="100">
        <f t="shared" si="41"/>
        <v>12087</v>
      </c>
      <c r="G162" s="100">
        <f t="shared" si="41"/>
        <v>12329</v>
      </c>
      <c r="H162" s="100">
        <f t="shared" si="41"/>
        <v>11264</v>
      </c>
      <c r="I162" s="100">
        <f t="shared" si="41"/>
        <v>14111</v>
      </c>
      <c r="J162" s="100">
        <f t="shared" si="41"/>
        <v>21223</v>
      </c>
      <c r="K162" s="100">
        <f t="shared" si="41"/>
        <v>14695</v>
      </c>
      <c r="L162" s="100">
        <f t="shared" si="41"/>
        <v>14287</v>
      </c>
    </row>
    <row r="163" spans="2:12" x14ac:dyDescent="0.25">
      <c r="B163" s="346" t="s">
        <v>2888</v>
      </c>
      <c r="C163" s="340">
        <f t="shared" ref="C163:K163" si="42">+SUM(C159:C162)</f>
        <v>48439</v>
      </c>
      <c r="D163" s="340">
        <f t="shared" si="42"/>
        <v>40738.199999999997</v>
      </c>
      <c r="E163" s="340">
        <f t="shared" si="42"/>
        <v>55478.45</v>
      </c>
      <c r="F163" s="340">
        <f t="shared" si="42"/>
        <v>66333.649999999994</v>
      </c>
      <c r="G163" s="340">
        <f t="shared" si="42"/>
        <v>64681.2</v>
      </c>
      <c r="H163" s="340">
        <f t="shared" si="42"/>
        <v>54670.8</v>
      </c>
      <c r="I163" s="340">
        <f t="shared" si="42"/>
        <v>73944</v>
      </c>
      <c r="J163" s="340">
        <f t="shared" si="42"/>
        <v>88283.3</v>
      </c>
      <c r="K163" s="340">
        <f t="shared" si="42"/>
        <v>83509.25</v>
      </c>
      <c r="L163" s="340">
        <f t="shared" ref="L163" si="43">+SUM(L159:L162)</f>
        <v>89313.15</v>
      </c>
    </row>
    <row r="164" spans="2:12" x14ac:dyDescent="0.25">
      <c r="B164" s="344" t="s">
        <v>2808</v>
      </c>
      <c r="C164" s="100">
        <f t="shared" ref="C164:L164" si="44">+C34</f>
        <v>35490</v>
      </c>
      <c r="D164" s="100">
        <f t="shared" si="44"/>
        <v>37294</v>
      </c>
      <c r="E164" s="100">
        <f t="shared" si="44"/>
        <v>44242</v>
      </c>
      <c r="F164" s="100">
        <f t="shared" si="44"/>
        <v>55888</v>
      </c>
      <c r="G164" s="100">
        <f t="shared" si="44"/>
        <v>46236</v>
      </c>
      <c r="H164" s="100">
        <f t="shared" si="44"/>
        <v>42296</v>
      </c>
      <c r="I164" s="100">
        <f t="shared" si="44"/>
        <v>54763</v>
      </c>
      <c r="J164" s="100">
        <f t="shared" si="44"/>
        <v>64115</v>
      </c>
      <c r="K164" s="100">
        <f t="shared" si="44"/>
        <v>62611</v>
      </c>
      <c r="L164" s="100">
        <f t="shared" si="44"/>
        <v>68960</v>
      </c>
    </row>
    <row r="165" spans="2:12" x14ac:dyDescent="0.25">
      <c r="B165" s="344" t="s">
        <v>2810</v>
      </c>
      <c r="C165" s="100">
        <f t="shared" ref="C165:L165" si="45">+C40+C39</f>
        <v>10939</v>
      </c>
      <c r="D165" s="100">
        <f t="shared" si="45"/>
        <v>8243</v>
      </c>
      <c r="E165" s="100">
        <f t="shared" si="45"/>
        <v>38099</v>
      </c>
      <c r="F165" s="100">
        <f t="shared" si="45"/>
        <v>39293</v>
      </c>
      <c r="G165" s="100">
        <f t="shared" si="45"/>
        <v>43242</v>
      </c>
      <c r="H165" s="100">
        <f t="shared" si="45"/>
        <v>47867</v>
      </c>
      <c r="I165" s="100">
        <f t="shared" si="45"/>
        <v>53577</v>
      </c>
      <c r="J165" s="100">
        <f t="shared" si="45"/>
        <v>67094</v>
      </c>
      <c r="K165" s="100">
        <f t="shared" si="45"/>
        <v>65315</v>
      </c>
      <c r="L165" s="100">
        <f t="shared" si="45"/>
        <v>84921</v>
      </c>
    </row>
    <row r="166" spans="2:12" x14ac:dyDescent="0.25">
      <c r="B166" s="346" t="s">
        <v>2889</v>
      </c>
      <c r="C166" s="340">
        <f t="shared" ref="C166:K166" si="46">+SUM(C164:C165)</f>
        <v>46429</v>
      </c>
      <c r="D166" s="340">
        <f t="shared" si="46"/>
        <v>45537</v>
      </c>
      <c r="E166" s="340">
        <f t="shared" si="46"/>
        <v>82341</v>
      </c>
      <c r="F166" s="340">
        <f t="shared" si="46"/>
        <v>95181</v>
      </c>
      <c r="G166" s="340">
        <f t="shared" si="46"/>
        <v>89478</v>
      </c>
      <c r="H166" s="340">
        <f t="shared" si="46"/>
        <v>90163</v>
      </c>
      <c r="I166" s="340">
        <f t="shared" si="46"/>
        <v>108340</v>
      </c>
      <c r="J166" s="340">
        <f t="shared" si="46"/>
        <v>131209</v>
      </c>
      <c r="K166" s="340">
        <f t="shared" si="46"/>
        <v>127926</v>
      </c>
      <c r="L166" s="340">
        <f t="shared" ref="L166" si="47">+SUM(L164:L165)</f>
        <v>153881</v>
      </c>
    </row>
    <row r="167" spans="2:12" x14ac:dyDescent="0.25">
      <c r="B167" s="347" t="s">
        <v>2893</v>
      </c>
      <c r="C167" s="338">
        <f t="shared" ref="C167:K167" si="48">+C163-C166</f>
        <v>2010</v>
      </c>
      <c r="D167" s="338">
        <f t="shared" si="48"/>
        <v>-4798.8000000000029</v>
      </c>
      <c r="E167" s="338">
        <f t="shared" si="48"/>
        <v>-26862.550000000003</v>
      </c>
      <c r="F167" s="338">
        <f t="shared" si="48"/>
        <v>-28847.350000000006</v>
      </c>
      <c r="G167" s="338">
        <f t="shared" si="48"/>
        <v>-24796.800000000003</v>
      </c>
      <c r="H167" s="338">
        <f t="shared" si="48"/>
        <v>-35492.199999999997</v>
      </c>
      <c r="I167" s="338">
        <f t="shared" si="48"/>
        <v>-34396</v>
      </c>
      <c r="J167" s="338">
        <f t="shared" si="48"/>
        <v>-42925.7</v>
      </c>
      <c r="K167" s="338">
        <f t="shared" si="48"/>
        <v>-44416.75</v>
      </c>
      <c r="L167" s="338">
        <f>+L163-L166</f>
        <v>-64567.850000000006</v>
      </c>
    </row>
    <row r="168" spans="2:12" x14ac:dyDescent="0.25">
      <c r="B168" s="344" t="s">
        <v>3010</v>
      </c>
      <c r="D168" s="100">
        <f t="shared" ref="D168:K168" si="49">-(D167-C167)</f>
        <v>6808.8000000000029</v>
      </c>
      <c r="E168" s="100">
        <f t="shared" si="49"/>
        <v>22063.75</v>
      </c>
      <c r="F168" s="100">
        <f t="shared" si="49"/>
        <v>1984.8000000000029</v>
      </c>
      <c r="G168" s="100">
        <f t="shared" si="49"/>
        <v>-4050.5500000000029</v>
      </c>
      <c r="H168" s="100">
        <f t="shared" si="49"/>
        <v>10695.399999999994</v>
      </c>
      <c r="I168" s="100">
        <f t="shared" si="49"/>
        <v>-1096.1999999999971</v>
      </c>
      <c r="J168" s="100">
        <f t="shared" si="49"/>
        <v>8529.6999999999971</v>
      </c>
      <c r="K168" s="100">
        <f t="shared" si="49"/>
        <v>1491.0500000000029</v>
      </c>
      <c r="L168" s="100">
        <f>-(L167-K167)</f>
        <v>20151.100000000006</v>
      </c>
    </row>
    <row r="169" spans="2:12" x14ac:dyDescent="0.25">
      <c r="B169" s="344"/>
    </row>
    <row r="170" spans="2:12" x14ac:dyDescent="0.25">
      <c r="B170" s="344"/>
    </row>
    <row r="171" spans="2:12" x14ac:dyDescent="0.25">
      <c r="B171" s="354" t="s">
        <v>3207</v>
      </c>
    </row>
    <row r="172" spans="2:12" x14ac:dyDescent="0.25">
      <c r="B172" s="21" t="s">
        <v>3208</v>
      </c>
    </row>
    <row r="173" spans="2:12" x14ac:dyDescent="0.25">
      <c r="B173" s="21" t="s">
        <v>3210</v>
      </c>
    </row>
    <row r="174" spans="2:12" x14ac:dyDescent="0.25">
      <c r="B174" s="21" t="s">
        <v>3209</v>
      </c>
    </row>
    <row r="175" spans="2:12" x14ac:dyDescent="0.25">
      <c r="B175" s="21" t="s">
        <v>3211</v>
      </c>
    </row>
    <row r="176" spans="2:12" x14ac:dyDescent="0.25">
      <c r="B176" s="355" t="s">
        <v>3012</v>
      </c>
    </row>
    <row r="177" spans="2:4" x14ac:dyDescent="0.25">
      <c r="B177" s="21" t="s">
        <v>3212</v>
      </c>
    </row>
    <row r="178" spans="2:4" x14ac:dyDescent="0.25">
      <c r="B178" s="355" t="s">
        <v>3013</v>
      </c>
    </row>
    <row r="181" spans="2:4" x14ac:dyDescent="0.25">
      <c r="B181" s="332" t="s">
        <v>3017</v>
      </c>
      <c r="C181" s="333" t="s">
        <v>3014</v>
      </c>
      <c r="D181" s="333" t="s">
        <v>3102</v>
      </c>
    </row>
    <row r="182" spans="2:4" x14ac:dyDescent="0.25">
      <c r="B182" s="344" t="s">
        <v>3005</v>
      </c>
      <c r="C182" s="100">
        <f>+K17</f>
        <v>96995.298214122653</v>
      </c>
      <c r="D182" s="100">
        <f>+L17</f>
        <v>93736.315102228706</v>
      </c>
    </row>
    <row r="183" spans="2:4" x14ac:dyDescent="0.25">
      <c r="B183" s="344" t="s">
        <v>3006</v>
      </c>
      <c r="C183" s="100">
        <f>+K57</f>
        <v>11519</v>
      </c>
      <c r="D183" s="100">
        <f>+L57</f>
        <v>11445</v>
      </c>
    </row>
    <row r="184" spans="2:4" x14ac:dyDescent="0.25">
      <c r="B184" s="344" t="s">
        <v>3213</v>
      </c>
      <c r="C184" s="100">
        <f>+K60</f>
        <v>10833</v>
      </c>
      <c r="D184" s="100">
        <f>+L60</f>
        <v>11688</v>
      </c>
    </row>
    <row r="185" spans="2:4" x14ac:dyDescent="0.25">
      <c r="B185" s="344" t="s">
        <v>3007</v>
      </c>
      <c r="C185" s="100">
        <f>+K68</f>
        <v>-10959</v>
      </c>
      <c r="D185" s="100">
        <f>+L68</f>
        <v>-9447</v>
      </c>
    </row>
    <row r="186" spans="2:4" x14ac:dyDescent="0.25">
      <c r="B186" s="344" t="s">
        <v>3011</v>
      </c>
      <c r="C186" s="100">
        <f>+K140</f>
        <v>1491.0500000000029</v>
      </c>
      <c r="D186" s="100">
        <f>+L140</f>
        <v>20151.100000000006</v>
      </c>
    </row>
    <row r="187" spans="2:4" x14ac:dyDescent="0.25">
      <c r="B187" s="345" t="s">
        <v>3012</v>
      </c>
      <c r="C187" s="103">
        <f>+SUM(C182:C186)</f>
        <v>109879.34821412266</v>
      </c>
      <c r="D187" s="103">
        <f>+SUM(D182:D186)</f>
        <v>127573.41510222871</v>
      </c>
    </row>
    <row r="188" spans="2:4" x14ac:dyDescent="0.25">
      <c r="B188" s="344" t="s">
        <v>3206</v>
      </c>
      <c r="C188" s="100">
        <f>+K74+K75</f>
        <v>-9901</v>
      </c>
      <c r="D188" s="100">
        <f>+L74+L75</f>
        <v>-5998</v>
      </c>
    </row>
    <row r="189" spans="2:4" x14ac:dyDescent="0.25">
      <c r="B189" s="345" t="s">
        <v>3013</v>
      </c>
      <c r="C189" s="103">
        <f>+SUM(C187:C188)</f>
        <v>99978.348214122656</v>
      </c>
      <c r="D189" s="103">
        <f>+SUM(D187:D188)</f>
        <v>121575.41510222871</v>
      </c>
    </row>
    <row r="190" spans="2:4" x14ac:dyDescent="0.25">
      <c r="B190" s="345"/>
      <c r="C190" s="103"/>
      <c r="D190" s="103"/>
    </row>
    <row r="191" spans="2:4" x14ac:dyDescent="0.25">
      <c r="B191" s="345"/>
      <c r="C191" s="333" t="s">
        <v>3014</v>
      </c>
      <c r="D191" s="333" t="s">
        <v>3102</v>
      </c>
    </row>
    <row r="192" spans="2:4" x14ac:dyDescent="0.25">
      <c r="B192" s="356" t="s">
        <v>3214</v>
      </c>
      <c r="C192" s="357">
        <f>+SUM(C193:C194)</f>
        <v>-98006</v>
      </c>
      <c r="D192" s="357">
        <f>+SUM(D193:D194)</f>
        <v>-115624</v>
      </c>
    </row>
    <row r="193" spans="2:4" x14ac:dyDescent="0.25">
      <c r="B193" s="344" t="s">
        <v>3215</v>
      </c>
      <c r="C193" s="100">
        <f>+K77</f>
        <v>-82981</v>
      </c>
      <c r="D193" s="100">
        <f>+L77</f>
        <v>-100390</v>
      </c>
    </row>
    <row r="194" spans="2:4" x14ac:dyDescent="0.25">
      <c r="B194" s="344" t="s">
        <v>3152</v>
      </c>
      <c r="C194" s="100">
        <f>+K78</f>
        <v>-15025</v>
      </c>
      <c r="D194" s="100">
        <f>+L78</f>
        <v>-15234</v>
      </c>
    </row>
    <row r="195" spans="2:4" x14ac:dyDescent="0.25">
      <c r="B195" s="356" t="s">
        <v>3216</v>
      </c>
      <c r="C195" s="357">
        <f>+C189</f>
        <v>99978.348214122656</v>
      </c>
      <c r="D195" s="357">
        <f>+D189</f>
        <v>121575.41510222871</v>
      </c>
    </row>
    <row r="196" spans="2:4" x14ac:dyDescent="0.25">
      <c r="B196" s="344" t="s">
        <v>3199</v>
      </c>
      <c r="C196" s="100">
        <f>+C192+C195</f>
        <v>1972.3482141226559</v>
      </c>
      <c r="D196" s="100">
        <f>+D192+D195</f>
        <v>5951.4151022287115</v>
      </c>
    </row>
    <row r="197" spans="2:4" x14ac:dyDescent="0.25">
      <c r="B197" s="344" t="s">
        <v>3217</v>
      </c>
      <c r="C197" s="251">
        <f>+-C192/C189</f>
        <v>0.98027224644781596</v>
      </c>
      <c r="D197" s="251">
        <f>+-D192/D189</f>
        <v>0.95104754446263362</v>
      </c>
    </row>
    <row r="198" spans="2:4" x14ac:dyDescent="0.25">
      <c r="B198" s="344"/>
      <c r="C198" s="251"/>
      <c r="D198" s="251"/>
    </row>
    <row r="199" spans="2:4" x14ac:dyDescent="0.25">
      <c r="B199" s="344"/>
      <c r="C199" s="251"/>
      <c r="D199" s="251"/>
    </row>
    <row r="200" spans="2:4" x14ac:dyDescent="0.25">
      <c r="B200" s="354" t="s">
        <v>2915</v>
      </c>
      <c r="C200" s="251"/>
      <c r="D200" s="251"/>
    </row>
    <row r="201" spans="2:4" x14ac:dyDescent="0.25">
      <c r="B201" s="21" t="s">
        <v>3208</v>
      </c>
      <c r="C201" s="251"/>
      <c r="D201" s="251"/>
    </row>
    <row r="202" spans="2:4" x14ac:dyDescent="0.25">
      <c r="B202" s="21" t="s">
        <v>3210</v>
      </c>
      <c r="C202" s="251"/>
      <c r="D202" s="251"/>
    </row>
    <row r="203" spans="2:4" x14ac:dyDescent="0.25">
      <c r="B203" s="21" t="s">
        <v>3209</v>
      </c>
      <c r="C203" s="251"/>
      <c r="D203" s="251"/>
    </row>
    <row r="204" spans="2:4" x14ac:dyDescent="0.25">
      <c r="B204" s="21" t="s">
        <v>3211</v>
      </c>
      <c r="C204" s="251"/>
      <c r="D204" s="251"/>
    </row>
    <row r="205" spans="2:4" x14ac:dyDescent="0.25">
      <c r="B205" s="355" t="s">
        <v>3019</v>
      </c>
      <c r="C205" s="251"/>
      <c r="D205" s="251"/>
    </row>
    <row r="207" spans="2:4" x14ac:dyDescent="0.25">
      <c r="B207" s="332" t="s">
        <v>3016</v>
      </c>
      <c r="C207" s="333" t="s">
        <v>3014</v>
      </c>
      <c r="D207" s="333" t="s">
        <v>3102</v>
      </c>
    </row>
    <row r="208" spans="2:4" x14ac:dyDescent="0.25">
      <c r="B208" s="344" t="s">
        <v>3021</v>
      </c>
      <c r="C208" s="100" t="e">
        <f>+#REF!</f>
        <v>#REF!</v>
      </c>
      <c r="D208" s="100" t="e">
        <f>+#REF!</f>
        <v>#REF!</v>
      </c>
    </row>
    <row r="209" spans="2:4" x14ac:dyDescent="0.25">
      <c r="B209" s="344" t="s">
        <v>2914</v>
      </c>
      <c r="C209" s="100">
        <v>-16741</v>
      </c>
      <c r="D209" s="100" t="e">
        <f>+#REF!</f>
        <v>#REF!</v>
      </c>
    </row>
    <row r="210" spans="2:4" x14ac:dyDescent="0.25">
      <c r="B210" s="345" t="s">
        <v>3022</v>
      </c>
      <c r="C210" s="103" t="e">
        <f>+SUM(C208:C209)</f>
        <v>#REF!</v>
      </c>
      <c r="D210" s="103" t="e">
        <f>+SUM(D208:D209)</f>
        <v>#REF!</v>
      </c>
    </row>
    <row r="211" spans="2:4" x14ac:dyDescent="0.25">
      <c r="B211" s="344" t="s">
        <v>3006</v>
      </c>
      <c r="C211" s="100">
        <v>11519</v>
      </c>
      <c r="D211" s="100">
        <f>+L59</f>
        <v>11445</v>
      </c>
    </row>
    <row r="212" spans="2:4" x14ac:dyDescent="0.25">
      <c r="B212" s="344" t="s">
        <v>3213</v>
      </c>
      <c r="C212" s="100">
        <f>+C184</f>
        <v>10833</v>
      </c>
      <c r="D212" s="100">
        <f>+D184</f>
        <v>11688</v>
      </c>
    </row>
    <row r="213" spans="2:4" x14ac:dyDescent="0.25">
      <c r="B213" s="344" t="s">
        <v>3007</v>
      </c>
      <c r="C213" s="100">
        <v>-10959</v>
      </c>
      <c r="D213" s="100">
        <f>+L68</f>
        <v>-9447</v>
      </c>
    </row>
    <row r="214" spans="2:4" x14ac:dyDescent="0.25">
      <c r="B214" s="344" t="s">
        <v>3011</v>
      </c>
      <c r="C214" s="100">
        <f>+K168</f>
        <v>1491.0500000000029</v>
      </c>
      <c r="D214" s="100">
        <f>+L168</f>
        <v>20151.100000000006</v>
      </c>
    </row>
    <row r="215" spans="2:4" x14ac:dyDescent="0.25">
      <c r="B215" s="345" t="s">
        <v>3019</v>
      </c>
      <c r="C215" s="103" t="e">
        <f>+SUM(C210:C214)</f>
        <v>#REF!</v>
      </c>
      <c r="D215" s="103" t="e">
        <f>+SUM(D210:D214)</f>
        <v>#REF!</v>
      </c>
    </row>
    <row r="216" spans="2:4" x14ac:dyDescent="0.25">
      <c r="B216" s="345"/>
      <c r="C216" s="103"/>
      <c r="D216" s="103"/>
    </row>
    <row r="217" spans="2:4" x14ac:dyDescent="0.25">
      <c r="B217" s="344" t="s">
        <v>3218</v>
      </c>
      <c r="C217" s="100">
        <f>+K8+K59</f>
        <v>125820</v>
      </c>
      <c r="D217" s="100">
        <f>+L8+L59</f>
        <v>134661</v>
      </c>
    </row>
    <row r="218" spans="2:4" x14ac:dyDescent="0.25">
      <c r="B218" s="358" t="s">
        <v>3069</v>
      </c>
      <c r="C218" s="351" t="e">
        <f>+C215</f>
        <v>#REF!</v>
      </c>
      <c r="D218" s="351" t="e">
        <f>+D215</f>
        <v>#REF!</v>
      </c>
    </row>
    <row r="219" spans="2:4" x14ac:dyDescent="0.25">
      <c r="B219" s="345" t="s">
        <v>3219</v>
      </c>
      <c r="C219" s="104" t="e">
        <f>+C218/C217</f>
        <v>#REF!</v>
      </c>
      <c r="D219" s="104" t="e">
        <f>+D218/D217</f>
        <v>#REF!</v>
      </c>
    </row>
    <row r="220" spans="2:4" x14ac:dyDescent="0.25">
      <c r="B220" s="345"/>
      <c r="C220" s="104"/>
      <c r="D220" s="104"/>
    </row>
    <row r="221" spans="2:4" x14ac:dyDescent="0.25">
      <c r="B221" s="332" t="s">
        <v>3224</v>
      </c>
      <c r="C221" s="333" t="s">
        <v>3014</v>
      </c>
      <c r="D221" s="333" t="s">
        <v>3102</v>
      </c>
    </row>
    <row r="222" spans="2:4" x14ac:dyDescent="0.25">
      <c r="B222" s="344" t="s">
        <v>3069</v>
      </c>
      <c r="C222" s="100" t="e">
        <f>+C215</f>
        <v>#REF!</v>
      </c>
      <c r="D222" s="100" t="e">
        <f>+D215</f>
        <v>#REF!</v>
      </c>
    </row>
    <row r="223" spans="2:4" x14ac:dyDescent="0.25">
      <c r="B223" s="358" t="s">
        <v>3225</v>
      </c>
      <c r="C223" s="351" t="e">
        <f>+#REF!</f>
        <v>#REF!</v>
      </c>
      <c r="D223" s="351" t="e">
        <f>+#REF!</f>
        <v>#REF!</v>
      </c>
    </row>
    <row r="224" spans="2:4" x14ac:dyDescent="0.25">
      <c r="B224" s="345" t="s">
        <v>3224</v>
      </c>
      <c r="C224" s="352" t="e">
        <f>+C222/C223</f>
        <v>#REF!</v>
      </c>
      <c r="D224" s="352" t="e">
        <f>+D222/D223</f>
        <v>#REF!</v>
      </c>
    </row>
    <row r="226" spans="2:12" x14ac:dyDescent="0.25">
      <c r="B226" s="332" t="s">
        <v>2635</v>
      </c>
      <c r="C226" s="333">
        <v>42273</v>
      </c>
      <c r="D226" s="333">
        <v>42637</v>
      </c>
      <c r="E226" s="333">
        <v>43008</v>
      </c>
      <c r="F226" s="333">
        <v>43372</v>
      </c>
      <c r="G226" s="333">
        <v>43736</v>
      </c>
      <c r="H226" s="333">
        <v>44100</v>
      </c>
      <c r="I226" s="333">
        <v>44464</v>
      </c>
      <c r="J226" s="333">
        <v>44828</v>
      </c>
      <c r="K226" s="333">
        <v>45199</v>
      </c>
      <c r="L226" s="333">
        <v>45565</v>
      </c>
    </row>
    <row r="227" spans="2:12" x14ac:dyDescent="0.25">
      <c r="B227" s="344" t="s">
        <v>3024</v>
      </c>
      <c r="C227" s="100">
        <f t="shared" ref="C227:L227" si="50">+C5</f>
        <v>93626</v>
      </c>
      <c r="D227" s="100">
        <f t="shared" si="50"/>
        <v>84263</v>
      </c>
      <c r="E227" s="100">
        <f t="shared" si="50"/>
        <v>88186</v>
      </c>
      <c r="F227" s="100">
        <f t="shared" si="50"/>
        <v>101839</v>
      </c>
      <c r="G227" s="100">
        <f t="shared" si="50"/>
        <v>98392</v>
      </c>
      <c r="H227" s="100">
        <f t="shared" si="50"/>
        <v>104956</v>
      </c>
      <c r="I227" s="100">
        <f t="shared" si="50"/>
        <v>152836</v>
      </c>
      <c r="J227" s="100">
        <f t="shared" si="50"/>
        <v>170782</v>
      </c>
      <c r="K227" s="100">
        <f t="shared" si="50"/>
        <v>169148</v>
      </c>
      <c r="L227" s="100">
        <f t="shared" si="50"/>
        <v>180683</v>
      </c>
    </row>
    <row r="228" spans="2:12" x14ac:dyDescent="0.25">
      <c r="B228" s="344" t="s">
        <v>3025</v>
      </c>
      <c r="C228" s="100">
        <f t="shared" ref="C228:L228" si="51">+C33</f>
        <v>290345</v>
      </c>
      <c r="D228" s="100">
        <f t="shared" si="51"/>
        <v>321686</v>
      </c>
      <c r="E228" s="100">
        <f t="shared" si="51"/>
        <v>375319</v>
      </c>
      <c r="F228" s="100">
        <f t="shared" si="51"/>
        <v>365725</v>
      </c>
      <c r="G228" s="100">
        <f t="shared" si="51"/>
        <v>338516</v>
      </c>
      <c r="H228" s="100">
        <f t="shared" si="51"/>
        <v>323888</v>
      </c>
      <c r="I228" s="100">
        <f t="shared" si="51"/>
        <v>351002</v>
      </c>
      <c r="J228" s="100">
        <f t="shared" si="51"/>
        <v>352755</v>
      </c>
      <c r="K228" s="100">
        <f t="shared" si="51"/>
        <v>352583</v>
      </c>
      <c r="L228" s="100">
        <f t="shared" si="51"/>
        <v>364980</v>
      </c>
    </row>
    <row r="229" spans="2:12" x14ac:dyDescent="0.25">
      <c r="B229" s="345" t="s">
        <v>2635</v>
      </c>
      <c r="C229" s="104">
        <f t="shared" ref="C229:K229" si="52">+C227/C228</f>
        <v>0.32246465411837644</v>
      </c>
      <c r="D229" s="104">
        <f t="shared" si="52"/>
        <v>0.26194176930298491</v>
      </c>
      <c r="E229" s="104">
        <f t="shared" si="52"/>
        <v>0.23496279165190145</v>
      </c>
      <c r="F229" s="104">
        <f t="shared" si="52"/>
        <v>0.27845785767995079</v>
      </c>
      <c r="G229" s="104">
        <f t="shared" si="52"/>
        <v>0.29065686703139587</v>
      </c>
      <c r="H229" s="104">
        <f t="shared" si="52"/>
        <v>0.32405028898878624</v>
      </c>
      <c r="I229" s="104">
        <f t="shared" si="52"/>
        <v>0.43542771836057914</v>
      </c>
      <c r="J229" s="104">
        <f t="shared" si="52"/>
        <v>0.48413771597851202</v>
      </c>
      <c r="K229" s="104">
        <f t="shared" si="52"/>
        <v>0.47973952232523975</v>
      </c>
      <c r="L229" s="104">
        <f t="shared" ref="L229" si="53">+L227/L228</f>
        <v>0.49504904378322101</v>
      </c>
    </row>
    <row r="230" spans="2:12" x14ac:dyDescent="0.25">
      <c r="C230" s="251"/>
    </row>
    <row r="232" spans="2:12" x14ac:dyDescent="0.25">
      <c r="B232" s="332" t="s">
        <v>2207</v>
      </c>
      <c r="C232" s="333">
        <v>42273</v>
      </c>
      <c r="D232" s="333">
        <v>42637</v>
      </c>
      <c r="E232" s="333">
        <v>43008</v>
      </c>
      <c r="F232" s="333">
        <v>43372</v>
      </c>
      <c r="G232" s="333">
        <v>43736</v>
      </c>
      <c r="H232" s="333">
        <v>44100</v>
      </c>
      <c r="I232" s="333">
        <v>44464</v>
      </c>
      <c r="J232" s="333">
        <v>44828</v>
      </c>
      <c r="K232" s="333">
        <v>45199</v>
      </c>
      <c r="L232" s="333">
        <v>45565</v>
      </c>
    </row>
    <row r="233" spans="2:12" x14ac:dyDescent="0.25">
      <c r="B233" s="344" t="s">
        <v>3005</v>
      </c>
      <c r="C233" s="100">
        <f t="shared" ref="C233:L233" si="54">+C17</f>
        <v>53394.30477290717</v>
      </c>
      <c r="D233" s="100">
        <f t="shared" si="54"/>
        <v>45687.278354101065</v>
      </c>
      <c r="E233" s="100">
        <f t="shared" si="54"/>
        <v>48351.267604282089</v>
      </c>
      <c r="F233" s="100">
        <f t="shared" si="54"/>
        <v>59531.2669402662</v>
      </c>
      <c r="G233" s="100">
        <f t="shared" si="54"/>
        <v>55256.245720171893</v>
      </c>
      <c r="H233" s="100">
        <f t="shared" si="54"/>
        <v>57411.241473143542</v>
      </c>
      <c r="I233" s="100">
        <f t="shared" si="54"/>
        <v>94680.297823775269</v>
      </c>
      <c r="J233" s="100">
        <f t="shared" si="54"/>
        <v>99803.302887443962</v>
      </c>
      <c r="K233" s="100">
        <f t="shared" si="54"/>
        <v>96995.298214122653</v>
      </c>
      <c r="L233" s="100">
        <f t="shared" si="54"/>
        <v>93736.315102228706</v>
      </c>
    </row>
    <row r="234" spans="2:12" x14ac:dyDescent="0.25">
      <c r="B234" s="344" t="s">
        <v>3026</v>
      </c>
      <c r="C234" s="100">
        <f t="shared" ref="C234:L234" si="55">+C52</f>
        <v>119355</v>
      </c>
      <c r="D234" s="100">
        <f t="shared" si="55"/>
        <v>128249</v>
      </c>
      <c r="E234" s="100">
        <f t="shared" si="55"/>
        <v>134047</v>
      </c>
      <c r="F234" s="100">
        <f t="shared" si="55"/>
        <v>107147</v>
      </c>
      <c r="G234" s="100">
        <f t="shared" si="55"/>
        <v>90488</v>
      </c>
      <c r="H234" s="100">
        <f t="shared" si="55"/>
        <v>65339</v>
      </c>
      <c r="I234" s="100">
        <f t="shared" si="55"/>
        <v>63090</v>
      </c>
      <c r="J234" s="100">
        <f t="shared" si="55"/>
        <v>50672</v>
      </c>
      <c r="K234" s="100">
        <f t="shared" si="55"/>
        <v>62146</v>
      </c>
      <c r="L234" s="100">
        <f t="shared" si="55"/>
        <v>56950</v>
      </c>
    </row>
    <row r="235" spans="2:12" x14ac:dyDescent="0.25">
      <c r="B235" s="345" t="s">
        <v>2207</v>
      </c>
      <c r="C235" s="104">
        <f t="shared" ref="C235:K235" si="56">+C233/C234</f>
        <v>0.44735708410127073</v>
      </c>
      <c r="D235" s="104">
        <f t="shared" si="56"/>
        <v>0.35623886622196715</v>
      </c>
      <c r="E235" s="104">
        <f t="shared" si="56"/>
        <v>0.36070383972996106</v>
      </c>
      <c r="F235" s="104">
        <f t="shared" si="56"/>
        <v>0.55560367476706018</v>
      </c>
      <c r="G235" s="104">
        <f t="shared" si="56"/>
        <v>0.6106472208488628</v>
      </c>
      <c r="H235" s="104">
        <f t="shared" si="56"/>
        <v>0.87866728099823299</v>
      </c>
      <c r="I235" s="104">
        <f t="shared" si="56"/>
        <v>1.5007179873795413</v>
      </c>
      <c r="J235" s="104">
        <f t="shared" si="56"/>
        <v>1.9695947049148239</v>
      </c>
      <c r="K235" s="104">
        <f t="shared" si="56"/>
        <v>1.5607649440691702</v>
      </c>
      <c r="L235" s="104">
        <f t="shared" ref="L235" si="57">+L233/L234</f>
        <v>1.645940563691461</v>
      </c>
    </row>
    <row r="243" spans="2:3" x14ac:dyDescent="0.25">
      <c r="B243" s="332" t="s">
        <v>3028</v>
      </c>
      <c r="C243" s="333">
        <v>45199</v>
      </c>
    </row>
    <row r="244" spans="2:3" x14ac:dyDescent="0.25">
      <c r="B244" s="344" t="s">
        <v>3029</v>
      </c>
      <c r="C244" s="100">
        <f>+K17</f>
        <v>96995.298214122653</v>
      </c>
    </row>
    <row r="245" spans="2:3" x14ac:dyDescent="0.25">
      <c r="B245" s="344" t="s">
        <v>3003</v>
      </c>
      <c r="C245" s="100">
        <f>+K13</f>
        <v>113736.29821412265</v>
      </c>
    </row>
    <row r="246" spans="2:3" x14ac:dyDescent="0.25">
      <c r="B246" s="345" t="s">
        <v>3030</v>
      </c>
      <c r="C246" s="104">
        <f>+C244/C245</f>
        <v>0.85280864365320741</v>
      </c>
    </row>
    <row r="247" spans="2:3" x14ac:dyDescent="0.25">
      <c r="B247" s="344" t="s">
        <v>3003</v>
      </c>
      <c r="C247" s="100">
        <f>+C245</f>
        <v>113736.29821412265</v>
      </c>
    </row>
    <row r="248" spans="2:3" x14ac:dyDescent="0.25">
      <c r="B248" s="344" t="s">
        <v>2895</v>
      </c>
      <c r="C248" s="100">
        <f>+K8</f>
        <v>114301</v>
      </c>
    </row>
    <row r="249" spans="2:3" ht="31.5" x14ac:dyDescent="0.25">
      <c r="B249" s="345" t="s">
        <v>3031</v>
      </c>
      <c r="C249" s="104">
        <f>+C247/C248</f>
        <v>0.99505952016275145</v>
      </c>
    </row>
    <row r="250" spans="2:3" x14ac:dyDescent="0.25">
      <c r="B250" s="344" t="s">
        <v>2895</v>
      </c>
      <c r="C250" s="100">
        <f>+C248</f>
        <v>114301</v>
      </c>
    </row>
    <row r="251" spans="2:3" x14ac:dyDescent="0.25">
      <c r="B251" s="344" t="s">
        <v>3032</v>
      </c>
      <c r="C251" s="100">
        <f>+K3</f>
        <v>383285</v>
      </c>
    </row>
    <row r="252" spans="2:3" x14ac:dyDescent="0.25">
      <c r="B252" s="345" t="s">
        <v>3033</v>
      </c>
      <c r="C252" s="104">
        <f>+C250/C251</f>
        <v>0.29821412265024722</v>
      </c>
    </row>
    <row r="253" spans="2:3" x14ac:dyDescent="0.25">
      <c r="B253" s="344" t="s">
        <v>3034</v>
      </c>
      <c r="C253" s="100">
        <f>+C251</f>
        <v>383285</v>
      </c>
    </row>
    <row r="254" spans="2:3" x14ac:dyDescent="0.25">
      <c r="B254" s="344" t="s">
        <v>3035</v>
      </c>
      <c r="C254" s="100">
        <f>+K33</f>
        <v>352583</v>
      </c>
    </row>
    <row r="255" spans="2:3" x14ac:dyDescent="0.25">
      <c r="B255" s="345" t="s">
        <v>3036</v>
      </c>
      <c r="C255" s="104">
        <f>+C253/C254</f>
        <v>1.0870773690166571</v>
      </c>
    </row>
    <row r="256" spans="2:3" x14ac:dyDescent="0.25">
      <c r="B256" s="344" t="s">
        <v>3035</v>
      </c>
      <c r="C256" s="100">
        <f>+C254</f>
        <v>352583</v>
      </c>
    </row>
    <row r="257" spans="2:11" x14ac:dyDescent="0.25">
      <c r="B257" s="344" t="s">
        <v>2931</v>
      </c>
      <c r="C257" s="100">
        <f>+K52</f>
        <v>62146</v>
      </c>
    </row>
    <row r="258" spans="2:11" x14ac:dyDescent="0.25">
      <c r="B258" s="345" t="s">
        <v>3037</v>
      </c>
      <c r="C258" s="104">
        <f>+C256/C257</f>
        <v>5.6734624915521517</v>
      </c>
    </row>
    <row r="259" spans="2:11" x14ac:dyDescent="0.25">
      <c r="B259" s="347" t="s">
        <v>2207</v>
      </c>
      <c r="C259" s="348">
        <f>+C246*C249*C252*C255*C258</f>
        <v>1.5607649440691707</v>
      </c>
    </row>
    <row r="262" spans="2:11" x14ac:dyDescent="0.25">
      <c r="B262" s="332" t="s">
        <v>3028</v>
      </c>
      <c r="C262" s="333">
        <v>42273</v>
      </c>
      <c r="D262" s="333">
        <v>42637</v>
      </c>
      <c r="E262" s="333">
        <v>43008</v>
      </c>
      <c r="F262" s="333">
        <v>43372</v>
      </c>
      <c r="G262" s="333">
        <v>43736</v>
      </c>
      <c r="H262" s="333">
        <v>44100</v>
      </c>
      <c r="I262" s="333">
        <v>44464</v>
      </c>
      <c r="J262" s="333">
        <v>44828</v>
      </c>
      <c r="K262" s="333">
        <v>45199</v>
      </c>
    </row>
    <row r="263" spans="2:11" x14ac:dyDescent="0.25">
      <c r="B263" s="345" t="s">
        <v>3030</v>
      </c>
      <c r="C263" s="251">
        <f t="shared" ref="C263:K263" si="58">+C17/C13</f>
        <v>0.73631773237552611</v>
      </c>
      <c r="D263" s="251">
        <f t="shared" si="58"/>
        <v>0.74442858533779876</v>
      </c>
      <c r="E263" s="251">
        <f t="shared" si="58"/>
        <v>0.75443626385038498</v>
      </c>
      <c r="F263" s="251">
        <f t="shared" si="58"/>
        <v>0.81657886455271689</v>
      </c>
      <c r="G263" s="251">
        <f t="shared" si="58"/>
        <v>0.84056222792455937</v>
      </c>
      <c r="H263" s="251">
        <f t="shared" si="58"/>
        <v>0.85571887198010965</v>
      </c>
      <c r="I263" s="251">
        <f t="shared" si="58"/>
        <v>0.86697775433065094</v>
      </c>
      <c r="J263" s="251">
        <f t="shared" si="58"/>
        <v>0.83795579524575359</v>
      </c>
      <c r="K263" s="251">
        <f t="shared" si="58"/>
        <v>0.85280864365320741</v>
      </c>
    </row>
    <row r="264" spans="2:11" ht="31.5" x14ac:dyDescent="0.25">
      <c r="B264" s="345" t="s">
        <v>3031</v>
      </c>
      <c r="C264" s="251">
        <f t="shared" ref="C264:K264" si="59">+C13/C8</f>
        <v>1.0180444303370373</v>
      </c>
      <c r="D264" s="251">
        <f t="shared" si="59"/>
        <v>1.022462320973295</v>
      </c>
      <c r="E264" s="251">
        <f t="shared" si="59"/>
        <v>1.0447520149367842</v>
      </c>
      <c r="F264" s="251">
        <f t="shared" si="59"/>
        <v>1.028283829448873</v>
      </c>
      <c r="G264" s="251">
        <f t="shared" si="59"/>
        <v>1.028269133742717</v>
      </c>
      <c r="H264" s="251">
        <f t="shared" si="59"/>
        <v>1.0121174492086582</v>
      </c>
      <c r="I264" s="251">
        <f t="shared" si="59"/>
        <v>1.0023708140852625</v>
      </c>
      <c r="J264" s="251">
        <f t="shared" si="59"/>
        <v>0.99720608259956267</v>
      </c>
      <c r="K264" s="251">
        <f t="shared" si="59"/>
        <v>0.99505952016275145</v>
      </c>
    </row>
    <row r="265" spans="2:11" x14ac:dyDescent="0.25">
      <c r="B265" s="345" t="s">
        <v>3033</v>
      </c>
      <c r="C265" s="251">
        <f t="shared" ref="C265:K265" si="60">+C8/C3</f>
        <v>0.30477290717326661</v>
      </c>
      <c r="D265" s="251">
        <f t="shared" si="60"/>
        <v>0.27835410106706115</v>
      </c>
      <c r="E265" s="251">
        <f t="shared" si="60"/>
        <v>0.26760428208729942</v>
      </c>
      <c r="F265" s="251">
        <f t="shared" si="60"/>
        <v>0.26694026619477024</v>
      </c>
      <c r="G265" s="251">
        <f t="shared" si="60"/>
        <v>0.24572017188496928</v>
      </c>
      <c r="H265" s="251">
        <f t="shared" si="60"/>
        <v>0.24147314354406862</v>
      </c>
      <c r="I265" s="251">
        <f t="shared" si="60"/>
        <v>0.29782377527561593</v>
      </c>
      <c r="J265" s="251">
        <f t="shared" si="60"/>
        <v>0.30288744395528594</v>
      </c>
      <c r="K265" s="251">
        <f t="shared" si="60"/>
        <v>0.29821412265024722</v>
      </c>
    </row>
    <row r="266" spans="2:11" x14ac:dyDescent="0.25">
      <c r="B266" s="345" t="s">
        <v>3038</v>
      </c>
      <c r="C266" s="251">
        <f t="shared" ref="C266:K266" si="61">+C3/C33</f>
        <v>0.80495617282887599</v>
      </c>
      <c r="D266" s="251">
        <f t="shared" si="61"/>
        <v>0.67034002101428103</v>
      </c>
      <c r="E266" s="251">
        <f t="shared" si="61"/>
        <v>0.61077110404749024</v>
      </c>
      <c r="F266" s="251">
        <f t="shared" si="61"/>
        <v>0.7262150522933899</v>
      </c>
      <c r="G266" s="251">
        <f t="shared" si="61"/>
        <v>0.76857223883066084</v>
      </c>
      <c r="H266" s="251">
        <f t="shared" si="61"/>
        <v>0.84756150274168851</v>
      </c>
      <c r="I266" s="251">
        <f t="shared" si="61"/>
        <v>1.0422077367080529</v>
      </c>
      <c r="J266" s="251">
        <f t="shared" si="61"/>
        <v>1.1178523337727317</v>
      </c>
      <c r="K266" s="251">
        <f t="shared" si="61"/>
        <v>1.0870773690166571</v>
      </c>
    </row>
    <row r="267" spans="2:11" x14ac:dyDescent="0.25">
      <c r="B267" s="345" t="s">
        <v>3037</v>
      </c>
      <c r="C267" s="251">
        <f t="shared" ref="C267:K267" si="62">+C33/C52</f>
        <v>2.432616982950023</v>
      </c>
      <c r="D267" s="251">
        <f t="shared" si="62"/>
        <v>2.5082924623193943</v>
      </c>
      <c r="E267" s="251">
        <f t="shared" si="62"/>
        <v>2.7999060031183092</v>
      </c>
      <c r="F267" s="251">
        <f t="shared" si="62"/>
        <v>3.4133013523477094</v>
      </c>
      <c r="G267" s="251">
        <f t="shared" si="62"/>
        <v>3.7410043320661304</v>
      </c>
      <c r="H267" s="251">
        <f t="shared" si="62"/>
        <v>4.9570394404566951</v>
      </c>
      <c r="I267" s="251">
        <f t="shared" si="62"/>
        <v>5.5635124425423994</v>
      </c>
      <c r="J267" s="251">
        <f t="shared" si="62"/>
        <v>6.9615369434796337</v>
      </c>
      <c r="K267" s="251">
        <f t="shared" si="62"/>
        <v>5.6734624915521517</v>
      </c>
    </row>
    <row r="304" spans="2:3" x14ac:dyDescent="0.25">
      <c r="B304" s="151" t="s">
        <v>3132</v>
      </c>
      <c r="C304" s="151" t="s">
        <v>2682</v>
      </c>
    </row>
    <row r="305" spans="2:14" x14ac:dyDescent="0.25">
      <c r="B305" s="151">
        <v>3600000</v>
      </c>
      <c r="C305" s="151">
        <v>15115</v>
      </c>
      <c r="D305" s="151">
        <f>+B305/C305</f>
        <v>238.17399933840557</v>
      </c>
    </row>
    <row r="306" spans="2:14" x14ac:dyDescent="0.25">
      <c r="B306" s="151">
        <v>3898320</v>
      </c>
      <c r="C306" s="151">
        <f>+C305*(1-C307)^3</f>
        <v>14009.479453124999</v>
      </c>
      <c r="D306" s="151">
        <f>+B306/C306</f>
        <v>278.26301562763837</v>
      </c>
    </row>
    <row r="307" spans="2:14" x14ac:dyDescent="0.25">
      <c r="C307" s="349">
        <v>2.5000000000000001E-2</v>
      </c>
    </row>
    <row r="309" spans="2:14" x14ac:dyDescent="0.25">
      <c r="D309" s="151">
        <f>+D306/D305-1</f>
        <v>0.16831818922548725</v>
      </c>
    </row>
    <row r="310" spans="2:14" x14ac:dyDescent="0.25">
      <c r="D310" s="151">
        <f>+(D306/D305)^1/3-1</f>
        <v>-0.61056060359150433</v>
      </c>
    </row>
    <row r="313" spans="2:14" x14ac:dyDescent="0.25">
      <c r="B313" s="347" t="s">
        <v>3147</v>
      </c>
      <c r="C313" s="350">
        <v>42273</v>
      </c>
      <c r="D313" s="350">
        <v>42637</v>
      </c>
      <c r="E313" s="350">
        <v>43008</v>
      </c>
      <c r="F313" s="350">
        <v>43372</v>
      </c>
      <c r="G313" s="350">
        <v>43736</v>
      </c>
      <c r="H313" s="350">
        <v>44100</v>
      </c>
      <c r="I313" s="350">
        <v>44464</v>
      </c>
      <c r="J313" s="350">
        <v>44828</v>
      </c>
      <c r="K313" s="350">
        <v>45199</v>
      </c>
      <c r="L313" s="350">
        <v>45565</v>
      </c>
      <c r="M313" s="347" t="s">
        <v>2757</v>
      </c>
      <c r="N313" s="347" t="s">
        <v>3149</v>
      </c>
    </row>
    <row r="314" spans="2:14" ht="31.5" x14ac:dyDescent="0.25">
      <c r="B314" s="345" t="s">
        <v>3148</v>
      </c>
      <c r="C314" s="100">
        <v>23172.28</v>
      </c>
      <c r="D314" s="100">
        <v>22001.119999999999</v>
      </c>
      <c r="E314" s="100">
        <v>21006.77</v>
      </c>
      <c r="F314" s="100">
        <v>20000.439999999999</v>
      </c>
      <c r="G314" s="100">
        <v>18595.650000000001</v>
      </c>
      <c r="H314" s="100">
        <v>17528.21</v>
      </c>
      <c r="I314" s="100">
        <v>16864.919999999998</v>
      </c>
      <c r="J314" s="100">
        <v>16325.82</v>
      </c>
      <c r="K314" s="100">
        <v>15812.55</v>
      </c>
      <c r="L314" s="100">
        <v>15408.1</v>
      </c>
    </row>
    <row r="315" spans="2:14" x14ac:dyDescent="0.25">
      <c r="B315" s="345" t="s">
        <v>3150</v>
      </c>
      <c r="D315" s="268">
        <f t="shared" ref="D315:L315" si="63">+D314/C314-1</f>
        <v>-5.0541422768929034E-2</v>
      </c>
      <c r="E315" s="268">
        <f t="shared" si="63"/>
        <v>-4.5195426414655238E-2</v>
      </c>
      <c r="F315" s="268">
        <f t="shared" si="63"/>
        <v>-4.7905032520468516E-2</v>
      </c>
      <c r="G315" s="268">
        <f t="shared" si="63"/>
        <v>-7.0237954764995059E-2</v>
      </c>
      <c r="H315" s="268">
        <f t="shared" si="63"/>
        <v>-5.7402672130310139E-2</v>
      </c>
      <c r="I315" s="268">
        <f t="shared" si="63"/>
        <v>-3.784128556195987E-2</v>
      </c>
      <c r="J315" s="268">
        <f t="shared" si="63"/>
        <v>-3.1965760881166316E-2</v>
      </c>
      <c r="K315" s="268">
        <f t="shared" si="63"/>
        <v>-3.1439155889260162E-2</v>
      </c>
      <c r="L315" s="268">
        <f t="shared" si="63"/>
        <v>-2.5577784734277409E-2</v>
      </c>
      <c r="M315" s="268">
        <f>+(L314/C314)^(0.1)-1</f>
        <v>-3.9984970730825853E-2</v>
      </c>
      <c r="N315" s="268">
        <f>+AVERAGE(D315:L315)</f>
        <v>-4.4234055074002417E-2</v>
      </c>
    </row>
    <row r="318" spans="2:14" ht="31.5" x14ac:dyDescent="0.25">
      <c r="B318" s="347" t="s">
        <v>3151</v>
      </c>
      <c r="C318" s="350">
        <v>42273</v>
      </c>
      <c r="D318" s="350">
        <v>42637</v>
      </c>
      <c r="E318" s="350">
        <v>43008</v>
      </c>
      <c r="F318" s="350">
        <v>43372</v>
      </c>
      <c r="G318" s="350">
        <v>43736</v>
      </c>
      <c r="H318" s="350">
        <v>44100</v>
      </c>
      <c r="I318" s="350">
        <v>44464</v>
      </c>
      <c r="J318" s="350">
        <v>44828</v>
      </c>
      <c r="K318" s="350">
        <v>45199</v>
      </c>
      <c r="L318" s="350">
        <v>45565</v>
      </c>
      <c r="M318" s="347" t="s">
        <v>2757</v>
      </c>
      <c r="N318" s="347" t="s">
        <v>3153</v>
      </c>
    </row>
    <row r="319" spans="2:14" x14ac:dyDescent="0.25">
      <c r="B319" s="345" t="s">
        <v>3152</v>
      </c>
      <c r="C319" s="100">
        <f t="shared" ref="C319:L319" si="64">+C78</f>
        <v>-11561</v>
      </c>
      <c r="D319" s="100">
        <f t="shared" si="64"/>
        <v>-12150</v>
      </c>
      <c r="E319" s="100">
        <f t="shared" si="64"/>
        <v>-12769</v>
      </c>
      <c r="F319" s="100">
        <f t="shared" si="64"/>
        <v>-13712</v>
      </c>
      <c r="G319" s="100">
        <f t="shared" si="64"/>
        <v>-14119</v>
      </c>
      <c r="H319" s="100">
        <f t="shared" si="64"/>
        <v>-14081</v>
      </c>
      <c r="I319" s="100">
        <f t="shared" si="64"/>
        <v>-14467</v>
      </c>
      <c r="J319" s="100">
        <f t="shared" si="64"/>
        <v>-14841</v>
      </c>
      <c r="K319" s="100">
        <f t="shared" si="64"/>
        <v>-15025</v>
      </c>
      <c r="L319" s="100">
        <f t="shared" si="64"/>
        <v>-15234</v>
      </c>
    </row>
    <row r="320" spans="2:14" x14ac:dyDescent="0.25">
      <c r="B320" s="345" t="s">
        <v>3069</v>
      </c>
      <c r="C320" s="351">
        <f t="shared" ref="C320:L320" si="65">+C152</f>
        <v>0</v>
      </c>
      <c r="D320" s="351">
        <f t="shared" si="65"/>
        <v>48918.8</v>
      </c>
      <c r="E320" s="351">
        <f t="shared" si="65"/>
        <v>65375.75</v>
      </c>
      <c r="F320" s="351">
        <f t="shared" si="65"/>
        <v>57100.800000000003</v>
      </c>
      <c r="G320" s="351">
        <f t="shared" si="65"/>
        <v>51450.45</v>
      </c>
      <c r="H320" s="351">
        <f t="shared" si="65"/>
        <v>71050.399999999994</v>
      </c>
      <c r="I320" s="351">
        <f t="shared" si="65"/>
        <v>93524.800000000003</v>
      </c>
      <c r="J320" s="351">
        <f t="shared" si="65"/>
        <v>109062.7</v>
      </c>
      <c r="K320" s="351">
        <f t="shared" si="65"/>
        <v>99611.05</v>
      </c>
      <c r="L320" s="351">
        <f t="shared" si="65"/>
        <v>115616.1</v>
      </c>
    </row>
    <row r="321" spans="4:14" x14ac:dyDescent="0.25">
      <c r="D321" s="352">
        <f t="shared" ref="D321:L321" si="66">+-D319/D320</f>
        <v>0.24837076952010267</v>
      </c>
      <c r="E321" s="352">
        <f t="shared" si="66"/>
        <v>0.19531707093226464</v>
      </c>
      <c r="F321" s="352">
        <f t="shared" si="66"/>
        <v>0.24013674064111185</v>
      </c>
      <c r="G321" s="352">
        <f t="shared" si="66"/>
        <v>0.27441936853807891</v>
      </c>
      <c r="H321" s="352">
        <f t="shared" si="66"/>
        <v>0.19818326145947104</v>
      </c>
      <c r="I321" s="352">
        <f t="shared" si="66"/>
        <v>0.15468624364874342</v>
      </c>
      <c r="J321" s="352">
        <f t="shared" si="66"/>
        <v>0.13607768742200588</v>
      </c>
      <c r="K321" s="352">
        <f t="shared" si="66"/>
        <v>0.15083667926399733</v>
      </c>
      <c r="L321" s="352">
        <f t="shared" si="66"/>
        <v>0.13176365575382668</v>
      </c>
      <c r="M321" s="352"/>
      <c r="N321" s="353">
        <f>+AVERAGE(H321:L321)</f>
        <v>0.15430950550960887</v>
      </c>
    </row>
  </sheetData>
  <mergeCells count="2">
    <mergeCell ref="B86:C86"/>
    <mergeCell ref="B97:C97"/>
  </mergeCells>
  <phoneticPr fontId="35" type="noConversion"/>
  <hyperlinks>
    <hyperlink ref="A1" location="Inicio!A1" display="Inicio" xr:uid="{BB38A890-24E7-4D49-A64A-3382B599F61B}"/>
  </hyperlinks>
  <pageMargins left="0.7" right="0.7" top="0.75" bottom="0.75" header="0.3" footer="0.3"/>
  <ignoredErrors>
    <ignoredError sqref="C89:C92 C94" formulaRange="1"/>
    <ignoredError sqref="C100 C102:C103" formula="1"/>
    <ignoredError sqref="C101" formula="1" formulaRange="1"/>
  </ignoredErrors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3C874-1C83-E249-B51F-9ABB888FA74F}">
  <sheetPr>
    <tabColor rgb="FFFF0000"/>
  </sheetPr>
  <dimension ref="A1:M724"/>
  <sheetViews>
    <sheetView showGridLines="0" zoomScaleNormal="150" zoomScaleSheetLayoutView="100" workbookViewId="0"/>
  </sheetViews>
  <sheetFormatPr defaultColWidth="8.5703125" defaultRowHeight="12.75" x14ac:dyDescent="0.2"/>
  <cols>
    <col min="1" max="1" width="8.5703125" style="4"/>
    <col min="2" max="2" width="10.28515625" style="4" bestFit="1" customWidth="1"/>
    <col min="3" max="3" width="34.5703125" style="4" bestFit="1" customWidth="1"/>
    <col min="4" max="4" width="7.5703125" style="4" bestFit="1" customWidth="1"/>
    <col min="5" max="5" width="16" style="4" bestFit="1" customWidth="1"/>
    <col min="6" max="6" width="18.5703125" style="4" bestFit="1" customWidth="1"/>
    <col min="7" max="8" width="12.7109375" style="4" bestFit="1" customWidth="1"/>
    <col min="9" max="9" width="8" style="4" bestFit="1" customWidth="1"/>
    <col min="10" max="10" width="12.28515625" style="4" bestFit="1" customWidth="1"/>
    <col min="11" max="11" width="9.85546875" style="4" bestFit="1" customWidth="1"/>
    <col min="12" max="12" width="24.85546875" style="4" bestFit="1" customWidth="1"/>
    <col min="13" max="13" width="17.85546875" style="4" bestFit="1" customWidth="1"/>
    <col min="14" max="16384" width="8.5703125" style="4"/>
  </cols>
  <sheetData>
    <row r="1" spans="1:13" ht="15" x14ac:dyDescent="0.25">
      <c r="A1" s="879" t="s">
        <v>2821</v>
      </c>
      <c r="B1" s="4" t="s">
        <v>3886</v>
      </c>
    </row>
    <row r="2" spans="1:13" x14ac:dyDescent="0.2">
      <c r="B2" s="1" t="s">
        <v>2167</v>
      </c>
      <c r="C2" s="1" t="s">
        <v>2168</v>
      </c>
      <c r="D2" s="1" t="s">
        <v>2169</v>
      </c>
      <c r="E2" s="1" t="s">
        <v>2170</v>
      </c>
      <c r="F2" s="1" t="s">
        <v>2171</v>
      </c>
      <c r="G2" s="1" t="s">
        <v>2172</v>
      </c>
      <c r="H2" s="2" t="s">
        <v>2174</v>
      </c>
      <c r="I2" s="2" t="s">
        <v>2173</v>
      </c>
      <c r="J2" s="3" t="s">
        <v>2176</v>
      </c>
      <c r="K2" s="3" t="s">
        <v>2177</v>
      </c>
      <c r="L2" s="7" t="s">
        <v>2178</v>
      </c>
      <c r="M2" s="8" t="s">
        <v>2175</v>
      </c>
    </row>
    <row r="3" spans="1:13" x14ac:dyDescent="0.2">
      <c r="B3" s="12" t="s">
        <v>19</v>
      </c>
      <c r="C3" s="12" t="s">
        <v>20</v>
      </c>
      <c r="D3" s="9" t="s">
        <v>2</v>
      </c>
      <c r="E3" s="9" t="s">
        <v>21</v>
      </c>
      <c r="F3" s="9" t="s">
        <v>8</v>
      </c>
      <c r="G3" s="9">
        <v>3.39</v>
      </c>
      <c r="H3" s="10">
        <f t="shared" ref="H3:H66" si="0">1/G3</f>
        <v>0.29498525073746312</v>
      </c>
      <c r="I3" s="10">
        <v>0.55289999999999995</v>
      </c>
      <c r="J3" s="11">
        <f t="shared" ref="J3:J66" si="1">+_xlfn.RANK.EQ(H3,H:H,0)</f>
        <v>6</v>
      </c>
      <c r="K3" s="11">
        <f t="shared" ref="K3:K66" si="2">+_xlfn.RANK.EQ(I3,I:I,0)</f>
        <v>11</v>
      </c>
      <c r="L3" s="11">
        <f t="shared" ref="L3:L66" si="3">+J3+K3</f>
        <v>17</v>
      </c>
      <c r="M3" s="11">
        <f t="shared" ref="M3:M66" si="4">+_xlfn.RANK.EQ(L3,L:L,1)</f>
        <v>1</v>
      </c>
    </row>
    <row r="4" spans="1:13" x14ac:dyDescent="0.2">
      <c r="B4" s="12" t="s">
        <v>9</v>
      </c>
      <c r="C4" s="12" t="s">
        <v>10</v>
      </c>
      <c r="D4" s="9" t="s">
        <v>2</v>
      </c>
      <c r="E4" s="9" t="s">
        <v>11</v>
      </c>
      <c r="F4" s="9" t="s">
        <v>8</v>
      </c>
      <c r="G4" s="9">
        <v>2.08</v>
      </c>
      <c r="H4" s="10">
        <f t="shared" si="0"/>
        <v>0.48076923076923073</v>
      </c>
      <c r="I4" s="10">
        <v>0.49270000000000003</v>
      </c>
      <c r="J4" s="11">
        <f t="shared" si="1"/>
        <v>3</v>
      </c>
      <c r="K4" s="11">
        <f t="shared" si="2"/>
        <v>20</v>
      </c>
      <c r="L4" s="11">
        <f t="shared" si="3"/>
        <v>23</v>
      </c>
      <c r="M4" s="11">
        <f t="shared" si="4"/>
        <v>2</v>
      </c>
    </row>
    <row r="5" spans="1:13" x14ac:dyDescent="0.2">
      <c r="B5" s="12" t="s">
        <v>25</v>
      </c>
      <c r="C5" s="12" t="s">
        <v>26</v>
      </c>
      <c r="D5" s="9" t="s">
        <v>2</v>
      </c>
      <c r="E5" s="9" t="s">
        <v>27</v>
      </c>
      <c r="F5" s="9" t="s">
        <v>28</v>
      </c>
      <c r="G5" s="9">
        <v>3.96</v>
      </c>
      <c r="H5" s="10">
        <f t="shared" si="0"/>
        <v>0.25252525252525254</v>
      </c>
      <c r="I5" s="10">
        <v>0.45019999999999999</v>
      </c>
      <c r="J5" s="11">
        <f t="shared" si="1"/>
        <v>8</v>
      </c>
      <c r="K5" s="11">
        <f t="shared" si="2"/>
        <v>27</v>
      </c>
      <c r="L5" s="11">
        <f t="shared" si="3"/>
        <v>35</v>
      </c>
      <c r="M5" s="11">
        <f t="shared" si="4"/>
        <v>3</v>
      </c>
    </row>
    <row r="6" spans="1:13" x14ac:dyDescent="0.2">
      <c r="B6" s="12" t="s">
        <v>38</v>
      </c>
      <c r="C6" s="12" t="s">
        <v>39</v>
      </c>
      <c r="D6" s="9" t="s">
        <v>2</v>
      </c>
      <c r="E6" s="9" t="s">
        <v>40</v>
      </c>
      <c r="F6" s="9" t="s">
        <v>8</v>
      </c>
      <c r="G6" s="9">
        <v>4.79</v>
      </c>
      <c r="H6" s="10">
        <f t="shared" si="0"/>
        <v>0.20876826722338204</v>
      </c>
      <c r="I6" s="10">
        <v>0.44640000000000002</v>
      </c>
      <c r="J6" s="11">
        <f t="shared" si="1"/>
        <v>12</v>
      </c>
      <c r="K6" s="11">
        <f t="shared" si="2"/>
        <v>28</v>
      </c>
      <c r="L6" s="11">
        <f t="shared" si="3"/>
        <v>40</v>
      </c>
      <c r="M6" s="11">
        <f t="shared" si="4"/>
        <v>4</v>
      </c>
    </row>
    <row r="7" spans="1:13" x14ac:dyDescent="0.2">
      <c r="B7" s="12" t="s">
        <v>69</v>
      </c>
      <c r="C7" s="12" t="s">
        <v>70</v>
      </c>
      <c r="D7" s="9" t="s">
        <v>2</v>
      </c>
      <c r="E7" s="9" t="s">
        <v>71</v>
      </c>
      <c r="F7" s="9" t="s">
        <v>8</v>
      </c>
      <c r="G7" s="9">
        <v>5.94</v>
      </c>
      <c r="H7" s="10">
        <f t="shared" si="0"/>
        <v>0.16835016835016833</v>
      </c>
      <c r="I7" s="10">
        <v>0.44419999999999998</v>
      </c>
      <c r="J7" s="11">
        <f t="shared" si="1"/>
        <v>22</v>
      </c>
      <c r="K7" s="11">
        <f t="shared" si="2"/>
        <v>30</v>
      </c>
      <c r="L7" s="11">
        <f t="shared" si="3"/>
        <v>52</v>
      </c>
      <c r="M7" s="11">
        <f t="shared" si="4"/>
        <v>5</v>
      </c>
    </row>
    <row r="8" spans="1:13" ht="25.5" x14ac:dyDescent="0.2">
      <c r="B8" s="12" t="s">
        <v>81</v>
      </c>
      <c r="C8" s="12" t="s">
        <v>82</v>
      </c>
      <c r="D8" s="9" t="s">
        <v>2</v>
      </c>
      <c r="E8" s="9" t="s">
        <v>83</v>
      </c>
      <c r="F8" s="9" t="s">
        <v>53</v>
      </c>
      <c r="G8" s="9">
        <v>6.27</v>
      </c>
      <c r="H8" s="10">
        <f t="shared" si="0"/>
        <v>0.15948963317384371</v>
      </c>
      <c r="I8" s="10">
        <v>0.4002</v>
      </c>
      <c r="J8" s="11">
        <f t="shared" si="1"/>
        <v>26</v>
      </c>
      <c r="K8" s="11">
        <f t="shared" si="2"/>
        <v>38</v>
      </c>
      <c r="L8" s="11">
        <f t="shared" si="3"/>
        <v>64</v>
      </c>
      <c r="M8" s="11">
        <f t="shared" si="4"/>
        <v>6</v>
      </c>
    </row>
    <row r="9" spans="1:13" x14ac:dyDescent="0.2">
      <c r="B9" s="12" t="s">
        <v>144</v>
      </c>
      <c r="C9" s="12" t="s">
        <v>145</v>
      </c>
      <c r="D9" s="9" t="s">
        <v>2</v>
      </c>
      <c r="E9" s="9" t="s">
        <v>146</v>
      </c>
      <c r="F9" s="9" t="s">
        <v>91</v>
      </c>
      <c r="G9" s="9">
        <v>7.98</v>
      </c>
      <c r="H9" s="10">
        <f t="shared" si="0"/>
        <v>0.12531328320802004</v>
      </c>
      <c r="I9" s="10">
        <v>0.50560000000000005</v>
      </c>
      <c r="J9" s="11">
        <f t="shared" si="1"/>
        <v>46</v>
      </c>
      <c r="K9" s="11">
        <f t="shared" si="2"/>
        <v>18</v>
      </c>
      <c r="L9" s="11">
        <f t="shared" si="3"/>
        <v>64</v>
      </c>
      <c r="M9" s="11">
        <f t="shared" si="4"/>
        <v>6</v>
      </c>
    </row>
    <row r="10" spans="1:13" x14ac:dyDescent="0.2">
      <c r="B10" s="12" t="s">
        <v>32</v>
      </c>
      <c r="C10" s="12" t="s">
        <v>33</v>
      </c>
      <c r="D10" s="9" t="s">
        <v>2</v>
      </c>
      <c r="E10" s="9" t="s">
        <v>34</v>
      </c>
      <c r="F10" s="9" t="s">
        <v>8</v>
      </c>
      <c r="G10" s="9">
        <v>4.55</v>
      </c>
      <c r="H10" s="10">
        <f t="shared" si="0"/>
        <v>0.21978021978021978</v>
      </c>
      <c r="I10" s="10">
        <v>0.33750000000000002</v>
      </c>
      <c r="J10" s="11">
        <f t="shared" si="1"/>
        <v>10</v>
      </c>
      <c r="K10" s="11">
        <f t="shared" si="2"/>
        <v>60</v>
      </c>
      <c r="L10" s="11">
        <f t="shared" si="3"/>
        <v>70</v>
      </c>
      <c r="M10" s="11">
        <f t="shared" si="4"/>
        <v>8</v>
      </c>
    </row>
    <row r="11" spans="1:13" x14ac:dyDescent="0.2">
      <c r="B11" s="12" t="s">
        <v>22</v>
      </c>
      <c r="C11" s="12" t="s">
        <v>23</v>
      </c>
      <c r="D11" s="9" t="s">
        <v>2</v>
      </c>
      <c r="E11" s="9" t="s">
        <v>24</v>
      </c>
      <c r="F11" s="9" t="s">
        <v>8</v>
      </c>
      <c r="G11" s="9">
        <v>3.4</v>
      </c>
      <c r="H11" s="10">
        <f t="shared" si="0"/>
        <v>0.29411764705882354</v>
      </c>
      <c r="I11" s="10">
        <v>0.3301</v>
      </c>
      <c r="J11" s="11">
        <f t="shared" si="1"/>
        <v>7</v>
      </c>
      <c r="K11" s="11">
        <f t="shared" si="2"/>
        <v>64</v>
      </c>
      <c r="L11" s="11">
        <f t="shared" si="3"/>
        <v>71</v>
      </c>
      <c r="M11" s="11">
        <f t="shared" si="4"/>
        <v>9</v>
      </c>
    </row>
    <row r="12" spans="1:13" x14ac:dyDescent="0.2">
      <c r="B12" s="12" t="s">
        <v>92</v>
      </c>
      <c r="C12" s="12" t="s">
        <v>93</v>
      </c>
      <c r="D12" s="9" t="s">
        <v>2</v>
      </c>
      <c r="E12" s="9" t="s">
        <v>94</v>
      </c>
      <c r="F12" s="9" t="s">
        <v>28</v>
      </c>
      <c r="G12" s="9">
        <v>6.5</v>
      </c>
      <c r="H12" s="10">
        <f t="shared" si="0"/>
        <v>0.15384615384615385</v>
      </c>
      <c r="I12" s="10">
        <v>0.37640000000000001</v>
      </c>
      <c r="J12" s="11">
        <f t="shared" si="1"/>
        <v>29</v>
      </c>
      <c r="K12" s="11">
        <f t="shared" si="2"/>
        <v>45</v>
      </c>
      <c r="L12" s="11">
        <f t="shared" si="3"/>
        <v>74</v>
      </c>
      <c r="M12" s="11">
        <f t="shared" si="4"/>
        <v>10</v>
      </c>
    </row>
    <row r="13" spans="1:13" ht="25.5" x14ac:dyDescent="0.2">
      <c r="B13" s="12" t="s">
        <v>171</v>
      </c>
      <c r="C13" s="12" t="s">
        <v>172</v>
      </c>
      <c r="D13" s="9" t="s">
        <v>2</v>
      </c>
      <c r="E13" s="9" t="s">
        <v>173</v>
      </c>
      <c r="F13" s="9" t="s">
        <v>87</v>
      </c>
      <c r="G13" s="9">
        <v>8.5399999999999991</v>
      </c>
      <c r="H13" s="10">
        <f t="shared" si="0"/>
        <v>0.117096018735363</v>
      </c>
      <c r="I13" s="10">
        <v>0.50180000000000002</v>
      </c>
      <c r="J13" s="11">
        <f t="shared" si="1"/>
        <v>55</v>
      </c>
      <c r="K13" s="11">
        <f t="shared" si="2"/>
        <v>19</v>
      </c>
      <c r="L13" s="11">
        <f t="shared" si="3"/>
        <v>74</v>
      </c>
      <c r="M13" s="11">
        <f t="shared" si="4"/>
        <v>10</v>
      </c>
    </row>
    <row r="14" spans="1:13" x14ac:dyDescent="0.2">
      <c r="B14" s="12" t="s">
        <v>12</v>
      </c>
      <c r="C14" s="12" t="s">
        <v>13</v>
      </c>
      <c r="D14" s="9" t="s">
        <v>2</v>
      </c>
      <c r="E14" s="9" t="s">
        <v>14</v>
      </c>
      <c r="F14" s="9" t="s">
        <v>8</v>
      </c>
      <c r="G14" s="9">
        <v>2.89</v>
      </c>
      <c r="H14" s="10">
        <f t="shared" si="0"/>
        <v>0.34602076124567471</v>
      </c>
      <c r="I14" s="10">
        <v>0.31390000000000001</v>
      </c>
      <c r="J14" s="11">
        <f t="shared" si="1"/>
        <v>4</v>
      </c>
      <c r="K14" s="11">
        <f t="shared" si="2"/>
        <v>74</v>
      </c>
      <c r="L14" s="11">
        <f t="shared" si="3"/>
        <v>78</v>
      </c>
      <c r="M14" s="11">
        <f t="shared" si="4"/>
        <v>12</v>
      </c>
    </row>
    <row r="15" spans="1:13" x14ac:dyDescent="0.2">
      <c r="B15" s="12" t="s">
        <v>5</v>
      </c>
      <c r="C15" s="12" t="s">
        <v>6</v>
      </c>
      <c r="D15" s="9" t="s">
        <v>2</v>
      </c>
      <c r="E15" s="9" t="s">
        <v>7</v>
      </c>
      <c r="F15" s="9" t="s">
        <v>8</v>
      </c>
      <c r="G15" s="9">
        <v>1.82</v>
      </c>
      <c r="H15" s="10">
        <f t="shared" si="0"/>
        <v>0.54945054945054939</v>
      </c>
      <c r="I15" s="10">
        <v>0.29620000000000002</v>
      </c>
      <c r="J15" s="11">
        <f t="shared" si="1"/>
        <v>2</v>
      </c>
      <c r="K15" s="11">
        <f t="shared" si="2"/>
        <v>83</v>
      </c>
      <c r="L15" s="11">
        <f t="shared" si="3"/>
        <v>85</v>
      </c>
      <c r="M15" s="11">
        <f t="shared" si="4"/>
        <v>13</v>
      </c>
    </row>
    <row r="16" spans="1:13" ht="25.5" x14ac:dyDescent="0.2">
      <c r="B16" s="12" t="s">
        <v>225</v>
      </c>
      <c r="C16" s="12" t="s">
        <v>226</v>
      </c>
      <c r="D16" s="9" t="s">
        <v>2</v>
      </c>
      <c r="E16" s="9" t="s">
        <v>227</v>
      </c>
      <c r="F16" s="9" t="s">
        <v>53</v>
      </c>
      <c r="G16" s="9">
        <v>9.5</v>
      </c>
      <c r="H16" s="10">
        <f t="shared" si="0"/>
        <v>0.10526315789473684</v>
      </c>
      <c r="I16" s="10">
        <v>0.39319999999999999</v>
      </c>
      <c r="J16" s="11">
        <f t="shared" si="1"/>
        <v>73</v>
      </c>
      <c r="K16" s="11">
        <f t="shared" si="2"/>
        <v>42</v>
      </c>
      <c r="L16" s="11">
        <f t="shared" si="3"/>
        <v>115</v>
      </c>
      <c r="M16" s="11">
        <f t="shared" si="4"/>
        <v>14</v>
      </c>
    </row>
    <row r="17" spans="2:13" ht="25.5" x14ac:dyDescent="0.2">
      <c r="B17" s="12" t="s">
        <v>75</v>
      </c>
      <c r="C17" s="12" t="s">
        <v>76</v>
      </c>
      <c r="D17" s="9" t="s">
        <v>2</v>
      </c>
      <c r="E17" s="9" t="s">
        <v>77</v>
      </c>
      <c r="F17" s="9" t="s">
        <v>53</v>
      </c>
      <c r="G17" s="9">
        <v>6.02</v>
      </c>
      <c r="H17" s="10">
        <f t="shared" si="0"/>
        <v>0.16611295681063123</v>
      </c>
      <c r="I17" s="10">
        <v>0.28129999999999999</v>
      </c>
      <c r="J17" s="11">
        <f t="shared" si="1"/>
        <v>24</v>
      </c>
      <c r="K17" s="11">
        <f t="shared" si="2"/>
        <v>92</v>
      </c>
      <c r="L17" s="11">
        <f t="shared" si="3"/>
        <v>116</v>
      </c>
      <c r="M17" s="11">
        <f t="shared" si="4"/>
        <v>15</v>
      </c>
    </row>
    <row r="18" spans="2:13" x14ac:dyDescent="0.2">
      <c r="B18" s="12" t="s">
        <v>35</v>
      </c>
      <c r="C18" s="12" t="s">
        <v>36</v>
      </c>
      <c r="D18" s="9" t="s">
        <v>2</v>
      </c>
      <c r="E18" s="9" t="s">
        <v>37</v>
      </c>
      <c r="F18" s="9" t="s">
        <v>8</v>
      </c>
      <c r="G18" s="9">
        <v>4.76</v>
      </c>
      <c r="H18" s="10">
        <f t="shared" si="0"/>
        <v>0.21008403361344538</v>
      </c>
      <c r="I18" s="10">
        <v>0.26340000000000002</v>
      </c>
      <c r="J18" s="11">
        <f t="shared" si="1"/>
        <v>11</v>
      </c>
      <c r="K18" s="11">
        <f t="shared" si="2"/>
        <v>116</v>
      </c>
      <c r="L18" s="11">
        <f t="shared" si="3"/>
        <v>127</v>
      </c>
      <c r="M18" s="11">
        <f t="shared" si="4"/>
        <v>16</v>
      </c>
    </row>
    <row r="19" spans="2:13" x14ac:dyDescent="0.2">
      <c r="B19" s="12" t="s">
        <v>63</v>
      </c>
      <c r="C19" s="12" t="s">
        <v>64</v>
      </c>
      <c r="D19" s="9" t="s">
        <v>2</v>
      </c>
      <c r="E19" s="9" t="s">
        <v>65</v>
      </c>
      <c r="F19" s="9" t="s">
        <v>28</v>
      </c>
      <c r="G19" s="9">
        <v>5.82</v>
      </c>
      <c r="H19" s="10">
        <f t="shared" si="0"/>
        <v>0.1718213058419244</v>
      </c>
      <c r="I19" s="10">
        <v>0.26579999999999998</v>
      </c>
      <c r="J19" s="11">
        <f t="shared" si="1"/>
        <v>20</v>
      </c>
      <c r="K19" s="11">
        <f t="shared" si="2"/>
        <v>110</v>
      </c>
      <c r="L19" s="11">
        <f t="shared" si="3"/>
        <v>130</v>
      </c>
      <c r="M19" s="11">
        <f t="shared" si="4"/>
        <v>17</v>
      </c>
    </row>
    <row r="20" spans="2:13" ht="25.5" x14ac:dyDescent="0.2">
      <c r="B20" s="12" t="s">
        <v>279</v>
      </c>
      <c r="C20" s="12" t="s">
        <v>280</v>
      </c>
      <c r="D20" s="9" t="s">
        <v>2</v>
      </c>
      <c r="E20" s="9" t="s">
        <v>281</v>
      </c>
      <c r="F20" s="9" t="s">
        <v>53</v>
      </c>
      <c r="G20" s="9">
        <v>10.45</v>
      </c>
      <c r="H20" s="10">
        <f t="shared" si="0"/>
        <v>9.569377990430622E-2</v>
      </c>
      <c r="I20" s="10">
        <v>0.39879999999999999</v>
      </c>
      <c r="J20" s="11">
        <f t="shared" si="1"/>
        <v>91</v>
      </c>
      <c r="K20" s="11">
        <f t="shared" si="2"/>
        <v>39</v>
      </c>
      <c r="L20" s="11">
        <f t="shared" si="3"/>
        <v>130</v>
      </c>
      <c r="M20" s="11">
        <f t="shared" si="4"/>
        <v>17</v>
      </c>
    </row>
    <row r="21" spans="2:13" ht="25.5" x14ac:dyDescent="0.2">
      <c r="B21" s="12" t="s">
        <v>303</v>
      </c>
      <c r="C21" s="12" t="s">
        <v>304</v>
      </c>
      <c r="D21" s="9" t="s">
        <v>2</v>
      </c>
      <c r="E21" s="9" t="s">
        <v>305</v>
      </c>
      <c r="F21" s="9" t="s">
        <v>53</v>
      </c>
      <c r="G21" s="9">
        <v>10.92</v>
      </c>
      <c r="H21" s="10">
        <f t="shared" si="0"/>
        <v>9.1575091575091569E-2</v>
      </c>
      <c r="I21" s="10">
        <v>0.41060000000000002</v>
      </c>
      <c r="J21" s="11">
        <f t="shared" si="1"/>
        <v>98</v>
      </c>
      <c r="K21" s="11">
        <f t="shared" si="2"/>
        <v>36</v>
      </c>
      <c r="L21" s="11">
        <f t="shared" si="3"/>
        <v>134</v>
      </c>
      <c r="M21" s="11">
        <f t="shared" si="4"/>
        <v>19</v>
      </c>
    </row>
    <row r="22" spans="2:13" x14ac:dyDescent="0.2">
      <c r="B22" s="12" t="s">
        <v>60</v>
      </c>
      <c r="C22" s="12" t="s">
        <v>61</v>
      </c>
      <c r="D22" s="9" t="s">
        <v>2</v>
      </c>
      <c r="E22" s="9" t="s">
        <v>62</v>
      </c>
      <c r="F22" s="9" t="s">
        <v>18</v>
      </c>
      <c r="G22" s="9">
        <v>5.74</v>
      </c>
      <c r="H22" s="10">
        <f t="shared" si="0"/>
        <v>0.17421602787456444</v>
      </c>
      <c r="I22" s="10">
        <v>0.2626</v>
      </c>
      <c r="J22" s="11">
        <f t="shared" si="1"/>
        <v>19</v>
      </c>
      <c r="K22" s="11">
        <f t="shared" si="2"/>
        <v>117</v>
      </c>
      <c r="L22" s="11">
        <f t="shared" si="3"/>
        <v>136</v>
      </c>
      <c r="M22" s="11">
        <f t="shared" si="4"/>
        <v>20</v>
      </c>
    </row>
    <row r="23" spans="2:13" x14ac:dyDescent="0.2">
      <c r="B23" s="12" t="s">
        <v>246</v>
      </c>
      <c r="C23" s="12" t="s">
        <v>247</v>
      </c>
      <c r="D23" s="12" t="s">
        <v>2</v>
      </c>
      <c r="E23" s="12" t="s">
        <v>248</v>
      </c>
      <c r="F23" s="12" t="s">
        <v>91</v>
      </c>
      <c r="G23" s="12">
        <v>9.8800000000000008</v>
      </c>
      <c r="H23" s="13">
        <f t="shared" si="0"/>
        <v>0.10121457489878542</v>
      </c>
      <c r="I23" s="13">
        <v>0.34250000000000003</v>
      </c>
      <c r="J23" s="14">
        <f t="shared" si="1"/>
        <v>80</v>
      </c>
      <c r="K23" s="14">
        <f t="shared" si="2"/>
        <v>58</v>
      </c>
      <c r="L23" s="14">
        <f t="shared" si="3"/>
        <v>138</v>
      </c>
      <c r="M23" s="14">
        <f t="shared" si="4"/>
        <v>21</v>
      </c>
    </row>
    <row r="24" spans="2:13" x14ac:dyDescent="0.2">
      <c r="B24" s="12" t="s">
        <v>104</v>
      </c>
      <c r="C24" s="12" t="s">
        <v>105</v>
      </c>
      <c r="D24" s="12" t="s">
        <v>2</v>
      </c>
      <c r="E24" s="12" t="s">
        <v>106</v>
      </c>
      <c r="F24" s="12" t="s">
        <v>8</v>
      </c>
      <c r="G24" s="12">
        <v>6.86</v>
      </c>
      <c r="H24" s="13">
        <f t="shared" si="0"/>
        <v>0.14577259475218657</v>
      </c>
      <c r="I24" s="13">
        <v>0.26669999999999999</v>
      </c>
      <c r="J24" s="14">
        <f t="shared" si="1"/>
        <v>33</v>
      </c>
      <c r="K24" s="14">
        <f t="shared" si="2"/>
        <v>108</v>
      </c>
      <c r="L24" s="14">
        <f t="shared" si="3"/>
        <v>141</v>
      </c>
      <c r="M24" s="14">
        <f t="shared" si="4"/>
        <v>22</v>
      </c>
    </row>
    <row r="25" spans="2:13" x14ac:dyDescent="0.2">
      <c r="B25" s="12" t="s">
        <v>285</v>
      </c>
      <c r="C25" s="12" t="s">
        <v>286</v>
      </c>
      <c r="D25" s="12" t="s">
        <v>2</v>
      </c>
      <c r="E25" s="12" t="s">
        <v>287</v>
      </c>
      <c r="F25" s="12" t="s">
        <v>28</v>
      </c>
      <c r="G25" s="12">
        <v>10.63</v>
      </c>
      <c r="H25" s="13">
        <f t="shared" si="0"/>
        <v>9.4073377234242708E-2</v>
      </c>
      <c r="I25" s="13">
        <v>0.3649</v>
      </c>
      <c r="J25" s="14">
        <f t="shared" si="1"/>
        <v>93</v>
      </c>
      <c r="K25" s="14">
        <f t="shared" si="2"/>
        <v>50</v>
      </c>
      <c r="L25" s="14">
        <f t="shared" si="3"/>
        <v>143</v>
      </c>
      <c r="M25" s="14">
        <f t="shared" si="4"/>
        <v>23</v>
      </c>
    </row>
    <row r="26" spans="2:13" x14ac:dyDescent="0.2">
      <c r="B26" s="12" t="s">
        <v>54</v>
      </c>
      <c r="C26" s="12" t="s">
        <v>55</v>
      </c>
      <c r="D26" s="12" t="s">
        <v>2</v>
      </c>
      <c r="E26" s="12" t="s">
        <v>56</v>
      </c>
      <c r="F26" s="12" t="s">
        <v>18</v>
      </c>
      <c r="G26" s="12">
        <v>5.63</v>
      </c>
      <c r="H26" s="13">
        <f t="shared" si="0"/>
        <v>0.17761989342806395</v>
      </c>
      <c r="I26" s="13">
        <v>0.24479999999999999</v>
      </c>
      <c r="J26" s="14">
        <f t="shared" si="1"/>
        <v>17</v>
      </c>
      <c r="K26" s="14">
        <f t="shared" si="2"/>
        <v>133</v>
      </c>
      <c r="L26" s="14">
        <f t="shared" si="3"/>
        <v>150</v>
      </c>
      <c r="M26" s="14">
        <f t="shared" si="4"/>
        <v>24</v>
      </c>
    </row>
    <row r="27" spans="2:13" x14ac:dyDescent="0.2">
      <c r="B27" s="12" t="s">
        <v>41</v>
      </c>
      <c r="C27" s="12" t="s">
        <v>42</v>
      </c>
      <c r="D27" s="12" t="s">
        <v>2</v>
      </c>
      <c r="E27" s="12" t="s">
        <v>43</v>
      </c>
      <c r="F27" s="12" t="s">
        <v>8</v>
      </c>
      <c r="G27" s="12">
        <v>4.8600000000000003</v>
      </c>
      <c r="H27" s="13">
        <f t="shared" si="0"/>
        <v>0.20576131687242796</v>
      </c>
      <c r="I27" s="13">
        <v>0.23930000000000001</v>
      </c>
      <c r="J27" s="14">
        <f t="shared" si="1"/>
        <v>13</v>
      </c>
      <c r="K27" s="14">
        <f t="shared" si="2"/>
        <v>141</v>
      </c>
      <c r="L27" s="14">
        <f t="shared" si="3"/>
        <v>154</v>
      </c>
      <c r="M27" s="14">
        <f t="shared" si="4"/>
        <v>25</v>
      </c>
    </row>
    <row r="28" spans="2:13" ht="25.5" x14ac:dyDescent="0.2">
      <c r="B28" s="12" t="s">
        <v>168</v>
      </c>
      <c r="C28" s="12" t="s">
        <v>169</v>
      </c>
      <c r="D28" s="12" t="s">
        <v>2</v>
      </c>
      <c r="E28" s="12" t="s">
        <v>170</v>
      </c>
      <c r="F28" s="12" t="s">
        <v>53</v>
      </c>
      <c r="G28" s="12">
        <v>8.5299999999999994</v>
      </c>
      <c r="H28" s="13">
        <f t="shared" si="0"/>
        <v>0.1172332942555686</v>
      </c>
      <c r="I28" s="13">
        <v>0.26719999999999999</v>
      </c>
      <c r="J28" s="14">
        <f t="shared" si="1"/>
        <v>54</v>
      </c>
      <c r="K28" s="14">
        <f t="shared" si="2"/>
        <v>107</v>
      </c>
      <c r="L28" s="14">
        <f t="shared" si="3"/>
        <v>161</v>
      </c>
      <c r="M28" s="14">
        <f t="shared" si="4"/>
        <v>26</v>
      </c>
    </row>
    <row r="29" spans="2:13" x14ac:dyDescent="0.2">
      <c r="B29" s="12" t="s">
        <v>107</v>
      </c>
      <c r="C29" s="12" t="s">
        <v>108</v>
      </c>
      <c r="D29" s="12" t="s">
        <v>2</v>
      </c>
      <c r="E29" s="12" t="s">
        <v>109</v>
      </c>
      <c r="F29" s="12" t="s">
        <v>8</v>
      </c>
      <c r="G29" s="12">
        <v>6.92</v>
      </c>
      <c r="H29" s="13">
        <f t="shared" si="0"/>
        <v>0.14450867052023122</v>
      </c>
      <c r="I29" s="13">
        <v>0.24879999999999999</v>
      </c>
      <c r="J29" s="14">
        <f t="shared" si="1"/>
        <v>34</v>
      </c>
      <c r="K29" s="14">
        <f t="shared" si="2"/>
        <v>128</v>
      </c>
      <c r="L29" s="14">
        <f t="shared" si="3"/>
        <v>162</v>
      </c>
      <c r="M29" s="14">
        <f t="shared" si="4"/>
        <v>27</v>
      </c>
    </row>
    <row r="30" spans="2:13" x14ac:dyDescent="0.2">
      <c r="B30" s="12" t="s">
        <v>228</v>
      </c>
      <c r="C30" s="12" t="s">
        <v>229</v>
      </c>
      <c r="D30" s="12" t="s">
        <v>2</v>
      </c>
      <c r="E30" s="12" t="s">
        <v>230</v>
      </c>
      <c r="F30" s="12" t="s">
        <v>8</v>
      </c>
      <c r="G30" s="12">
        <v>9.5299999999999994</v>
      </c>
      <c r="H30" s="13">
        <f t="shared" si="0"/>
        <v>0.10493179433368312</v>
      </c>
      <c r="I30" s="13">
        <v>0.27510000000000001</v>
      </c>
      <c r="J30" s="14">
        <f t="shared" si="1"/>
        <v>74</v>
      </c>
      <c r="K30" s="14">
        <f t="shared" si="2"/>
        <v>100</v>
      </c>
      <c r="L30" s="14">
        <f t="shared" si="3"/>
        <v>174</v>
      </c>
      <c r="M30" s="14">
        <f t="shared" si="4"/>
        <v>28</v>
      </c>
    </row>
    <row r="31" spans="2:13" x14ac:dyDescent="0.2">
      <c r="B31" s="12" t="s">
        <v>78</v>
      </c>
      <c r="C31" s="12" t="s">
        <v>79</v>
      </c>
      <c r="D31" s="12" t="s">
        <v>2</v>
      </c>
      <c r="E31" s="12" t="s">
        <v>80</v>
      </c>
      <c r="F31" s="12" t="s">
        <v>18</v>
      </c>
      <c r="G31" s="12">
        <v>6.23</v>
      </c>
      <c r="H31" s="13">
        <f t="shared" si="0"/>
        <v>0.16051364365971107</v>
      </c>
      <c r="I31" s="13">
        <v>0.22869999999999999</v>
      </c>
      <c r="J31" s="14">
        <f t="shared" si="1"/>
        <v>25</v>
      </c>
      <c r="K31" s="14">
        <f t="shared" si="2"/>
        <v>153</v>
      </c>
      <c r="L31" s="14">
        <f t="shared" si="3"/>
        <v>178</v>
      </c>
      <c r="M31" s="14">
        <f t="shared" si="4"/>
        <v>29</v>
      </c>
    </row>
    <row r="32" spans="2:13" ht="25.5" x14ac:dyDescent="0.2">
      <c r="B32" s="12" t="s">
        <v>57</v>
      </c>
      <c r="C32" s="12" t="s">
        <v>58</v>
      </c>
      <c r="D32" s="12" t="s">
        <v>2</v>
      </c>
      <c r="E32" s="12" t="s">
        <v>59</v>
      </c>
      <c r="F32" s="12" t="s">
        <v>53</v>
      </c>
      <c r="G32" s="12">
        <v>5.67</v>
      </c>
      <c r="H32" s="13">
        <f t="shared" si="0"/>
        <v>0.17636684303350969</v>
      </c>
      <c r="I32" s="13">
        <v>0.22140000000000001</v>
      </c>
      <c r="J32" s="14">
        <f t="shared" si="1"/>
        <v>18</v>
      </c>
      <c r="K32" s="14">
        <f t="shared" si="2"/>
        <v>161</v>
      </c>
      <c r="L32" s="14">
        <f t="shared" si="3"/>
        <v>179</v>
      </c>
      <c r="M32" s="14">
        <f t="shared" si="4"/>
        <v>30</v>
      </c>
    </row>
    <row r="33" spans="2:13" ht="25.5" x14ac:dyDescent="0.2">
      <c r="B33" s="12" t="s">
        <v>348</v>
      </c>
      <c r="C33" s="12" t="s">
        <v>349</v>
      </c>
      <c r="D33" s="5" t="s">
        <v>2</v>
      </c>
      <c r="E33" s="5" t="s">
        <v>350</v>
      </c>
      <c r="F33" s="5" t="s">
        <v>53</v>
      </c>
      <c r="G33" s="5">
        <v>11.64</v>
      </c>
      <c r="H33" s="6">
        <f t="shared" si="0"/>
        <v>8.5910652920962199E-2</v>
      </c>
      <c r="I33" s="6">
        <v>0.32919999999999999</v>
      </c>
      <c r="J33" s="4">
        <f t="shared" si="1"/>
        <v>114</v>
      </c>
      <c r="K33" s="4">
        <f t="shared" si="2"/>
        <v>66</v>
      </c>
      <c r="L33" s="4">
        <f t="shared" si="3"/>
        <v>180</v>
      </c>
      <c r="M33" s="4">
        <f t="shared" si="4"/>
        <v>31</v>
      </c>
    </row>
    <row r="34" spans="2:13" ht="25.5" x14ac:dyDescent="0.2">
      <c r="B34" s="12" t="s">
        <v>327</v>
      </c>
      <c r="C34" s="12" t="s">
        <v>328</v>
      </c>
      <c r="D34" s="5" t="s">
        <v>2</v>
      </c>
      <c r="E34" s="5" t="s">
        <v>329</v>
      </c>
      <c r="F34" s="5" t="s">
        <v>87</v>
      </c>
      <c r="G34" s="5">
        <v>11.33</v>
      </c>
      <c r="H34" s="6">
        <f t="shared" si="0"/>
        <v>8.8261253309797005E-2</v>
      </c>
      <c r="I34" s="6">
        <v>0.30549999999999999</v>
      </c>
      <c r="J34" s="4">
        <f t="shared" si="1"/>
        <v>107</v>
      </c>
      <c r="K34" s="4">
        <f t="shared" si="2"/>
        <v>80</v>
      </c>
      <c r="L34" s="4">
        <f t="shared" si="3"/>
        <v>187</v>
      </c>
      <c r="M34" s="4">
        <f t="shared" si="4"/>
        <v>32</v>
      </c>
    </row>
    <row r="35" spans="2:13" x14ac:dyDescent="0.2">
      <c r="B35" s="12" t="s">
        <v>0</v>
      </c>
      <c r="C35" s="12" t="s">
        <v>1</v>
      </c>
      <c r="D35" s="5" t="s">
        <v>2</v>
      </c>
      <c r="E35" s="5" t="s">
        <v>3</v>
      </c>
      <c r="F35" s="5" t="s">
        <v>4</v>
      </c>
      <c r="G35" s="5">
        <v>1.56</v>
      </c>
      <c r="H35" s="6">
        <f t="shared" si="0"/>
        <v>0.64102564102564097</v>
      </c>
      <c r="I35" s="6">
        <v>0.2006</v>
      </c>
      <c r="J35" s="4">
        <f t="shared" si="1"/>
        <v>1</v>
      </c>
      <c r="K35" s="4">
        <f t="shared" si="2"/>
        <v>193</v>
      </c>
      <c r="L35" s="4">
        <f t="shared" si="3"/>
        <v>194</v>
      </c>
      <c r="M35" s="4">
        <f t="shared" si="4"/>
        <v>33</v>
      </c>
    </row>
    <row r="36" spans="2:13" x14ac:dyDescent="0.2">
      <c r="B36" s="12" t="s">
        <v>342</v>
      </c>
      <c r="C36" s="12" t="s">
        <v>343</v>
      </c>
      <c r="D36" s="5" t="s">
        <v>2</v>
      </c>
      <c r="E36" s="5" t="s">
        <v>344</v>
      </c>
      <c r="F36" s="5" t="s">
        <v>18</v>
      </c>
      <c r="G36" s="5">
        <v>11.54</v>
      </c>
      <c r="H36" s="6">
        <f t="shared" si="0"/>
        <v>8.6655112651646451E-2</v>
      </c>
      <c r="I36" s="6">
        <v>0.2908</v>
      </c>
      <c r="J36" s="4">
        <f t="shared" si="1"/>
        <v>112</v>
      </c>
      <c r="K36" s="4">
        <f t="shared" si="2"/>
        <v>84</v>
      </c>
      <c r="L36" s="4">
        <f t="shared" si="3"/>
        <v>196</v>
      </c>
      <c r="M36" s="4">
        <f t="shared" si="4"/>
        <v>34</v>
      </c>
    </row>
    <row r="37" spans="2:13" x14ac:dyDescent="0.2">
      <c r="B37" s="12" t="s">
        <v>29</v>
      </c>
      <c r="C37" s="12" t="s">
        <v>30</v>
      </c>
      <c r="D37" s="5" t="s">
        <v>2</v>
      </c>
      <c r="E37" s="5" t="s">
        <v>31</v>
      </c>
      <c r="F37" s="5" t="s">
        <v>8</v>
      </c>
      <c r="G37" s="5">
        <v>4.05</v>
      </c>
      <c r="H37" s="6">
        <f t="shared" si="0"/>
        <v>0.24691358024691359</v>
      </c>
      <c r="I37" s="6">
        <v>0.20169999999999999</v>
      </c>
      <c r="J37" s="4">
        <f t="shared" si="1"/>
        <v>9</v>
      </c>
      <c r="K37" s="4">
        <f t="shared" si="2"/>
        <v>190</v>
      </c>
      <c r="L37" s="4">
        <f t="shared" si="3"/>
        <v>199</v>
      </c>
      <c r="M37" s="4">
        <f t="shared" si="4"/>
        <v>35</v>
      </c>
    </row>
    <row r="38" spans="2:13" x14ac:dyDescent="0.2">
      <c r="B38" s="12" t="s">
        <v>47</v>
      </c>
      <c r="C38" s="12" t="s">
        <v>48</v>
      </c>
      <c r="D38" s="5" t="s">
        <v>2</v>
      </c>
      <c r="E38" s="5" t="s">
        <v>49</v>
      </c>
      <c r="F38" s="5" t="s">
        <v>18</v>
      </c>
      <c r="G38" s="5">
        <v>5.36</v>
      </c>
      <c r="H38" s="6">
        <f t="shared" si="0"/>
        <v>0.18656716417910446</v>
      </c>
      <c r="I38" s="6">
        <v>0.20330000000000001</v>
      </c>
      <c r="J38" s="4">
        <f t="shared" si="1"/>
        <v>15</v>
      </c>
      <c r="K38" s="4">
        <f t="shared" si="2"/>
        <v>184</v>
      </c>
      <c r="L38" s="4">
        <f t="shared" si="3"/>
        <v>199</v>
      </c>
      <c r="M38" s="4">
        <f t="shared" si="4"/>
        <v>35</v>
      </c>
    </row>
    <row r="39" spans="2:13" x14ac:dyDescent="0.2">
      <c r="B39" s="12" t="s">
        <v>156</v>
      </c>
      <c r="C39" s="12" t="s">
        <v>157</v>
      </c>
      <c r="D39" s="5" t="s">
        <v>2</v>
      </c>
      <c r="E39" s="5" t="s">
        <v>158</v>
      </c>
      <c r="F39" s="5" t="s">
        <v>8</v>
      </c>
      <c r="G39" s="5">
        <v>8.2200000000000006</v>
      </c>
      <c r="H39" s="6">
        <f t="shared" si="0"/>
        <v>0.121654501216545</v>
      </c>
      <c r="I39" s="6">
        <v>0.23069999999999999</v>
      </c>
      <c r="J39" s="4">
        <f t="shared" si="1"/>
        <v>50</v>
      </c>
      <c r="K39" s="4">
        <f t="shared" si="2"/>
        <v>149</v>
      </c>
      <c r="L39" s="4">
        <f t="shared" si="3"/>
        <v>199</v>
      </c>
      <c r="M39" s="4">
        <f t="shared" si="4"/>
        <v>35</v>
      </c>
    </row>
    <row r="40" spans="2:13" ht="25.5" x14ac:dyDescent="0.2">
      <c r="B40" s="12" t="s">
        <v>147</v>
      </c>
      <c r="C40" s="12" t="s">
        <v>148</v>
      </c>
      <c r="D40" s="5" t="s">
        <v>2</v>
      </c>
      <c r="E40" s="5" t="s">
        <v>149</v>
      </c>
      <c r="F40" s="5" t="s">
        <v>53</v>
      </c>
      <c r="G40" s="5">
        <v>7.99</v>
      </c>
      <c r="H40" s="6">
        <f t="shared" si="0"/>
        <v>0.12515644555694619</v>
      </c>
      <c r="I40" s="6">
        <v>0.22090000000000001</v>
      </c>
      <c r="J40" s="4">
        <f t="shared" si="1"/>
        <v>47</v>
      </c>
      <c r="K40" s="4">
        <f t="shared" si="2"/>
        <v>163</v>
      </c>
      <c r="L40" s="4">
        <f t="shared" si="3"/>
        <v>210</v>
      </c>
      <c r="M40" s="4">
        <f t="shared" si="4"/>
        <v>38</v>
      </c>
    </row>
    <row r="41" spans="2:13" x14ac:dyDescent="0.2">
      <c r="B41" s="12" t="s">
        <v>276</v>
      </c>
      <c r="C41" s="12" t="s">
        <v>277</v>
      </c>
      <c r="D41" s="5" t="s">
        <v>2</v>
      </c>
      <c r="E41" s="5" t="s">
        <v>278</v>
      </c>
      <c r="F41" s="5" t="s">
        <v>28</v>
      </c>
      <c r="G41" s="5">
        <v>10.37</v>
      </c>
      <c r="H41" s="6">
        <f t="shared" si="0"/>
        <v>9.643201542912247E-2</v>
      </c>
      <c r="I41" s="6">
        <v>0.2545</v>
      </c>
      <c r="J41" s="4">
        <f t="shared" si="1"/>
        <v>90</v>
      </c>
      <c r="K41" s="4">
        <f t="shared" si="2"/>
        <v>122</v>
      </c>
      <c r="L41" s="4">
        <f t="shared" si="3"/>
        <v>212</v>
      </c>
      <c r="M41" s="4">
        <f t="shared" si="4"/>
        <v>39</v>
      </c>
    </row>
    <row r="42" spans="2:13" ht="25.5" x14ac:dyDescent="0.2">
      <c r="B42" s="12" t="s">
        <v>575</v>
      </c>
      <c r="C42" s="12" t="s">
        <v>576</v>
      </c>
      <c r="D42" s="5" t="s">
        <v>2</v>
      </c>
      <c r="E42" s="5" t="s">
        <v>577</v>
      </c>
      <c r="F42" s="5" t="s">
        <v>53</v>
      </c>
      <c r="G42" s="5">
        <v>14.11</v>
      </c>
      <c r="H42" s="6">
        <f t="shared" si="0"/>
        <v>7.087172218284904E-2</v>
      </c>
      <c r="I42" s="6">
        <v>0.46160000000000001</v>
      </c>
      <c r="J42" s="4">
        <f t="shared" si="1"/>
        <v>190</v>
      </c>
      <c r="K42" s="4">
        <f t="shared" si="2"/>
        <v>22</v>
      </c>
      <c r="L42" s="4">
        <f t="shared" si="3"/>
        <v>212</v>
      </c>
      <c r="M42" s="4">
        <f t="shared" si="4"/>
        <v>39</v>
      </c>
    </row>
    <row r="43" spans="2:13" x14ac:dyDescent="0.2">
      <c r="B43" s="12" t="s">
        <v>515</v>
      </c>
      <c r="C43" s="12" t="s">
        <v>516</v>
      </c>
      <c r="D43" s="5" t="s">
        <v>2</v>
      </c>
      <c r="E43" s="5" t="s">
        <v>517</v>
      </c>
      <c r="F43" s="5" t="s">
        <v>28</v>
      </c>
      <c r="G43" s="5">
        <v>13.37</v>
      </c>
      <c r="H43" s="6">
        <f t="shared" si="0"/>
        <v>7.4794315632011971E-2</v>
      </c>
      <c r="I43" s="6">
        <v>0.38729999999999998</v>
      </c>
      <c r="J43" s="4">
        <f t="shared" si="1"/>
        <v>170</v>
      </c>
      <c r="K43" s="4">
        <f t="shared" si="2"/>
        <v>43</v>
      </c>
      <c r="L43" s="4">
        <f t="shared" si="3"/>
        <v>213</v>
      </c>
      <c r="M43" s="4">
        <f t="shared" si="4"/>
        <v>41</v>
      </c>
    </row>
    <row r="44" spans="2:13" x14ac:dyDescent="0.2">
      <c r="B44" s="12" t="s">
        <v>141</v>
      </c>
      <c r="C44" s="12" t="s">
        <v>142</v>
      </c>
      <c r="D44" s="5" t="s">
        <v>2</v>
      </c>
      <c r="E44" s="5" t="s">
        <v>143</v>
      </c>
      <c r="F44" s="5" t="s">
        <v>28</v>
      </c>
      <c r="G44" s="5">
        <v>7.92</v>
      </c>
      <c r="H44" s="6">
        <f t="shared" si="0"/>
        <v>0.12626262626262627</v>
      </c>
      <c r="I44" s="6">
        <v>0.21210000000000001</v>
      </c>
      <c r="J44" s="4">
        <f t="shared" si="1"/>
        <v>45</v>
      </c>
      <c r="K44" s="4">
        <f t="shared" si="2"/>
        <v>172</v>
      </c>
      <c r="L44" s="4">
        <f t="shared" si="3"/>
        <v>217</v>
      </c>
      <c r="M44" s="4">
        <f t="shared" si="4"/>
        <v>42</v>
      </c>
    </row>
    <row r="45" spans="2:13" x14ac:dyDescent="0.2">
      <c r="B45" s="12" t="s">
        <v>578</v>
      </c>
      <c r="C45" s="12" t="s">
        <v>579</v>
      </c>
      <c r="D45" s="5" t="s">
        <v>2</v>
      </c>
      <c r="E45" s="5" t="s">
        <v>580</v>
      </c>
      <c r="F45" s="5" t="s">
        <v>4</v>
      </c>
      <c r="G45" s="5">
        <v>14.22</v>
      </c>
      <c r="H45" s="6">
        <f t="shared" si="0"/>
        <v>7.0323488045007029E-2</v>
      </c>
      <c r="I45" s="6">
        <v>0.44540000000000002</v>
      </c>
      <c r="J45" s="4">
        <f t="shared" si="1"/>
        <v>191</v>
      </c>
      <c r="K45" s="4">
        <f t="shared" si="2"/>
        <v>29</v>
      </c>
      <c r="L45" s="4">
        <f t="shared" si="3"/>
        <v>220</v>
      </c>
      <c r="M45" s="4">
        <f t="shared" si="4"/>
        <v>43</v>
      </c>
    </row>
    <row r="46" spans="2:13" x14ac:dyDescent="0.2">
      <c r="B46" s="12" t="s">
        <v>371</v>
      </c>
      <c r="C46" s="12" t="s">
        <v>372</v>
      </c>
      <c r="D46" s="5" t="s">
        <v>2</v>
      </c>
      <c r="E46" s="5" t="s">
        <v>373</v>
      </c>
      <c r="F46" s="5" t="s">
        <v>28</v>
      </c>
      <c r="G46" s="5">
        <v>11.8</v>
      </c>
      <c r="H46" s="6">
        <f t="shared" si="0"/>
        <v>8.4745762711864403E-2</v>
      </c>
      <c r="I46" s="6">
        <v>0.27139999999999997</v>
      </c>
      <c r="J46" s="4">
        <f t="shared" si="1"/>
        <v>121</v>
      </c>
      <c r="K46" s="4">
        <f t="shared" si="2"/>
        <v>104</v>
      </c>
      <c r="L46" s="4">
        <f t="shared" si="3"/>
        <v>225</v>
      </c>
      <c r="M46" s="4">
        <f t="shared" si="4"/>
        <v>44</v>
      </c>
    </row>
    <row r="47" spans="2:13" x14ac:dyDescent="0.2">
      <c r="B47" s="12" t="s">
        <v>665</v>
      </c>
      <c r="C47" s="12" t="s">
        <v>666</v>
      </c>
      <c r="D47" s="5" t="s">
        <v>2</v>
      </c>
      <c r="E47" s="5" t="s">
        <v>667</v>
      </c>
      <c r="F47" s="5" t="s">
        <v>4</v>
      </c>
      <c r="G47" s="5">
        <v>15.21</v>
      </c>
      <c r="H47" s="6">
        <f t="shared" si="0"/>
        <v>6.5746219592373437E-2</v>
      </c>
      <c r="I47" s="6">
        <v>0.62329999999999997</v>
      </c>
      <c r="J47" s="4">
        <f t="shared" si="1"/>
        <v>219</v>
      </c>
      <c r="K47" s="4">
        <f t="shared" si="2"/>
        <v>7</v>
      </c>
      <c r="L47" s="4">
        <f t="shared" si="3"/>
        <v>226</v>
      </c>
      <c r="M47" s="4">
        <f t="shared" si="4"/>
        <v>45</v>
      </c>
    </row>
    <row r="48" spans="2:13" ht="25.5" x14ac:dyDescent="0.2">
      <c r="B48" s="12" t="s">
        <v>291</v>
      </c>
      <c r="C48" s="12" t="s">
        <v>292</v>
      </c>
      <c r="D48" s="5" t="s">
        <v>2</v>
      </c>
      <c r="E48" s="5" t="s">
        <v>293</v>
      </c>
      <c r="F48" s="5" t="s">
        <v>87</v>
      </c>
      <c r="G48" s="5">
        <v>10.7</v>
      </c>
      <c r="H48" s="6">
        <f t="shared" si="0"/>
        <v>9.3457943925233655E-2</v>
      </c>
      <c r="I48" s="6">
        <v>0.24129999999999999</v>
      </c>
      <c r="J48" s="4">
        <f t="shared" si="1"/>
        <v>95</v>
      </c>
      <c r="K48" s="4">
        <f t="shared" si="2"/>
        <v>136</v>
      </c>
      <c r="L48" s="4">
        <f t="shared" si="3"/>
        <v>231</v>
      </c>
      <c r="M48" s="4">
        <f t="shared" si="4"/>
        <v>46</v>
      </c>
    </row>
    <row r="49" spans="2:13" x14ac:dyDescent="0.2">
      <c r="B49" s="12" t="s">
        <v>44</v>
      </c>
      <c r="C49" s="12" t="s">
        <v>45</v>
      </c>
      <c r="D49" s="5" t="s">
        <v>2</v>
      </c>
      <c r="E49" s="5" t="s">
        <v>46</v>
      </c>
      <c r="F49" s="5" t="s">
        <v>8</v>
      </c>
      <c r="G49" s="5">
        <v>5.19</v>
      </c>
      <c r="H49" s="6">
        <f t="shared" si="0"/>
        <v>0.19267822736030826</v>
      </c>
      <c r="I49" s="6">
        <v>0.18659999999999999</v>
      </c>
      <c r="J49" s="4">
        <f t="shared" si="1"/>
        <v>14</v>
      </c>
      <c r="K49" s="4">
        <f t="shared" si="2"/>
        <v>220</v>
      </c>
      <c r="L49" s="4">
        <f t="shared" si="3"/>
        <v>234</v>
      </c>
      <c r="M49" s="4">
        <f t="shared" si="4"/>
        <v>47</v>
      </c>
    </row>
    <row r="50" spans="2:13" ht="25.5" x14ac:dyDescent="0.2">
      <c r="B50" s="12" t="s">
        <v>315</v>
      </c>
      <c r="C50" s="12" t="s">
        <v>316</v>
      </c>
      <c r="D50" s="5" t="s">
        <v>2</v>
      </c>
      <c r="E50" s="5" t="s">
        <v>317</v>
      </c>
      <c r="F50" s="5" t="s">
        <v>53</v>
      </c>
      <c r="G50" s="5">
        <v>11.15</v>
      </c>
      <c r="H50" s="6">
        <f t="shared" si="0"/>
        <v>8.9686098654708515E-2</v>
      </c>
      <c r="I50" s="6">
        <v>0.24560000000000001</v>
      </c>
      <c r="J50" s="4">
        <f t="shared" si="1"/>
        <v>103</v>
      </c>
      <c r="K50" s="4">
        <f t="shared" si="2"/>
        <v>132</v>
      </c>
      <c r="L50" s="4">
        <f t="shared" si="3"/>
        <v>235</v>
      </c>
      <c r="M50" s="4">
        <f t="shared" si="4"/>
        <v>48</v>
      </c>
    </row>
    <row r="51" spans="2:13" x14ac:dyDescent="0.2">
      <c r="B51" s="12" t="s">
        <v>177</v>
      </c>
      <c r="C51" s="12" t="s">
        <v>178</v>
      </c>
      <c r="D51" s="5" t="s">
        <v>2</v>
      </c>
      <c r="E51" s="5" t="s">
        <v>179</v>
      </c>
      <c r="F51" s="5" t="s">
        <v>8</v>
      </c>
      <c r="G51" s="5">
        <v>8.64</v>
      </c>
      <c r="H51" s="6">
        <f t="shared" si="0"/>
        <v>0.11574074074074073</v>
      </c>
      <c r="I51" s="6">
        <v>0.2044</v>
      </c>
      <c r="J51" s="4">
        <f t="shared" si="1"/>
        <v>57</v>
      </c>
      <c r="K51" s="4">
        <f t="shared" si="2"/>
        <v>181</v>
      </c>
      <c r="L51" s="4">
        <f t="shared" si="3"/>
        <v>238</v>
      </c>
      <c r="M51" s="4">
        <f t="shared" si="4"/>
        <v>49</v>
      </c>
    </row>
    <row r="52" spans="2:13" x14ac:dyDescent="0.2">
      <c r="B52" s="12" t="s">
        <v>15</v>
      </c>
      <c r="C52" s="12" t="s">
        <v>16</v>
      </c>
      <c r="D52" s="5" t="s">
        <v>2</v>
      </c>
      <c r="E52" s="5" t="s">
        <v>17</v>
      </c>
      <c r="F52" s="5" t="s">
        <v>18</v>
      </c>
      <c r="G52" s="5">
        <v>3.01</v>
      </c>
      <c r="H52" s="6">
        <f t="shared" si="0"/>
        <v>0.33222591362126247</v>
      </c>
      <c r="I52" s="6">
        <v>0.17949999999999999</v>
      </c>
      <c r="J52" s="4">
        <f t="shared" si="1"/>
        <v>5</v>
      </c>
      <c r="K52" s="4">
        <f t="shared" si="2"/>
        <v>235</v>
      </c>
      <c r="L52" s="4">
        <f t="shared" si="3"/>
        <v>240</v>
      </c>
      <c r="M52" s="4">
        <f t="shared" si="4"/>
        <v>50</v>
      </c>
    </row>
    <row r="53" spans="2:13" x14ac:dyDescent="0.2">
      <c r="B53" s="12" t="s">
        <v>551</v>
      </c>
      <c r="C53" s="12" t="s">
        <v>552</v>
      </c>
      <c r="D53" s="5" t="s">
        <v>2</v>
      </c>
      <c r="E53" s="5" t="s">
        <v>553</v>
      </c>
      <c r="F53" s="5" t="s">
        <v>28</v>
      </c>
      <c r="G53" s="5">
        <v>13.88</v>
      </c>
      <c r="H53" s="6">
        <f t="shared" si="0"/>
        <v>7.2046109510086456E-2</v>
      </c>
      <c r="I53" s="6">
        <v>0.34010000000000001</v>
      </c>
      <c r="J53" s="4">
        <f t="shared" si="1"/>
        <v>182</v>
      </c>
      <c r="K53" s="4">
        <f t="shared" si="2"/>
        <v>59</v>
      </c>
      <c r="L53" s="4">
        <f t="shared" si="3"/>
        <v>241</v>
      </c>
      <c r="M53" s="4">
        <f t="shared" si="4"/>
        <v>51</v>
      </c>
    </row>
    <row r="54" spans="2:13" x14ac:dyDescent="0.2">
      <c r="B54" s="12" t="s">
        <v>234</v>
      </c>
      <c r="C54" s="12" t="s">
        <v>235</v>
      </c>
      <c r="D54" s="5" t="s">
        <v>2</v>
      </c>
      <c r="E54" s="5" t="s">
        <v>236</v>
      </c>
      <c r="F54" s="5" t="s">
        <v>8</v>
      </c>
      <c r="G54" s="5">
        <v>9.65</v>
      </c>
      <c r="H54" s="6">
        <f t="shared" si="0"/>
        <v>0.10362694300518134</v>
      </c>
      <c r="I54" s="6">
        <v>0.21729999999999999</v>
      </c>
      <c r="J54" s="4">
        <f t="shared" si="1"/>
        <v>76</v>
      </c>
      <c r="K54" s="4">
        <f t="shared" si="2"/>
        <v>168</v>
      </c>
      <c r="L54" s="4">
        <f t="shared" si="3"/>
        <v>244</v>
      </c>
      <c r="M54" s="4">
        <f t="shared" si="4"/>
        <v>52</v>
      </c>
    </row>
    <row r="55" spans="2:13" x14ac:dyDescent="0.2">
      <c r="B55" s="12" t="s">
        <v>536</v>
      </c>
      <c r="C55" s="12" t="s">
        <v>537</v>
      </c>
      <c r="D55" s="5" t="s">
        <v>2</v>
      </c>
      <c r="E55" s="5" t="s">
        <v>538</v>
      </c>
      <c r="F55" s="5" t="s">
        <v>18</v>
      </c>
      <c r="G55" s="5">
        <v>13.78</v>
      </c>
      <c r="H55" s="6">
        <f t="shared" si="0"/>
        <v>7.2568940493468792E-2</v>
      </c>
      <c r="I55" s="6">
        <v>0.313</v>
      </c>
      <c r="J55" s="4">
        <f t="shared" si="1"/>
        <v>177</v>
      </c>
      <c r="K55" s="4">
        <f t="shared" si="2"/>
        <v>75</v>
      </c>
      <c r="L55" s="4">
        <f t="shared" si="3"/>
        <v>252</v>
      </c>
      <c r="M55" s="4">
        <f t="shared" si="4"/>
        <v>53</v>
      </c>
    </row>
    <row r="56" spans="2:13" x14ac:dyDescent="0.2">
      <c r="B56" s="12" t="s">
        <v>647</v>
      </c>
      <c r="C56" s="12" t="s">
        <v>648</v>
      </c>
      <c r="D56" s="5" t="s">
        <v>2</v>
      </c>
      <c r="E56" s="5" t="s">
        <v>649</v>
      </c>
      <c r="F56" s="5" t="s">
        <v>28</v>
      </c>
      <c r="G56" s="5">
        <v>14.96</v>
      </c>
      <c r="H56" s="6">
        <f t="shared" si="0"/>
        <v>6.6844919786096246E-2</v>
      </c>
      <c r="I56" s="6">
        <v>0.39879999999999999</v>
      </c>
      <c r="J56" s="4">
        <f t="shared" si="1"/>
        <v>214</v>
      </c>
      <c r="K56" s="4">
        <f t="shared" si="2"/>
        <v>39</v>
      </c>
      <c r="L56" s="4">
        <f t="shared" si="3"/>
        <v>253</v>
      </c>
      <c r="M56" s="4">
        <f t="shared" si="4"/>
        <v>54</v>
      </c>
    </row>
    <row r="57" spans="2:13" ht="25.5" x14ac:dyDescent="0.2">
      <c r="B57" s="12" t="s">
        <v>72</v>
      </c>
      <c r="C57" s="12" t="s">
        <v>73</v>
      </c>
      <c r="D57" s="5" t="s">
        <v>2</v>
      </c>
      <c r="E57" s="5" t="s">
        <v>74</v>
      </c>
      <c r="F57" s="5" t="s">
        <v>53</v>
      </c>
      <c r="G57" s="5">
        <v>5.95</v>
      </c>
      <c r="H57" s="6">
        <f t="shared" si="0"/>
        <v>0.16806722689075629</v>
      </c>
      <c r="I57" s="6">
        <v>0.1817</v>
      </c>
      <c r="J57" s="4">
        <f t="shared" si="1"/>
        <v>23</v>
      </c>
      <c r="K57" s="4">
        <f t="shared" si="2"/>
        <v>231</v>
      </c>
      <c r="L57" s="4">
        <f t="shared" si="3"/>
        <v>254</v>
      </c>
      <c r="M57" s="4">
        <f t="shared" si="4"/>
        <v>55</v>
      </c>
    </row>
    <row r="58" spans="2:13" x14ac:dyDescent="0.2">
      <c r="B58" s="12" t="s">
        <v>138</v>
      </c>
      <c r="C58" s="12" t="s">
        <v>139</v>
      </c>
      <c r="D58" s="5" t="s">
        <v>2</v>
      </c>
      <c r="E58" s="5" t="s">
        <v>140</v>
      </c>
      <c r="F58" s="5" t="s">
        <v>8</v>
      </c>
      <c r="G58" s="5">
        <v>7.8</v>
      </c>
      <c r="H58" s="6">
        <f t="shared" si="0"/>
        <v>0.12820512820512822</v>
      </c>
      <c r="I58" s="6">
        <v>0.19339999999999999</v>
      </c>
      <c r="J58" s="4">
        <f t="shared" si="1"/>
        <v>44</v>
      </c>
      <c r="K58" s="4">
        <f t="shared" si="2"/>
        <v>211</v>
      </c>
      <c r="L58" s="4">
        <f t="shared" si="3"/>
        <v>255</v>
      </c>
      <c r="M58" s="4">
        <f t="shared" si="4"/>
        <v>56</v>
      </c>
    </row>
    <row r="59" spans="2:13" ht="25.5" x14ac:dyDescent="0.2">
      <c r="B59" s="12" t="s">
        <v>189</v>
      </c>
      <c r="C59" s="12" t="s">
        <v>190</v>
      </c>
      <c r="D59" s="5" t="s">
        <v>2</v>
      </c>
      <c r="E59" s="5" t="s">
        <v>191</v>
      </c>
      <c r="F59" s="5" t="s">
        <v>53</v>
      </c>
      <c r="G59" s="5">
        <v>8.82</v>
      </c>
      <c r="H59" s="6">
        <f t="shared" si="0"/>
        <v>0.11337868480725623</v>
      </c>
      <c r="I59" s="6">
        <v>0.20030000000000001</v>
      </c>
      <c r="J59" s="4">
        <f t="shared" si="1"/>
        <v>61</v>
      </c>
      <c r="K59" s="4">
        <f t="shared" si="2"/>
        <v>194</v>
      </c>
      <c r="L59" s="4">
        <f t="shared" si="3"/>
        <v>255</v>
      </c>
      <c r="M59" s="4">
        <f t="shared" si="4"/>
        <v>56</v>
      </c>
    </row>
    <row r="60" spans="2:13" x14ac:dyDescent="0.2">
      <c r="B60" s="12" t="s">
        <v>500</v>
      </c>
      <c r="C60" s="12" t="s">
        <v>501</v>
      </c>
      <c r="D60" s="5" t="s">
        <v>2</v>
      </c>
      <c r="E60" s="5" t="s">
        <v>502</v>
      </c>
      <c r="F60" s="5" t="s">
        <v>28</v>
      </c>
      <c r="G60" s="5">
        <v>13.24</v>
      </c>
      <c r="H60" s="6">
        <f t="shared" si="0"/>
        <v>7.5528700906344406E-2</v>
      </c>
      <c r="I60" s="6">
        <v>0.28220000000000001</v>
      </c>
      <c r="J60" s="4">
        <f t="shared" si="1"/>
        <v>165</v>
      </c>
      <c r="K60" s="4">
        <f t="shared" si="2"/>
        <v>90</v>
      </c>
      <c r="L60" s="4">
        <f t="shared" si="3"/>
        <v>255</v>
      </c>
      <c r="M60" s="4">
        <f t="shared" si="4"/>
        <v>56</v>
      </c>
    </row>
    <row r="61" spans="2:13" ht="25.5" x14ac:dyDescent="0.2">
      <c r="B61" s="12" t="s">
        <v>98</v>
      </c>
      <c r="C61" s="12" t="s">
        <v>99</v>
      </c>
      <c r="D61" s="5" t="s">
        <v>2</v>
      </c>
      <c r="E61" s="5" t="s">
        <v>100</v>
      </c>
      <c r="F61" s="5" t="s">
        <v>53</v>
      </c>
      <c r="G61" s="5">
        <v>6.69</v>
      </c>
      <c r="H61" s="6">
        <f t="shared" si="0"/>
        <v>0.14947683109118085</v>
      </c>
      <c r="I61" s="6">
        <v>0.18459999999999999</v>
      </c>
      <c r="J61" s="4">
        <f t="shared" si="1"/>
        <v>31</v>
      </c>
      <c r="K61" s="4">
        <f t="shared" si="2"/>
        <v>225</v>
      </c>
      <c r="L61" s="4">
        <f t="shared" si="3"/>
        <v>256</v>
      </c>
      <c r="M61" s="4">
        <f t="shared" si="4"/>
        <v>59</v>
      </c>
    </row>
    <row r="62" spans="2:13" x14ac:dyDescent="0.2">
      <c r="B62" s="12" t="s">
        <v>398</v>
      </c>
      <c r="C62" s="12" t="s">
        <v>399</v>
      </c>
      <c r="D62" s="5" t="s">
        <v>2</v>
      </c>
      <c r="E62" s="5" t="s">
        <v>400</v>
      </c>
      <c r="F62" s="5" t="s">
        <v>4</v>
      </c>
      <c r="G62" s="5">
        <v>12.12</v>
      </c>
      <c r="H62" s="6">
        <f t="shared" si="0"/>
        <v>8.2508250825082508E-2</v>
      </c>
      <c r="I62" s="6">
        <v>0.25190000000000001</v>
      </c>
      <c r="J62" s="4">
        <f t="shared" si="1"/>
        <v>131</v>
      </c>
      <c r="K62" s="4">
        <f t="shared" si="2"/>
        <v>125</v>
      </c>
      <c r="L62" s="4">
        <f t="shared" si="3"/>
        <v>256</v>
      </c>
      <c r="M62" s="4">
        <f t="shared" si="4"/>
        <v>59</v>
      </c>
    </row>
    <row r="63" spans="2:13" x14ac:dyDescent="0.2">
      <c r="B63" s="12" t="s">
        <v>165</v>
      </c>
      <c r="C63" s="12" t="s">
        <v>166</v>
      </c>
      <c r="D63" s="5" t="s">
        <v>2</v>
      </c>
      <c r="E63" s="5" t="s">
        <v>167</v>
      </c>
      <c r="F63" s="5" t="s">
        <v>18</v>
      </c>
      <c r="G63" s="5">
        <v>8.4499999999999993</v>
      </c>
      <c r="H63" s="6">
        <f t="shared" si="0"/>
        <v>0.1183431952662722</v>
      </c>
      <c r="I63" s="6">
        <v>0.1958</v>
      </c>
      <c r="J63" s="4">
        <f t="shared" si="1"/>
        <v>53</v>
      </c>
      <c r="K63" s="4">
        <f t="shared" si="2"/>
        <v>206</v>
      </c>
      <c r="L63" s="4">
        <f t="shared" si="3"/>
        <v>259</v>
      </c>
      <c r="M63" s="4">
        <f t="shared" si="4"/>
        <v>61</v>
      </c>
    </row>
    <row r="64" spans="2:13" x14ac:dyDescent="0.2">
      <c r="B64" s="12" t="s">
        <v>237</v>
      </c>
      <c r="C64" s="12" t="s">
        <v>238</v>
      </c>
      <c r="D64" s="5" t="s">
        <v>2</v>
      </c>
      <c r="E64" s="5" t="s">
        <v>239</v>
      </c>
      <c r="F64" s="5" t="s">
        <v>28</v>
      </c>
      <c r="G64" s="5">
        <v>9.7100000000000009</v>
      </c>
      <c r="H64" s="6">
        <f t="shared" si="0"/>
        <v>0.10298661174047373</v>
      </c>
      <c r="I64" s="6">
        <v>0.20369999999999999</v>
      </c>
      <c r="J64" s="4">
        <f t="shared" si="1"/>
        <v>77</v>
      </c>
      <c r="K64" s="4">
        <f t="shared" si="2"/>
        <v>183</v>
      </c>
      <c r="L64" s="4">
        <f t="shared" si="3"/>
        <v>260</v>
      </c>
      <c r="M64" s="4">
        <f t="shared" si="4"/>
        <v>62</v>
      </c>
    </row>
    <row r="65" spans="2:13" x14ac:dyDescent="0.2">
      <c r="B65" s="12" t="s">
        <v>116</v>
      </c>
      <c r="C65" s="12" t="s">
        <v>117</v>
      </c>
      <c r="D65" s="5" t="s">
        <v>2</v>
      </c>
      <c r="E65" s="5" t="s">
        <v>118</v>
      </c>
      <c r="F65" s="5" t="s">
        <v>8</v>
      </c>
      <c r="G65" s="5">
        <v>7.28</v>
      </c>
      <c r="H65" s="6">
        <f t="shared" si="0"/>
        <v>0.13736263736263735</v>
      </c>
      <c r="I65" s="6">
        <v>0.18340000000000001</v>
      </c>
      <c r="J65" s="4">
        <f t="shared" si="1"/>
        <v>37</v>
      </c>
      <c r="K65" s="4">
        <f t="shared" si="2"/>
        <v>229</v>
      </c>
      <c r="L65" s="4">
        <f t="shared" si="3"/>
        <v>266</v>
      </c>
      <c r="M65" s="4">
        <f t="shared" si="4"/>
        <v>63</v>
      </c>
    </row>
    <row r="66" spans="2:13" ht="25.5" x14ac:dyDescent="0.2">
      <c r="B66" s="12" t="s">
        <v>50</v>
      </c>
      <c r="C66" s="12" t="s">
        <v>51</v>
      </c>
      <c r="D66" s="5" t="s">
        <v>2</v>
      </c>
      <c r="E66" s="5" t="s">
        <v>52</v>
      </c>
      <c r="F66" s="5" t="s">
        <v>53</v>
      </c>
      <c r="G66" s="5">
        <v>5.45</v>
      </c>
      <c r="H66" s="6">
        <f t="shared" si="0"/>
        <v>0.18348623853211007</v>
      </c>
      <c r="I66" s="6">
        <v>0.1709</v>
      </c>
      <c r="J66" s="4">
        <f t="shared" si="1"/>
        <v>16</v>
      </c>
      <c r="K66" s="4">
        <f t="shared" si="2"/>
        <v>252</v>
      </c>
      <c r="L66" s="4">
        <f t="shared" si="3"/>
        <v>268</v>
      </c>
      <c r="M66" s="4">
        <f t="shared" si="4"/>
        <v>64</v>
      </c>
    </row>
    <row r="67" spans="2:13" x14ac:dyDescent="0.2">
      <c r="B67" s="12" t="s">
        <v>590</v>
      </c>
      <c r="C67" s="12" t="s">
        <v>591</v>
      </c>
      <c r="D67" s="5" t="s">
        <v>2</v>
      </c>
      <c r="E67" s="5" t="s">
        <v>592</v>
      </c>
      <c r="F67" s="5" t="s">
        <v>28</v>
      </c>
      <c r="G67" s="5">
        <v>14.43</v>
      </c>
      <c r="H67" s="6">
        <f t="shared" ref="H67:H130" si="5">1/G67</f>
        <v>6.9300069300069295E-2</v>
      </c>
      <c r="I67" s="6">
        <v>0.31819999999999998</v>
      </c>
      <c r="J67" s="4">
        <f t="shared" ref="J67:J130" si="6">+_xlfn.RANK.EQ(H67,H:H,0)</f>
        <v>195</v>
      </c>
      <c r="K67" s="4">
        <f t="shared" ref="K67:K130" si="7">+_xlfn.RANK.EQ(I67,I:I,0)</f>
        <v>73</v>
      </c>
      <c r="L67" s="4">
        <f t="shared" ref="L67:L130" si="8">+J67+K67</f>
        <v>268</v>
      </c>
      <c r="M67" s="4">
        <f t="shared" ref="M67:M130" si="9">+_xlfn.RANK.EQ(L67,L:L,1)</f>
        <v>64</v>
      </c>
    </row>
    <row r="68" spans="2:13" x14ac:dyDescent="0.2">
      <c r="B68" s="12" t="s">
        <v>88</v>
      </c>
      <c r="C68" s="12" t="s">
        <v>89</v>
      </c>
      <c r="D68" s="5" t="s">
        <v>2</v>
      </c>
      <c r="E68" s="5" t="s">
        <v>90</v>
      </c>
      <c r="F68" s="5" t="s">
        <v>91</v>
      </c>
      <c r="G68" s="5">
        <v>6.47</v>
      </c>
      <c r="H68" s="6">
        <f t="shared" si="5"/>
        <v>0.15455950540958269</v>
      </c>
      <c r="I68" s="6">
        <v>0.17530000000000001</v>
      </c>
      <c r="J68" s="4">
        <f t="shared" si="6"/>
        <v>28</v>
      </c>
      <c r="K68" s="4">
        <f t="shared" si="7"/>
        <v>244</v>
      </c>
      <c r="L68" s="4">
        <f t="shared" si="8"/>
        <v>272</v>
      </c>
      <c r="M68" s="4">
        <f t="shared" si="9"/>
        <v>66</v>
      </c>
    </row>
    <row r="69" spans="2:13" x14ac:dyDescent="0.2">
      <c r="B69" s="12" t="s">
        <v>392</v>
      </c>
      <c r="C69" s="12" t="s">
        <v>393</v>
      </c>
      <c r="D69" s="5" t="s">
        <v>2</v>
      </c>
      <c r="E69" s="5" t="s">
        <v>394</v>
      </c>
      <c r="F69" s="5" t="s">
        <v>28</v>
      </c>
      <c r="G69" s="5">
        <v>12.09</v>
      </c>
      <c r="H69" s="6">
        <f t="shared" si="5"/>
        <v>8.2712985938792394E-2</v>
      </c>
      <c r="I69" s="6">
        <v>0.23699999999999999</v>
      </c>
      <c r="J69" s="4">
        <f t="shared" si="6"/>
        <v>129</v>
      </c>
      <c r="K69" s="4">
        <f t="shared" si="7"/>
        <v>143</v>
      </c>
      <c r="L69" s="4">
        <f t="shared" si="8"/>
        <v>272</v>
      </c>
      <c r="M69" s="4">
        <f t="shared" si="9"/>
        <v>66</v>
      </c>
    </row>
    <row r="70" spans="2:13" ht="25.5" x14ac:dyDescent="0.2">
      <c r="B70" s="12" t="s">
        <v>800</v>
      </c>
      <c r="C70" s="12" t="s">
        <v>801</v>
      </c>
      <c r="D70" s="5" t="s">
        <v>2</v>
      </c>
      <c r="E70" s="5" t="s">
        <v>802</v>
      </c>
      <c r="F70" s="5" t="s">
        <v>53</v>
      </c>
      <c r="G70" s="5">
        <v>16.21</v>
      </c>
      <c r="H70" s="6">
        <f t="shared" si="5"/>
        <v>6.1690314620604564E-2</v>
      </c>
      <c r="I70" s="6">
        <v>0.57310000000000005</v>
      </c>
      <c r="J70" s="4">
        <f t="shared" si="6"/>
        <v>265</v>
      </c>
      <c r="K70" s="4">
        <f t="shared" si="7"/>
        <v>10</v>
      </c>
      <c r="L70" s="4">
        <f t="shared" si="8"/>
        <v>275</v>
      </c>
      <c r="M70" s="4">
        <f t="shared" si="9"/>
        <v>68</v>
      </c>
    </row>
    <row r="71" spans="2:13" ht="25.5" x14ac:dyDescent="0.2">
      <c r="B71" s="12" t="s">
        <v>135</v>
      </c>
      <c r="C71" s="12" t="s">
        <v>136</v>
      </c>
      <c r="D71" s="5" t="s">
        <v>2</v>
      </c>
      <c r="E71" s="5" t="s">
        <v>137</v>
      </c>
      <c r="F71" s="5" t="s">
        <v>53</v>
      </c>
      <c r="G71" s="5">
        <v>7.76</v>
      </c>
      <c r="H71" s="6">
        <f t="shared" si="5"/>
        <v>0.12886597938144331</v>
      </c>
      <c r="I71" s="6">
        <v>0.1787</v>
      </c>
      <c r="J71" s="4">
        <f t="shared" si="6"/>
        <v>43</v>
      </c>
      <c r="K71" s="4">
        <f t="shared" si="7"/>
        <v>237</v>
      </c>
      <c r="L71" s="4">
        <f t="shared" si="8"/>
        <v>280</v>
      </c>
      <c r="M71" s="4">
        <f t="shared" si="9"/>
        <v>69</v>
      </c>
    </row>
    <row r="72" spans="2:13" ht="25.5" x14ac:dyDescent="0.2">
      <c r="B72" s="12" t="s">
        <v>132</v>
      </c>
      <c r="C72" s="12" t="s">
        <v>133</v>
      </c>
      <c r="D72" s="5" t="s">
        <v>2</v>
      </c>
      <c r="E72" s="5" t="s">
        <v>134</v>
      </c>
      <c r="F72" s="5" t="s">
        <v>53</v>
      </c>
      <c r="G72" s="5">
        <v>7.7</v>
      </c>
      <c r="H72" s="6">
        <f t="shared" si="5"/>
        <v>0.12987012987012986</v>
      </c>
      <c r="I72" s="6">
        <v>0.1779</v>
      </c>
      <c r="J72" s="4">
        <f t="shared" si="6"/>
        <v>42</v>
      </c>
      <c r="K72" s="4">
        <f t="shared" si="7"/>
        <v>239</v>
      </c>
      <c r="L72" s="4">
        <f t="shared" si="8"/>
        <v>281</v>
      </c>
      <c r="M72" s="4">
        <f t="shared" si="9"/>
        <v>70</v>
      </c>
    </row>
    <row r="73" spans="2:13" x14ac:dyDescent="0.2">
      <c r="B73" s="12" t="s">
        <v>339</v>
      </c>
      <c r="C73" s="12" t="s">
        <v>340</v>
      </c>
      <c r="D73" s="5" t="s">
        <v>2</v>
      </c>
      <c r="E73" s="5" t="s">
        <v>341</v>
      </c>
      <c r="F73" s="5" t="s">
        <v>28</v>
      </c>
      <c r="G73" s="5">
        <v>11.49</v>
      </c>
      <c r="H73" s="6">
        <f t="shared" si="5"/>
        <v>8.7032201914708437E-2</v>
      </c>
      <c r="I73" s="6">
        <v>0.21510000000000001</v>
      </c>
      <c r="J73" s="4">
        <f t="shared" si="6"/>
        <v>111</v>
      </c>
      <c r="K73" s="4">
        <f t="shared" si="7"/>
        <v>170</v>
      </c>
      <c r="L73" s="4">
        <f t="shared" si="8"/>
        <v>281</v>
      </c>
      <c r="M73" s="4">
        <f t="shared" si="9"/>
        <v>70</v>
      </c>
    </row>
    <row r="74" spans="2:13" ht="25.5" x14ac:dyDescent="0.2">
      <c r="B74" s="12" t="s">
        <v>240</v>
      </c>
      <c r="C74" s="12" t="s">
        <v>241</v>
      </c>
      <c r="D74" s="5" t="s">
        <v>2</v>
      </c>
      <c r="E74" s="5" t="s">
        <v>242</v>
      </c>
      <c r="F74" s="5" t="s">
        <v>122</v>
      </c>
      <c r="G74" s="5">
        <v>9.73</v>
      </c>
      <c r="H74" s="6">
        <f t="shared" si="5"/>
        <v>0.10277492291880781</v>
      </c>
      <c r="I74" s="6">
        <v>0.19620000000000001</v>
      </c>
      <c r="J74" s="4">
        <f t="shared" si="6"/>
        <v>78</v>
      </c>
      <c r="K74" s="4">
        <f t="shared" si="7"/>
        <v>204</v>
      </c>
      <c r="L74" s="4">
        <f t="shared" si="8"/>
        <v>282</v>
      </c>
      <c r="M74" s="4">
        <f t="shared" si="9"/>
        <v>72</v>
      </c>
    </row>
    <row r="75" spans="2:13" ht="25.5" x14ac:dyDescent="0.2">
      <c r="B75" s="12" t="s">
        <v>608</v>
      </c>
      <c r="C75" s="12" t="s">
        <v>609</v>
      </c>
      <c r="D75" s="5" t="s">
        <v>2</v>
      </c>
      <c r="E75" s="5" t="s">
        <v>610</v>
      </c>
      <c r="F75" s="5" t="s">
        <v>122</v>
      </c>
      <c r="G75" s="5">
        <v>14.58</v>
      </c>
      <c r="H75" s="6">
        <f t="shared" si="5"/>
        <v>6.8587105624142664E-2</v>
      </c>
      <c r="I75" s="6">
        <v>0.28760000000000002</v>
      </c>
      <c r="J75" s="4">
        <f t="shared" si="6"/>
        <v>201</v>
      </c>
      <c r="K75" s="4">
        <f t="shared" si="7"/>
        <v>86</v>
      </c>
      <c r="L75" s="4">
        <f t="shared" si="8"/>
        <v>287</v>
      </c>
      <c r="M75" s="4">
        <f t="shared" si="9"/>
        <v>73</v>
      </c>
    </row>
    <row r="76" spans="2:13" ht="25.5" x14ac:dyDescent="0.2">
      <c r="B76" s="12" t="s">
        <v>710</v>
      </c>
      <c r="C76" s="12" t="s">
        <v>711</v>
      </c>
      <c r="D76" s="5" t="s">
        <v>2</v>
      </c>
      <c r="E76" s="5" t="s">
        <v>712</v>
      </c>
      <c r="F76" s="5" t="s">
        <v>28</v>
      </c>
      <c r="G76" s="5">
        <v>15.64</v>
      </c>
      <c r="H76" s="6">
        <f t="shared" si="5"/>
        <v>6.3938618925831206E-2</v>
      </c>
      <c r="I76" s="6">
        <v>0.3538</v>
      </c>
      <c r="J76" s="4">
        <f t="shared" si="6"/>
        <v>234</v>
      </c>
      <c r="K76" s="4">
        <f t="shared" si="7"/>
        <v>53</v>
      </c>
      <c r="L76" s="4">
        <f t="shared" si="8"/>
        <v>287</v>
      </c>
      <c r="M76" s="4">
        <f t="shared" si="9"/>
        <v>73</v>
      </c>
    </row>
    <row r="77" spans="2:13" ht="25.5" x14ac:dyDescent="0.2">
      <c r="B77" s="12" t="s">
        <v>821</v>
      </c>
      <c r="C77" s="12" t="s">
        <v>822</v>
      </c>
      <c r="D77" s="5" t="s">
        <v>2</v>
      </c>
      <c r="E77" s="5" t="s">
        <v>823</v>
      </c>
      <c r="F77" s="5" t="s">
        <v>87</v>
      </c>
      <c r="G77" s="5">
        <v>16.329999999999998</v>
      </c>
      <c r="H77" s="6">
        <f t="shared" si="5"/>
        <v>6.1236987140232707E-2</v>
      </c>
      <c r="I77" s="6">
        <v>0.53010000000000002</v>
      </c>
      <c r="J77" s="4">
        <f t="shared" si="6"/>
        <v>272</v>
      </c>
      <c r="K77" s="4">
        <f t="shared" si="7"/>
        <v>15</v>
      </c>
      <c r="L77" s="4">
        <f t="shared" si="8"/>
        <v>287</v>
      </c>
      <c r="M77" s="4">
        <f t="shared" si="9"/>
        <v>73</v>
      </c>
    </row>
    <row r="78" spans="2:13" x14ac:dyDescent="0.2">
      <c r="B78" s="12" t="s">
        <v>545</v>
      </c>
      <c r="C78" s="12" t="s">
        <v>546</v>
      </c>
      <c r="D78" s="5" t="s">
        <v>2</v>
      </c>
      <c r="E78" s="5" t="s">
        <v>547</v>
      </c>
      <c r="F78" s="5" t="s">
        <v>4</v>
      </c>
      <c r="G78" s="5">
        <v>13.82</v>
      </c>
      <c r="H78" s="6">
        <f t="shared" si="5"/>
        <v>7.2358900144717797E-2</v>
      </c>
      <c r="I78" s="6">
        <v>0.26600000000000001</v>
      </c>
      <c r="J78" s="4">
        <f t="shared" si="6"/>
        <v>179</v>
      </c>
      <c r="K78" s="4">
        <f t="shared" si="7"/>
        <v>109</v>
      </c>
      <c r="L78" s="4">
        <f t="shared" si="8"/>
        <v>288</v>
      </c>
      <c r="M78" s="4">
        <f t="shared" si="9"/>
        <v>76</v>
      </c>
    </row>
    <row r="79" spans="2:13" x14ac:dyDescent="0.2">
      <c r="B79" s="12" t="s">
        <v>113</v>
      </c>
      <c r="C79" s="12" t="s">
        <v>114</v>
      </c>
      <c r="D79" s="5" t="s">
        <v>2</v>
      </c>
      <c r="E79" s="5" t="s">
        <v>115</v>
      </c>
      <c r="F79" s="5" t="s">
        <v>4</v>
      </c>
      <c r="G79" s="5">
        <v>7.15</v>
      </c>
      <c r="H79" s="6">
        <f t="shared" si="5"/>
        <v>0.13986013986013984</v>
      </c>
      <c r="I79" s="6">
        <v>0.1704</v>
      </c>
      <c r="J79" s="4">
        <f t="shared" si="6"/>
        <v>36</v>
      </c>
      <c r="K79" s="4">
        <f t="shared" si="7"/>
        <v>253</v>
      </c>
      <c r="L79" s="4">
        <f t="shared" si="8"/>
        <v>289</v>
      </c>
      <c r="M79" s="4">
        <f t="shared" si="9"/>
        <v>77</v>
      </c>
    </row>
    <row r="80" spans="2:13" x14ac:dyDescent="0.2">
      <c r="B80" s="12" t="s">
        <v>123</v>
      </c>
      <c r="C80" s="12" t="s">
        <v>124</v>
      </c>
      <c r="D80" s="5" t="s">
        <v>2</v>
      </c>
      <c r="E80" s="5" t="s">
        <v>125</v>
      </c>
      <c r="F80" s="5" t="s">
        <v>8</v>
      </c>
      <c r="G80" s="5">
        <v>7.47</v>
      </c>
      <c r="H80" s="6">
        <f t="shared" si="5"/>
        <v>0.13386880856760375</v>
      </c>
      <c r="I80" s="6">
        <v>0.17230000000000001</v>
      </c>
      <c r="J80" s="4">
        <f t="shared" si="6"/>
        <v>39</v>
      </c>
      <c r="K80" s="4">
        <f t="shared" si="7"/>
        <v>250</v>
      </c>
      <c r="L80" s="4">
        <f t="shared" si="8"/>
        <v>289</v>
      </c>
      <c r="M80" s="4">
        <f t="shared" si="9"/>
        <v>77</v>
      </c>
    </row>
    <row r="81" spans="2:13" ht="25.5" x14ac:dyDescent="0.2">
      <c r="B81" s="12" t="s">
        <v>95</v>
      </c>
      <c r="C81" s="12" t="s">
        <v>96</v>
      </c>
      <c r="D81" s="5" t="s">
        <v>2</v>
      </c>
      <c r="E81" s="5" t="s">
        <v>97</v>
      </c>
      <c r="F81" s="5" t="s">
        <v>53</v>
      </c>
      <c r="G81" s="5">
        <v>6.54</v>
      </c>
      <c r="H81" s="6">
        <f t="shared" si="5"/>
        <v>0.1529051987767584</v>
      </c>
      <c r="I81" s="6">
        <v>0.16769999999999999</v>
      </c>
      <c r="J81" s="4">
        <f t="shared" si="6"/>
        <v>30</v>
      </c>
      <c r="K81" s="4">
        <f t="shared" si="7"/>
        <v>260</v>
      </c>
      <c r="L81" s="4">
        <f t="shared" si="8"/>
        <v>290</v>
      </c>
      <c r="M81" s="4">
        <f t="shared" si="9"/>
        <v>79</v>
      </c>
    </row>
    <row r="82" spans="2:13" x14ac:dyDescent="0.2">
      <c r="B82" s="12" t="s">
        <v>425</v>
      </c>
      <c r="C82" s="12" t="s">
        <v>426</v>
      </c>
      <c r="D82" s="5" t="s">
        <v>2</v>
      </c>
      <c r="E82" s="5" t="s">
        <v>427</v>
      </c>
      <c r="F82" s="5" t="s">
        <v>28</v>
      </c>
      <c r="G82" s="5">
        <v>12.39</v>
      </c>
      <c r="H82" s="6">
        <f t="shared" si="5"/>
        <v>8.0710250201775621E-2</v>
      </c>
      <c r="I82" s="6">
        <v>0.2293</v>
      </c>
      <c r="J82" s="4">
        <f t="shared" si="6"/>
        <v>140</v>
      </c>
      <c r="K82" s="4">
        <f t="shared" si="7"/>
        <v>151</v>
      </c>
      <c r="L82" s="4">
        <f t="shared" si="8"/>
        <v>291</v>
      </c>
      <c r="M82" s="4">
        <f t="shared" si="9"/>
        <v>80</v>
      </c>
    </row>
    <row r="83" spans="2:13" ht="25.5" x14ac:dyDescent="0.2">
      <c r="B83" s="12" t="s">
        <v>84</v>
      </c>
      <c r="C83" s="12" t="s">
        <v>85</v>
      </c>
      <c r="D83" s="5" t="s">
        <v>2</v>
      </c>
      <c r="E83" s="5" t="s">
        <v>86</v>
      </c>
      <c r="F83" s="5" t="s">
        <v>87</v>
      </c>
      <c r="G83" s="5">
        <v>6.46</v>
      </c>
      <c r="H83" s="6">
        <f t="shared" si="5"/>
        <v>0.15479876160990713</v>
      </c>
      <c r="I83" s="6">
        <v>0.16619999999999999</v>
      </c>
      <c r="J83" s="4">
        <f t="shared" si="6"/>
        <v>27</v>
      </c>
      <c r="K83" s="4">
        <f t="shared" si="7"/>
        <v>265</v>
      </c>
      <c r="L83" s="4">
        <f t="shared" si="8"/>
        <v>292</v>
      </c>
      <c r="M83" s="4">
        <f t="shared" si="9"/>
        <v>81</v>
      </c>
    </row>
    <row r="84" spans="2:13" x14ac:dyDescent="0.2">
      <c r="B84" s="12" t="s">
        <v>258</v>
      </c>
      <c r="C84" s="12" t="s">
        <v>259</v>
      </c>
      <c r="D84" s="5" t="s">
        <v>2</v>
      </c>
      <c r="E84" s="5" t="s">
        <v>260</v>
      </c>
      <c r="F84" s="5" t="s">
        <v>28</v>
      </c>
      <c r="G84" s="5">
        <v>10.07</v>
      </c>
      <c r="H84" s="6">
        <f t="shared" si="5"/>
        <v>9.9304865938430978E-2</v>
      </c>
      <c r="I84" s="6">
        <v>0.19450000000000001</v>
      </c>
      <c r="J84" s="4">
        <f t="shared" si="6"/>
        <v>83</v>
      </c>
      <c r="K84" s="4">
        <f t="shared" si="7"/>
        <v>209</v>
      </c>
      <c r="L84" s="4">
        <f t="shared" si="8"/>
        <v>292</v>
      </c>
      <c r="M84" s="4">
        <f t="shared" si="9"/>
        <v>81</v>
      </c>
    </row>
    <row r="85" spans="2:13" ht="25.5" x14ac:dyDescent="0.2">
      <c r="B85" s="12" t="s">
        <v>440</v>
      </c>
      <c r="C85" s="12" t="s">
        <v>441</v>
      </c>
      <c r="D85" s="5" t="s">
        <v>2</v>
      </c>
      <c r="E85" s="5" t="s">
        <v>442</v>
      </c>
      <c r="F85" s="5" t="s">
        <v>53</v>
      </c>
      <c r="G85" s="5">
        <v>12.44</v>
      </c>
      <c r="H85" s="6">
        <f t="shared" si="5"/>
        <v>8.0385852090032156E-2</v>
      </c>
      <c r="I85" s="6">
        <v>0.22939999999999999</v>
      </c>
      <c r="J85" s="4">
        <f t="shared" si="6"/>
        <v>144</v>
      </c>
      <c r="K85" s="4">
        <f t="shared" si="7"/>
        <v>150</v>
      </c>
      <c r="L85" s="4">
        <f t="shared" si="8"/>
        <v>294</v>
      </c>
      <c r="M85" s="4">
        <f t="shared" si="9"/>
        <v>83</v>
      </c>
    </row>
    <row r="86" spans="2:13" x14ac:dyDescent="0.2">
      <c r="B86" s="12" t="s">
        <v>452</v>
      </c>
      <c r="C86" s="12" t="s">
        <v>453</v>
      </c>
      <c r="D86" s="5" t="s">
        <v>2</v>
      </c>
      <c r="E86" s="5" t="s">
        <v>454</v>
      </c>
      <c r="F86" s="5" t="s">
        <v>18</v>
      </c>
      <c r="G86" s="5">
        <v>12.5</v>
      </c>
      <c r="H86" s="6">
        <f t="shared" si="5"/>
        <v>0.08</v>
      </c>
      <c r="I86" s="6">
        <v>0.23319999999999999</v>
      </c>
      <c r="J86" s="4">
        <f t="shared" si="6"/>
        <v>149</v>
      </c>
      <c r="K86" s="4">
        <f t="shared" si="7"/>
        <v>148</v>
      </c>
      <c r="L86" s="4">
        <f t="shared" si="8"/>
        <v>297</v>
      </c>
      <c r="M86" s="4">
        <f t="shared" si="9"/>
        <v>84</v>
      </c>
    </row>
    <row r="87" spans="2:13" ht="25.5" x14ac:dyDescent="0.2">
      <c r="B87" s="12" t="s">
        <v>231</v>
      </c>
      <c r="C87" s="12" t="s">
        <v>232</v>
      </c>
      <c r="D87" s="5" t="s">
        <v>2</v>
      </c>
      <c r="E87" s="5" t="s">
        <v>233</v>
      </c>
      <c r="F87" s="5" t="s">
        <v>53</v>
      </c>
      <c r="G87" s="5">
        <v>9.6300000000000008</v>
      </c>
      <c r="H87" s="6">
        <f t="shared" si="5"/>
        <v>0.10384215991692626</v>
      </c>
      <c r="I87" s="6">
        <v>0.18529999999999999</v>
      </c>
      <c r="J87" s="4">
        <f t="shared" si="6"/>
        <v>75</v>
      </c>
      <c r="K87" s="4">
        <f t="shared" si="7"/>
        <v>223</v>
      </c>
      <c r="L87" s="4">
        <f t="shared" si="8"/>
        <v>298</v>
      </c>
      <c r="M87" s="4">
        <f t="shared" si="9"/>
        <v>85</v>
      </c>
    </row>
    <row r="88" spans="2:13" x14ac:dyDescent="0.2">
      <c r="B88" s="12" t="s">
        <v>431</v>
      </c>
      <c r="C88" s="12" t="s">
        <v>432</v>
      </c>
      <c r="D88" s="5" t="s">
        <v>2</v>
      </c>
      <c r="E88" s="5" t="s">
        <v>433</v>
      </c>
      <c r="F88" s="5" t="s">
        <v>4</v>
      </c>
      <c r="G88" s="5">
        <v>12.42</v>
      </c>
      <c r="H88" s="6">
        <f t="shared" si="5"/>
        <v>8.0515297906602251E-2</v>
      </c>
      <c r="I88" s="6">
        <v>0.22270000000000001</v>
      </c>
      <c r="J88" s="4">
        <f t="shared" si="6"/>
        <v>142</v>
      </c>
      <c r="K88" s="4">
        <f t="shared" si="7"/>
        <v>160</v>
      </c>
      <c r="L88" s="4">
        <f t="shared" si="8"/>
        <v>302</v>
      </c>
      <c r="M88" s="4">
        <f t="shared" si="9"/>
        <v>86</v>
      </c>
    </row>
    <row r="89" spans="2:13" ht="25.5" x14ac:dyDescent="0.2">
      <c r="B89" s="12" t="s">
        <v>204</v>
      </c>
      <c r="C89" s="12" t="s">
        <v>205</v>
      </c>
      <c r="D89" s="5" t="s">
        <v>2</v>
      </c>
      <c r="E89" s="5" t="s">
        <v>206</v>
      </c>
      <c r="F89" s="5" t="s">
        <v>53</v>
      </c>
      <c r="G89" s="5">
        <v>9.1</v>
      </c>
      <c r="H89" s="6">
        <f t="shared" si="5"/>
        <v>0.10989010989010989</v>
      </c>
      <c r="I89" s="6">
        <v>0.1787</v>
      </c>
      <c r="J89" s="4">
        <f t="shared" si="6"/>
        <v>66</v>
      </c>
      <c r="K89" s="4">
        <f t="shared" si="7"/>
        <v>237</v>
      </c>
      <c r="L89" s="4">
        <f t="shared" si="8"/>
        <v>303</v>
      </c>
      <c r="M89" s="4">
        <f t="shared" si="9"/>
        <v>87</v>
      </c>
    </row>
    <row r="90" spans="2:13" ht="25.5" x14ac:dyDescent="0.2">
      <c r="B90" s="12" t="s">
        <v>309</v>
      </c>
      <c r="C90" s="12" t="s">
        <v>310</v>
      </c>
      <c r="D90" s="5" t="s">
        <v>2</v>
      </c>
      <c r="E90" s="5" t="s">
        <v>311</v>
      </c>
      <c r="F90" s="5" t="s">
        <v>53</v>
      </c>
      <c r="G90" s="5">
        <v>11.04</v>
      </c>
      <c r="H90" s="6">
        <f t="shared" si="5"/>
        <v>9.057971014492755E-2</v>
      </c>
      <c r="I90" s="6">
        <v>0.19689999999999999</v>
      </c>
      <c r="J90" s="4">
        <f t="shared" si="6"/>
        <v>101</v>
      </c>
      <c r="K90" s="4">
        <f t="shared" si="7"/>
        <v>202</v>
      </c>
      <c r="L90" s="4">
        <f t="shared" si="8"/>
        <v>303</v>
      </c>
      <c r="M90" s="4">
        <f t="shared" si="9"/>
        <v>87</v>
      </c>
    </row>
    <row r="91" spans="2:13" x14ac:dyDescent="0.2">
      <c r="B91" s="12" t="s">
        <v>764</v>
      </c>
      <c r="C91" s="12" t="s">
        <v>765</v>
      </c>
      <c r="D91" s="5" t="s">
        <v>2</v>
      </c>
      <c r="E91" s="5" t="s">
        <v>766</v>
      </c>
      <c r="F91" s="5" t="s">
        <v>28</v>
      </c>
      <c r="G91" s="5">
        <v>15.96</v>
      </c>
      <c r="H91" s="6">
        <f t="shared" si="5"/>
        <v>6.2656641604010022E-2</v>
      </c>
      <c r="I91" s="6">
        <v>0.35659999999999997</v>
      </c>
      <c r="J91" s="4">
        <f t="shared" si="6"/>
        <v>253</v>
      </c>
      <c r="K91" s="4">
        <f t="shared" si="7"/>
        <v>51</v>
      </c>
      <c r="L91" s="4">
        <f t="shared" si="8"/>
        <v>304</v>
      </c>
      <c r="M91" s="4">
        <f t="shared" si="9"/>
        <v>89</v>
      </c>
    </row>
    <row r="92" spans="2:13" ht="25.5" x14ac:dyDescent="0.2">
      <c r="B92" s="12" t="s">
        <v>785</v>
      </c>
      <c r="C92" s="12" t="s">
        <v>786</v>
      </c>
      <c r="D92" s="5" t="s">
        <v>2</v>
      </c>
      <c r="E92" s="5" t="s">
        <v>787</v>
      </c>
      <c r="F92" s="5" t="s">
        <v>53</v>
      </c>
      <c r="G92" s="5">
        <v>16.12</v>
      </c>
      <c r="H92" s="6">
        <f t="shared" si="5"/>
        <v>6.2034739454094288E-2</v>
      </c>
      <c r="I92" s="6">
        <v>0.38429999999999997</v>
      </c>
      <c r="J92" s="4">
        <f t="shared" si="6"/>
        <v>260</v>
      </c>
      <c r="K92" s="4">
        <f t="shared" si="7"/>
        <v>44</v>
      </c>
      <c r="L92" s="4">
        <f t="shared" si="8"/>
        <v>304</v>
      </c>
      <c r="M92" s="4">
        <f t="shared" si="9"/>
        <v>89</v>
      </c>
    </row>
    <row r="93" spans="2:13" ht="25.5" x14ac:dyDescent="0.2">
      <c r="B93" s="12" t="s">
        <v>509</v>
      </c>
      <c r="C93" s="12" t="s">
        <v>510</v>
      </c>
      <c r="D93" s="5" t="s">
        <v>2</v>
      </c>
      <c r="E93" s="5" t="s">
        <v>511</v>
      </c>
      <c r="F93" s="5" t="s">
        <v>87</v>
      </c>
      <c r="G93" s="5">
        <v>13.31</v>
      </c>
      <c r="H93" s="6">
        <f t="shared" si="5"/>
        <v>7.5131480090157771E-2</v>
      </c>
      <c r="I93" s="6">
        <v>0.2397</v>
      </c>
      <c r="J93" s="4">
        <f t="shared" si="6"/>
        <v>168</v>
      </c>
      <c r="K93" s="4">
        <f t="shared" si="7"/>
        <v>139</v>
      </c>
      <c r="L93" s="4">
        <f t="shared" si="8"/>
        <v>307</v>
      </c>
      <c r="M93" s="4">
        <f t="shared" si="9"/>
        <v>91</v>
      </c>
    </row>
    <row r="94" spans="2:13" x14ac:dyDescent="0.2">
      <c r="B94" s="12" t="s">
        <v>222</v>
      </c>
      <c r="C94" s="12" t="s">
        <v>223</v>
      </c>
      <c r="D94" s="5" t="s">
        <v>2</v>
      </c>
      <c r="E94" s="5" t="s">
        <v>224</v>
      </c>
      <c r="F94" s="5" t="s">
        <v>28</v>
      </c>
      <c r="G94" s="5">
        <v>9.4499999999999993</v>
      </c>
      <c r="H94" s="6">
        <f t="shared" si="5"/>
        <v>0.10582010582010583</v>
      </c>
      <c r="I94" s="6">
        <v>0.17549999999999999</v>
      </c>
      <c r="J94" s="4">
        <f t="shared" si="6"/>
        <v>72</v>
      </c>
      <c r="K94" s="4">
        <f t="shared" si="7"/>
        <v>242</v>
      </c>
      <c r="L94" s="4">
        <f t="shared" si="8"/>
        <v>314</v>
      </c>
      <c r="M94" s="4">
        <f t="shared" si="9"/>
        <v>92</v>
      </c>
    </row>
    <row r="95" spans="2:13" ht="25.5" x14ac:dyDescent="0.2">
      <c r="B95" s="12" t="s">
        <v>306</v>
      </c>
      <c r="C95" s="12" t="s">
        <v>307</v>
      </c>
      <c r="D95" s="5" t="s">
        <v>2</v>
      </c>
      <c r="E95" s="5" t="s">
        <v>308</v>
      </c>
      <c r="F95" s="5" t="s">
        <v>28</v>
      </c>
      <c r="G95" s="5">
        <v>11</v>
      </c>
      <c r="H95" s="6">
        <f t="shared" si="5"/>
        <v>9.0909090909090912E-2</v>
      </c>
      <c r="I95" s="6">
        <v>0.18990000000000001</v>
      </c>
      <c r="J95" s="4">
        <f t="shared" si="6"/>
        <v>100</v>
      </c>
      <c r="K95" s="4">
        <f t="shared" si="7"/>
        <v>215</v>
      </c>
      <c r="L95" s="4">
        <f t="shared" si="8"/>
        <v>315</v>
      </c>
      <c r="M95" s="4">
        <f t="shared" si="9"/>
        <v>93</v>
      </c>
    </row>
    <row r="96" spans="2:13" ht="25.5" x14ac:dyDescent="0.2">
      <c r="B96" s="12" t="s">
        <v>701</v>
      </c>
      <c r="C96" s="12" t="s">
        <v>702</v>
      </c>
      <c r="D96" s="5" t="s">
        <v>2</v>
      </c>
      <c r="E96" s="5" t="s">
        <v>703</v>
      </c>
      <c r="F96" s="5" t="s">
        <v>53</v>
      </c>
      <c r="G96" s="5">
        <v>15.58</v>
      </c>
      <c r="H96" s="6">
        <f t="shared" si="5"/>
        <v>6.4184852374839535E-2</v>
      </c>
      <c r="I96" s="6">
        <v>0.2883</v>
      </c>
      <c r="J96" s="4">
        <f t="shared" si="6"/>
        <v>232</v>
      </c>
      <c r="K96" s="4">
        <f t="shared" si="7"/>
        <v>85</v>
      </c>
      <c r="L96" s="4">
        <f t="shared" si="8"/>
        <v>317</v>
      </c>
      <c r="M96" s="4">
        <f t="shared" si="9"/>
        <v>94</v>
      </c>
    </row>
    <row r="97" spans="2:13" x14ac:dyDescent="0.2">
      <c r="B97" s="12" t="s">
        <v>863</v>
      </c>
      <c r="C97" s="12" t="s">
        <v>864</v>
      </c>
      <c r="D97" s="5" t="s">
        <v>2</v>
      </c>
      <c r="E97" s="5" t="s">
        <v>865</v>
      </c>
      <c r="F97" s="5" t="s">
        <v>28</v>
      </c>
      <c r="G97" s="5">
        <v>16.82</v>
      </c>
      <c r="H97" s="6">
        <f t="shared" si="5"/>
        <v>5.9453032104637336E-2</v>
      </c>
      <c r="I97" s="6">
        <v>0.40860000000000002</v>
      </c>
      <c r="J97" s="4">
        <f t="shared" si="6"/>
        <v>286</v>
      </c>
      <c r="K97" s="4">
        <f t="shared" si="7"/>
        <v>37</v>
      </c>
      <c r="L97" s="4">
        <f t="shared" si="8"/>
        <v>323</v>
      </c>
      <c r="M97" s="4">
        <f t="shared" si="9"/>
        <v>95</v>
      </c>
    </row>
    <row r="98" spans="2:13" ht="25.5" x14ac:dyDescent="0.2">
      <c r="B98" s="12" t="s">
        <v>776</v>
      </c>
      <c r="C98" s="12" t="s">
        <v>777</v>
      </c>
      <c r="D98" s="5" t="s">
        <v>2</v>
      </c>
      <c r="E98" s="5" t="s">
        <v>778</v>
      </c>
      <c r="F98" s="5" t="s">
        <v>87</v>
      </c>
      <c r="G98" s="5">
        <v>16</v>
      </c>
      <c r="H98" s="6">
        <f t="shared" si="5"/>
        <v>6.25E-2</v>
      </c>
      <c r="I98" s="6">
        <v>0.32369999999999999</v>
      </c>
      <c r="J98" s="4">
        <f t="shared" si="6"/>
        <v>257</v>
      </c>
      <c r="K98" s="4">
        <f t="shared" si="7"/>
        <v>67</v>
      </c>
      <c r="L98" s="4">
        <f t="shared" si="8"/>
        <v>324</v>
      </c>
      <c r="M98" s="4">
        <f t="shared" si="9"/>
        <v>96</v>
      </c>
    </row>
    <row r="99" spans="2:13" x14ac:dyDescent="0.2">
      <c r="B99" s="12" t="s">
        <v>110</v>
      </c>
      <c r="C99" s="12" t="s">
        <v>111</v>
      </c>
      <c r="D99" s="5" t="s">
        <v>2</v>
      </c>
      <c r="E99" s="5" t="s">
        <v>112</v>
      </c>
      <c r="F99" s="5" t="s">
        <v>8</v>
      </c>
      <c r="G99" s="5">
        <v>7.03</v>
      </c>
      <c r="H99" s="6">
        <f t="shared" si="5"/>
        <v>0.14224751066856328</v>
      </c>
      <c r="I99" s="6">
        <v>0.154</v>
      </c>
      <c r="J99" s="4">
        <f t="shared" si="6"/>
        <v>35</v>
      </c>
      <c r="K99" s="4">
        <f t="shared" si="7"/>
        <v>290</v>
      </c>
      <c r="L99" s="4">
        <f t="shared" si="8"/>
        <v>325</v>
      </c>
      <c r="M99" s="4">
        <f t="shared" si="9"/>
        <v>97</v>
      </c>
    </row>
    <row r="100" spans="2:13" x14ac:dyDescent="0.2">
      <c r="B100" s="12" t="s">
        <v>419</v>
      </c>
      <c r="C100" s="12" t="s">
        <v>420</v>
      </c>
      <c r="D100" s="5" t="s">
        <v>2</v>
      </c>
      <c r="E100" s="5" t="s">
        <v>421</v>
      </c>
      <c r="F100" s="5" t="s">
        <v>8</v>
      </c>
      <c r="G100" s="5">
        <v>12.34</v>
      </c>
      <c r="H100" s="6">
        <f t="shared" si="5"/>
        <v>8.1037277147487846E-2</v>
      </c>
      <c r="I100" s="6">
        <v>0.20230000000000001</v>
      </c>
      <c r="J100" s="4">
        <f t="shared" si="6"/>
        <v>138</v>
      </c>
      <c r="K100" s="4">
        <f t="shared" si="7"/>
        <v>187</v>
      </c>
      <c r="L100" s="4">
        <f t="shared" si="8"/>
        <v>325</v>
      </c>
      <c r="M100" s="4">
        <f t="shared" si="9"/>
        <v>97</v>
      </c>
    </row>
    <row r="101" spans="2:13" x14ac:dyDescent="0.2">
      <c r="B101" s="12" t="s">
        <v>779</v>
      </c>
      <c r="C101" s="12" t="s">
        <v>780</v>
      </c>
      <c r="D101" s="5" t="s">
        <v>2</v>
      </c>
      <c r="E101" s="5" t="s">
        <v>781</v>
      </c>
      <c r="F101" s="5" t="s">
        <v>28</v>
      </c>
      <c r="G101" s="5">
        <v>16.03</v>
      </c>
      <c r="H101" s="6">
        <f t="shared" si="5"/>
        <v>6.238303181534622E-2</v>
      </c>
      <c r="I101" s="6">
        <v>0.32269999999999999</v>
      </c>
      <c r="J101" s="4">
        <f t="shared" si="6"/>
        <v>258</v>
      </c>
      <c r="K101" s="4">
        <f t="shared" si="7"/>
        <v>68</v>
      </c>
      <c r="L101" s="4">
        <f t="shared" si="8"/>
        <v>326</v>
      </c>
      <c r="M101" s="4">
        <f t="shared" si="9"/>
        <v>99</v>
      </c>
    </row>
    <row r="102" spans="2:13" x14ac:dyDescent="0.2">
      <c r="B102" s="12" t="s">
        <v>162</v>
      </c>
      <c r="C102" s="12" t="s">
        <v>163</v>
      </c>
      <c r="D102" s="5" t="s">
        <v>2</v>
      </c>
      <c r="E102" s="5" t="s">
        <v>164</v>
      </c>
      <c r="F102" s="5" t="s">
        <v>18</v>
      </c>
      <c r="G102" s="5">
        <v>8.44</v>
      </c>
      <c r="H102" s="6">
        <f t="shared" si="5"/>
        <v>0.11848341232227488</v>
      </c>
      <c r="I102" s="6">
        <v>0.15709999999999999</v>
      </c>
      <c r="J102" s="4">
        <f t="shared" si="6"/>
        <v>52</v>
      </c>
      <c r="K102" s="4">
        <f t="shared" si="7"/>
        <v>279</v>
      </c>
      <c r="L102" s="4">
        <f t="shared" si="8"/>
        <v>331</v>
      </c>
      <c r="M102" s="4">
        <f t="shared" si="9"/>
        <v>100</v>
      </c>
    </row>
    <row r="103" spans="2:13" ht="25.5" x14ac:dyDescent="0.2">
      <c r="B103" s="12" t="s">
        <v>413</v>
      </c>
      <c r="C103" s="12" t="s">
        <v>414</v>
      </c>
      <c r="D103" s="5" t="s">
        <v>2</v>
      </c>
      <c r="E103" s="5" t="s">
        <v>415</v>
      </c>
      <c r="F103" s="5" t="s">
        <v>87</v>
      </c>
      <c r="G103" s="5">
        <v>12.28</v>
      </c>
      <c r="H103" s="6">
        <f t="shared" si="5"/>
        <v>8.1433224755700334E-2</v>
      </c>
      <c r="I103" s="6">
        <v>0.20019999999999999</v>
      </c>
      <c r="J103" s="4">
        <f t="shared" si="6"/>
        <v>136</v>
      </c>
      <c r="K103" s="4">
        <f t="shared" si="7"/>
        <v>195</v>
      </c>
      <c r="L103" s="4">
        <f t="shared" si="8"/>
        <v>331</v>
      </c>
      <c r="M103" s="4">
        <f t="shared" si="9"/>
        <v>100</v>
      </c>
    </row>
    <row r="104" spans="2:13" x14ac:dyDescent="0.2">
      <c r="B104" s="12" t="s">
        <v>207</v>
      </c>
      <c r="C104" s="12" t="s">
        <v>208</v>
      </c>
      <c r="D104" s="5" t="s">
        <v>2</v>
      </c>
      <c r="E104" s="5" t="s">
        <v>209</v>
      </c>
      <c r="F104" s="5" t="s">
        <v>18</v>
      </c>
      <c r="G104" s="5">
        <v>9.25</v>
      </c>
      <c r="H104" s="6">
        <f t="shared" si="5"/>
        <v>0.10810810810810811</v>
      </c>
      <c r="I104" s="6">
        <v>0.1648</v>
      </c>
      <c r="J104" s="4">
        <f t="shared" si="6"/>
        <v>67</v>
      </c>
      <c r="K104" s="4">
        <f t="shared" si="7"/>
        <v>267</v>
      </c>
      <c r="L104" s="4">
        <f t="shared" si="8"/>
        <v>334</v>
      </c>
      <c r="M104" s="4">
        <f t="shared" si="9"/>
        <v>102</v>
      </c>
    </row>
    <row r="105" spans="2:13" ht="25.5" x14ac:dyDescent="0.2">
      <c r="B105" s="12" t="s">
        <v>914</v>
      </c>
      <c r="C105" s="12" t="s">
        <v>915</v>
      </c>
      <c r="D105" s="5" t="s">
        <v>2</v>
      </c>
      <c r="E105" s="5" t="s">
        <v>916</v>
      </c>
      <c r="F105" s="5" t="s">
        <v>53</v>
      </c>
      <c r="G105" s="5">
        <v>17.440000000000001</v>
      </c>
      <c r="H105" s="6">
        <f t="shared" si="5"/>
        <v>5.73394495412844E-2</v>
      </c>
      <c r="I105" s="6">
        <v>0.4335</v>
      </c>
      <c r="J105" s="4">
        <f t="shared" si="6"/>
        <v>303</v>
      </c>
      <c r="K105" s="4">
        <f t="shared" si="7"/>
        <v>32</v>
      </c>
      <c r="L105" s="4">
        <f t="shared" si="8"/>
        <v>335</v>
      </c>
      <c r="M105" s="4">
        <f t="shared" si="9"/>
        <v>103</v>
      </c>
    </row>
    <row r="106" spans="2:13" ht="25.5" x14ac:dyDescent="0.2">
      <c r="B106" s="12" t="s">
        <v>476</v>
      </c>
      <c r="C106" s="12" t="s">
        <v>477</v>
      </c>
      <c r="D106" s="5" t="s">
        <v>2</v>
      </c>
      <c r="E106" s="5" t="s">
        <v>478</v>
      </c>
      <c r="F106" s="5" t="s">
        <v>53</v>
      </c>
      <c r="G106" s="5">
        <v>13.03</v>
      </c>
      <c r="H106" s="6">
        <f t="shared" si="5"/>
        <v>7.6745970836531091E-2</v>
      </c>
      <c r="I106" s="6">
        <v>0.20530000000000001</v>
      </c>
      <c r="J106" s="4">
        <f t="shared" si="6"/>
        <v>157</v>
      </c>
      <c r="K106" s="4">
        <f t="shared" si="7"/>
        <v>179</v>
      </c>
      <c r="L106" s="4">
        <f t="shared" si="8"/>
        <v>336</v>
      </c>
      <c r="M106" s="4">
        <f t="shared" si="9"/>
        <v>104</v>
      </c>
    </row>
    <row r="107" spans="2:13" x14ac:dyDescent="0.2">
      <c r="B107" s="12" t="s">
        <v>255</v>
      </c>
      <c r="C107" s="12" t="s">
        <v>256</v>
      </c>
      <c r="D107" s="5" t="s">
        <v>2</v>
      </c>
      <c r="E107" s="5" t="s">
        <v>257</v>
      </c>
      <c r="F107" s="5" t="s">
        <v>28</v>
      </c>
      <c r="G107" s="5">
        <v>10.07</v>
      </c>
      <c r="H107" s="6">
        <f t="shared" si="5"/>
        <v>9.9304865938430978E-2</v>
      </c>
      <c r="I107" s="6">
        <v>0.16830000000000001</v>
      </c>
      <c r="J107" s="4">
        <f t="shared" si="6"/>
        <v>83</v>
      </c>
      <c r="K107" s="4">
        <f t="shared" si="7"/>
        <v>257</v>
      </c>
      <c r="L107" s="4">
        <f t="shared" si="8"/>
        <v>340</v>
      </c>
      <c r="M107" s="4">
        <f t="shared" si="9"/>
        <v>105</v>
      </c>
    </row>
    <row r="108" spans="2:13" x14ac:dyDescent="0.2">
      <c r="B108" s="12" t="s">
        <v>389</v>
      </c>
      <c r="C108" s="12" t="s">
        <v>390</v>
      </c>
      <c r="D108" s="5" t="s">
        <v>2</v>
      </c>
      <c r="E108" s="5" t="s">
        <v>391</v>
      </c>
      <c r="F108" s="5" t="s">
        <v>28</v>
      </c>
      <c r="G108" s="5">
        <v>11.96</v>
      </c>
      <c r="H108" s="6">
        <f t="shared" si="5"/>
        <v>8.3612040133779264E-2</v>
      </c>
      <c r="I108" s="6">
        <v>0.19189999999999999</v>
      </c>
      <c r="J108" s="4">
        <f t="shared" si="6"/>
        <v>128</v>
      </c>
      <c r="K108" s="4">
        <f t="shared" si="7"/>
        <v>213</v>
      </c>
      <c r="L108" s="4">
        <f t="shared" si="8"/>
        <v>341</v>
      </c>
      <c r="M108" s="4">
        <f t="shared" si="9"/>
        <v>106</v>
      </c>
    </row>
    <row r="109" spans="2:13" x14ac:dyDescent="0.2">
      <c r="B109" s="12" t="s">
        <v>312</v>
      </c>
      <c r="C109" s="12" t="s">
        <v>313</v>
      </c>
      <c r="D109" s="5" t="s">
        <v>2</v>
      </c>
      <c r="E109" s="5" t="s">
        <v>314</v>
      </c>
      <c r="F109" s="5" t="s">
        <v>28</v>
      </c>
      <c r="G109" s="5">
        <v>11.14</v>
      </c>
      <c r="H109" s="6">
        <f t="shared" si="5"/>
        <v>8.9766606822262118E-2</v>
      </c>
      <c r="I109" s="6">
        <v>0.17699999999999999</v>
      </c>
      <c r="J109" s="4">
        <f t="shared" si="6"/>
        <v>102</v>
      </c>
      <c r="K109" s="4">
        <f t="shared" si="7"/>
        <v>240</v>
      </c>
      <c r="L109" s="4">
        <f t="shared" si="8"/>
        <v>342</v>
      </c>
      <c r="M109" s="4">
        <f t="shared" si="9"/>
        <v>107</v>
      </c>
    </row>
    <row r="110" spans="2:13" x14ac:dyDescent="0.2">
      <c r="B110" s="12" t="s">
        <v>758</v>
      </c>
      <c r="C110" s="12" t="s">
        <v>759</v>
      </c>
      <c r="D110" s="5" t="s">
        <v>2</v>
      </c>
      <c r="E110" s="5" t="s">
        <v>760</v>
      </c>
      <c r="F110" s="5" t="s">
        <v>91</v>
      </c>
      <c r="G110" s="5">
        <v>15.94</v>
      </c>
      <c r="H110" s="6">
        <f t="shared" si="5"/>
        <v>6.2735257214554585E-2</v>
      </c>
      <c r="I110" s="6">
        <v>0.28170000000000001</v>
      </c>
      <c r="J110" s="4">
        <f t="shared" si="6"/>
        <v>251</v>
      </c>
      <c r="K110" s="4">
        <f t="shared" si="7"/>
        <v>91</v>
      </c>
      <c r="L110" s="4">
        <f t="shared" si="8"/>
        <v>342</v>
      </c>
      <c r="M110" s="4">
        <f t="shared" si="9"/>
        <v>107</v>
      </c>
    </row>
    <row r="111" spans="2:13" ht="25.5" x14ac:dyDescent="0.2">
      <c r="B111" s="12" t="s">
        <v>680</v>
      </c>
      <c r="C111" s="12" t="s">
        <v>681</v>
      </c>
      <c r="D111" s="5" t="s">
        <v>2</v>
      </c>
      <c r="E111" s="5" t="s">
        <v>682</v>
      </c>
      <c r="F111" s="5" t="s">
        <v>53</v>
      </c>
      <c r="G111" s="5">
        <v>15.28</v>
      </c>
      <c r="H111" s="6">
        <f t="shared" si="5"/>
        <v>6.5445026178010471E-2</v>
      </c>
      <c r="I111" s="6">
        <v>0.25590000000000002</v>
      </c>
      <c r="J111" s="4">
        <f t="shared" si="6"/>
        <v>224</v>
      </c>
      <c r="K111" s="4">
        <f t="shared" si="7"/>
        <v>119</v>
      </c>
      <c r="L111" s="4">
        <f t="shared" si="8"/>
        <v>343</v>
      </c>
      <c r="M111" s="4">
        <f t="shared" si="9"/>
        <v>109</v>
      </c>
    </row>
    <row r="112" spans="2:13" x14ac:dyDescent="0.2">
      <c r="B112" s="12" t="s">
        <v>566</v>
      </c>
      <c r="C112" s="12" t="s">
        <v>567</v>
      </c>
      <c r="D112" s="5" t="s">
        <v>2</v>
      </c>
      <c r="E112" s="5" t="s">
        <v>568</v>
      </c>
      <c r="F112" s="5" t="s">
        <v>28</v>
      </c>
      <c r="G112" s="5">
        <v>14.04</v>
      </c>
      <c r="H112" s="6">
        <f t="shared" si="5"/>
        <v>7.1225071225071226E-2</v>
      </c>
      <c r="I112" s="6">
        <v>0.22520000000000001</v>
      </c>
      <c r="J112" s="4">
        <f t="shared" si="6"/>
        <v>187</v>
      </c>
      <c r="K112" s="4">
        <f t="shared" si="7"/>
        <v>157</v>
      </c>
      <c r="L112" s="4">
        <f t="shared" si="8"/>
        <v>344</v>
      </c>
      <c r="M112" s="4">
        <f t="shared" si="9"/>
        <v>110</v>
      </c>
    </row>
    <row r="113" spans="2:13" ht="25.5" x14ac:dyDescent="0.2">
      <c r="B113" s="12" t="s">
        <v>875</v>
      </c>
      <c r="C113" s="12" t="s">
        <v>876</v>
      </c>
      <c r="D113" s="5" t="s">
        <v>2</v>
      </c>
      <c r="E113" s="5" t="s">
        <v>877</v>
      </c>
      <c r="F113" s="5" t="s">
        <v>87</v>
      </c>
      <c r="G113" s="5">
        <v>16.989999999999998</v>
      </c>
      <c r="H113" s="6">
        <f t="shared" si="5"/>
        <v>5.8858151854031787E-2</v>
      </c>
      <c r="I113" s="6">
        <v>0.3493</v>
      </c>
      <c r="J113" s="4">
        <f t="shared" si="6"/>
        <v>290</v>
      </c>
      <c r="K113" s="4">
        <f t="shared" si="7"/>
        <v>56</v>
      </c>
      <c r="L113" s="4">
        <f t="shared" si="8"/>
        <v>346</v>
      </c>
      <c r="M113" s="4">
        <f t="shared" si="9"/>
        <v>111</v>
      </c>
    </row>
    <row r="114" spans="2:13" ht="25.5" x14ac:dyDescent="0.2">
      <c r="B114" s="12" t="s">
        <v>288</v>
      </c>
      <c r="C114" s="12" t="s">
        <v>289</v>
      </c>
      <c r="D114" s="5" t="s">
        <v>2</v>
      </c>
      <c r="E114" s="5" t="s">
        <v>290</v>
      </c>
      <c r="F114" s="5" t="s">
        <v>122</v>
      </c>
      <c r="G114" s="5">
        <v>10.65</v>
      </c>
      <c r="H114" s="6">
        <f t="shared" si="5"/>
        <v>9.3896713615023469E-2</v>
      </c>
      <c r="I114" s="6">
        <v>0.16830000000000001</v>
      </c>
      <c r="J114" s="4">
        <f t="shared" si="6"/>
        <v>94</v>
      </c>
      <c r="K114" s="4">
        <f t="shared" si="7"/>
        <v>257</v>
      </c>
      <c r="L114" s="4">
        <f t="shared" si="8"/>
        <v>351</v>
      </c>
      <c r="M114" s="4">
        <f t="shared" si="9"/>
        <v>112</v>
      </c>
    </row>
    <row r="115" spans="2:13" x14ac:dyDescent="0.2">
      <c r="B115" s="12" t="s">
        <v>752</v>
      </c>
      <c r="C115" s="12" t="s">
        <v>753</v>
      </c>
      <c r="D115" s="5" t="s">
        <v>2</v>
      </c>
      <c r="E115" s="5" t="s">
        <v>754</v>
      </c>
      <c r="F115" s="5" t="s">
        <v>28</v>
      </c>
      <c r="G115" s="5">
        <v>15.89</v>
      </c>
      <c r="H115" s="6">
        <f t="shared" si="5"/>
        <v>6.2932662051604776E-2</v>
      </c>
      <c r="I115" s="6">
        <v>0.27139999999999997</v>
      </c>
      <c r="J115" s="4">
        <f t="shared" si="6"/>
        <v>249</v>
      </c>
      <c r="K115" s="4">
        <f t="shared" si="7"/>
        <v>104</v>
      </c>
      <c r="L115" s="4">
        <f t="shared" si="8"/>
        <v>353</v>
      </c>
      <c r="M115" s="4">
        <f t="shared" si="9"/>
        <v>113</v>
      </c>
    </row>
    <row r="116" spans="2:13" ht="25.5" x14ac:dyDescent="0.2">
      <c r="B116" s="12" t="s">
        <v>857</v>
      </c>
      <c r="C116" s="12" t="s">
        <v>858</v>
      </c>
      <c r="D116" s="5" t="s">
        <v>2</v>
      </c>
      <c r="E116" s="5" t="s">
        <v>859</v>
      </c>
      <c r="F116" s="5" t="s">
        <v>87</v>
      </c>
      <c r="G116" s="5">
        <v>16.739999999999998</v>
      </c>
      <c r="H116" s="6">
        <f t="shared" si="5"/>
        <v>5.9737156511350066E-2</v>
      </c>
      <c r="I116" s="6">
        <v>0.32169999999999999</v>
      </c>
      <c r="J116" s="4">
        <f t="shared" si="6"/>
        <v>284</v>
      </c>
      <c r="K116" s="4">
        <f t="shared" si="7"/>
        <v>71</v>
      </c>
      <c r="L116" s="4">
        <f t="shared" si="8"/>
        <v>355</v>
      </c>
      <c r="M116" s="4">
        <f t="shared" si="9"/>
        <v>114</v>
      </c>
    </row>
    <row r="117" spans="2:13" ht="25.5" x14ac:dyDescent="0.2">
      <c r="B117" s="12" t="s">
        <v>728</v>
      </c>
      <c r="C117" s="12" t="s">
        <v>729</v>
      </c>
      <c r="D117" s="5" t="s">
        <v>2</v>
      </c>
      <c r="E117" s="5" t="s">
        <v>730</v>
      </c>
      <c r="F117" s="5" t="s">
        <v>87</v>
      </c>
      <c r="G117" s="5">
        <v>15.74</v>
      </c>
      <c r="H117" s="6">
        <f t="shared" si="5"/>
        <v>6.353240152477764E-2</v>
      </c>
      <c r="I117" s="6">
        <v>0.26390000000000002</v>
      </c>
      <c r="J117" s="4">
        <f t="shared" si="6"/>
        <v>241</v>
      </c>
      <c r="K117" s="4">
        <f t="shared" si="7"/>
        <v>115</v>
      </c>
      <c r="L117" s="4">
        <f t="shared" si="8"/>
        <v>356</v>
      </c>
      <c r="M117" s="4">
        <f t="shared" si="9"/>
        <v>115</v>
      </c>
    </row>
    <row r="118" spans="2:13" x14ac:dyDescent="0.2">
      <c r="B118" s="12" t="s">
        <v>704</v>
      </c>
      <c r="C118" s="12" t="s">
        <v>705</v>
      </c>
      <c r="D118" s="5" t="s">
        <v>2</v>
      </c>
      <c r="E118" s="5" t="s">
        <v>706</v>
      </c>
      <c r="F118" s="5" t="s">
        <v>28</v>
      </c>
      <c r="G118" s="5">
        <v>15.59</v>
      </c>
      <c r="H118" s="6">
        <f t="shared" si="5"/>
        <v>6.4143681847338041E-2</v>
      </c>
      <c r="I118" s="6">
        <v>0.25340000000000001</v>
      </c>
      <c r="J118" s="4">
        <f t="shared" si="6"/>
        <v>233</v>
      </c>
      <c r="K118" s="4">
        <f t="shared" si="7"/>
        <v>124</v>
      </c>
      <c r="L118" s="4">
        <f t="shared" si="8"/>
        <v>357</v>
      </c>
      <c r="M118" s="4">
        <f t="shared" si="9"/>
        <v>116</v>
      </c>
    </row>
    <row r="119" spans="2:13" x14ac:dyDescent="0.2">
      <c r="B119" s="12" t="s">
        <v>1064</v>
      </c>
      <c r="C119" s="12" t="s">
        <v>1065</v>
      </c>
      <c r="D119" s="5" t="s">
        <v>2</v>
      </c>
      <c r="E119" s="5" t="s">
        <v>1066</v>
      </c>
      <c r="F119" s="5" t="s">
        <v>28</v>
      </c>
      <c r="G119" s="5">
        <v>19.59</v>
      </c>
      <c r="H119" s="6">
        <f t="shared" si="5"/>
        <v>5.1046452271567129E-2</v>
      </c>
      <c r="I119" s="6">
        <v>0.6532</v>
      </c>
      <c r="J119" s="4">
        <f t="shared" si="6"/>
        <v>353</v>
      </c>
      <c r="K119" s="4">
        <f t="shared" si="7"/>
        <v>5</v>
      </c>
      <c r="L119" s="4">
        <f t="shared" si="8"/>
        <v>358</v>
      </c>
      <c r="M119" s="4">
        <f t="shared" si="9"/>
        <v>117</v>
      </c>
    </row>
    <row r="120" spans="2:13" x14ac:dyDescent="0.2">
      <c r="B120" s="12" t="s">
        <v>860</v>
      </c>
      <c r="C120" s="12" t="s">
        <v>861</v>
      </c>
      <c r="D120" s="5" t="s">
        <v>2</v>
      </c>
      <c r="E120" s="5" t="s">
        <v>862</v>
      </c>
      <c r="F120" s="5" t="s">
        <v>91</v>
      </c>
      <c r="G120" s="5">
        <v>16.75</v>
      </c>
      <c r="H120" s="6">
        <f t="shared" si="5"/>
        <v>5.9701492537313432E-2</v>
      </c>
      <c r="I120" s="6">
        <v>0.30919999999999997</v>
      </c>
      <c r="J120" s="4">
        <f t="shared" si="6"/>
        <v>285</v>
      </c>
      <c r="K120" s="4">
        <f t="shared" si="7"/>
        <v>77</v>
      </c>
      <c r="L120" s="4">
        <f t="shared" si="8"/>
        <v>362</v>
      </c>
      <c r="M120" s="4">
        <f t="shared" si="9"/>
        <v>118</v>
      </c>
    </row>
    <row r="121" spans="2:13" ht="25.5" x14ac:dyDescent="0.2">
      <c r="B121" s="12" t="s">
        <v>1016</v>
      </c>
      <c r="C121" s="12" t="s">
        <v>1017</v>
      </c>
      <c r="D121" s="5" t="s">
        <v>2</v>
      </c>
      <c r="E121" s="5" t="s">
        <v>1018</v>
      </c>
      <c r="F121" s="5" t="s">
        <v>53</v>
      </c>
      <c r="G121" s="5">
        <v>18.87</v>
      </c>
      <c r="H121" s="6">
        <f t="shared" si="5"/>
        <v>5.2994170641229459E-2</v>
      </c>
      <c r="I121" s="6">
        <v>0.45119999999999999</v>
      </c>
      <c r="J121" s="4">
        <f t="shared" si="6"/>
        <v>337</v>
      </c>
      <c r="K121" s="4">
        <f t="shared" si="7"/>
        <v>26</v>
      </c>
      <c r="L121" s="4">
        <f t="shared" si="8"/>
        <v>363</v>
      </c>
      <c r="M121" s="4">
        <f t="shared" si="9"/>
        <v>119</v>
      </c>
    </row>
    <row r="122" spans="2:13" x14ac:dyDescent="0.2">
      <c r="B122" s="12" t="s">
        <v>261</v>
      </c>
      <c r="C122" s="12" t="s">
        <v>262</v>
      </c>
      <c r="D122" s="5" t="s">
        <v>2</v>
      </c>
      <c r="E122" s="5" t="s">
        <v>263</v>
      </c>
      <c r="F122" s="5" t="s">
        <v>91</v>
      </c>
      <c r="G122" s="5">
        <v>10.09</v>
      </c>
      <c r="H122" s="6">
        <f t="shared" si="5"/>
        <v>9.9108027750247768E-2</v>
      </c>
      <c r="I122" s="6">
        <v>0.15709999999999999</v>
      </c>
      <c r="J122" s="4">
        <f t="shared" si="6"/>
        <v>85</v>
      </c>
      <c r="K122" s="4">
        <f t="shared" si="7"/>
        <v>279</v>
      </c>
      <c r="L122" s="4">
        <f t="shared" si="8"/>
        <v>364</v>
      </c>
      <c r="M122" s="4">
        <f t="shared" si="9"/>
        <v>120</v>
      </c>
    </row>
    <row r="123" spans="2:13" x14ac:dyDescent="0.2">
      <c r="B123" s="12" t="s">
        <v>437</v>
      </c>
      <c r="C123" s="12" t="s">
        <v>438</v>
      </c>
      <c r="D123" s="5" t="s">
        <v>2</v>
      </c>
      <c r="E123" s="5" t="s">
        <v>439</v>
      </c>
      <c r="F123" s="5" t="s">
        <v>28</v>
      </c>
      <c r="G123" s="5">
        <v>12.44</v>
      </c>
      <c r="H123" s="6">
        <f t="shared" si="5"/>
        <v>8.0385852090032156E-2</v>
      </c>
      <c r="I123" s="6">
        <v>0.18579999999999999</v>
      </c>
      <c r="J123" s="4">
        <f t="shared" si="6"/>
        <v>144</v>
      </c>
      <c r="K123" s="4">
        <f t="shared" si="7"/>
        <v>221</v>
      </c>
      <c r="L123" s="4">
        <f t="shared" si="8"/>
        <v>365</v>
      </c>
      <c r="M123" s="4">
        <f t="shared" si="9"/>
        <v>121</v>
      </c>
    </row>
    <row r="124" spans="2:13" x14ac:dyDescent="0.2">
      <c r="B124" s="12" t="s">
        <v>695</v>
      </c>
      <c r="C124" s="12" t="s">
        <v>696</v>
      </c>
      <c r="D124" s="5" t="s">
        <v>2</v>
      </c>
      <c r="E124" s="5" t="s">
        <v>697</v>
      </c>
      <c r="F124" s="5" t="s">
        <v>28</v>
      </c>
      <c r="G124" s="5">
        <v>15.51</v>
      </c>
      <c r="H124" s="6">
        <f t="shared" si="5"/>
        <v>6.4474532559638947E-2</v>
      </c>
      <c r="I124" s="6">
        <v>0.2407</v>
      </c>
      <c r="J124" s="4">
        <f t="shared" si="6"/>
        <v>230</v>
      </c>
      <c r="K124" s="4">
        <f t="shared" si="7"/>
        <v>137</v>
      </c>
      <c r="L124" s="4">
        <f t="shared" si="8"/>
        <v>367</v>
      </c>
      <c r="M124" s="4">
        <f t="shared" si="9"/>
        <v>122</v>
      </c>
    </row>
    <row r="125" spans="2:13" x14ac:dyDescent="0.2">
      <c r="B125" s="12" t="s">
        <v>126</v>
      </c>
      <c r="C125" s="12" t="s">
        <v>127</v>
      </c>
      <c r="D125" s="5" t="s">
        <v>2</v>
      </c>
      <c r="E125" s="5" t="s">
        <v>128</v>
      </c>
      <c r="F125" s="5" t="s">
        <v>8</v>
      </c>
      <c r="G125" s="5">
        <v>7.56</v>
      </c>
      <c r="H125" s="6">
        <f t="shared" si="5"/>
        <v>0.1322751322751323</v>
      </c>
      <c r="I125" s="6">
        <v>0.1396</v>
      </c>
      <c r="J125" s="4">
        <f t="shared" si="6"/>
        <v>40</v>
      </c>
      <c r="K125" s="4">
        <f t="shared" si="7"/>
        <v>329</v>
      </c>
      <c r="L125" s="4">
        <f t="shared" si="8"/>
        <v>369</v>
      </c>
      <c r="M125" s="4">
        <f t="shared" si="9"/>
        <v>123</v>
      </c>
    </row>
    <row r="126" spans="2:13" x14ac:dyDescent="0.2">
      <c r="B126" s="12" t="s">
        <v>174</v>
      </c>
      <c r="C126" s="12" t="s">
        <v>175</v>
      </c>
      <c r="D126" s="5" t="s">
        <v>2</v>
      </c>
      <c r="E126" s="5" t="s">
        <v>176</v>
      </c>
      <c r="F126" s="5" t="s">
        <v>8</v>
      </c>
      <c r="G126" s="5">
        <v>8.59</v>
      </c>
      <c r="H126" s="6">
        <f t="shared" si="5"/>
        <v>0.11641443538998836</v>
      </c>
      <c r="I126" s="6">
        <v>0.1449</v>
      </c>
      <c r="J126" s="4">
        <f t="shared" si="6"/>
        <v>56</v>
      </c>
      <c r="K126" s="4">
        <f t="shared" si="7"/>
        <v>314</v>
      </c>
      <c r="L126" s="4">
        <f t="shared" si="8"/>
        <v>370</v>
      </c>
      <c r="M126" s="4">
        <f t="shared" si="9"/>
        <v>124</v>
      </c>
    </row>
    <row r="127" spans="2:13" x14ac:dyDescent="0.2">
      <c r="B127" s="12" t="s">
        <v>473</v>
      </c>
      <c r="C127" s="12" t="s">
        <v>474</v>
      </c>
      <c r="D127" s="5" t="s">
        <v>2</v>
      </c>
      <c r="E127" s="5" t="s">
        <v>475</v>
      </c>
      <c r="F127" s="5" t="s">
        <v>4</v>
      </c>
      <c r="G127" s="5">
        <v>12.96</v>
      </c>
      <c r="H127" s="6">
        <f t="shared" si="5"/>
        <v>7.716049382716049E-2</v>
      </c>
      <c r="I127" s="6">
        <v>0.18709999999999999</v>
      </c>
      <c r="J127" s="4">
        <f t="shared" si="6"/>
        <v>155</v>
      </c>
      <c r="K127" s="4">
        <f t="shared" si="7"/>
        <v>216</v>
      </c>
      <c r="L127" s="4">
        <f t="shared" si="8"/>
        <v>371</v>
      </c>
      <c r="M127" s="4">
        <f t="shared" si="9"/>
        <v>125</v>
      </c>
    </row>
    <row r="128" spans="2:13" x14ac:dyDescent="0.2">
      <c r="B128" s="12" t="s">
        <v>216</v>
      </c>
      <c r="C128" s="12" t="s">
        <v>217</v>
      </c>
      <c r="D128" s="5" t="s">
        <v>2</v>
      </c>
      <c r="E128" s="5" t="s">
        <v>218</v>
      </c>
      <c r="F128" s="5" t="s">
        <v>8</v>
      </c>
      <c r="G128" s="5">
        <v>9.2899999999999991</v>
      </c>
      <c r="H128" s="6">
        <f t="shared" si="5"/>
        <v>0.10764262648008613</v>
      </c>
      <c r="I128" s="6">
        <v>0.15010000000000001</v>
      </c>
      <c r="J128" s="4">
        <f t="shared" si="6"/>
        <v>70</v>
      </c>
      <c r="K128" s="4">
        <f t="shared" si="7"/>
        <v>302</v>
      </c>
      <c r="L128" s="4">
        <f t="shared" si="8"/>
        <v>372</v>
      </c>
      <c r="M128" s="4">
        <f t="shared" si="9"/>
        <v>126</v>
      </c>
    </row>
    <row r="129" spans="2:13" x14ac:dyDescent="0.2">
      <c r="B129" s="12" t="s">
        <v>201</v>
      </c>
      <c r="C129" s="12" t="s">
        <v>202</v>
      </c>
      <c r="D129" s="5" t="s">
        <v>2</v>
      </c>
      <c r="E129" s="5" t="s">
        <v>203</v>
      </c>
      <c r="F129" s="5" t="s">
        <v>28</v>
      </c>
      <c r="G129" s="5">
        <v>9.0500000000000007</v>
      </c>
      <c r="H129" s="6">
        <f t="shared" si="5"/>
        <v>0.11049723756906077</v>
      </c>
      <c r="I129" s="6">
        <v>0.1467</v>
      </c>
      <c r="J129" s="4">
        <f t="shared" si="6"/>
        <v>65</v>
      </c>
      <c r="K129" s="4">
        <f t="shared" si="7"/>
        <v>308</v>
      </c>
      <c r="L129" s="4">
        <f t="shared" si="8"/>
        <v>373</v>
      </c>
      <c r="M129" s="4">
        <f t="shared" si="9"/>
        <v>127</v>
      </c>
    </row>
    <row r="130" spans="2:13" x14ac:dyDescent="0.2">
      <c r="B130" s="12" t="s">
        <v>383</v>
      </c>
      <c r="C130" s="12" t="s">
        <v>384</v>
      </c>
      <c r="D130" s="5" t="s">
        <v>2</v>
      </c>
      <c r="E130" s="5" t="s">
        <v>385</v>
      </c>
      <c r="F130" s="5" t="s">
        <v>28</v>
      </c>
      <c r="G130" s="5">
        <v>11.88</v>
      </c>
      <c r="H130" s="6">
        <f t="shared" si="5"/>
        <v>8.4175084175084167E-2</v>
      </c>
      <c r="I130" s="6">
        <v>0.1729</v>
      </c>
      <c r="J130" s="4">
        <f t="shared" si="6"/>
        <v>126</v>
      </c>
      <c r="K130" s="4">
        <f t="shared" si="7"/>
        <v>248</v>
      </c>
      <c r="L130" s="4">
        <f t="shared" si="8"/>
        <v>374</v>
      </c>
      <c r="M130" s="4">
        <f t="shared" si="9"/>
        <v>128</v>
      </c>
    </row>
    <row r="131" spans="2:13" x14ac:dyDescent="0.2">
      <c r="B131" s="12" t="s">
        <v>905</v>
      </c>
      <c r="C131" s="12" t="s">
        <v>906</v>
      </c>
      <c r="D131" s="5" t="s">
        <v>2</v>
      </c>
      <c r="E131" s="5" t="s">
        <v>907</v>
      </c>
      <c r="F131" s="5" t="s">
        <v>4</v>
      </c>
      <c r="G131" s="5">
        <v>17.36</v>
      </c>
      <c r="H131" s="6">
        <f t="shared" ref="H131:H194" si="10">1/G131</f>
        <v>5.7603686635944701E-2</v>
      </c>
      <c r="I131" s="6">
        <v>0.30830000000000002</v>
      </c>
      <c r="J131" s="4">
        <f t="shared" ref="J131:J194" si="11">+_xlfn.RANK.EQ(H131,H:H,0)</f>
        <v>300</v>
      </c>
      <c r="K131" s="4">
        <f t="shared" ref="K131:K194" si="12">+_xlfn.RANK.EQ(I131,I:I,0)</f>
        <v>78</v>
      </c>
      <c r="L131" s="4">
        <f t="shared" ref="L131:L194" si="13">+J131+K131</f>
        <v>378</v>
      </c>
      <c r="M131" s="4">
        <f t="shared" ref="M131:M194" si="14">+_xlfn.RANK.EQ(L131,L:L,1)</f>
        <v>129</v>
      </c>
    </row>
    <row r="132" spans="2:13" ht="25.5" x14ac:dyDescent="0.2">
      <c r="B132" s="12" t="s">
        <v>1120</v>
      </c>
      <c r="C132" s="12" t="s">
        <v>1121</v>
      </c>
      <c r="D132" s="5" t="s">
        <v>2</v>
      </c>
      <c r="E132" s="5" t="s">
        <v>1122</v>
      </c>
      <c r="F132" s="5" t="s">
        <v>53</v>
      </c>
      <c r="G132" s="5">
        <v>20.49</v>
      </c>
      <c r="H132" s="6">
        <f t="shared" si="10"/>
        <v>4.880429477794046E-2</v>
      </c>
      <c r="I132" s="6">
        <v>0.57669999999999999</v>
      </c>
      <c r="J132" s="4">
        <f t="shared" si="11"/>
        <v>372</v>
      </c>
      <c r="K132" s="4">
        <f t="shared" si="12"/>
        <v>9</v>
      </c>
      <c r="L132" s="4">
        <f t="shared" si="13"/>
        <v>381</v>
      </c>
      <c r="M132" s="4">
        <f t="shared" si="14"/>
        <v>130</v>
      </c>
    </row>
    <row r="133" spans="2:13" x14ac:dyDescent="0.2">
      <c r="B133" s="12" t="s">
        <v>854</v>
      </c>
      <c r="C133" s="12" t="s">
        <v>855</v>
      </c>
      <c r="D133" s="5" t="s">
        <v>2</v>
      </c>
      <c r="E133" s="5" t="s">
        <v>856</v>
      </c>
      <c r="F133" s="5" t="s">
        <v>91</v>
      </c>
      <c r="G133" s="5">
        <v>16.7</v>
      </c>
      <c r="H133" s="6">
        <f t="shared" si="10"/>
        <v>5.9880239520958084E-2</v>
      </c>
      <c r="I133" s="6">
        <v>0.27329999999999999</v>
      </c>
      <c r="J133" s="4">
        <f t="shared" si="11"/>
        <v>282</v>
      </c>
      <c r="K133" s="4">
        <f t="shared" si="12"/>
        <v>101</v>
      </c>
      <c r="L133" s="4">
        <f t="shared" si="13"/>
        <v>383</v>
      </c>
      <c r="M133" s="4">
        <f t="shared" si="14"/>
        <v>131</v>
      </c>
    </row>
    <row r="134" spans="2:13" ht="25.5" x14ac:dyDescent="0.2">
      <c r="B134" s="12" t="s">
        <v>119</v>
      </c>
      <c r="C134" s="12" t="s">
        <v>120</v>
      </c>
      <c r="D134" s="5" t="s">
        <v>2</v>
      </c>
      <c r="E134" s="5" t="s">
        <v>121</v>
      </c>
      <c r="F134" s="5" t="s">
        <v>122</v>
      </c>
      <c r="G134" s="5">
        <v>7.35</v>
      </c>
      <c r="H134" s="6">
        <f t="shared" si="10"/>
        <v>0.1360544217687075</v>
      </c>
      <c r="I134" s="6">
        <v>0.1331</v>
      </c>
      <c r="J134" s="4">
        <f t="shared" si="11"/>
        <v>38</v>
      </c>
      <c r="K134" s="4">
        <f t="shared" si="12"/>
        <v>346</v>
      </c>
      <c r="L134" s="4">
        <f t="shared" si="13"/>
        <v>384</v>
      </c>
      <c r="M134" s="4">
        <f t="shared" si="14"/>
        <v>132</v>
      </c>
    </row>
    <row r="135" spans="2:13" x14ac:dyDescent="0.2">
      <c r="B135" s="12" t="s">
        <v>368</v>
      </c>
      <c r="C135" s="12" t="s">
        <v>369</v>
      </c>
      <c r="D135" s="5" t="s">
        <v>2</v>
      </c>
      <c r="E135" s="5" t="s">
        <v>370</v>
      </c>
      <c r="F135" s="5" t="s">
        <v>4</v>
      </c>
      <c r="G135" s="5">
        <v>11.8</v>
      </c>
      <c r="H135" s="6">
        <f t="shared" si="10"/>
        <v>8.4745762711864403E-2</v>
      </c>
      <c r="I135" s="6">
        <v>0.16669999999999999</v>
      </c>
      <c r="J135" s="4">
        <f t="shared" si="11"/>
        <v>121</v>
      </c>
      <c r="K135" s="4">
        <f t="shared" si="12"/>
        <v>264</v>
      </c>
      <c r="L135" s="4">
        <f t="shared" si="13"/>
        <v>385</v>
      </c>
      <c r="M135" s="4">
        <f t="shared" si="14"/>
        <v>133</v>
      </c>
    </row>
    <row r="136" spans="2:13" ht="25.5" x14ac:dyDescent="0.2">
      <c r="B136" s="12" t="s">
        <v>521</v>
      </c>
      <c r="C136" s="12" t="s">
        <v>522</v>
      </c>
      <c r="D136" s="5" t="s">
        <v>2</v>
      </c>
      <c r="E136" s="5" t="s">
        <v>523</v>
      </c>
      <c r="F136" s="5" t="s">
        <v>53</v>
      </c>
      <c r="G136" s="5">
        <v>13.51</v>
      </c>
      <c r="H136" s="6">
        <f t="shared" si="10"/>
        <v>7.4019245003700967E-2</v>
      </c>
      <c r="I136" s="6">
        <v>0.1915</v>
      </c>
      <c r="J136" s="4">
        <f t="shared" si="11"/>
        <v>172</v>
      </c>
      <c r="K136" s="4">
        <f t="shared" si="12"/>
        <v>214</v>
      </c>
      <c r="L136" s="4">
        <f t="shared" si="13"/>
        <v>386</v>
      </c>
      <c r="M136" s="4">
        <f t="shared" si="14"/>
        <v>134</v>
      </c>
    </row>
    <row r="137" spans="2:13" ht="25.5" x14ac:dyDescent="0.2">
      <c r="B137" s="12" t="s">
        <v>977</v>
      </c>
      <c r="C137" s="12" t="s">
        <v>978</v>
      </c>
      <c r="D137" s="5" t="s">
        <v>2</v>
      </c>
      <c r="E137" s="5" t="s">
        <v>979</v>
      </c>
      <c r="F137" s="5" t="s">
        <v>53</v>
      </c>
      <c r="G137" s="5">
        <v>18.309999999999999</v>
      </c>
      <c r="H137" s="6">
        <f t="shared" si="10"/>
        <v>5.4614964500273082E-2</v>
      </c>
      <c r="I137" s="6">
        <v>0.33410000000000001</v>
      </c>
      <c r="J137" s="4">
        <f t="shared" si="11"/>
        <v>324</v>
      </c>
      <c r="K137" s="4">
        <f t="shared" si="12"/>
        <v>62</v>
      </c>
      <c r="L137" s="4">
        <f t="shared" si="13"/>
        <v>386</v>
      </c>
      <c r="M137" s="4">
        <f t="shared" si="14"/>
        <v>134</v>
      </c>
    </row>
    <row r="138" spans="2:13" ht="25.5" x14ac:dyDescent="0.2">
      <c r="B138" s="12" t="s">
        <v>569</v>
      </c>
      <c r="C138" s="12" t="s">
        <v>570</v>
      </c>
      <c r="D138" s="5" t="s">
        <v>2</v>
      </c>
      <c r="E138" s="5" t="s">
        <v>571</v>
      </c>
      <c r="F138" s="5" t="s">
        <v>87</v>
      </c>
      <c r="G138" s="5">
        <v>14.05</v>
      </c>
      <c r="H138" s="6">
        <f t="shared" si="10"/>
        <v>7.1174377224199281E-2</v>
      </c>
      <c r="I138" s="6">
        <v>0.19719999999999999</v>
      </c>
      <c r="J138" s="4">
        <f t="shared" si="11"/>
        <v>188</v>
      </c>
      <c r="K138" s="4">
        <f t="shared" si="12"/>
        <v>200</v>
      </c>
      <c r="L138" s="4">
        <f t="shared" si="13"/>
        <v>388</v>
      </c>
      <c r="M138" s="4">
        <f t="shared" si="14"/>
        <v>136</v>
      </c>
    </row>
    <row r="139" spans="2:13" x14ac:dyDescent="0.2">
      <c r="B139" s="12" t="s">
        <v>330</v>
      </c>
      <c r="C139" s="12" t="s">
        <v>331</v>
      </c>
      <c r="D139" s="5" t="s">
        <v>2</v>
      </c>
      <c r="E139" s="5" t="s">
        <v>332</v>
      </c>
      <c r="F139" s="5" t="s">
        <v>18</v>
      </c>
      <c r="G139" s="5">
        <v>11.42</v>
      </c>
      <c r="H139" s="6">
        <f t="shared" si="10"/>
        <v>8.7565674255691769E-2</v>
      </c>
      <c r="I139" s="6">
        <v>0.15640000000000001</v>
      </c>
      <c r="J139" s="4">
        <f t="shared" si="11"/>
        <v>108</v>
      </c>
      <c r="K139" s="4">
        <f t="shared" si="12"/>
        <v>282</v>
      </c>
      <c r="L139" s="4">
        <f t="shared" si="13"/>
        <v>390</v>
      </c>
      <c r="M139" s="4">
        <f t="shared" si="14"/>
        <v>137</v>
      </c>
    </row>
    <row r="140" spans="2:13" ht="25.5" x14ac:dyDescent="0.2">
      <c r="B140" s="12" t="s">
        <v>1132</v>
      </c>
      <c r="C140" s="12" t="s">
        <v>1133</v>
      </c>
      <c r="D140" s="5" t="s">
        <v>2</v>
      </c>
      <c r="E140" s="5" t="s">
        <v>1134</v>
      </c>
      <c r="F140" s="5" t="s">
        <v>53</v>
      </c>
      <c r="G140" s="5">
        <v>20.72</v>
      </c>
      <c r="H140" s="6">
        <f t="shared" si="10"/>
        <v>4.8262548262548263E-2</v>
      </c>
      <c r="I140" s="6">
        <v>0.53459999999999996</v>
      </c>
      <c r="J140" s="4">
        <f t="shared" si="11"/>
        <v>376</v>
      </c>
      <c r="K140" s="4">
        <f t="shared" si="12"/>
        <v>14</v>
      </c>
      <c r="L140" s="4">
        <f t="shared" si="13"/>
        <v>390</v>
      </c>
      <c r="M140" s="4">
        <f t="shared" si="14"/>
        <v>137</v>
      </c>
    </row>
    <row r="141" spans="2:13" x14ac:dyDescent="0.2">
      <c r="B141" s="12" t="s">
        <v>153</v>
      </c>
      <c r="C141" s="12" t="s">
        <v>154</v>
      </c>
      <c r="D141" s="5" t="s">
        <v>2</v>
      </c>
      <c r="E141" s="5" t="s">
        <v>155</v>
      </c>
      <c r="F141" s="5" t="s">
        <v>28</v>
      </c>
      <c r="G141" s="5">
        <v>8.18</v>
      </c>
      <c r="H141" s="6">
        <f t="shared" si="10"/>
        <v>0.12224938875305624</v>
      </c>
      <c r="I141" s="6">
        <v>0.1351</v>
      </c>
      <c r="J141" s="4">
        <f t="shared" si="11"/>
        <v>49</v>
      </c>
      <c r="K141" s="4">
        <f t="shared" si="12"/>
        <v>342</v>
      </c>
      <c r="L141" s="4">
        <f t="shared" si="13"/>
        <v>391</v>
      </c>
      <c r="M141" s="4">
        <f t="shared" si="14"/>
        <v>139</v>
      </c>
    </row>
    <row r="142" spans="2:13" ht="25.5" x14ac:dyDescent="0.2">
      <c r="B142" s="12" t="s">
        <v>479</v>
      </c>
      <c r="C142" s="12" t="s">
        <v>480</v>
      </c>
      <c r="D142" s="5" t="s">
        <v>2</v>
      </c>
      <c r="E142" s="5" t="s">
        <v>481</v>
      </c>
      <c r="F142" s="5" t="s">
        <v>87</v>
      </c>
      <c r="G142" s="5">
        <v>13.08</v>
      </c>
      <c r="H142" s="6">
        <f t="shared" si="10"/>
        <v>7.64525993883792E-2</v>
      </c>
      <c r="I142" s="6">
        <v>0.17960000000000001</v>
      </c>
      <c r="J142" s="4">
        <f t="shared" si="11"/>
        <v>158</v>
      </c>
      <c r="K142" s="4">
        <f t="shared" si="12"/>
        <v>233</v>
      </c>
      <c r="L142" s="4">
        <f t="shared" si="13"/>
        <v>391</v>
      </c>
      <c r="M142" s="4">
        <f t="shared" si="14"/>
        <v>139</v>
      </c>
    </row>
    <row r="143" spans="2:13" x14ac:dyDescent="0.2">
      <c r="B143" s="12" t="s">
        <v>797</v>
      </c>
      <c r="C143" s="12" t="s">
        <v>798</v>
      </c>
      <c r="D143" s="5" t="s">
        <v>2</v>
      </c>
      <c r="E143" s="5" t="s">
        <v>799</v>
      </c>
      <c r="F143" s="5" t="s">
        <v>28</v>
      </c>
      <c r="G143" s="5">
        <v>16.170000000000002</v>
      </c>
      <c r="H143" s="6">
        <f t="shared" si="10"/>
        <v>6.1842918985776124E-2</v>
      </c>
      <c r="I143" s="6">
        <v>0.24790000000000001</v>
      </c>
      <c r="J143" s="4">
        <f t="shared" si="11"/>
        <v>264</v>
      </c>
      <c r="K143" s="4">
        <f t="shared" si="12"/>
        <v>129</v>
      </c>
      <c r="L143" s="4">
        <f t="shared" si="13"/>
        <v>393</v>
      </c>
      <c r="M143" s="4">
        <f t="shared" si="14"/>
        <v>141</v>
      </c>
    </row>
    <row r="144" spans="2:13" x14ac:dyDescent="0.2">
      <c r="B144" s="12" t="s">
        <v>198</v>
      </c>
      <c r="C144" s="12" t="s">
        <v>199</v>
      </c>
      <c r="D144" s="5" t="s">
        <v>2</v>
      </c>
      <c r="E144" s="5" t="s">
        <v>200</v>
      </c>
      <c r="F144" s="5" t="s">
        <v>28</v>
      </c>
      <c r="G144" s="5">
        <v>9.01</v>
      </c>
      <c r="H144" s="6">
        <f t="shared" si="10"/>
        <v>0.11098779134295228</v>
      </c>
      <c r="I144" s="6">
        <v>0.13750000000000001</v>
      </c>
      <c r="J144" s="4">
        <f t="shared" si="11"/>
        <v>64</v>
      </c>
      <c r="K144" s="4">
        <f t="shared" si="12"/>
        <v>334</v>
      </c>
      <c r="L144" s="4">
        <f t="shared" si="13"/>
        <v>398</v>
      </c>
      <c r="M144" s="4">
        <f t="shared" si="14"/>
        <v>142</v>
      </c>
    </row>
    <row r="145" spans="2:13" x14ac:dyDescent="0.2">
      <c r="B145" s="12" t="s">
        <v>66</v>
      </c>
      <c r="C145" s="12" t="s">
        <v>67</v>
      </c>
      <c r="D145" s="5" t="s">
        <v>2</v>
      </c>
      <c r="E145" s="5" t="s">
        <v>68</v>
      </c>
      <c r="F145" s="5" t="s">
        <v>28</v>
      </c>
      <c r="G145" s="5">
        <v>5.91</v>
      </c>
      <c r="H145" s="6">
        <f t="shared" si="10"/>
        <v>0.16920473773265651</v>
      </c>
      <c r="I145" s="6">
        <v>0.12230000000000001</v>
      </c>
      <c r="J145" s="4">
        <f t="shared" si="11"/>
        <v>21</v>
      </c>
      <c r="K145" s="4">
        <f t="shared" si="12"/>
        <v>381</v>
      </c>
      <c r="L145" s="4">
        <f t="shared" si="13"/>
        <v>402</v>
      </c>
      <c r="M145" s="4">
        <f t="shared" si="14"/>
        <v>143</v>
      </c>
    </row>
    <row r="146" spans="2:13" ht="25.5" x14ac:dyDescent="0.2">
      <c r="B146" s="12" t="s">
        <v>219</v>
      </c>
      <c r="C146" s="12" t="s">
        <v>220</v>
      </c>
      <c r="D146" s="5" t="s">
        <v>2</v>
      </c>
      <c r="E146" s="5" t="s">
        <v>221</v>
      </c>
      <c r="F146" s="5" t="s">
        <v>53</v>
      </c>
      <c r="G146" s="5">
        <v>9.36</v>
      </c>
      <c r="H146" s="6">
        <f t="shared" si="10"/>
        <v>0.10683760683760685</v>
      </c>
      <c r="I146" s="6">
        <v>0.1389</v>
      </c>
      <c r="J146" s="4">
        <f t="shared" si="11"/>
        <v>71</v>
      </c>
      <c r="K146" s="4">
        <f t="shared" si="12"/>
        <v>331</v>
      </c>
      <c r="L146" s="4">
        <f t="shared" si="13"/>
        <v>402</v>
      </c>
      <c r="M146" s="4">
        <f t="shared" si="14"/>
        <v>143</v>
      </c>
    </row>
    <row r="147" spans="2:13" x14ac:dyDescent="0.2">
      <c r="B147" s="12" t="s">
        <v>848</v>
      </c>
      <c r="C147" s="12" t="s">
        <v>849</v>
      </c>
      <c r="D147" s="5" t="s">
        <v>2</v>
      </c>
      <c r="E147" s="5" t="s">
        <v>850</v>
      </c>
      <c r="F147" s="5" t="s">
        <v>4</v>
      </c>
      <c r="G147" s="5">
        <v>16.670000000000002</v>
      </c>
      <c r="H147" s="6">
        <f t="shared" si="10"/>
        <v>5.9988002399520089E-2</v>
      </c>
      <c r="I147" s="6">
        <v>0.255</v>
      </c>
      <c r="J147" s="4">
        <f t="shared" si="11"/>
        <v>281</v>
      </c>
      <c r="K147" s="4">
        <f t="shared" si="12"/>
        <v>121</v>
      </c>
      <c r="L147" s="4">
        <f t="shared" si="13"/>
        <v>402</v>
      </c>
      <c r="M147" s="4">
        <f t="shared" si="14"/>
        <v>143</v>
      </c>
    </row>
    <row r="148" spans="2:13" x14ac:dyDescent="0.2">
      <c r="B148" s="12" t="s">
        <v>264</v>
      </c>
      <c r="C148" s="12" t="s">
        <v>265</v>
      </c>
      <c r="D148" s="5" t="s">
        <v>2</v>
      </c>
      <c r="E148" s="5" t="s">
        <v>266</v>
      </c>
      <c r="F148" s="5" t="s">
        <v>18</v>
      </c>
      <c r="G148" s="5">
        <v>10.15</v>
      </c>
      <c r="H148" s="6">
        <f t="shared" si="10"/>
        <v>9.852216748768472E-2</v>
      </c>
      <c r="I148" s="6">
        <v>0.14419999999999999</v>
      </c>
      <c r="J148" s="4">
        <f t="shared" si="11"/>
        <v>86</v>
      </c>
      <c r="K148" s="4">
        <f t="shared" si="12"/>
        <v>317</v>
      </c>
      <c r="L148" s="4">
        <f t="shared" si="13"/>
        <v>403</v>
      </c>
      <c r="M148" s="4">
        <f t="shared" si="14"/>
        <v>146</v>
      </c>
    </row>
    <row r="149" spans="2:13" x14ac:dyDescent="0.2">
      <c r="B149" s="12" t="s">
        <v>434</v>
      </c>
      <c r="C149" s="12" t="s">
        <v>435</v>
      </c>
      <c r="D149" s="5" t="s">
        <v>2</v>
      </c>
      <c r="E149" s="5" t="s">
        <v>436</v>
      </c>
      <c r="F149" s="5" t="s">
        <v>28</v>
      </c>
      <c r="G149" s="5">
        <v>12.43</v>
      </c>
      <c r="H149" s="6">
        <f t="shared" si="10"/>
        <v>8.0450522928399035E-2</v>
      </c>
      <c r="I149" s="6">
        <v>0.1668</v>
      </c>
      <c r="J149" s="4">
        <f t="shared" si="11"/>
        <v>143</v>
      </c>
      <c r="K149" s="4">
        <f t="shared" si="12"/>
        <v>263</v>
      </c>
      <c r="L149" s="4">
        <f t="shared" si="13"/>
        <v>406</v>
      </c>
      <c r="M149" s="4">
        <f t="shared" si="14"/>
        <v>147</v>
      </c>
    </row>
    <row r="150" spans="2:13" x14ac:dyDescent="0.2">
      <c r="B150" s="12" t="s">
        <v>992</v>
      </c>
      <c r="C150" s="12" t="s">
        <v>993</v>
      </c>
      <c r="D150" s="5" t="s">
        <v>2</v>
      </c>
      <c r="E150" s="5" t="s">
        <v>994</v>
      </c>
      <c r="F150" s="5" t="s">
        <v>28</v>
      </c>
      <c r="G150" s="5">
        <v>18.489999999999998</v>
      </c>
      <c r="H150" s="6">
        <f t="shared" si="10"/>
        <v>5.408328826392645E-2</v>
      </c>
      <c r="I150" s="6">
        <v>0.30719999999999997</v>
      </c>
      <c r="J150" s="4">
        <f t="shared" si="11"/>
        <v>329</v>
      </c>
      <c r="K150" s="4">
        <f t="shared" si="12"/>
        <v>79</v>
      </c>
      <c r="L150" s="4">
        <f t="shared" si="13"/>
        <v>408</v>
      </c>
      <c r="M150" s="4">
        <f t="shared" si="14"/>
        <v>148</v>
      </c>
    </row>
    <row r="151" spans="2:13" x14ac:dyDescent="0.2">
      <c r="B151" s="12" t="s">
        <v>677</v>
      </c>
      <c r="C151" s="12" t="s">
        <v>678</v>
      </c>
      <c r="D151" s="5" t="s">
        <v>2</v>
      </c>
      <c r="E151" s="5" t="s">
        <v>679</v>
      </c>
      <c r="F151" s="5" t="s">
        <v>28</v>
      </c>
      <c r="G151" s="5">
        <v>15.28</v>
      </c>
      <c r="H151" s="6">
        <f t="shared" si="10"/>
        <v>6.5445026178010471E-2</v>
      </c>
      <c r="I151" s="6">
        <v>0.20230000000000001</v>
      </c>
      <c r="J151" s="4">
        <f t="shared" si="11"/>
        <v>224</v>
      </c>
      <c r="K151" s="4">
        <f t="shared" si="12"/>
        <v>187</v>
      </c>
      <c r="L151" s="4">
        <f t="shared" si="13"/>
        <v>411</v>
      </c>
      <c r="M151" s="4">
        <f t="shared" si="14"/>
        <v>149</v>
      </c>
    </row>
    <row r="152" spans="2:13" x14ac:dyDescent="0.2">
      <c r="B152" s="12" t="s">
        <v>1224</v>
      </c>
      <c r="C152" s="12" t="s">
        <v>1225</v>
      </c>
      <c r="D152" s="5" t="s">
        <v>2</v>
      </c>
      <c r="E152" s="5" t="s">
        <v>1226</v>
      </c>
      <c r="F152" s="5" t="s">
        <v>28</v>
      </c>
      <c r="G152" s="5">
        <v>21.65</v>
      </c>
      <c r="H152" s="6">
        <f t="shared" si="10"/>
        <v>4.6189376443418015E-2</v>
      </c>
      <c r="I152" s="6">
        <v>0.63660000000000005</v>
      </c>
      <c r="J152" s="4">
        <f t="shared" si="11"/>
        <v>407</v>
      </c>
      <c r="K152" s="4">
        <f t="shared" si="12"/>
        <v>6</v>
      </c>
      <c r="L152" s="4">
        <f t="shared" si="13"/>
        <v>413</v>
      </c>
      <c r="M152" s="4">
        <f t="shared" si="14"/>
        <v>150</v>
      </c>
    </row>
    <row r="153" spans="2:13" x14ac:dyDescent="0.2">
      <c r="B153" s="12" t="s">
        <v>273</v>
      </c>
      <c r="C153" s="12" t="s">
        <v>274</v>
      </c>
      <c r="D153" s="5" t="s">
        <v>2</v>
      </c>
      <c r="E153" s="5" t="s">
        <v>275</v>
      </c>
      <c r="F153" s="5" t="s">
        <v>28</v>
      </c>
      <c r="G153" s="5">
        <v>10.26</v>
      </c>
      <c r="H153" s="6">
        <f t="shared" si="10"/>
        <v>9.7465886939571159E-2</v>
      </c>
      <c r="I153" s="6">
        <v>0.1421</v>
      </c>
      <c r="J153" s="4">
        <f t="shared" si="11"/>
        <v>89</v>
      </c>
      <c r="K153" s="4">
        <f t="shared" si="12"/>
        <v>325</v>
      </c>
      <c r="L153" s="4">
        <f t="shared" si="13"/>
        <v>414</v>
      </c>
      <c r="M153" s="4">
        <f t="shared" si="14"/>
        <v>151</v>
      </c>
    </row>
    <row r="154" spans="2:13" x14ac:dyDescent="0.2">
      <c r="B154" s="12" t="s">
        <v>186</v>
      </c>
      <c r="C154" s="12" t="s">
        <v>187</v>
      </c>
      <c r="D154" s="5" t="s">
        <v>2</v>
      </c>
      <c r="E154" s="5" t="s">
        <v>188</v>
      </c>
      <c r="F154" s="5" t="s">
        <v>8</v>
      </c>
      <c r="G154" s="5">
        <v>8.7799999999999994</v>
      </c>
      <c r="H154" s="6">
        <f t="shared" si="10"/>
        <v>0.11389521640091117</v>
      </c>
      <c r="I154" s="6">
        <v>0.12839999999999999</v>
      </c>
      <c r="J154" s="4">
        <f t="shared" si="11"/>
        <v>60</v>
      </c>
      <c r="K154" s="4">
        <f t="shared" si="12"/>
        <v>356</v>
      </c>
      <c r="L154" s="4">
        <f t="shared" si="13"/>
        <v>416</v>
      </c>
      <c r="M154" s="4">
        <f t="shared" si="14"/>
        <v>152</v>
      </c>
    </row>
    <row r="155" spans="2:13" x14ac:dyDescent="0.2">
      <c r="B155" s="12" t="s">
        <v>213</v>
      </c>
      <c r="C155" s="12" t="s">
        <v>214</v>
      </c>
      <c r="D155" s="5" t="s">
        <v>2</v>
      </c>
      <c r="E155" s="5" t="s">
        <v>215</v>
      </c>
      <c r="F155" s="5" t="s">
        <v>4</v>
      </c>
      <c r="G155" s="5">
        <v>9.27</v>
      </c>
      <c r="H155" s="6">
        <f t="shared" si="10"/>
        <v>0.10787486515641856</v>
      </c>
      <c r="I155" s="6">
        <v>0.1328</v>
      </c>
      <c r="J155" s="4">
        <f t="shared" si="11"/>
        <v>69</v>
      </c>
      <c r="K155" s="4">
        <f t="shared" si="12"/>
        <v>347</v>
      </c>
      <c r="L155" s="4">
        <f t="shared" si="13"/>
        <v>416</v>
      </c>
      <c r="M155" s="4">
        <f t="shared" si="14"/>
        <v>152</v>
      </c>
    </row>
    <row r="156" spans="2:13" x14ac:dyDescent="0.2">
      <c r="B156" s="12" t="s">
        <v>345</v>
      </c>
      <c r="C156" s="12" t="s">
        <v>346</v>
      </c>
      <c r="D156" s="5" t="s">
        <v>2</v>
      </c>
      <c r="E156" s="5" t="s">
        <v>347</v>
      </c>
      <c r="F156" s="5" t="s">
        <v>18</v>
      </c>
      <c r="G156" s="5">
        <v>11.58</v>
      </c>
      <c r="H156" s="6">
        <f t="shared" si="10"/>
        <v>8.6355785837651119E-2</v>
      </c>
      <c r="I156" s="6">
        <v>0.14949999999999999</v>
      </c>
      <c r="J156" s="4">
        <f t="shared" si="11"/>
        <v>113</v>
      </c>
      <c r="K156" s="4">
        <f t="shared" si="12"/>
        <v>303</v>
      </c>
      <c r="L156" s="4">
        <f t="shared" si="13"/>
        <v>416</v>
      </c>
      <c r="M156" s="4">
        <f t="shared" si="14"/>
        <v>152</v>
      </c>
    </row>
    <row r="157" spans="2:13" ht="25.5" x14ac:dyDescent="0.2">
      <c r="B157" s="12" t="s">
        <v>683</v>
      </c>
      <c r="C157" s="12" t="s">
        <v>684</v>
      </c>
      <c r="D157" s="5" t="s">
        <v>2</v>
      </c>
      <c r="E157" s="5" t="s">
        <v>685</v>
      </c>
      <c r="F157" s="5" t="s">
        <v>53</v>
      </c>
      <c r="G157" s="5">
        <v>15.3</v>
      </c>
      <c r="H157" s="6">
        <f t="shared" si="10"/>
        <v>6.535947712418301E-2</v>
      </c>
      <c r="I157" s="6">
        <v>0.20119999999999999</v>
      </c>
      <c r="J157" s="4">
        <f t="shared" si="11"/>
        <v>226</v>
      </c>
      <c r="K157" s="4">
        <f t="shared" si="12"/>
        <v>191</v>
      </c>
      <c r="L157" s="4">
        <f t="shared" si="13"/>
        <v>417</v>
      </c>
      <c r="M157" s="4">
        <f t="shared" si="14"/>
        <v>155</v>
      </c>
    </row>
    <row r="158" spans="2:13" x14ac:dyDescent="0.2">
      <c r="B158" s="12" t="s">
        <v>297</v>
      </c>
      <c r="C158" s="12" t="s">
        <v>298</v>
      </c>
      <c r="D158" s="5" t="s">
        <v>2</v>
      </c>
      <c r="E158" s="5" t="s">
        <v>299</v>
      </c>
      <c r="F158" s="5" t="s">
        <v>91</v>
      </c>
      <c r="G158" s="5">
        <v>10.79</v>
      </c>
      <c r="H158" s="6">
        <f t="shared" si="10"/>
        <v>9.267840593141799E-2</v>
      </c>
      <c r="I158" s="6">
        <v>0.1431</v>
      </c>
      <c r="J158" s="4">
        <f t="shared" si="11"/>
        <v>97</v>
      </c>
      <c r="K158" s="4">
        <f t="shared" si="12"/>
        <v>322</v>
      </c>
      <c r="L158" s="4">
        <f t="shared" si="13"/>
        <v>419</v>
      </c>
      <c r="M158" s="4">
        <f t="shared" si="14"/>
        <v>156</v>
      </c>
    </row>
    <row r="159" spans="2:13" x14ac:dyDescent="0.2">
      <c r="B159" s="12" t="s">
        <v>282</v>
      </c>
      <c r="C159" s="12" t="s">
        <v>283</v>
      </c>
      <c r="D159" s="5" t="s">
        <v>2</v>
      </c>
      <c r="E159" s="5" t="s">
        <v>284</v>
      </c>
      <c r="F159" s="5" t="s">
        <v>8</v>
      </c>
      <c r="G159" s="5">
        <v>10.45</v>
      </c>
      <c r="H159" s="6">
        <f t="shared" si="10"/>
        <v>9.569377990430622E-2</v>
      </c>
      <c r="I159" s="6">
        <v>0.1394</v>
      </c>
      <c r="J159" s="4">
        <f t="shared" si="11"/>
        <v>91</v>
      </c>
      <c r="K159" s="4">
        <f t="shared" si="12"/>
        <v>330</v>
      </c>
      <c r="L159" s="4">
        <f t="shared" si="13"/>
        <v>421</v>
      </c>
      <c r="M159" s="4">
        <f t="shared" si="14"/>
        <v>157</v>
      </c>
    </row>
    <row r="160" spans="2:13" x14ac:dyDescent="0.2">
      <c r="B160" s="12" t="s">
        <v>395</v>
      </c>
      <c r="C160" s="12" t="s">
        <v>396</v>
      </c>
      <c r="D160" s="5" t="s">
        <v>2</v>
      </c>
      <c r="E160" s="5" t="s">
        <v>397</v>
      </c>
      <c r="F160" s="5" t="s">
        <v>91</v>
      </c>
      <c r="G160" s="5">
        <v>12.11</v>
      </c>
      <c r="H160" s="6">
        <f t="shared" si="10"/>
        <v>8.2576383154417843E-2</v>
      </c>
      <c r="I160" s="6">
        <v>0.15290000000000001</v>
      </c>
      <c r="J160" s="4">
        <f t="shared" si="11"/>
        <v>130</v>
      </c>
      <c r="K160" s="4">
        <f t="shared" si="12"/>
        <v>292</v>
      </c>
      <c r="L160" s="4">
        <f t="shared" si="13"/>
        <v>422</v>
      </c>
      <c r="M160" s="4">
        <f t="shared" si="14"/>
        <v>158</v>
      </c>
    </row>
    <row r="161" spans="2:13" x14ac:dyDescent="0.2">
      <c r="B161" s="12" t="s">
        <v>1111</v>
      </c>
      <c r="C161" s="12" t="s">
        <v>1112</v>
      </c>
      <c r="D161" s="5" t="s">
        <v>2</v>
      </c>
      <c r="E161" s="5" t="s">
        <v>1113</v>
      </c>
      <c r="F161" s="5" t="s">
        <v>28</v>
      </c>
      <c r="G161" s="5">
        <v>20.39</v>
      </c>
      <c r="H161" s="6">
        <f t="shared" si="10"/>
        <v>4.9043648847474253E-2</v>
      </c>
      <c r="I161" s="6">
        <v>0.35320000000000001</v>
      </c>
      <c r="J161" s="4">
        <f t="shared" si="11"/>
        <v>369</v>
      </c>
      <c r="K161" s="4">
        <f t="shared" si="12"/>
        <v>54</v>
      </c>
      <c r="L161" s="4">
        <f t="shared" si="13"/>
        <v>423</v>
      </c>
      <c r="M161" s="4">
        <f t="shared" si="14"/>
        <v>159</v>
      </c>
    </row>
    <row r="162" spans="2:13" x14ac:dyDescent="0.2">
      <c r="B162" s="12" t="s">
        <v>1170</v>
      </c>
      <c r="C162" s="12" t="s">
        <v>1171</v>
      </c>
      <c r="D162" s="5" t="s">
        <v>2</v>
      </c>
      <c r="E162" s="5" t="s">
        <v>1172</v>
      </c>
      <c r="F162" s="5" t="s">
        <v>28</v>
      </c>
      <c r="G162" s="5">
        <v>21.1</v>
      </c>
      <c r="H162" s="6">
        <f t="shared" si="10"/>
        <v>4.7393364928909949E-2</v>
      </c>
      <c r="I162" s="6">
        <v>0.42320000000000002</v>
      </c>
      <c r="J162" s="4">
        <f t="shared" si="11"/>
        <v>388</v>
      </c>
      <c r="K162" s="4">
        <f t="shared" si="12"/>
        <v>35</v>
      </c>
      <c r="L162" s="4">
        <f t="shared" si="13"/>
        <v>423</v>
      </c>
      <c r="M162" s="4">
        <f t="shared" si="14"/>
        <v>159</v>
      </c>
    </row>
    <row r="163" spans="2:13" x14ac:dyDescent="0.2">
      <c r="B163" s="12" t="s">
        <v>773</v>
      </c>
      <c r="C163" s="12" t="s">
        <v>774</v>
      </c>
      <c r="D163" s="5" t="s">
        <v>2</v>
      </c>
      <c r="E163" s="5" t="s">
        <v>775</v>
      </c>
      <c r="F163" s="5" t="s">
        <v>28</v>
      </c>
      <c r="G163" s="5">
        <v>15.99</v>
      </c>
      <c r="H163" s="6">
        <f t="shared" si="10"/>
        <v>6.2539086929330828E-2</v>
      </c>
      <c r="I163" s="6">
        <v>0.21310000000000001</v>
      </c>
      <c r="J163" s="4">
        <f t="shared" si="11"/>
        <v>256</v>
      </c>
      <c r="K163" s="4">
        <f t="shared" si="12"/>
        <v>171</v>
      </c>
      <c r="L163" s="4">
        <f t="shared" si="13"/>
        <v>427</v>
      </c>
      <c r="M163" s="4">
        <f t="shared" si="14"/>
        <v>161</v>
      </c>
    </row>
    <row r="164" spans="2:13" x14ac:dyDescent="0.2">
      <c r="B164" s="12" t="s">
        <v>761</v>
      </c>
      <c r="C164" s="12" t="s">
        <v>762</v>
      </c>
      <c r="D164" s="5" t="s">
        <v>2</v>
      </c>
      <c r="E164" s="5" t="s">
        <v>763</v>
      </c>
      <c r="F164" s="5" t="s">
        <v>28</v>
      </c>
      <c r="G164" s="5">
        <v>15.95</v>
      </c>
      <c r="H164" s="6">
        <f t="shared" si="10"/>
        <v>6.269592476489029E-2</v>
      </c>
      <c r="I164" s="6">
        <v>0.20799999999999999</v>
      </c>
      <c r="J164" s="4">
        <f t="shared" si="11"/>
        <v>252</v>
      </c>
      <c r="K164" s="4">
        <f t="shared" si="12"/>
        <v>177</v>
      </c>
      <c r="L164" s="4">
        <f t="shared" si="13"/>
        <v>429</v>
      </c>
      <c r="M164" s="4">
        <f t="shared" si="14"/>
        <v>162</v>
      </c>
    </row>
    <row r="165" spans="2:13" ht="25.5" x14ac:dyDescent="0.2">
      <c r="B165" s="12" t="s">
        <v>872</v>
      </c>
      <c r="C165" s="12" t="s">
        <v>873</v>
      </c>
      <c r="D165" s="5" t="s">
        <v>2</v>
      </c>
      <c r="E165" s="5" t="s">
        <v>874</v>
      </c>
      <c r="F165" s="5" t="s">
        <v>53</v>
      </c>
      <c r="G165" s="5">
        <v>16.95</v>
      </c>
      <c r="H165" s="6">
        <f t="shared" si="10"/>
        <v>5.8997050147492625E-2</v>
      </c>
      <c r="I165" s="6">
        <v>0.2394</v>
      </c>
      <c r="J165" s="4">
        <f t="shared" si="11"/>
        <v>289</v>
      </c>
      <c r="K165" s="4">
        <f t="shared" si="12"/>
        <v>140</v>
      </c>
      <c r="L165" s="4">
        <f t="shared" si="13"/>
        <v>429</v>
      </c>
      <c r="M165" s="4">
        <f t="shared" si="14"/>
        <v>162</v>
      </c>
    </row>
    <row r="166" spans="2:13" x14ac:dyDescent="0.2">
      <c r="B166" s="12" t="s">
        <v>1146</v>
      </c>
      <c r="C166" s="12" t="s">
        <v>1147</v>
      </c>
      <c r="D166" s="5" t="s">
        <v>2</v>
      </c>
      <c r="E166" s="5" t="s">
        <v>1148</v>
      </c>
      <c r="F166" s="5" t="s">
        <v>91</v>
      </c>
      <c r="G166" s="5">
        <v>20.83</v>
      </c>
      <c r="H166" s="6">
        <f t="shared" si="10"/>
        <v>4.8007681228996645E-2</v>
      </c>
      <c r="I166" s="6">
        <v>0.36809999999999998</v>
      </c>
      <c r="J166" s="4">
        <f t="shared" si="11"/>
        <v>381</v>
      </c>
      <c r="K166" s="4">
        <f t="shared" si="12"/>
        <v>48</v>
      </c>
      <c r="L166" s="4">
        <f t="shared" si="13"/>
        <v>429</v>
      </c>
      <c r="M166" s="4">
        <f t="shared" si="14"/>
        <v>162</v>
      </c>
    </row>
    <row r="167" spans="2:13" x14ac:dyDescent="0.2">
      <c r="B167" s="12" t="s">
        <v>626</v>
      </c>
      <c r="C167" s="12" t="s">
        <v>627</v>
      </c>
      <c r="D167" s="5" t="s">
        <v>2</v>
      </c>
      <c r="E167" s="5" t="s">
        <v>628</v>
      </c>
      <c r="F167" s="5" t="s">
        <v>28</v>
      </c>
      <c r="G167" s="5">
        <v>14.78</v>
      </c>
      <c r="H167" s="6">
        <f t="shared" si="10"/>
        <v>6.7658998646820026E-2</v>
      </c>
      <c r="I167" s="6">
        <v>0.18529999999999999</v>
      </c>
      <c r="J167" s="4">
        <f t="shared" si="11"/>
        <v>207</v>
      </c>
      <c r="K167" s="4">
        <f t="shared" si="12"/>
        <v>223</v>
      </c>
      <c r="L167" s="4">
        <f t="shared" si="13"/>
        <v>430</v>
      </c>
      <c r="M167" s="4">
        <f t="shared" si="14"/>
        <v>165</v>
      </c>
    </row>
    <row r="168" spans="2:13" x14ac:dyDescent="0.2">
      <c r="B168" s="12" t="s">
        <v>455</v>
      </c>
      <c r="C168" s="12" t="s">
        <v>456</v>
      </c>
      <c r="D168" s="5" t="s">
        <v>2</v>
      </c>
      <c r="E168" s="5" t="s">
        <v>457</v>
      </c>
      <c r="F168" s="5" t="s">
        <v>28</v>
      </c>
      <c r="G168" s="5">
        <v>12.5</v>
      </c>
      <c r="H168" s="6">
        <f t="shared" si="10"/>
        <v>0.08</v>
      </c>
      <c r="I168" s="6">
        <v>0.155</v>
      </c>
      <c r="J168" s="4">
        <f t="shared" si="11"/>
        <v>149</v>
      </c>
      <c r="K168" s="4">
        <f t="shared" si="12"/>
        <v>285</v>
      </c>
      <c r="L168" s="4">
        <f t="shared" si="13"/>
        <v>434</v>
      </c>
      <c r="M168" s="4">
        <f t="shared" si="14"/>
        <v>166</v>
      </c>
    </row>
    <row r="169" spans="2:13" ht="25.5" x14ac:dyDescent="0.2">
      <c r="B169" s="12" t="s">
        <v>1152</v>
      </c>
      <c r="C169" s="12" t="s">
        <v>1153</v>
      </c>
      <c r="D169" s="5" t="s">
        <v>2</v>
      </c>
      <c r="E169" s="5" t="s">
        <v>1154</v>
      </c>
      <c r="F169" s="5" t="s">
        <v>87</v>
      </c>
      <c r="G169" s="5">
        <v>20.87</v>
      </c>
      <c r="H169" s="6">
        <f t="shared" si="10"/>
        <v>4.7915668423574503E-2</v>
      </c>
      <c r="I169" s="6">
        <v>0.3553</v>
      </c>
      <c r="J169" s="4">
        <f t="shared" si="11"/>
        <v>382</v>
      </c>
      <c r="K169" s="4">
        <f t="shared" si="12"/>
        <v>52</v>
      </c>
      <c r="L169" s="4">
        <f t="shared" si="13"/>
        <v>434</v>
      </c>
      <c r="M169" s="4">
        <f t="shared" si="14"/>
        <v>166</v>
      </c>
    </row>
    <row r="170" spans="2:13" ht="25.5" x14ac:dyDescent="0.2">
      <c r="B170" s="12" t="s">
        <v>1191</v>
      </c>
      <c r="C170" s="12" t="s">
        <v>1192</v>
      </c>
      <c r="D170" s="5" t="s">
        <v>2</v>
      </c>
      <c r="E170" s="5" t="s">
        <v>1193</v>
      </c>
      <c r="F170" s="5" t="s">
        <v>87</v>
      </c>
      <c r="G170" s="5">
        <v>21.3</v>
      </c>
      <c r="H170" s="6">
        <f t="shared" si="10"/>
        <v>4.6948356807511735E-2</v>
      </c>
      <c r="I170" s="6">
        <v>0.39529999999999998</v>
      </c>
      <c r="J170" s="4">
        <f t="shared" si="11"/>
        <v>396</v>
      </c>
      <c r="K170" s="4">
        <f t="shared" si="12"/>
        <v>41</v>
      </c>
      <c r="L170" s="4">
        <f t="shared" si="13"/>
        <v>437</v>
      </c>
      <c r="M170" s="4">
        <f t="shared" si="14"/>
        <v>168</v>
      </c>
    </row>
    <row r="171" spans="2:13" x14ac:dyDescent="0.2">
      <c r="B171" s="12" t="s">
        <v>377</v>
      </c>
      <c r="C171" s="12" t="s">
        <v>378</v>
      </c>
      <c r="D171" s="5" t="s">
        <v>2</v>
      </c>
      <c r="E171" s="5" t="s">
        <v>379</v>
      </c>
      <c r="F171" s="5" t="s">
        <v>28</v>
      </c>
      <c r="G171" s="5">
        <v>11.8</v>
      </c>
      <c r="H171" s="6">
        <f t="shared" si="10"/>
        <v>8.4745762711864403E-2</v>
      </c>
      <c r="I171" s="6">
        <v>0.14419999999999999</v>
      </c>
      <c r="J171" s="4">
        <f t="shared" si="11"/>
        <v>121</v>
      </c>
      <c r="K171" s="4">
        <f t="shared" si="12"/>
        <v>317</v>
      </c>
      <c r="L171" s="4">
        <f t="shared" si="13"/>
        <v>438</v>
      </c>
      <c r="M171" s="4">
        <f t="shared" si="14"/>
        <v>169</v>
      </c>
    </row>
    <row r="172" spans="2:13" x14ac:dyDescent="0.2">
      <c r="B172" s="12" t="s">
        <v>1037</v>
      </c>
      <c r="C172" s="12" t="s">
        <v>1038</v>
      </c>
      <c r="D172" s="5" t="s">
        <v>2</v>
      </c>
      <c r="E172" s="5" t="s">
        <v>1039</v>
      </c>
      <c r="F172" s="5" t="s">
        <v>28</v>
      </c>
      <c r="G172" s="5">
        <v>19.23</v>
      </c>
      <c r="H172" s="6">
        <f t="shared" si="10"/>
        <v>5.2002080083203325E-2</v>
      </c>
      <c r="I172" s="6">
        <v>0.27850000000000003</v>
      </c>
      <c r="J172" s="4">
        <f t="shared" si="11"/>
        <v>344</v>
      </c>
      <c r="K172" s="4">
        <f t="shared" si="12"/>
        <v>94</v>
      </c>
      <c r="L172" s="4">
        <f t="shared" si="13"/>
        <v>438</v>
      </c>
      <c r="M172" s="4">
        <f t="shared" si="14"/>
        <v>169</v>
      </c>
    </row>
    <row r="173" spans="2:13" x14ac:dyDescent="0.2">
      <c r="B173" s="12" t="s">
        <v>1242</v>
      </c>
      <c r="C173" s="12" t="s">
        <v>1243</v>
      </c>
      <c r="D173" s="5" t="s">
        <v>2</v>
      </c>
      <c r="E173" s="5" t="s">
        <v>1244</v>
      </c>
      <c r="F173" s="5" t="s">
        <v>28</v>
      </c>
      <c r="G173" s="5">
        <v>21.92</v>
      </c>
      <c r="H173" s="6">
        <f t="shared" si="10"/>
        <v>4.5620437956204379E-2</v>
      </c>
      <c r="I173" s="6">
        <v>0.45519999999999999</v>
      </c>
      <c r="J173" s="4">
        <f t="shared" si="11"/>
        <v>413</v>
      </c>
      <c r="K173" s="4">
        <f t="shared" si="12"/>
        <v>25</v>
      </c>
      <c r="L173" s="4">
        <f t="shared" si="13"/>
        <v>438</v>
      </c>
      <c r="M173" s="4">
        <f t="shared" si="14"/>
        <v>169</v>
      </c>
    </row>
    <row r="174" spans="2:13" ht="25.5" x14ac:dyDescent="0.2">
      <c r="B174" s="12" t="s">
        <v>1140</v>
      </c>
      <c r="C174" s="12" t="s">
        <v>1141</v>
      </c>
      <c r="D174" s="5" t="s">
        <v>2</v>
      </c>
      <c r="E174" s="5" t="s">
        <v>1142</v>
      </c>
      <c r="F174" s="5" t="s">
        <v>87</v>
      </c>
      <c r="G174" s="5">
        <v>20.79</v>
      </c>
      <c r="H174" s="6">
        <f t="shared" si="10"/>
        <v>4.8100048100048101E-2</v>
      </c>
      <c r="I174" s="6">
        <v>0.33750000000000002</v>
      </c>
      <c r="J174" s="4">
        <f t="shared" si="11"/>
        <v>379</v>
      </c>
      <c r="K174" s="4">
        <f t="shared" si="12"/>
        <v>60</v>
      </c>
      <c r="L174" s="4">
        <f t="shared" si="13"/>
        <v>439</v>
      </c>
      <c r="M174" s="4">
        <f t="shared" si="14"/>
        <v>172</v>
      </c>
    </row>
    <row r="175" spans="2:13" ht="25.5" x14ac:dyDescent="0.2">
      <c r="B175" s="12" t="s">
        <v>243</v>
      </c>
      <c r="C175" s="12" t="s">
        <v>244</v>
      </c>
      <c r="D175" s="5" t="s">
        <v>2</v>
      </c>
      <c r="E175" s="5" t="s">
        <v>245</v>
      </c>
      <c r="F175" s="5" t="s">
        <v>87</v>
      </c>
      <c r="G175" s="5">
        <v>9.84</v>
      </c>
      <c r="H175" s="6">
        <f t="shared" si="10"/>
        <v>0.1016260162601626</v>
      </c>
      <c r="I175" s="6">
        <v>0.1273</v>
      </c>
      <c r="J175" s="4">
        <f t="shared" si="11"/>
        <v>79</v>
      </c>
      <c r="K175" s="4">
        <f t="shared" si="12"/>
        <v>361</v>
      </c>
      <c r="L175" s="4">
        <f t="shared" si="13"/>
        <v>440</v>
      </c>
      <c r="M175" s="4">
        <f t="shared" si="14"/>
        <v>173</v>
      </c>
    </row>
    <row r="176" spans="2:13" ht="25.5" x14ac:dyDescent="0.2">
      <c r="B176" s="12" t="s">
        <v>1043</v>
      </c>
      <c r="C176" s="12" t="s">
        <v>1044</v>
      </c>
      <c r="D176" s="5" t="s">
        <v>2</v>
      </c>
      <c r="E176" s="5" t="s">
        <v>1045</v>
      </c>
      <c r="F176" s="5" t="s">
        <v>87</v>
      </c>
      <c r="G176" s="5">
        <v>19.260000000000002</v>
      </c>
      <c r="H176" s="6">
        <f t="shared" si="10"/>
        <v>5.192107995846313E-2</v>
      </c>
      <c r="I176" s="6">
        <v>0.27750000000000002</v>
      </c>
      <c r="J176" s="4">
        <f t="shared" si="11"/>
        <v>346</v>
      </c>
      <c r="K176" s="4">
        <f t="shared" si="12"/>
        <v>96</v>
      </c>
      <c r="L176" s="4">
        <f t="shared" si="13"/>
        <v>442</v>
      </c>
      <c r="M176" s="4">
        <f t="shared" si="14"/>
        <v>174</v>
      </c>
    </row>
    <row r="177" spans="2:13" ht="25.5" x14ac:dyDescent="0.2">
      <c r="B177" s="12" t="s">
        <v>1343</v>
      </c>
      <c r="C177" s="12" t="s">
        <v>1344</v>
      </c>
      <c r="D177" s="5" t="s">
        <v>2</v>
      </c>
      <c r="E177" s="5" t="s">
        <v>1345</v>
      </c>
      <c r="F177" s="5" t="s">
        <v>87</v>
      </c>
      <c r="G177" s="5">
        <v>23.56</v>
      </c>
      <c r="H177" s="6">
        <f t="shared" si="10"/>
        <v>4.2444821731748732E-2</v>
      </c>
      <c r="I177" s="6">
        <v>6.0096999999999996</v>
      </c>
      <c r="J177" s="4">
        <f t="shared" si="11"/>
        <v>447</v>
      </c>
      <c r="K177" s="4">
        <f t="shared" si="12"/>
        <v>1</v>
      </c>
      <c r="L177" s="4">
        <f t="shared" si="13"/>
        <v>448</v>
      </c>
      <c r="M177" s="4">
        <f t="shared" si="14"/>
        <v>175</v>
      </c>
    </row>
    <row r="178" spans="2:13" ht="25.5" x14ac:dyDescent="0.2">
      <c r="B178" s="12" t="s">
        <v>1340</v>
      </c>
      <c r="C178" s="12" t="s">
        <v>1341</v>
      </c>
      <c r="D178" s="5" t="s">
        <v>2</v>
      </c>
      <c r="E178" s="5" t="s">
        <v>1342</v>
      </c>
      <c r="F178" s="5" t="s">
        <v>53</v>
      </c>
      <c r="G178" s="5">
        <v>23.52</v>
      </c>
      <c r="H178" s="6">
        <f t="shared" si="10"/>
        <v>4.2517006802721087E-2</v>
      </c>
      <c r="I178" s="6">
        <v>0.76370000000000005</v>
      </c>
      <c r="J178" s="4">
        <f t="shared" si="11"/>
        <v>446</v>
      </c>
      <c r="K178" s="4">
        <f t="shared" si="12"/>
        <v>4</v>
      </c>
      <c r="L178" s="4">
        <f t="shared" si="13"/>
        <v>450</v>
      </c>
      <c r="M178" s="4">
        <f t="shared" si="14"/>
        <v>176</v>
      </c>
    </row>
    <row r="179" spans="2:13" ht="25.5" x14ac:dyDescent="0.2">
      <c r="B179" s="12" t="s">
        <v>1046</v>
      </c>
      <c r="C179" s="12" t="s">
        <v>1047</v>
      </c>
      <c r="D179" s="5" t="s">
        <v>2</v>
      </c>
      <c r="E179" s="5" t="s">
        <v>1048</v>
      </c>
      <c r="F179" s="5" t="s">
        <v>122</v>
      </c>
      <c r="G179" s="5">
        <v>19.36</v>
      </c>
      <c r="H179" s="6">
        <f t="shared" si="10"/>
        <v>5.1652892561983473E-2</v>
      </c>
      <c r="I179" s="6">
        <v>0.26790000000000003</v>
      </c>
      <c r="J179" s="4">
        <f t="shared" si="11"/>
        <v>347</v>
      </c>
      <c r="K179" s="4">
        <f t="shared" si="12"/>
        <v>106</v>
      </c>
      <c r="L179" s="4">
        <f t="shared" si="13"/>
        <v>453</v>
      </c>
      <c r="M179" s="4">
        <f t="shared" si="14"/>
        <v>177</v>
      </c>
    </row>
    <row r="180" spans="2:13" x14ac:dyDescent="0.2">
      <c r="B180" s="12" t="s">
        <v>644</v>
      </c>
      <c r="C180" s="12" t="s">
        <v>645</v>
      </c>
      <c r="D180" s="5" t="s">
        <v>2</v>
      </c>
      <c r="E180" s="5" t="s">
        <v>646</v>
      </c>
      <c r="F180" s="5" t="s">
        <v>28</v>
      </c>
      <c r="G180" s="5">
        <v>14.88</v>
      </c>
      <c r="H180" s="6">
        <f t="shared" si="10"/>
        <v>6.7204301075268813E-2</v>
      </c>
      <c r="I180" s="6">
        <v>0.17599999999999999</v>
      </c>
      <c r="J180" s="4">
        <f t="shared" si="11"/>
        <v>213</v>
      </c>
      <c r="K180" s="4">
        <f t="shared" si="12"/>
        <v>241</v>
      </c>
      <c r="L180" s="4">
        <f t="shared" si="13"/>
        <v>454</v>
      </c>
      <c r="M180" s="4">
        <f t="shared" si="14"/>
        <v>178</v>
      </c>
    </row>
    <row r="181" spans="2:13" x14ac:dyDescent="0.2">
      <c r="B181" s="12" t="s">
        <v>1337</v>
      </c>
      <c r="C181" s="12" t="s">
        <v>1338</v>
      </c>
      <c r="D181" s="5" t="s">
        <v>2</v>
      </c>
      <c r="E181" s="5" t="s">
        <v>1339</v>
      </c>
      <c r="F181" s="5" t="s">
        <v>4</v>
      </c>
      <c r="G181" s="5">
        <v>23.49</v>
      </c>
      <c r="H181" s="6">
        <f t="shared" si="10"/>
        <v>4.2571306939123033E-2</v>
      </c>
      <c r="I181" s="6">
        <v>0.55220000000000002</v>
      </c>
      <c r="J181" s="4">
        <f t="shared" si="11"/>
        <v>445</v>
      </c>
      <c r="K181" s="4">
        <f t="shared" si="12"/>
        <v>12</v>
      </c>
      <c r="L181" s="4">
        <f t="shared" si="13"/>
        <v>457</v>
      </c>
      <c r="M181" s="4">
        <f t="shared" si="14"/>
        <v>179</v>
      </c>
    </row>
    <row r="182" spans="2:13" ht="25.5" x14ac:dyDescent="0.2">
      <c r="B182" s="12" t="s">
        <v>1084</v>
      </c>
      <c r="C182" s="12" t="s">
        <v>1085</v>
      </c>
      <c r="D182" s="5" t="s">
        <v>2</v>
      </c>
      <c r="E182" s="5" t="s">
        <v>1086</v>
      </c>
      <c r="F182" s="5" t="s">
        <v>53</v>
      </c>
      <c r="G182" s="5">
        <v>19.809999999999999</v>
      </c>
      <c r="H182" s="6">
        <f t="shared" si="10"/>
        <v>5.047955577990914E-2</v>
      </c>
      <c r="I182" s="6">
        <v>0.27639999999999998</v>
      </c>
      <c r="J182" s="4">
        <f t="shared" si="11"/>
        <v>360</v>
      </c>
      <c r="K182" s="4">
        <f t="shared" si="12"/>
        <v>98</v>
      </c>
      <c r="L182" s="4">
        <f t="shared" si="13"/>
        <v>458</v>
      </c>
      <c r="M182" s="4">
        <f t="shared" si="14"/>
        <v>180</v>
      </c>
    </row>
    <row r="183" spans="2:13" ht="25.5" x14ac:dyDescent="0.2">
      <c r="B183" s="12" t="s">
        <v>249</v>
      </c>
      <c r="C183" s="12" t="s">
        <v>250</v>
      </c>
      <c r="D183" s="5" t="s">
        <v>2</v>
      </c>
      <c r="E183" s="5" t="s">
        <v>251</v>
      </c>
      <c r="F183" s="5" t="s">
        <v>53</v>
      </c>
      <c r="G183" s="5">
        <v>9.89</v>
      </c>
      <c r="H183" s="6">
        <f t="shared" si="10"/>
        <v>0.10111223458038422</v>
      </c>
      <c r="I183" s="6">
        <v>0.1225</v>
      </c>
      <c r="J183" s="4">
        <f t="shared" si="11"/>
        <v>81</v>
      </c>
      <c r="K183" s="4">
        <f t="shared" si="12"/>
        <v>378</v>
      </c>
      <c r="L183" s="4">
        <f t="shared" si="13"/>
        <v>459</v>
      </c>
      <c r="M183" s="4">
        <f t="shared" si="14"/>
        <v>181</v>
      </c>
    </row>
    <row r="184" spans="2:13" ht="25.5" x14ac:dyDescent="0.2">
      <c r="B184" s="12" t="s">
        <v>698</v>
      </c>
      <c r="C184" s="12" t="s">
        <v>699</v>
      </c>
      <c r="D184" s="5" t="s">
        <v>2</v>
      </c>
      <c r="E184" s="5" t="s">
        <v>700</v>
      </c>
      <c r="F184" s="5" t="s">
        <v>122</v>
      </c>
      <c r="G184" s="5">
        <v>15.55</v>
      </c>
      <c r="H184" s="6">
        <f t="shared" si="10"/>
        <v>6.4308681672025719E-2</v>
      </c>
      <c r="I184" s="6">
        <v>0.1837</v>
      </c>
      <c r="J184" s="4">
        <f t="shared" si="11"/>
        <v>231</v>
      </c>
      <c r="K184" s="4">
        <f t="shared" si="12"/>
        <v>228</v>
      </c>
      <c r="L184" s="4">
        <f t="shared" si="13"/>
        <v>459</v>
      </c>
      <c r="M184" s="4">
        <f t="shared" si="14"/>
        <v>181</v>
      </c>
    </row>
    <row r="185" spans="2:13" x14ac:dyDescent="0.2">
      <c r="B185" s="12" t="s">
        <v>159</v>
      </c>
      <c r="C185" s="12" t="s">
        <v>160</v>
      </c>
      <c r="D185" s="5" t="s">
        <v>2</v>
      </c>
      <c r="E185" s="5" t="s">
        <v>161</v>
      </c>
      <c r="F185" s="5" t="s">
        <v>4</v>
      </c>
      <c r="G185" s="5">
        <v>8.24</v>
      </c>
      <c r="H185" s="6">
        <f t="shared" si="10"/>
        <v>0.12135922330097088</v>
      </c>
      <c r="I185" s="6">
        <v>0.113</v>
      </c>
      <c r="J185" s="4">
        <f t="shared" si="11"/>
        <v>51</v>
      </c>
      <c r="K185" s="4">
        <f t="shared" si="12"/>
        <v>409</v>
      </c>
      <c r="L185" s="4">
        <f t="shared" si="13"/>
        <v>460</v>
      </c>
      <c r="M185" s="4">
        <f t="shared" si="14"/>
        <v>183</v>
      </c>
    </row>
    <row r="186" spans="2:13" x14ac:dyDescent="0.2">
      <c r="B186" s="12" t="s">
        <v>267</v>
      </c>
      <c r="C186" s="12" t="s">
        <v>268</v>
      </c>
      <c r="D186" s="5" t="s">
        <v>2</v>
      </c>
      <c r="E186" s="5" t="s">
        <v>269</v>
      </c>
      <c r="F186" s="5" t="s">
        <v>28</v>
      </c>
      <c r="G186" s="5">
        <v>10.18</v>
      </c>
      <c r="H186" s="6">
        <f t="shared" si="10"/>
        <v>9.8231827111984291E-2</v>
      </c>
      <c r="I186" s="6">
        <v>0.1235</v>
      </c>
      <c r="J186" s="4">
        <f t="shared" si="11"/>
        <v>87</v>
      </c>
      <c r="K186" s="4">
        <f t="shared" si="12"/>
        <v>373</v>
      </c>
      <c r="L186" s="4">
        <f t="shared" si="13"/>
        <v>460</v>
      </c>
      <c r="M186" s="4">
        <f t="shared" si="14"/>
        <v>183</v>
      </c>
    </row>
    <row r="187" spans="2:13" ht="25.5" x14ac:dyDescent="0.2">
      <c r="B187" s="12" t="s">
        <v>599</v>
      </c>
      <c r="C187" s="12" t="s">
        <v>600</v>
      </c>
      <c r="D187" s="5" t="s">
        <v>2</v>
      </c>
      <c r="E187" s="5" t="s">
        <v>601</v>
      </c>
      <c r="F187" s="5" t="s">
        <v>87</v>
      </c>
      <c r="G187" s="5">
        <v>14.49</v>
      </c>
      <c r="H187" s="6">
        <f t="shared" si="10"/>
        <v>6.901311249137336E-2</v>
      </c>
      <c r="I187" s="6">
        <v>0.16500000000000001</v>
      </c>
      <c r="J187" s="4">
        <f t="shared" si="11"/>
        <v>198</v>
      </c>
      <c r="K187" s="4">
        <f t="shared" si="12"/>
        <v>266</v>
      </c>
      <c r="L187" s="4">
        <f t="shared" si="13"/>
        <v>464</v>
      </c>
      <c r="M187" s="4">
        <f t="shared" si="14"/>
        <v>185</v>
      </c>
    </row>
    <row r="188" spans="2:13" ht="25.5" x14ac:dyDescent="0.2">
      <c r="B188" s="12" t="s">
        <v>1155</v>
      </c>
      <c r="C188" s="12" t="s">
        <v>1156</v>
      </c>
      <c r="D188" s="5" t="s">
        <v>2</v>
      </c>
      <c r="E188" s="5" t="s">
        <v>1157</v>
      </c>
      <c r="F188" s="5" t="s">
        <v>87</v>
      </c>
      <c r="G188" s="5">
        <v>20.88</v>
      </c>
      <c r="H188" s="6">
        <f t="shared" si="10"/>
        <v>4.7892720306513412E-2</v>
      </c>
      <c r="I188" s="6">
        <v>0.30520000000000003</v>
      </c>
      <c r="J188" s="4">
        <f t="shared" si="11"/>
        <v>384</v>
      </c>
      <c r="K188" s="4">
        <f t="shared" si="12"/>
        <v>81</v>
      </c>
      <c r="L188" s="4">
        <f t="shared" si="13"/>
        <v>465</v>
      </c>
      <c r="M188" s="4">
        <f t="shared" si="14"/>
        <v>186</v>
      </c>
    </row>
    <row r="189" spans="2:13" x14ac:dyDescent="0.2">
      <c r="B189" s="12" t="s">
        <v>605</v>
      </c>
      <c r="C189" s="12" t="s">
        <v>606</v>
      </c>
      <c r="D189" s="5" t="s">
        <v>2</v>
      </c>
      <c r="E189" s="5" t="s">
        <v>607</v>
      </c>
      <c r="F189" s="5" t="s">
        <v>18</v>
      </c>
      <c r="G189" s="5">
        <v>14.52</v>
      </c>
      <c r="H189" s="6">
        <f t="shared" si="10"/>
        <v>6.8870523415977963E-2</v>
      </c>
      <c r="I189" s="6">
        <v>0.16070000000000001</v>
      </c>
      <c r="J189" s="4">
        <f t="shared" si="11"/>
        <v>200</v>
      </c>
      <c r="K189" s="4">
        <f t="shared" si="12"/>
        <v>269</v>
      </c>
      <c r="L189" s="4">
        <f t="shared" si="13"/>
        <v>469</v>
      </c>
      <c r="M189" s="4">
        <f t="shared" si="14"/>
        <v>187</v>
      </c>
    </row>
    <row r="190" spans="2:13" x14ac:dyDescent="0.2">
      <c r="B190" s="12" t="s">
        <v>321</v>
      </c>
      <c r="C190" s="12" t="s">
        <v>322</v>
      </c>
      <c r="D190" s="5" t="s">
        <v>2</v>
      </c>
      <c r="E190" s="5" t="s">
        <v>323</v>
      </c>
      <c r="F190" s="5" t="s">
        <v>8</v>
      </c>
      <c r="G190" s="5">
        <v>11.21</v>
      </c>
      <c r="H190" s="6">
        <f t="shared" si="10"/>
        <v>8.9206066012488844E-2</v>
      </c>
      <c r="I190" s="6">
        <v>0.12590000000000001</v>
      </c>
      <c r="J190" s="4">
        <f t="shared" si="11"/>
        <v>105</v>
      </c>
      <c r="K190" s="4">
        <f t="shared" si="12"/>
        <v>365</v>
      </c>
      <c r="L190" s="4">
        <f t="shared" si="13"/>
        <v>470</v>
      </c>
      <c r="M190" s="4">
        <f t="shared" si="14"/>
        <v>188</v>
      </c>
    </row>
    <row r="191" spans="2:13" x14ac:dyDescent="0.2">
      <c r="B191" s="12" t="s">
        <v>318</v>
      </c>
      <c r="C191" s="12" t="s">
        <v>319</v>
      </c>
      <c r="D191" s="5" t="s">
        <v>2</v>
      </c>
      <c r="E191" s="5" t="s">
        <v>320</v>
      </c>
      <c r="F191" s="5" t="s">
        <v>18</v>
      </c>
      <c r="G191" s="5">
        <v>11.15</v>
      </c>
      <c r="H191" s="6">
        <f t="shared" si="10"/>
        <v>8.9686098654708515E-2</v>
      </c>
      <c r="I191" s="6">
        <v>0.1241</v>
      </c>
      <c r="J191" s="4">
        <f t="shared" si="11"/>
        <v>103</v>
      </c>
      <c r="K191" s="4">
        <f t="shared" si="12"/>
        <v>370</v>
      </c>
      <c r="L191" s="4">
        <f t="shared" si="13"/>
        <v>473</v>
      </c>
      <c r="M191" s="4">
        <f t="shared" si="14"/>
        <v>189</v>
      </c>
    </row>
    <row r="192" spans="2:13" x14ac:dyDescent="0.2">
      <c r="B192" s="12" t="s">
        <v>617</v>
      </c>
      <c r="C192" s="12" t="s">
        <v>618</v>
      </c>
      <c r="D192" s="5" t="s">
        <v>2</v>
      </c>
      <c r="E192" s="5" t="s">
        <v>619</v>
      </c>
      <c r="F192" s="5" t="s">
        <v>4</v>
      </c>
      <c r="G192" s="5">
        <v>14.62</v>
      </c>
      <c r="H192" s="6">
        <f t="shared" si="10"/>
        <v>6.8399452804377564E-2</v>
      </c>
      <c r="I192" s="6">
        <v>0.1603</v>
      </c>
      <c r="J192" s="4">
        <f t="shared" si="11"/>
        <v>204</v>
      </c>
      <c r="K192" s="4">
        <f t="shared" si="12"/>
        <v>270</v>
      </c>
      <c r="L192" s="4">
        <f t="shared" si="13"/>
        <v>474</v>
      </c>
      <c r="M192" s="4">
        <f t="shared" si="14"/>
        <v>190</v>
      </c>
    </row>
    <row r="193" spans="2:13" x14ac:dyDescent="0.2">
      <c r="B193" s="12" t="s">
        <v>689</v>
      </c>
      <c r="C193" s="12" t="s">
        <v>690</v>
      </c>
      <c r="D193" s="5" t="s">
        <v>2</v>
      </c>
      <c r="E193" s="5" t="s">
        <v>691</v>
      </c>
      <c r="F193" s="5" t="s">
        <v>91</v>
      </c>
      <c r="G193" s="5">
        <v>15.43</v>
      </c>
      <c r="H193" s="6">
        <f t="shared" si="10"/>
        <v>6.4808813998703821E-2</v>
      </c>
      <c r="I193" s="6">
        <v>0.17249999999999999</v>
      </c>
      <c r="J193" s="4">
        <f t="shared" si="11"/>
        <v>228</v>
      </c>
      <c r="K193" s="4">
        <f t="shared" si="12"/>
        <v>249</v>
      </c>
      <c r="L193" s="4">
        <f t="shared" si="13"/>
        <v>477</v>
      </c>
      <c r="M193" s="4">
        <f t="shared" si="14"/>
        <v>191</v>
      </c>
    </row>
    <row r="194" spans="2:13" x14ac:dyDescent="0.2">
      <c r="B194" s="12" t="s">
        <v>959</v>
      </c>
      <c r="C194" s="12" t="s">
        <v>960</v>
      </c>
      <c r="D194" s="5" t="s">
        <v>2</v>
      </c>
      <c r="E194" s="5" t="s">
        <v>961</v>
      </c>
      <c r="F194" s="5" t="s">
        <v>28</v>
      </c>
      <c r="G194" s="5">
        <v>18.11</v>
      </c>
      <c r="H194" s="6">
        <f t="shared" si="10"/>
        <v>5.5218111540585313E-2</v>
      </c>
      <c r="I194" s="6">
        <v>0.2228</v>
      </c>
      <c r="J194" s="4">
        <f t="shared" si="11"/>
        <v>318</v>
      </c>
      <c r="K194" s="4">
        <f t="shared" si="12"/>
        <v>159</v>
      </c>
      <c r="L194" s="4">
        <f t="shared" si="13"/>
        <v>477</v>
      </c>
      <c r="M194" s="4">
        <f t="shared" si="14"/>
        <v>191</v>
      </c>
    </row>
    <row r="195" spans="2:13" ht="25.5" x14ac:dyDescent="0.2">
      <c r="B195" s="12" t="s">
        <v>1034</v>
      </c>
      <c r="C195" s="12" t="s">
        <v>1035</v>
      </c>
      <c r="D195" s="5" t="s">
        <v>2</v>
      </c>
      <c r="E195" s="5" t="s">
        <v>1036</v>
      </c>
      <c r="F195" s="5" t="s">
        <v>122</v>
      </c>
      <c r="G195" s="5">
        <v>19.14</v>
      </c>
      <c r="H195" s="6">
        <f t="shared" ref="H195:H258" si="15">1/G195</f>
        <v>5.2246603970741899E-2</v>
      </c>
      <c r="I195" s="6">
        <v>0.24299999999999999</v>
      </c>
      <c r="J195" s="4">
        <f t="shared" ref="J195:J258" si="16">+_xlfn.RANK.EQ(H195,H:H,0)</f>
        <v>342</v>
      </c>
      <c r="K195" s="4">
        <f t="shared" ref="K195:K258" si="17">+_xlfn.RANK.EQ(I195,I:I,0)</f>
        <v>135</v>
      </c>
      <c r="L195" s="4">
        <f t="shared" ref="L195:L258" si="18">+J195+K195</f>
        <v>477</v>
      </c>
      <c r="M195" s="4">
        <f t="shared" ref="M195:M258" si="19">+_xlfn.RANK.EQ(L195,L:L,1)</f>
        <v>191</v>
      </c>
    </row>
    <row r="196" spans="2:13" ht="25.5" x14ac:dyDescent="0.2">
      <c r="B196" s="12" t="s">
        <v>983</v>
      </c>
      <c r="C196" s="12" t="s">
        <v>984</v>
      </c>
      <c r="D196" s="5" t="s">
        <v>2</v>
      </c>
      <c r="E196" s="5" t="s">
        <v>985</v>
      </c>
      <c r="F196" s="5" t="s">
        <v>87</v>
      </c>
      <c r="G196" s="5">
        <v>18.41</v>
      </c>
      <c r="H196" s="6">
        <f t="shared" si="15"/>
        <v>5.4318305268875614E-2</v>
      </c>
      <c r="I196" s="6">
        <v>0.2291</v>
      </c>
      <c r="J196" s="4">
        <f t="shared" si="16"/>
        <v>326</v>
      </c>
      <c r="K196" s="4">
        <f t="shared" si="17"/>
        <v>152</v>
      </c>
      <c r="L196" s="4">
        <f t="shared" si="18"/>
        <v>478</v>
      </c>
      <c r="M196" s="4">
        <f t="shared" si="19"/>
        <v>194</v>
      </c>
    </row>
    <row r="197" spans="2:13" x14ac:dyDescent="0.2">
      <c r="B197" s="12" t="s">
        <v>1375</v>
      </c>
      <c r="C197" s="12" t="s">
        <v>1376</v>
      </c>
      <c r="D197" s="5" t="s">
        <v>2</v>
      </c>
      <c r="E197" s="5" t="s">
        <v>1377</v>
      </c>
      <c r="F197" s="5" t="s">
        <v>8</v>
      </c>
      <c r="G197" s="5">
        <v>23.97</v>
      </c>
      <c r="H197" s="6">
        <f t="shared" si="15"/>
        <v>4.1718815185648732E-2</v>
      </c>
      <c r="I197" s="6">
        <v>0.4738</v>
      </c>
      <c r="J197" s="4">
        <f t="shared" si="16"/>
        <v>458</v>
      </c>
      <c r="K197" s="4">
        <f t="shared" si="17"/>
        <v>21</v>
      </c>
      <c r="L197" s="4">
        <f t="shared" si="18"/>
        <v>479</v>
      </c>
      <c r="M197" s="4">
        <f t="shared" si="19"/>
        <v>195</v>
      </c>
    </row>
    <row r="198" spans="2:13" x14ac:dyDescent="0.2">
      <c r="B198" s="12" t="s">
        <v>195</v>
      </c>
      <c r="C198" s="12" t="s">
        <v>196</v>
      </c>
      <c r="D198" s="5" t="s">
        <v>2</v>
      </c>
      <c r="E198" s="5" t="s">
        <v>197</v>
      </c>
      <c r="F198" s="5" t="s">
        <v>8</v>
      </c>
      <c r="G198" s="5">
        <v>8.85</v>
      </c>
      <c r="H198" s="6">
        <f t="shared" si="15"/>
        <v>0.11299435028248588</v>
      </c>
      <c r="I198" s="6">
        <v>0.11020000000000001</v>
      </c>
      <c r="J198" s="4">
        <f t="shared" si="16"/>
        <v>63</v>
      </c>
      <c r="K198" s="4">
        <f t="shared" si="17"/>
        <v>417</v>
      </c>
      <c r="L198" s="4">
        <f t="shared" si="18"/>
        <v>480</v>
      </c>
      <c r="M198" s="4">
        <f t="shared" si="19"/>
        <v>196</v>
      </c>
    </row>
    <row r="199" spans="2:13" x14ac:dyDescent="0.2">
      <c r="B199" s="12" t="s">
        <v>824</v>
      </c>
      <c r="C199" s="12" t="s">
        <v>825</v>
      </c>
      <c r="D199" s="5" t="s">
        <v>2</v>
      </c>
      <c r="E199" s="5" t="s">
        <v>826</v>
      </c>
      <c r="F199" s="5" t="s">
        <v>28</v>
      </c>
      <c r="G199" s="5">
        <v>16.36</v>
      </c>
      <c r="H199" s="6">
        <f t="shared" si="15"/>
        <v>6.1124694376528121E-2</v>
      </c>
      <c r="I199" s="6">
        <v>0.19520000000000001</v>
      </c>
      <c r="J199" s="4">
        <f t="shared" si="16"/>
        <v>273</v>
      </c>
      <c r="K199" s="4">
        <f t="shared" si="17"/>
        <v>207</v>
      </c>
      <c r="L199" s="4">
        <f t="shared" si="18"/>
        <v>480</v>
      </c>
      <c r="M199" s="4">
        <f t="shared" si="19"/>
        <v>196</v>
      </c>
    </row>
    <row r="200" spans="2:13" x14ac:dyDescent="0.2">
      <c r="B200" s="12" t="s">
        <v>1055</v>
      </c>
      <c r="C200" s="12" t="s">
        <v>1056</v>
      </c>
      <c r="D200" s="5" t="s">
        <v>2</v>
      </c>
      <c r="E200" s="5" t="s">
        <v>1057</v>
      </c>
      <c r="F200" s="5" t="s">
        <v>28</v>
      </c>
      <c r="G200" s="5">
        <v>19.46</v>
      </c>
      <c r="H200" s="6">
        <f t="shared" si="15"/>
        <v>5.1387461459403906E-2</v>
      </c>
      <c r="I200" s="6">
        <v>0.24660000000000001</v>
      </c>
      <c r="J200" s="4">
        <f t="shared" si="16"/>
        <v>349</v>
      </c>
      <c r="K200" s="4">
        <f t="shared" si="17"/>
        <v>131</v>
      </c>
      <c r="L200" s="4">
        <f t="shared" si="18"/>
        <v>480</v>
      </c>
      <c r="M200" s="4">
        <f t="shared" si="19"/>
        <v>196</v>
      </c>
    </row>
    <row r="201" spans="2:13" x14ac:dyDescent="0.2">
      <c r="B201" s="12" t="s">
        <v>851</v>
      </c>
      <c r="C201" s="12" t="s">
        <v>852</v>
      </c>
      <c r="D201" s="5" t="s">
        <v>2</v>
      </c>
      <c r="E201" s="5" t="s">
        <v>853</v>
      </c>
      <c r="F201" s="5" t="s">
        <v>28</v>
      </c>
      <c r="G201" s="5">
        <v>16.7</v>
      </c>
      <c r="H201" s="6">
        <f t="shared" si="15"/>
        <v>5.9880239520958084E-2</v>
      </c>
      <c r="I201" s="6">
        <v>0.19739999999999999</v>
      </c>
      <c r="J201" s="4">
        <f t="shared" si="16"/>
        <v>282</v>
      </c>
      <c r="K201" s="4">
        <f t="shared" si="17"/>
        <v>199</v>
      </c>
      <c r="L201" s="4">
        <f t="shared" si="18"/>
        <v>481</v>
      </c>
      <c r="M201" s="4">
        <f t="shared" si="19"/>
        <v>199</v>
      </c>
    </row>
    <row r="202" spans="2:13" x14ac:dyDescent="0.2">
      <c r="B202" s="12" t="s">
        <v>1076</v>
      </c>
      <c r="C202" s="12" t="s">
        <v>1077</v>
      </c>
      <c r="D202" s="5" t="s">
        <v>2</v>
      </c>
      <c r="E202" s="5" t="s">
        <v>34</v>
      </c>
      <c r="F202" s="5" t="s">
        <v>28</v>
      </c>
      <c r="G202" s="5">
        <v>19.75</v>
      </c>
      <c r="H202" s="6">
        <f t="shared" si="15"/>
        <v>5.0632911392405063E-2</v>
      </c>
      <c r="I202" s="6">
        <v>0.24979999999999999</v>
      </c>
      <c r="J202" s="4">
        <f t="shared" si="16"/>
        <v>357</v>
      </c>
      <c r="K202" s="4">
        <f t="shared" si="17"/>
        <v>126</v>
      </c>
      <c r="L202" s="4">
        <f t="shared" si="18"/>
        <v>483</v>
      </c>
      <c r="M202" s="4">
        <f t="shared" si="19"/>
        <v>200</v>
      </c>
    </row>
    <row r="203" spans="2:13" x14ac:dyDescent="0.2">
      <c r="B203" s="12" t="s">
        <v>336</v>
      </c>
      <c r="C203" s="12" t="s">
        <v>337</v>
      </c>
      <c r="D203" s="5" t="s">
        <v>2</v>
      </c>
      <c r="E203" s="5" t="s">
        <v>338</v>
      </c>
      <c r="F203" s="5" t="s">
        <v>18</v>
      </c>
      <c r="G203" s="5">
        <v>11.46</v>
      </c>
      <c r="H203" s="6">
        <f t="shared" si="15"/>
        <v>8.7260034904013961E-2</v>
      </c>
      <c r="I203" s="6">
        <v>0.12330000000000001</v>
      </c>
      <c r="J203" s="4">
        <f t="shared" si="16"/>
        <v>109</v>
      </c>
      <c r="K203" s="4">
        <f t="shared" si="17"/>
        <v>375</v>
      </c>
      <c r="L203" s="4">
        <f t="shared" si="18"/>
        <v>484</v>
      </c>
      <c r="M203" s="4">
        <f t="shared" si="19"/>
        <v>201</v>
      </c>
    </row>
    <row r="204" spans="2:13" x14ac:dyDescent="0.2">
      <c r="B204" s="12" t="s">
        <v>494</v>
      </c>
      <c r="C204" s="12" t="s">
        <v>495</v>
      </c>
      <c r="D204" s="5" t="s">
        <v>2</v>
      </c>
      <c r="E204" s="5" t="s">
        <v>496</v>
      </c>
      <c r="F204" s="5" t="s">
        <v>8</v>
      </c>
      <c r="G204" s="5">
        <v>13.22</v>
      </c>
      <c r="H204" s="6">
        <f t="shared" si="15"/>
        <v>7.5642965204235996E-2</v>
      </c>
      <c r="I204" s="6">
        <v>0.14319999999999999</v>
      </c>
      <c r="J204" s="4">
        <f t="shared" si="16"/>
        <v>163</v>
      </c>
      <c r="K204" s="4">
        <f t="shared" si="17"/>
        <v>321</v>
      </c>
      <c r="L204" s="4">
        <f t="shared" si="18"/>
        <v>484</v>
      </c>
      <c r="M204" s="4">
        <f t="shared" si="19"/>
        <v>201</v>
      </c>
    </row>
    <row r="205" spans="2:13" x14ac:dyDescent="0.2">
      <c r="B205" s="12" t="s">
        <v>995</v>
      </c>
      <c r="C205" s="12" t="s">
        <v>996</v>
      </c>
      <c r="D205" s="5" t="s">
        <v>2</v>
      </c>
      <c r="E205" s="5" t="s">
        <v>997</v>
      </c>
      <c r="F205" s="5" t="s">
        <v>28</v>
      </c>
      <c r="G205" s="5">
        <v>18.510000000000002</v>
      </c>
      <c r="H205" s="6">
        <f t="shared" si="15"/>
        <v>5.4024851431658562E-2</v>
      </c>
      <c r="I205" s="6">
        <v>0.2253</v>
      </c>
      <c r="J205" s="4">
        <f t="shared" si="16"/>
        <v>330</v>
      </c>
      <c r="K205" s="4">
        <f t="shared" si="17"/>
        <v>156</v>
      </c>
      <c r="L205" s="4">
        <f t="shared" si="18"/>
        <v>486</v>
      </c>
      <c r="M205" s="4">
        <f t="shared" si="19"/>
        <v>203</v>
      </c>
    </row>
    <row r="206" spans="2:13" ht="25.5" x14ac:dyDescent="0.2">
      <c r="B206" s="12" t="s">
        <v>1328</v>
      </c>
      <c r="C206" s="12" t="s">
        <v>1329</v>
      </c>
      <c r="D206" s="5" t="s">
        <v>2</v>
      </c>
      <c r="E206" s="5" t="s">
        <v>1330</v>
      </c>
      <c r="F206" s="5" t="s">
        <v>53</v>
      </c>
      <c r="G206" s="5">
        <v>23.39</v>
      </c>
      <c r="H206" s="6">
        <f t="shared" si="15"/>
        <v>4.2753313381787089E-2</v>
      </c>
      <c r="I206" s="6">
        <v>0.37480000000000002</v>
      </c>
      <c r="J206" s="4">
        <f t="shared" si="16"/>
        <v>441</v>
      </c>
      <c r="K206" s="4">
        <f t="shared" si="17"/>
        <v>46</v>
      </c>
      <c r="L206" s="4">
        <f t="shared" si="18"/>
        <v>487</v>
      </c>
      <c r="M206" s="4">
        <f t="shared" si="19"/>
        <v>204</v>
      </c>
    </row>
    <row r="207" spans="2:13" x14ac:dyDescent="0.2">
      <c r="B207" s="12" t="s">
        <v>890</v>
      </c>
      <c r="C207" s="12" t="s">
        <v>891</v>
      </c>
      <c r="D207" s="5" t="s">
        <v>2</v>
      </c>
      <c r="E207" s="5" t="s">
        <v>892</v>
      </c>
      <c r="F207" s="5" t="s">
        <v>4</v>
      </c>
      <c r="G207" s="5">
        <v>17.170000000000002</v>
      </c>
      <c r="H207" s="6">
        <f t="shared" si="15"/>
        <v>5.824111822947E-2</v>
      </c>
      <c r="I207" s="6">
        <v>0.1978</v>
      </c>
      <c r="J207" s="4">
        <f t="shared" si="16"/>
        <v>295</v>
      </c>
      <c r="K207" s="4">
        <f t="shared" si="17"/>
        <v>197</v>
      </c>
      <c r="L207" s="4">
        <f t="shared" si="18"/>
        <v>492</v>
      </c>
      <c r="M207" s="4">
        <f t="shared" si="19"/>
        <v>205</v>
      </c>
    </row>
    <row r="208" spans="2:13" x14ac:dyDescent="0.2">
      <c r="B208" s="12" t="s">
        <v>1001</v>
      </c>
      <c r="C208" s="12" t="s">
        <v>1002</v>
      </c>
      <c r="D208" s="5" t="s">
        <v>2</v>
      </c>
      <c r="E208" s="5" t="s">
        <v>1003</v>
      </c>
      <c r="F208" s="5" t="s">
        <v>28</v>
      </c>
      <c r="G208" s="5">
        <v>18.64</v>
      </c>
      <c r="H208" s="6">
        <f t="shared" si="15"/>
        <v>5.3648068669527899E-2</v>
      </c>
      <c r="I208" s="6">
        <v>0.2213</v>
      </c>
      <c r="J208" s="4">
        <f t="shared" si="16"/>
        <v>332</v>
      </c>
      <c r="K208" s="4">
        <f t="shared" si="17"/>
        <v>162</v>
      </c>
      <c r="L208" s="4">
        <f t="shared" si="18"/>
        <v>494</v>
      </c>
      <c r="M208" s="4">
        <f t="shared" si="19"/>
        <v>206</v>
      </c>
    </row>
    <row r="209" spans="2:13" x14ac:dyDescent="0.2">
      <c r="B209" s="12" t="s">
        <v>668</v>
      </c>
      <c r="C209" s="12" t="s">
        <v>669</v>
      </c>
      <c r="D209" s="5" t="s">
        <v>2</v>
      </c>
      <c r="E209" s="5" t="s">
        <v>670</v>
      </c>
      <c r="F209" s="5" t="s">
        <v>8</v>
      </c>
      <c r="G209" s="5">
        <v>15.23</v>
      </c>
      <c r="H209" s="6">
        <f t="shared" si="15"/>
        <v>6.5659881812212731E-2</v>
      </c>
      <c r="I209" s="6">
        <v>0.1585</v>
      </c>
      <c r="J209" s="4">
        <f t="shared" si="16"/>
        <v>221</v>
      </c>
      <c r="K209" s="4">
        <f t="shared" si="17"/>
        <v>275</v>
      </c>
      <c r="L209" s="4">
        <f t="shared" si="18"/>
        <v>496</v>
      </c>
      <c r="M209" s="4">
        <f t="shared" si="19"/>
        <v>207</v>
      </c>
    </row>
    <row r="210" spans="2:13" ht="25.5" x14ac:dyDescent="0.2">
      <c r="B210" s="12" t="s">
        <v>1188</v>
      </c>
      <c r="C210" s="12" t="s">
        <v>1189</v>
      </c>
      <c r="D210" s="5" t="s">
        <v>2</v>
      </c>
      <c r="E210" s="5" t="s">
        <v>1190</v>
      </c>
      <c r="F210" s="5" t="s">
        <v>53</v>
      </c>
      <c r="G210" s="5">
        <v>21.25</v>
      </c>
      <c r="H210" s="6">
        <f t="shared" si="15"/>
        <v>4.7058823529411764E-2</v>
      </c>
      <c r="I210" s="6">
        <v>0.27279999999999999</v>
      </c>
      <c r="J210" s="4">
        <f t="shared" si="16"/>
        <v>394</v>
      </c>
      <c r="K210" s="4">
        <f t="shared" si="17"/>
        <v>103</v>
      </c>
      <c r="L210" s="4">
        <f t="shared" si="18"/>
        <v>497</v>
      </c>
      <c r="M210" s="4">
        <f t="shared" si="19"/>
        <v>208</v>
      </c>
    </row>
    <row r="211" spans="2:13" x14ac:dyDescent="0.2">
      <c r="B211" s="12" t="s">
        <v>1137</v>
      </c>
      <c r="C211" s="12" t="s">
        <v>1138</v>
      </c>
      <c r="D211" s="5" t="s">
        <v>2</v>
      </c>
      <c r="E211" s="5" t="s">
        <v>1139</v>
      </c>
      <c r="F211" s="5" t="s">
        <v>4</v>
      </c>
      <c r="G211" s="5">
        <v>20.74</v>
      </c>
      <c r="H211" s="6">
        <f t="shared" si="15"/>
        <v>4.8216007714561235E-2</v>
      </c>
      <c r="I211" s="6">
        <v>0.2555</v>
      </c>
      <c r="J211" s="4">
        <f t="shared" si="16"/>
        <v>378</v>
      </c>
      <c r="K211" s="4">
        <f t="shared" si="17"/>
        <v>120</v>
      </c>
      <c r="L211" s="4">
        <f t="shared" si="18"/>
        <v>498</v>
      </c>
      <c r="M211" s="4">
        <f t="shared" si="19"/>
        <v>209</v>
      </c>
    </row>
    <row r="212" spans="2:13" ht="25.5" x14ac:dyDescent="0.2">
      <c r="B212" s="12" t="s">
        <v>1070</v>
      </c>
      <c r="C212" s="12" t="s">
        <v>1071</v>
      </c>
      <c r="D212" s="5" t="s">
        <v>2</v>
      </c>
      <c r="E212" s="5" t="s">
        <v>1072</v>
      </c>
      <c r="F212" s="5" t="s">
        <v>87</v>
      </c>
      <c r="G212" s="5">
        <v>19.71</v>
      </c>
      <c r="H212" s="6">
        <f t="shared" si="15"/>
        <v>5.0735667174023336E-2</v>
      </c>
      <c r="I212" s="6">
        <v>0.2356</v>
      </c>
      <c r="J212" s="4">
        <f t="shared" si="16"/>
        <v>355</v>
      </c>
      <c r="K212" s="4">
        <f t="shared" si="17"/>
        <v>145</v>
      </c>
      <c r="L212" s="4">
        <f t="shared" si="18"/>
        <v>500</v>
      </c>
      <c r="M212" s="4">
        <f t="shared" si="19"/>
        <v>210</v>
      </c>
    </row>
    <row r="213" spans="2:13" x14ac:dyDescent="0.2">
      <c r="B213" s="12" t="s">
        <v>410</v>
      </c>
      <c r="C213" s="12" t="s">
        <v>411</v>
      </c>
      <c r="D213" s="5" t="s">
        <v>2</v>
      </c>
      <c r="E213" s="5" t="s">
        <v>412</v>
      </c>
      <c r="F213" s="5" t="s">
        <v>91</v>
      </c>
      <c r="G213" s="5">
        <v>12.26</v>
      </c>
      <c r="H213" s="6">
        <f t="shared" si="15"/>
        <v>8.1566068515497553E-2</v>
      </c>
      <c r="I213" s="6">
        <v>0.12570000000000001</v>
      </c>
      <c r="J213" s="4">
        <f t="shared" si="16"/>
        <v>135</v>
      </c>
      <c r="K213" s="4">
        <f t="shared" si="17"/>
        <v>366</v>
      </c>
      <c r="L213" s="4">
        <f t="shared" si="18"/>
        <v>501</v>
      </c>
      <c r="M213" s="4">
        <f t="shared" si="19"/>
        <v>211</v>
      </c>
    </row>
    <row r="214" spans="2:13" x14ac:dyDescent="0.2">
      <c r="B214" s="12" t="s">
        <v>443</v>
      </c>
      <c r="C214" s="12" t="s">
        <v>444</v>
      </c>
      <c r="D214" s="5" t="s">
        <v>2</v>
      </c>
      <c r="E214" s="5" t="s">
        <v>445</v>
      </c>
      <c r="F214" s="5" t="s">
        <v>28</v>
      </c>
      <c r="G214" s="5">
        <v>12.44</v>
      </c>
      <c r="H214" s="6">
        <f t="shared" si="15"/>
        <v>8.0385852090032156E-2</v>
      </c>
      <c r="I214" s="6">
        <v>0.1275</v>
      </c>
      <c r="J214" s="4">
        <f t="shared" si="16"/>
        <v>144</v>
      </c>
      <c r="K214" s="4">
        <f t="shared" si="17"/>
        <v>359</v>
      </c>
      <c r="L214" s="4">
        <f t="shared" si="18"/>
        <v>503</v>
      </c>
      <c r="M214" s="4">
        <f t="shared" si="19"/>
        <v>212</v>
      </c>
    </row>
    <row r="215" spans="2:13" ht="25.5" x14ac:dyDescent="0.2">
      <c r="B215" s="12" t="s">
        <v>1486</v>
      </c>
      <c r="C215" s="12" t="s">
        <v>1487</v>
      </c>
      <c r="D215" s="5" t="s">
        <v>2</v>
      </c>
      <c r="E215" s="5" t="s">
        <v>1488</v>
      </c>
      <c r="F215" s="5" t="s">
        <v>87</v>
      </c>
      <c r="G215" s="5">
        <v>26.6</v>
      </c>
      <c r="H215" s="6">
        <f t="shared" si="15"/>
        <v>3.7593984962406013E-2</v>
      </c>
      <c r="I215" s="6">
        <v>0.61429999999999996</v>
      </c>
      <c r="J215" s="4">
        <f t="shared" si="16"/>
        <v>495</v>
      </c>
      <c r="K215" s="4">
        <f t="shared" si="17"/>
        <v>8</v>
      </c>
      <c r="L215" s="4">
        <f t="shared" si="18"/>
        <v>503</v>
      </c>
      <c r="M215" s="4">
        <f t="shared" si="19"/>
        <v>212</v>
      </c>
    </row>
    <row r="216" spans="2:13" ht="25.5" x14ac:dyDescent="0.2">
      <c r="B216" s="12" t="s">
        <v>632</v>
      </c>
      <c r="C216" s="12" t="s">
        <v>633</v>
      </c>
      <c r="D216" s="5" t="s">
        <v>2</v>
      </c>
      <c r="E216" s="5" t="s">
        <v>634</v>
      </c>
      <c r="F216" s="5" t="s">
        <v>53</v>
      </c>
      <c r="G216" s="5">
        <v>14.82</v>
      </c>
      <c r="H216" s="6">
        <f t="shared" si="15"/>
        <v>6.7476383265856948E-2</v>
      </c>
      <c r="I216" s="6">
        <v>0.15240000000000001</v>
      </c>
      <c r="J216" s="4">
        <f t="shared" si="16"/>
        <v>209</v>
      </c>
      <c r="K216" s="4">
        <f t="shared" si="17"/>
        <v>295</v>
      </c>
      <c r="L216" s="4">
        <f t="shared" si="18"/>
        <v>504</v>
      </c>
      <c r="M216" s="4">
        <f t="shared" si="19"/>
        <v>214</v>
      </c>
    </row>
    <row r="217" spans="2:13" x14ac:dyDescent="0.2">
      <c r="B217" s="12" t="s">
        <v>1028</v>
      </c>
      <c r="C217" s="12" t="s">
        <v>1029</v>
      </c>
      <c r="D217" s="5" t="s">
        <v>2</v>
      </c>
      <c r="E217" s="5" t="s">
        <v>1030</v>
      </c>
      <c r="F217" s="5" t="s">
        <v>91</v>
      </c>
      <c r="G217" s="5">
        <v>18.98</v>
      </c>
      <c r="H217" s="6">
        <f t="shared" si="15"/>
        <v>5.2687038988408853E-2</v>
      </c>
      <c r="I217" s="6">
        <v>0.21920000000000001</v>
      </c>
      <c r="J217" s="4">
        <f t="shared" si="16"/>
        <v>341</v>
      </c>
      <c r="K217" s="4">
        <f t="shared" si="17"/>
        <v>164</v>
      </c>
      <c r="L217" s="4">
        <f t="shared" si="18"/>
        <v>505</v>
      </c>
      <c r="M217" s="4">
        <f t="shared" si="19"/>
        <v>215</v>
      </c>
    </row>
    <row r="218" spans="2:13" x14ac:dyDescent="0.2">
      <c r="B218" s="12" t="s">
        <v>324</v>
      </c>
      <c r="C218" s="12" t="s">
        <v>325</v>
      </c>
      <c r="D218" s="5" t="s">
        <v>2</v>
      </c>
      <c r="E218" s="5" t="s">
        <v>326</v>
      </c>
      <c r="F218" s="5" t="s">
        <v>8</v>
      </c>
      <c r="G218" s="5">
        <v>11.28</v>
      </c>
      <c r="H218" s="6">
        <f t="shared" si="15"/>
        <v>8.8652482269503549E-2</v>
      </c>
      <c r="I218" s="6">
        <v>0.11650000000000001</v>
      </c>
      <c r="J218" s="4">
        <f t="shared" si="16"/>
        <v>106</v>
      </c>
      <c r="K218" s="4">
        <f t="shared" si="17"/>
        <v>401</v>
      </c>
      <c r="L218" s="4">
        <f t="shared" si="18"/>
        <v>507</v>
      </c>
      <c r="M218" s="4">
        <f t="shared" si="19"/>
        <v>216</v>
      </c>
    </row>
    <row r="219" spans="2:13" x14ac:dyDescent="0.2">
      <c r="B219" s="12" t="s">
        <v>180</v>
      </c>
      <c r="C219" s="12" t="s">
        <v>181</v>
      </c>
      <c r="D219" s="5" t="s">
        <v>2</v>
      </c>
      <c r="E219" s="5" t="s">
        <v>182</v>
      </c>
      <c r="F219" s="5" t="s">
        <v>18</v>
      </c>
      <c r="G219" s="5">
        <v>8.6999999999999993</v>
      </c>
      <c r="H219" s="6">
        <f t="shared" si="15"/>
        <v>0.1149425287356322</v>
      </c>
      <c r="I219" s="6">
        <v>0.1032</v>
      </c>
      <c r="J219" s="4">
        <f t="shared" si="16"/>
        <v>58</v>
      </c>
      <c r="K219" s="4">
        <f t="shared" si="17"/>
        <v>450</v>
      </c>
      <c r="L219" s="4">
        <f t="shared" si="18"/>
        <v>508</v>
      </c>
      <c r="M219" s="4">
        <f t="shared" si="19"/>
        <v>217</v>
      </c>
    </row>
    <row r="220" spans="2:13" x14ac:dyDescent="0.2">
      <c r="B220" s="12" t="s">
        <v>527</v>
      </c>
      <c r="C220" s="12" t="s">
        <v>528</v>
      </c>
      <c r="D220" s="5" t="s">
        <v>2</v>
      </c>
      <c r="E220" s="5" t="s">
        <v>529</v>
      </c>
      <c r="F220" s="5" t="s">
        <v>91</v>
      </c>
      <c r="G220" s="5">
        <v>13.66</v>
      </c>
      <c r="H220" s="6">
        <f t="shared" si="15"/>
        <v>7.320644216691069E-2</v>
      </c>
      <c r="I220" s="6">
        <v>0.13719999999999999</v>
      </c>
      <c r="J220" s="4">
        <f t="shared" si="16"/>
        <v>174</v>
      </c>
      <c r="K220" s="4">
        <f t="shared" si="17"/>
        <v>336</v>
      </c>
      <c r="L220" s="4">
        <f t="shared" si="18"/>
        <v>510</v>
      </c>
      <c r="M220" s="4">
        <f t="shared" si="19"/>
        <v>218</v>
      </c>
    </row>
    <row r="221" spans="2:13" x14ac:dyDescent="0.2">
      <c r="B221" s="12" t="s">
        <v>183</v>
      </c>
      <c r="C221" s="12" t="s">
        <v>184</v>
      </c>
      <c r="D221" s="5" t="s">
        <v>2</v>
      </c>
      <c r="E221" s="5" t="s">
        <v>185</v>
      </c>
      <c r="F221" s="5" t="s">
        <v>8</v>
      </c>
      <c r="G221" s="5">
        <v>8.75</v>
      </c>
      <c r="H221" s="6">
        <f t="shared" si="15"/>
        <v>0.11428571428571428</v>
      </c>
      <c r="I221" s="6">
        <v>0.1022</v>
      </c>
      <c r="J221" s="4">
        <f t="shared" si="16"/>
        <v>59</v>
      </c>
      <c r="K221" s="4">
        <f t="shared" si="17"/>
        <v>452</v>
      </c>
      <c r="L221" s="4">
        <f t="shared" si="18"/>
        <v>511</v>
      </c>
      <c r="M221" s="4">
        <f t="shared" si="19"/>
        <v>219</v>
      </c>
    </row>
    <row r="222" spans="2:13" ht="25.5" x14ac:dyDescent="0.2">
      <c r="B222" s="12" t="s">
        <v>351</v>
      </c>
      <c r="C222" s="12" t="s">
        <v>352</v>
      </c>
      <c r="D222" s="5" t="s">
        <v>2</v>
      </c>
      <c r="E222" s="5" t="s">
        <v>353</v>
      </c>
      <c r="F222" s="5" t="s">
        <v>53</v>
      </c>
      <c r="G222" s="5">
        <v>11.66</v>
      </c>
      <c r="H222" s="6">
        <f t="shared" si="15"/>
        <v>8.5763293310463118E-2</v>
      </c>
      <c r="I222" s="6">
        <v>0.1171</v>
      </c>
      <c r="J222" s="4">
        <f t="shared" si="16"/>
        <v>115</v>
      </c>
      <c r="K222" s="4">
        <f t="shared" si="17"/>
        <v>396</v>
      </c>
      <c r="L222" s="4">
        <f t="shared" si="18"/>
        <v>511</v>
      </c>
      <c r="M222" s="4">
        <f t="shared" si="19"/>
        <v>219</v>
      </c>
    </row>
    <row r="223" spans="2:13" x14ac:dyDescent="0.2">
      <c r="B223" s="12" t="s">
        <v>1393</v>
      </c>
      <c r="C223" s="12" t="s">
        <v>1394</v>
      </c>
      <c r="D223" s="5" t="s">
        <v>2</v>
      </c>
      <c r="E223" s="5" t="s">
        <v>1395</v>
      </c>
      <c r="F223" s="5" t="s">
        <v>28</v>
      </c>
      <c r="G223" s="5">
        <v>24.44</v>
      </c>
      <c r="H223" s="6">
        <f t="shared" si="15"/>
        <v>4.0916530278232402E-2</v>
      </c>
      <c r="I223" s="6">
        <v>0.36909999999999998</v>
      </c>
      <c r="J223" s="4">
        <f t="shared" si="16"/>
        <v>464</v>
      </c>
      <c r="K223" s="4">
        <f t="shared" si="17"/>
        <v>47</v>
      </c>
      <c r="L223" s="4">
        <f t="shared" si="18"/>
        <v>511</v>
      </c>
      <c r="M223" s="4">
        <f t="shared" si="19"/>
        <v>219</v>
      </c>
    </row>
    <row r="224" spans="2:13" ht="25.5" x14ac:dyDescent="0.2">
      <c r="B224" s="12" t="s">
        <v>1019</v>
      </c>
      <c r="C224" s="12" t="s">
        <v>1020</v>
      </c>
      <c r="D224" s="5" t="s">
        <v>2</v>
      </c>
      <c r="E224" s="5" t="s">
        <v>1021</v>
      </c>
      <c r="F224" s="5" t="s">
        <v>53</v>
      </c>
      <c r="G224" s="5">
        <v>18.88</v>
      </c>
      <c r="H224" s="6">
        <f t="shared" si="15"/>
        <v>5.2966101694915259E-2</v>
      </c>
      <c r="I224" s="6">
        <v>0.21129999999999999</v>
      </c>
      <c r="J224" s="4">
        <f t="shared" si="16"/>
        <v>338</v>
      </c>
      <c r="K224" s="4">
        <f t="shared" si="17"/>
        <v>174</v>
      </c>
      <c r="L224" s="4">
        <f t="shared" si="18"/>
        <v>512</v>
      </c>
      <c r="M224" s="4">
        <f t="shared" si="19"/>
        <v>222</v>
      </c>
    </row>
    <row r="225" spans="2:13" x14ac:dyDescent="0.2">
      <c r="B225" s="12" t="s">
        <v>620</v>
      </c>
      <c r="C225" s="12" t="s">
        <v>621</v>
      </c>
      <c r="D225" s="5" t="s">
        <v>2</v>
      </c>
      <c r="E225" s="5" t="s">
        <v>622</v>
      </c>
      <c r="F225" s="5" t="s">
        <v>28</v>
      </c>
      <c r="G225" s="5">
        <v>14.66</v>
      </c>
      <c r="H225" s="6">
        <f t="shared" si="15"/>
        <v>6.8212824010914053E-2</v>
      </c>
      <c r="I225" s="6">
        <v>0.1467</v>
      </c>
      <c r="J225" s="4">
        <f t="shared" si="16"/>
        <v>205</v>
      </c>
      <c r="K225" s="4">
        <f t="shared" si="17"/>
        <v>308</v>
      </c>
      <c r="L225" s="4">
        <f t="shared" si="18"/>
        <v>513</v>
      </c>
      <c r="M225" s="4">
        <f t="shared" si="19"/>
        <v>223</v>
      </c>
    </row>
    <row r="226" spans="2:13" ht="25.5" x14ac:dyDescent="0.2">
      <c r="B226" s="12" t="s">
        <v>896</v>
      </c>
      <c r="C226" s="12" t="s">
        <v>897</v>
      </c>
      <c r="D226" s="5" t="s">
        <v>2</v>
      </c>
      <c r="E226" s="5" t="s">
        <v>898</v>
      </c>
      <c r="F226" s="5" t="s">
        <v>87</v>
      </c>
      <c r="G226" s="5">
        <v>17.22</v>
      </c>
      <c r="H226" s="6">
        <f t="shared" si="15"/>
        <v>5.8072009291521488E-2</v>
      </c>
      <c r="I226" s="6">
        <v>0.18709999999999999</v>
      </c>
      <c r="J226" s="4">
        <f t="shared" si="16"/>
        <v>297</v>
      </c>
      <c r="K226" s="4">
        <f t="shared" si="17"/>
        <v>216</v>
      </c>
      <c r="L226" s="4">
        <f t="shared" si="18"/>
        <v>513</v>
      </c>
      <c r="M226" s="4">
        <f t="shared" si="19"/>
        <v>223</v>
      </c>
    </row>
    <row r="227" spans="2:13" x14ac:dyDescent="0.2">
      <c r="B227" s="12" t="s">
        <v>1251</v>
      </c>
      <c r="C227" s="12" t="s">
        <v>1252</v>
      </c>
      <c r="D227" s="5" t="s">
        <v>2</v>
      </c>
      <c r="E227" s="5" t="s">
        <v>1253</v>
      </c>
      <c r="F227" s="5" t="s">
        <v>28</v>
      </c>
      <c r="G227" s="5">
        <v>21.94</v>
      </c>
      <c r="H227" s="6">
        <f t="shared" si="15"/>
        <v>4.5578851412944391E-2</v>
      </c>
      <c r="I227" s="6">
        <v>0.27700000000000002</v>
      </c>
      <c r="J227" s="4">
        <f t="shared" si="16"/>
        <v>416</v>
      </c>
      <c r="K227" s="4">
        <f t="shared" si="17"/>
        <v>97</v>
      </c>
      <c r="L227" s="4">
        <f t="shared" si="18"/>
        <v>513</v>
      </c>
      <c r="M227" s="4">
        <f t="shared" si="19"/>
        <v>223</v>
      </c>
    </row>
    <row r="228" spans="2:13" x14ac:dyDescent="0.2">
      <c r="B228" s="12" t="s">
        <v>953</v>
      </c>
      <c r="C228" s="12" t="s">
        <v>954</v>
      </c>
      <c r="D228" s="5" t="s">
        <v>2</v>
      </c>
      <c r="E228" s="5" t="s">
        <v>955</v>
      </c>
      <c r="F228" s="5" t="s">
        <v>91</v>
      </c>
      <c r="G228" s="5">
        <v>18.07</v>
      </c>
      <c r="H228" s="6">
        <f t="shared" si="15"/>
        <v>5.5340343110127282E-2</v>
      </c>
      <c r="I228" s="6">
        <v>0.1976</v>
      </c>
      <c r="J228" s="4">
        <f t="shared" si="16"/>
        <v>316</v>
      </c>
      <c r="K228" s="4">
        <f t="shared" si="17"/>
        <v>198</v>
      </c>
      <c r="L228" s="4">
        <f t="shared" si="18"/>
        <v>514</v>
      </c>
      <c r="M228" s="4">
        <f t="shared" si="19"/>
        <v>226</v>
      </c>
    </row>
    <row r="229" spans="2:13" ht="25.5" x14ac:dyDescent="0.2">
      <c r="B229" s="12" t="s">
        <v>192</v>
      </c>
      <c r="C229" s="12" t="s">
        <v>193</v>
      </c>
      <c r="D229" s="5" t="s">
        <v>2</v>
      </c>
      <c r="E229" s="5" t="s">
        <v>194</v>
      </c>
      <c r="F229" s="5" t="s">
        <v>87</v>
      </c>
      <c r="G229" s="5">
        <v>8.84</v>
      </c>
      <c r="H229" s="6">
        <f t="shared" si="15"/>
        <v>0.11312217194570136</v>
      </c>
      <c r="I229" s="6">
        <v>0.10199999999999999</v>
      </c>
      <c r="J229" s="4">
        <f t="shared" si="16"/>
        <v>62</v>
      </c>
      <c r="K229" s="4">
        <f t="shared" si="17"/>
        <v>455</v>
      </c>
      <c r="L229" s="4">
        <f t="shared" si="18"/>
        <v>517</v>
      </c>
      <c r="M229" s="4">
        <f t="shared" si="19"/>
        <v>227</v>
      </c>
    </row>
    <row r="230" spans="2:13" x14ac:dyDescent="0.2">
      <c r="B230" s="12" t="s">
        <v>572</v>
      </c>
      <c r="C230" s="12" t="s">
        <v>573</v>
      </c>
      <c r="D230" s="5" t="s">
        <v>2</v>
      </c>
      <c r="E230" s="5" t="s">
        <v>574</v>
      </c>
      <c r="F230" s="5" t="s">
        <v>4</v>
      </c>
      <c r="G230" s="5">
        <v>14.09</v>
      </c>
      <c r="H230" s="6">
        <f t="shared" si="15"/>
        <v>7.0972320794889993E-2</v>
      </c>
      <c r="I230" s="6">
        <v>0.1389</v>
      </c>
      <c r="J230" s="4">
        <f t="shared" si="16"/>
        <v>189</v>
      </c>
      <c r="K230" s="4">
        <f t="shared" si="17"/>
        <v>331</v>
      </c>
      <c r="L230" s="4">
        <f t="shared" si="18"/>
        <v>520</v>
      </c>
      <c r="M230" s="4">
        <f t="shared" si="19"/>
        <v>228</v>
      </c>
    </row>
    <row r="231" spans="2:13" ht="25.5" x14ac:dyDescent="0.2">
      <c r="B231" s="12" t="s">
        <v>1372</v>
      </c>
      <c r="C231" s="12" t="s">
        <v>1373</v>
      </c>
      <c r="D231" s="5" t="s">
        <v>2</v>
      </c>
      <c r="E231" s="5" t="s">
        <v>1374</v>
      </c>
      <c r="F231" s="5" t="s">
        <v>53</v>
      </c>
      <c r="G231" s="5">
        <v>23.93</v>
      </c>
      <c r="H231" s="6">
        <f t="shared" si="15"/>
        <v>4.1788549937317176E-2</v>
      </c>
      <c r="I231" s="6">
        <v>0.33150000000000002</v>
      </c>
      <c r="J231" s="4">
        <f t="shared" si="16"/>
        <v>457</v>
      </c>
      <c r="K231" s="4">
        <f t="shared" si="17"/>
        <v>63</v>
      </c>
      <c r="L231" s="4">
        <f t="shared" si="18"/>
        <v>520</v>
      </c>
      <c r="M231" s="4">
        <f t="shared" si="19"/>
        <v>228</v>
      </c>
    </row>
    <row r="232" spans="2:13" x14ac:dyDescent="0.2">
      <c r="B232" s="12" t="s">
        <v>941</v>
      </c>
      <c r="C232" s="12" t="s">
        <v>942</v>
      </c>
      <c r="D232" s="5" t="s">
        <v>2</v>
      </c>
      <c r="E232" s="5" t="s">
        <v>943</v>
      </c>
      <c r="F232" s="5" t="s">
        <v>91</v>
      </c>
      <c r="G232" s="5">
        <v>17.93</v>
      </c>
      <c r="H232" s="6">
        <f t="shared" si="15"/>
        <v>5.5772448410485224E-2</v>
      </c>
      <c r="I232" s="6">
        <v>0.19359999999999999</v>
      </c>
      <c r="J232" s="4">
        <f t="shared" si="16"/>
        <v>312</v>
      </c>
      <c r="K232" s="4">
        <f t="shared" si="17"/>
        <v>210</v>
      </c>
      <c r="L232" s="4">
        <f t="shared" si="18"/>
        <v>522</v>
      </c>
      <c r="M232" s="4">
        <f t="shared" si="19"/>
        <v>230</v>
      </c>
    </row>
    <row r="233" spans="2:13" ht="25.5" x14ac:dyDescent="0.2">
      <c r="B233" s="12" t="s">
        <v>1405</v>
      </c>
      <c r="C233" s="12" t="s">
        <v>1406</v>
      </c>
      <c r="D233" s="5" t="s">
        <v>2</v>
      </c>
      <c r="E233" s="5" t="s">
        <v>1407</v>
      </c>
      <c r="F233" s="5" t="s">
        <v>87</v>
      </c>
      <c r="G233" s="5">
        <v>24.61</v>
      </c>
      <c r="H233" s="6">
        <f t="shared" si="15"/>
        <v>4.0633888663145067E-2</v>
      </c>
      <c r="I233" s="6">
        <v>0.35</v>
      </c>
      <c r="J233" s="4">
        <f t="shared" si="16"/>
        <v>468</v>
      </c>
      <c r="K233" s="4">
        <f t="shared" si="17"/>
        <v>55</v>
      </c>
      <c r="L233" s="4">
        <f t="shared" si="18"/>
        <v>523</v>
      </c>
      <c r="M233" s="4">
        <f t="shared" si="19"/>
        <v>231</v>
      </c>
    </row>
    <row r="234" spans="2:13" ht="25.5" x14ac:dyDescent="0.2">
      <c r="B234" s="12" t="s">
        <v>587</v>
      </c>
      <c r="C234" s="12" t="s">
        <v>588</v>
      </c>
      <c r="D234" s="5" t="s">
        <v>2</v>
      </c>
      <c r="E234" s="5" t="s">
        <v>589</v>
      </c>
      <c r="F234" s="5" t="s">
        <v>53</v>
      </c>
      <c r="G234" s="5">
        <v>14.3</v>
      </c>
      <c r="H234" s="6">
        <f t="shared" si="15"/>
        <v>6.9930069930069921E-2</v>
      </c>
      <c r="I234" s="6">
        <v>0.1389</v>
      </c>
      <c r="J234" s="4">
        <f t="shared" si="16"/>
        <v>194</v>
      </c>
      <c r="K234" s="4">
        <f t="shared" si="17"/>
        <v>331</v>
      </c>
      <c r="L234" s="4">
        <f t="shared" si="18"/>
        <v>525</v>
      </c>
      <c r="M234" s="4">
        <f t="shared" si="19"/>
        <v>232</v>
      </c>
    </row>
    <row r="235" spans="2:13" ht="25.5" x14ac:dyDescent="0.2">
      <c r="B235" s="12" t="s">
        <v>416</v>
      </c>
      <c r="C235" s="12" t="s">
        <v>417</v>
      </c>
      <c r="D235" s="5" t="s">
        <v>2</v>
      </c>
      <c r="E235" s="5" t="s">
        <v>418</v>
      </c>
      <c r="F235" s="5" t="s">
        <v>53</v>
      </c>
      <c r="G235" s="5">
        <v>12.28</v>
      </c>
      <c r="H235" s="6">
        <f t="shared" si="15"/>
        <v>8.1433224755700334E-2</v>
      </c>
      <c r="I235" s="6">
        <v>0.1186</v>
      </c>
      <c r="J235" s="4">
        <f t="shared" si="16"/>
        <v>136</v>
      </c>
      <c r="K235" s="4">
        <f t="shared" si="17"/>
        <v>391</v>
      </c>
      <c r="L235" s="4">
        <f t="shared" si="18"/>
        <v>527</v>
      </c>
      <c r="M235" s="4">
        <f t="shared" si="19"/>
        <v>233</v>
      </c>
    </row>
    <row r="236" spans="2:13" x14ac:dyDescent="0.2">
      <c r="B236" s="12" t="s">
        <v>365</v>
      </c>
      <c r="C236" s="12" t="s">
        <v>366</v>
      </c>
      <c r="D236" s="5" t="s">
        <v>2</v>
      </c>
      <c r="E236" s="5" t="s">
        <v>367</v>
      </c>
      <c r="F236" s="5" t="s">
        <v>91</v>
      </c>
      <c r="G236" s="5">
        <v>11.77</v>
      </c>
      <c r="H236" s="6">
        <f t="shared" si="15"/>
        <v>8.4961767204757857E-2</v>
      </c>
      <c r="I236" s="6">
        <v>0.113</v>
      </c>
      <c r="J236" s="4">
        <f t="shared" si="16"/>
        <v>120</v>
      </c>
      <c r="K236" s="4">
        <f t="shared" si="17"/>
        <v>409</v>
      </c>
      <c r="L236" s="4">
        <f t="shared" si="18"/>
        <v>529</v>
      </c>
      <c r="M236" s="4">
        <f t="shared" si="19"/>
        <v>234</v>
      </c>
    </row>
    <row r="237" spans="2:13" ht="25.5" x14ac:dyDescent="0.2">
      <c r="B237" s="12" t="s">
        <v>1040</v>
      </c>
      <c r="C237" s="12" t="s">
        <v>1041</v>
      </c>
      <c r="D237" s="5" t="s">
        <v>2</v>
      </c>
      <c r="E237" s="5" t="s">
        <v>1042</v>
      </c>
      <c r="F237" s="5" t="s">
        <v>87</v>
      </c>
      <c r="G237" s="5">
        <v>19.25</v>
      </c>
      <c r="H237" s="6">
        <f t="shared" si="15"/>
        <v>5.1948051948051951E-2</v>
      </c>
      <c r="I237" s="6">
        <v>0.20330000000000001</v>
      </c>
      <c r="J237" s="4">
        <f t="shared" si="16"/>
        <v>345</v>
      </c>
      <c r="K237" s="4">
        <f t="shared" si="17"/>
        <v>184</v>
      </c>
      <c r="L237" s="4">
        <f t="shared" si="18"/>
        <v>529</v>
      </c>
      <c r="M237" s="4">
        <f t="shared" si="19"/>
        <v>234</v>
      </c>
    </row>
    <row r="238" spans="2:13" x14ac:dyDescent="0.2">
      <c r="B238" s="12" t="s">
        <v>1441</v>
      </c>
      <c r="C238" s="12" t="s">
        <v>1442</v>
      </c>
      <c r="D238" s="5" t="s">
        <v>2</v>
      </c>
      <c r="E238" s="5" t="s">
        <v>1443</v>
      </c>
      <c r="F238" s="5" t="s">
        <v>28</v>
      </c>
      <c r="G238" s="5">
        <v>25.32</v>
      </c>
      <c r="H238" s="6">
        <f t="shared" si="15"/>
        <v>3.9494470774091628E-2</v>
      </c>
      <c r="I238" s="6">
        <v>0.3674</v>
      </c>
      <c r="J238" s="4">
        <f t="shared" si="16"/>
        <v>480</v>
      </c>
      <c r="K238" s="4">
        <f t="shared" si="17"/>
        <v>49</v>
      </c>
      <c r="L238" s="4">
        <f t="shared" si="18"/>
        <v>529</v>
      </c>
      <c r="M238" s="4">
        <f t="shared" si="19"/>
        <v>234</v>
      </c>
    </row>
    <row r="239" spans="2:13" ht="25.5" x14ac:dyDescent="0.2">
      <c r="B239" s="12" t="s">
        <v>150</v>
      </c>
      <c r="C239" s="12" t="s">
        <v>151</v>
      </c>
      <c r="D239" s="5" t="s">
        <v>2</v>
      </c>
      <c r="E239" s="5" t="s">
        <v>152</v>
      </c>
      <c r="F239" s="5" t="s">
        <v>53</v>
      </c>
      <c r="G239" s="5">
        <v>8.09</v>
      </c>
      <c r="H239" s="6">
        <f t="shared" si="15"/>
        <v>0.12360939431396786</v>
      </c>
      <c r="I239" s="6">
        <v>9.4100000000000003E-2</v>
      </c>
      <c r="J239" s="4">
        <f t="shared" si="16"/>
        <v>48</v>
      </c>
      <c r="K239" s="4">
        <f t="shared" si="17"/>
        <v>482</v>
      </c>
      <c r="L239" s="4">
        <f t="shared" si="18"/>
        <v>530</v>
      </c>
      <c r="M239" s="4">
        <f t="shared" si="19"/>
        <v>237</v>
      </c>
    </row>
    <row r="240" spans="2:13" x14ac:dyDescent="0.2">
      <c r="B240" s="12" t="s">
        <v>1552</v>
      </c>
      <c r="C240" s="12" t="s">
        <v>1553</v>
      </c>
      <c r="D240" s="5" t="s">
        <v>2</v>
      </c>
      <c r="E240" s="5" t="s">
        <v>1554</v>
      </c>
      <c r="F240" s="5" t="s">
        <v>91</v>
      </c>
      <c r="G240" s="5">
        <v>27.95</v>
      </c>
      <c r="H240" s="6">
        <f t="shared" si="15"/>
        <v>3.5778175313059032E-2</v>
      </c>
      <c r="I240" s="6">
        <v>0.54459999999999997</v>
      </c>
      <c r="J240" s="4">
        <f t="shared" si="16"/>
        <v>517</v>
      </c>
      <c r="K240" s="4">
        <f t="shared" si="17"/>
        <v>13</v>
      </c>
      <c r="L240" s="4">
        <f t="shared" si="18"/>
        <v>530</v>
      </c>
      <c r="M240" s="4">
        <f t="shared" si="19"/>
        <v>237</v>
      </c>
    </row>
    <row r="241" spans="2:13" ht="25.5" x14ac:dyDescent="0.2">
      <c r="B241" s="12" t="s">
        <v>770</v>
      </c>
      <c r="C241" s="12" t="s">
        <v>771</v>
      </c>
      <c r="D241" s="5" t="s">
        <v>2</v>
      </c>
      <c r="E241" s="5" t="s">
        <v>772</v>
      </c>
      <c r="F241" s="5" t="s">
        <v>87</v>
      </c>
      <c r="G241" s="5">
        <v>15.98</v>
      </c>
      <c r="H241" s="6">
        <f t="shared" si="15"/>
        <v>6.2578222778473094E-2</v>
      </c>
      <c r="I241" s="6">
        <v>0.158</v>
      </c>
      <c r="J241" s="4">
        <f t="shared" si="16"/>
        <v>255</v>
      </c>
      <c r="K241" s="4">
        <f t="shared" si="17"/>
        <v>276</v>
      </c>
      <c r="L241" s="4">
        <f t="shared" si="18"/>
        <v>531</v>
      </c>
      <c r="M241" s="4">
        <f t="shared" si="19"/>
        <v>239</v>
      </c>
    </row>
    <row r="242" spans="2:13" ht="25.5" x14ac:dyDescent="0.2">
      <c r="B242" s="12" t="s">
        <v>270</v>
      </c>
      <c r="C242" s="12" t="s">
        <v>271</v>
      </c>
      <c r="D242" s="5" t="s">
        <v>2</v>
      </c>
      <c r="E242" s="5" t="s">
        <v>272</v>
      </c>
      <c r="F242" s="5" t="s">
        <v>53</v>
      </c>
      <c r="G242" s="5">
        <v>10.220000000000001</v>
      </c>
      <c r="H242" s="6">
        <f t="shared" si="15"/>
        <v>9.7847358121330719E-2</v>
      </c>
      <c r="I242" s="6">
        <v>0.1046</v>
      </c>
      <c r="J242" s="4">
        <f t="shared" si="16"/>
        <v>88</v>
      </c>
      <c r="K242" s="4">
        <f t="shared" si="17"/>
        <v>444</v>
      </c>
      <c r="L242" s="4">
        <f t="shared" si="18"/>
        <v>532</v>
      </c>
      <c r="M242" s="4">
        <f t="shared" si="19"/>
        <v>240</v>
      </c>
    </row>
    <row r="243" spans="2:13" x14ac:dyDescent="0.2">
      <c r="B243" s="12" t="s">
        <v>842</v>
      </c>
      <c r="C243" s="12" t="s">
        <v>843</v>
      </c>
      <c r="D243" s="5" t="s">
        <v>2</v>
      </c>
      <c r="E243" s="5" t="s">
        <v>844</v>
      </c>
      <c r="F243" s="5" t="s">
        <v>28</v>
      </c>
      <c r="G243" s="5">
        <v>16.579999999999998</v>
      </c>
      <c r="H243" s="6">
        <f t="shared" si="15"/>
        <v>6.0313630880579019E-2</v>
      </c>
      <c r="I243" s="6">
        <v>0.1701</v>
      </c>
      <c r="J243" s="4">
        <f t="shared" si="16"/>
        <v>279</v>
      </c>
      <c r="K243" s="4">
        <f t="shared" si="17"/>
        <v>254</v>
      </c>
      <c r="L243" s="4">
        <f t="shared" si="18"/>
        <v>533</v>
      </c>
      <c r="M243" s="4">
        <f t="shared" si="19"/>
        <v>241</v>
      </c>
    </row>
    <row r="244" spans="2:13" x14ac:dyDescent="0.2">
      <c r="B244" s="12" t="s">
        <v>674</v>
      </c>
      <c r="C244" s="12" t="s">
        <v>675</v>
      </c>
      <c r="D244" s="5" t="s">
        <v>2</v>
      </c>
      <c r="E244" s="5" t="s">
        <v>676</v>
      </c>
      <c r="F244" s="5" t="s">
        <v>28</v>
      </c>
      <c r="G244" s="5">
        <v>15.26</v>
      </c>
      <c r="H244" s="6">
        <f t="shared" si="15"/>
        <v>6.5530799475753604E-2</v>
      </c>
      <c r="I244" s="6">
        <v>0.14560000000000001</v>
      </c>
      <c r="J244" s="4">
        <f t="shared" si="16"/>
        <v>222</v>
      </c>
      <c r="K244" s="4">
        <f t="shared" si="17"/>
        <v>312</v>
      </c>
      <c r="L244" s="4">
        <f t="shared" si="18"/>
        <v>534</v>
      </c>
      <c r="M244" s="4">
        <f t="shared" si="19"/>
        <v>242</v>
      </c>
    </row>
    <row r="245" spans="2:13" ht="25.5" x14ac:dyDescent="0.2">
      <c r="B245" s="12" t="s">
        <v>1316</v>
      </c>
      <c r="C245" s="12" t="s">
        <v>1317</v>
      </c>
      <c r="D245" s="5" t="s">
        <v>2</v>
      </c>
      <c r="E245" s="5" t="s">
        <v>1318</v>
      </c>
      <c r="F245" s="5" t="s">
        <v>53</v>
      </c>
      <c r="G245" s="5">
        <v>23.26</v>
      </c>
      <c r="H245" s="6">
        <f t="shared" si="15"/>
        <v>4.2992261392949267E-2</v>
      </c>
      <c r="I245" s="6">
        <v>0.27639999999999998</v>
      </c>
      <c r="J245" s="4">
        <f t="shared" si="16"/>
        <v>438</v>
      </c>
      <c r="K245" s="4">
        <f t="shared" si="17"/>
        <v>98</v>
      </c>
      <c r="L245" s="4">
        <f t="shared" si="18"/>
        <v>536</v>
      </c>
      <c r="M245" s="4">
        <f t="shared" si="19"/>
        <v>243</v>
      </c>
    </row>
    <row r="246" spans="2:13" x14ac:dyDescent="0.2">
      <c r="B246" s="12" t="s">
        <v>1558</v>
      </c>
      <c r="C246" s="12" t="s">
        <v>1559</v>
      </c>
      <c r="D246" s="5" t="s">
        <v>2</v>
      </c>
      <c r="E246" s="5" t="s">
        <v>1560</v>
      </c>
      <c r="F246" s="5" t="s">
        <v>4</v>
      </c>
      <c r="G246" s="5">
        <v>28.18</v>
      </c>
      <c r="H246" s="6">
        <f t="shared" si="15"/>
        <v>3.5486160397444996E-2</v>
      </c>
      <c r="I246" s="6">
        <v>0.51300000000000001</v>
      </c>
      <c r="J246" s="4">
        <f t="shared" si="16"/>
        <v>519</v>
      </c>
      <c r="K246" s="4">
        <f t="shared" si="17"/>
        <v>17</v>
      </c>
      <c r="L246" s="4">
        <f t="shared" si="18"/>
        <v>536</v>
      </c>
      <c r="M246" s="4">
        <f t="shared" si="19"/>
        <v>243</v>
      </c>
    </row>
    <row r="247" spans="2:13" x14ac:dyDescent="0.2">
      <c r="B247" s="12" t="s">
        <v>596</v>
      </c>
      <c r="C247" s="12" t="s">
        <v>597</v>
      </c>
      <c r="D247" s="5" t="s">
        <v>2</v>
      </c>
      <c r="E247" s="5" t="s">
        <v>598</v>
      </c>
      <c r="F247" s="5" t="s">
        <v>4</v>
      </c>
      <c r="G247" s="5">
        <v>14.44</v>
      </c>
      <c r="H247" s="6">
        <f t="shared" si="15"/>
        <v>6.9252077562326875E-2</v>
      </c>
      <c r="I247" s="6">
        <v>0.13589999999999999</v>
      </c>
      <c r="J247" s="4">
        <f t="shared" si="16"/>
        <v>196</v>
      </c>
      <c r="K247" s="4">
        <f t="shared" si="17"/>
        <v>341</v>
      </c>
      <c r="L247" s="4">
        <f t="shared" si="18"/>
        <v>537</v>
      </c>
      <c r="M247" s="4">
        <f t="shared" si="19"/>
        <v>245</v>
      </c>
    </row>
    <row r="248" spans="2:13" x14ac:dyDescent="0.2">
      <c r="B248" s="12" t="s">
        <v>722</v>
      </c>
      <c r="C248" s="12" t="s">
        <v>723</v>
      </c>
      <c r="D248" s="5" t="s">
        <v>2</v>
      </c>
      <c r="E248" s="5" t="s">
        <v>724</v>
      </c>
      <c r="F248" s="5" t="s">
        <v>91</v>
      </c>
      <c r="G248" s="5">
        <v>15.71</v>
      </c>
      <c r="H248" s="6">
        <f t="shared" si="15"/>
        <v>6.3653723742838952E-2</v>
      </c>
      <c r="I248" s="6">
        <v>0.15040000000000001</v>
      </c>
      <c r="J248" s="4">
        <f t="shared" si="16"/>
        <v>239</v>
      </c>
      <c r="K248" s="4">
        <f t="shared" si="17"/>
        <v>301</v>
      </c>
      <c r="L248" s="4">
        <f t="shared" si="18"/>
        <v>540</v>
      </c>
      <c r="M248" s="4">
        <f t="shared" si="19"/>
        <v>246</v>
      </c>
    </row>
    <row r="249" spans="2:13" ht="25.5" x14ac:dyDescent="0.2">
      <c r="B249" s="12" t="s">
        <v>354</v>
      </c>
      <c r="C249" s="12" t="s">
        <v>355</v>
      </c>
      <c r="D249" s="5" t="s">
        <v>2</v>
      </c>
      <c r="E249" s="5" t="s">
        <v>356</v>
      </c>
      <c r="F249" s="5" t="s">
        <v>122</v>
      </c>
      <c r="G249" s="5">
        <v>11.67</v>
      </c>
      <c r="H249" s="6">
        <f t="shared" si="15"/>
        <v>8.5689802913453295E-2</v>
      </c>
      <c r="I249" s="6">
        <v>0.1087</v>
      </c>
      <c r="J249" s="4">
        <f t="shared" si="16"/>
        <v>116</v>
      </c>
      <c r="K249" s="4">
        <f t="shared" si="17"/>
        <v>427</v>
      </c>
      <c r="L249" s="4">
        <f t="shared" si="18"/>
        <v>543</v>
      </c>
      <c r="M249" s="4">
        <f t="shared" si="19"/>
        <v>247</v>
      </c>
    </row>
    <row r="250" spans="2:13" x14ac:dyDescent="0.2">
      <c r="B250" s="12" t="s">
        <v>815</v>
      </c>
      <c r="C250" s="12" t="s">
        <v>816</v>
      </c>
      <c r="D250" s="5" t="s">
        <v>2</v>
      </c>
      <c r="E250" s="5" t="s">
        <v>817</v>
      </c>
      <c r="F250" s="5" t="s">
        <v>8</v>
      </c>
      <c r="G250" s="5">
        <v>16.309999999999999</v>
      </c>
      <c r="H250" s="6">
        <f t="shared" si="15"/>
        <v>6.1312078479460456E-2</v>
      </c>
      <c r="I250" s="6">
        <v>0.1593</v>
      </c>
      <c r="J250" s="4">
        <f t="shared" si="16"/>
        <v>270</v>
      </c>
      <c r="K250" s="4">
        <f t="shared" si="17"/>
        <v>273</v>
      </c>
      <c r="L250" s="4">
        <f t="shared" si="18"/>
        <v>543</v>
      </c>
      <c r="M250" s="4">
        <f t="shared" si="19"/>
        <v>247</v>
      </c>
    </row>
    <row r="251" spans="2:13" ht="25.5" x14ac:dyDescent="0.2">
      <c r="B251" s="12" t="s">
        <v>252</v>
      </c>
      <c r="C251" s="12" t="s">
        <v>253</v>
      </c>
      <c r="D251" s="5" t="s">
        <v>2</v>
      </c>
      <c r="E251" s="5" t="s">
        <v>254</v>
      </c>
      <c r="F251" s="5" t="s">
        <v>53</v>
      </c>
      <c r="G251" s="5">
        <v>9.99</v>
      </c>
      <c r="H251" s="6">
        <f t="shared" si="15"/>
        <v>0.10010010010010009</v>
      </c>
      <c r="I251" s="6">
        <v>9.9400000000000002E-2</v>
      </c>
      <c r="J251" s="4">
        <f t="shared" si="16"/>
        <v>82</v>
      </c>
      <c r="K251" s="4">
        <f t="shared" si="17"/>
        <v>462</v>
      </c>
      <c r="L251" s="4">
        <f t="shared" si="18"/>
        <v>544</v>
      </c>
      <c r="M251" s="4">
        <f t="shared" si="19"/>
        <v>249</v>
      </c>
    </row>
    <row r="252" spans="2:13" ht="25.5" x14ac:dyDescent="0.2">
      <c r="B252" s="12" t="s">
        <v>746</v>
      </c>
      <c r="C252" s="12" t="s">
        <v>747</v>
      </c>
      <c r="D252" s="5" t="s">
        <v>2</v>
      </c>
      <c r="E252" s="5" t="s">
        <v>748</v>
      </c>
      <c r="F252" s="5" t="s">
        <v>87</v>
      </c>
      <c r="G252" s="5">
        <v>15.78</v>
      </c>
      <c r="H252" s="6">
        <f t="shared" si="15"/>
        <v>6.3371356147021551E-2</v>
      </c>
      <c r="I252" s="6">
        <v>0.15190000000000001</v>
      </c>
      <c r="J252" s="4">
        <f t="shared" si="16"/>
        <v>247</v>
      </c>
      <c r="K252" s="4">
        <f t="shared" si="17"/>
        <v>298</v>
      </c>
      <c r="L252" s="4">
        <f t="shared" si="18"/>
        <v>545</v>
      </c>
      <c r="M252" s="4">
        <f t="shared" si="19"/>
        <v>250</v>
      </c>
    </row>
    <row r="253" spans="2:13" ht="25.5" x14ac:dyDescent="0.2">
      <c r="B253" s="12" t="s">
        <v>1105</v>
      </c>
      <c r="C253" s="12" t="s">
        <v>1106</v>
      </c>
      <c r="D253" s="5" t="s">
        <v>2</v>
      </c>
      <c r="E253" s="5" t="s">
        <v>1107</v>
      </c>
      <c r="F253" s="5" t="s">
        <v>87</v>
      </c>
      <c r="G253" s="5">
        <v>20.25</v>
      </c>
      <c r="H253" s="6">
        <f t="shared" si="15"/>
        <v>4.9382716049382713E-2</v>
      </c>
      <c r="I253" s="6">
        <v>0.20549999999999999</v>
      </c>
      <c r="J253" s="4">
        <f t="shared" si="16"/>
        <v>367</v>
      </c>
      <c r="K253" s="4">
        <f t="shared" si="17"/>
        <v>178</v>
      </c>
      <c r="L253" s="4">
        <f t="shared" si="18"/>
        <v>545</v>
      </c>
      <c r="M253" s="4">
        <f t="shared" si="19"/>
        <v>250</v>
      </c>
    </row>
    <row r="254" spans="2:13" ht="25.5" x14ac:dyDescent="0.2">
      <c r="B254" s="12" t="s">
        <v>1313</v>
      </c>
      <c r="C254" s="12" t="s">
        <v>1314</v>
      </c>
      <c r="D254" s="5" t="s">
        <v>2</v>
      </c>
      <c r="E254" s="5" t="s">
        <v>1315</v>
      </c>
      <c r="F254" s="5" t="s">
        <v>87</v>
      </c>
      <c r="G254" s="5">
        <v>23.09</v>
      </c>
      <c r="H254" s="6">
        <f t="shared" si="15"/>
        <v>4.3308791684711995E-2</v>
      </c>
      <c r="I254" s="6">
        <v>0.26519999999999999</v>
      </c>
      <c r="J254" s="4">
        <f t="shared" si="16"/>
        <v>437</v>
      </c>
      <c r="K254" s="4">
        <f t="shared" si="17"/>
        <v>111</v>
      </c>
      <c r="L254" s="4">
        <f t="shared" si="18"/>
        <v>548</v>
      </c>
      <c r="M254" s="4">
        <f t="shared" si="19"/>
        <v>252</v>
      </c>
    </row>
    <row r="255" spans="2:13" x14ac:dyDescent="0.2">
      <c r="B255" s="12" t="s">
        <v>470</v>
      </c>
      <c r="C255" s="12" t="s">
        <v>471</v>
      </c>
      <c r="D255" s="5" t="s">
        <v>2</v>
      </c>
      <c r="E255" s="5" t="s">
        <v>472</v>
      </c>
      <c r="F255" s="5" t="s">
        <v>18</v>
      </c>
      <c r="G255" s="5">
        <v>12.96</v>
      </c>
      <c r="H255" s="6">
        <f t="shared" si="15"/>
        <v>7.716049382716049E-2</v>
      </c>
      <c r="I255" s="6">
        <v>0.11749999999999999</v>
      </c>
      <c r="J255" s="4">
        <f t="shared" si="16"/>
        <v>155</v>
      </c>
      <c r="K255" s="4">
        <f t="shared" si="17"/>
        <v>395</v>
      </c>
      <c r="L255" s="4">
        <f t="shared" si="18"/>
        <v>550</v>
      </c>
      <c r="M255" s="4">
        <f t="shared" si="19"/>
        <v>253</v>
      </c>
    </row>
    <row r="256" spans="2:13" x14ac:dyDescent="0.2">
      <c r="B256" s="12" t="s">
        <v>461</v>
      </c>
      <c r="C256" s="12" t="s">
        <v>462</v>
      </c>
      <c r="D256" s="5" t="s">
        <v>2</v>
      </c>
      <c r="E256" s="5" t="s">
        <v>463</v>
      </c>
      <c r="F256" s="5" t="s">
        <v>18</v>
      </c>
      <c r="G256" s="5">
        <v>12.64</v>
      </c>
      <c r="H256" s="6">
        <f t="shared" si="15"/>
        <v>7.9113924050632903E-2</v>
      </c>
      <c r="I256" s="6">
        <v>0.1167</v>
      </c>
      <c r="J256" s="4">
        <f t="shared" si="16"/>
        <v>152</v>
      </c>
      <c r="K256" s="4">
        <f t="shared" si="17"/>
        <v>399</v>
      </c>
      <c r="L256" s="4">
        <f t="shared" si="18"/>
        <v>551</v>
      </c>
      <c r="M256" s="4">
        <f t="shared" si="19"/>
        <v>254</v>
      </c>
    </row>
    <row r="257" spans="2:13" x14ac:dyDescent="0.2">
      <c r="B257" s="12" t="s">
        <v>386</v>
      </c>
      <c r="C257" s="12" t="s">
        <v>387</v>
      </c>
      <c r="D257" s="5" t="s">
        <v>2</v>
      </c>
      <c r="E257" s="5" t="s">
        <v>388</v>
      </c>
      <c r="F257" s="5" t="s">
        <v>91</v>
      </c>
      <c r="G257" s="5">
        <v>11.92</v>
      </c>
      <c r="H257" s="6">
        <f t="shared" si="15"/>
        <v>8.3892617449664433E-2</v>
      </c>
      <c r="I257" s="6">
        <v>0.1095</v>
      </c>
      <c r="J257" s="4">
        <f t="shared" si="16"/>
        <v>127</v>
      </c>
      <c r="K257" s="4">
        <f t="shared" si="17"/>
        <v>425</v>
      </c>
      <c r="L257" s="4">
        <f t="shared" si="18"/>
        <v>552</v>
      </c>
      <c r="M257" s="4">
        <f t="shared" si="19"/>
        <v>255</v>
      </c>
    </row>
    <row r="258" spans="2:13" x14ac:dyDescent="0.2">
      <c r="B258" s="12" t="s">
        <v>656</v>
      </c>
      <c r="C258" s="12" t="s">
        <v>657</v>
      </c>
      <c r="D258" s="5" t="s">
        <v>2</v>
      </c>
      <c r="E258" s="5" t="s">
        <v>658</v>
      </c>
      <c r="F258" s="5" t="s">
        <v>91</v>
      </c>
      <c r="G258" s="5">
        <v>15.06</v>
      </c>
      <c r="H258" s="6">
        <f t="shared" si="15"/>
        <v>6.6401062416998669E-2</v>
      </c>
      <c r="I258" s="6">
        <v>0.13730000000000001</v>
      </c>
      <c r="J258" s="4">
        <f t="shared" si="16"/>
        <v>217</v>
      </c>
      <c r="K258" s="4">
        <f t="shared" si="17"/>
        <v>335</v>
      </c>
      <c r="L258" s="4">
        <f t="shared" si="18"/>
        <v>552</v>
      </c>
      <c r="M258" s="4">
        <f t="shared" si="19"/>
        <v>255</v>
      </c>
    </row>
    <row r="259" spans="2:13" x14ac:dyDescent="0.2">
      <c r="B259" s="12" t="s">
        <v>1185</v>
      </c>
      <c r="C259" s="12" t="s">
        <v>1186</v>
      </c>
      <c r="D259" s="5" t="s">
        <v>2</v>
      </c>
      <c r="E259" s="5" t="s">
        <v>1187</v>
      </c>
      <c r="F259" s="5" t="s">
        <v>28</v>
      </c>
      <c r="G259" s="5">
        <v>21.25</v>
      </c>
      <c r="H259" s="6">
        <f t="shared" ref="H259:H322" si="20">1/G259</f>
        <v>4.7058823529411764E-2</v>
      </c>
      <c r="I259" s="6">
        <v>0.22359999999999999</v>
      </c>
      <c r="J259" s="4">
        <f t="shared" ref="J259:J322" si="21">+_xlfn.RANK.EQ(H259,H:H,0)</f>
        <v>394</v>
      </c>
      <c r="K259" s="4">
        <f t="shared" ref="K259:K322" si="22">+_xlfn.RANK.EQ(I259,I:I,0)</f>
        <v>158</v>
      </c>
      <c r="L259" s="4">
        <f t="shared" ref="L259:L322" si="23">+J259+K259</f>
        <v>552</v>
      </c>
      <c r="M259" s="4">
        <f t="shared" ref="M259:M322" si="24">+_xlfn.RANK.EQ(L259,L:L,1)</f>
        <v>255</v>
      </c>
    </row>
    <row r="260" spans="2:13" x14ac:dyDescent="0.2">
      <c r="B260" s="12" t="s">
        <v>1390</v>
      </c>
      <c r="C260" s="12" t="s">
        <v>1391</v>
      </c>
      <c r="D260" s="5" t="s">
        <v>2</v>
      </c>
      <c r="E260" s="5" t="s">
        <v>1392</v>
      </c>
      <c r="F260" s="5" t="s">
        <v>28</v>
      </c>
      <c r="G260" s="5">
        <v>24.37</v>
      </c>
      <c r="H260" s="6">
        <f t="shared" si="20"/>
        <v>4.103405826836274E-2</v>
      </c>
      <c r="I260" s="6">
        <v>0.2823</v>
      </c>
      <c r="J260" s="4">
        <f t="shared" si="21"/>
        <v>463</v>
      </c>
      <c r="K260" s="4">
        <f t="shared" si="22"/>
        <v>89</v>
      </c>
      <c r="L260" s="4">
        <f t="shared" si="23"/>
        <v>552</v>
      </c>
      <c r="M260" s="4">
        <f t="shared" si="24"/>
        <v>255</v>
      </c>
    </row>
    <row r="261" spans="2:13" x14ac:dyDescent="0.2">
      <c r="B261" s="12" t="s">
        <v>530</v>
      </c>
      <c r="C261" s="12" t="s">
        <v>531</v>
      </c>
      <c r="D261" s="5" t="s">
        <v>2</v>
      </c>
      <c r="E261" s="5" t="s">
        <v>532</v>
      </c>
      <c r="F261" s="5" t="s">
        <v>28</v>
      </c>
      <c r="G261" s="5">
        <v>13.71</v>
      </c>
      <c r="H261" s="6">
        <f t="shared" si="20"/>
        <v>7.2939460247994164E-2</v>
      </c>
      <c r="I261" s="6">
        <v>0.12239999999999999</v>
      </c>
      <c r="J261" s="4">
        <f t="shared" si="21"/>
        <v>175</v>
      </c>
      <c r="K261" s="4">
        <f t="shared" si="22"/>
        <v>379</v>
      </c>
      <c r="L261" s="4">
        <f t="shared" si="23"/>
        <v>554</v>
      </c>
      <c r="M261" s="4">
        <f t="shared" si="24"/>
        <v>259</v>
      </c>
    </row>
    <row r="262" spans="2:13" ht="25.5" x14ac:dyDescent="0.2">
      <c r="B262" s="12" t="s">
        <v>554</v>
      </c>
      <c r="C262" s="12" t="s">
        <v>555</v>
      </c>
      <c r="D262" s="5" t="s">
        <v>2</v>
      </c>
      <c r="E262" s="5" t="s">
        <v>556</v>
      </c>
      <c r="F262" s="5" t="s">
        <v>53</v>
      </c>
      <c r="G262" s="5">
        <v>13.9</v>
      </c>
      <c r="H262" s="6">
        <f t="shared" si="20"/>
        <v>7.1942446043165464E-2</v>
      </c>
      <c r="I262" s="6">
        <v>0.124</v>
      </c>
      <c r="J262" s="4">
        <f t="shared" si="21"/>
        <v>183</v>
      </c>
      <c r="K262" s="4">
        <f t="shared" si="22"/>
        <v>371</v>
      </c>
      <c r="L262" s="4">
        <f t="shared" si="23"/>
        <v>554</v>
      </c>
      <c r="M262" s="4">
        <f t="shared" si="24"/>
        <v>259</v>
      </c>
    </row>
    <row r="263" spans="2:13" x14ac:dyDescent="0.2">
      <c r="B263" s="12" t="s">
        <v>692</v>
      </c>
      <c r="C263" s="12" t="s">
        <v>693</v>
      </c>
      <c r="D263" s="5" t="s">
        <v>2</v>
      </c>
      <c r="E263" s="5" t="s">
        <v>694</v>
      </c>
      <c r="F263" s="5" t="s">
        <v>91</v>
      </c>
      <c r="G263" s="5">
        <v>15.47</v>
      </c>
      <c r="H263" s="6">
        <f t="shared" si="20"/>
        <v>6.464124111182934E-2</v>
      </c>
      <c r="I263" s="6">
        <v>0.1414</v>
      </c>
      <c r="J263" s="4">
        <f t="shared" si="21"/>
        <v>229</v>
      </c>
      <c r="K263" s="4">
        <f t="shared" si="22"/>
        <v>326</v>
      </c>
      <c r="L263" s="4">
        <f t="shared" si="23"/>
        <v>555</v>
      </c>
      <c r="M263" s="4">
        <f t="shared" si="24"/>
        <v>261</v>
      </c>
    </row>
    <row r="264" spans="2:13" x14ac:dyDescent="0.2">
      <c r="B264" s="12" t="s">
        <v>1004</v>
      </c>
      <c r="C264" s="12" t="s">
        <v>1005</v>
      </c>
      <c r="D264" s="5" t="s">
        <v>2</v>
      </c>
      <c r="E264" s="5" t="s">
        <v>1006</v>
      </c>
      <c r="F264" s="5" t="s">
        <v>28</v>
      </c>
      <c r="G264" s="5">
        <v>18.66</v>
      </c>
      <c r="H264" s="6">
        <f t="shared" si="20"/>
        <v>5.3590568060021437E-2</v>
      </c>
      <c r="I264" s="6">
        <v>0.18559999999999999</v>
      </c>
      <c r="J264" s="4">
        <f t="shared" si="21"/>
        <v>333</v>
      </c>
      <c r="K264" s="4">
        <f t="shared" si="22"/>
        <v>222</v>
      </c>
      <c r="L264" s="4">
        <f t="shared" si="23"/>
        <v>555</v>
      </c>
      <c r="M264" s="4">
        <f t="shared" si="24"/>
        <v>261</v>
      </c>
    </row>
    <row r="265" spans="2:13" ht="25.5" x14ac:dyDescent="0.2">
      <c r="B265" s="12" t="s">
        <v>422</v>
      </c>
      <c r="C265" s="12" t="s">
        <v>423</v>
      </c>
      <c r="D265" s="5" t="s">
        <v>2</v>
      </c>
      <c r="E265" s="5" t="s">
        <v>424</v>
      </c>
      <c r="F265" s="5" t="s">
        <v>53</v>
      </c>
      <c r="G265" s="5">
        <v>12.34</v>
      </c>
      <c r="H265" s="6">
        <f t="shared" si="20"/>
        <v>8.1037277147487846E-2</v>
      </c>
      <c r="I265" s="6">
        <v>0.1101</v>
      </c>
      <c r="J265" s="4">
        <f t="shared" si="21"/>
        <v>138</v>
      </c>
      <c r="K265" s="4">
        <f t="shared" si="22"/>
        <v>418</v>
      </c>
      <c r="L265" s="4">
        <f t="shared" si="23"/>
        <v>556</v>
      </c>
      <c r="M265" s="4">
        <f t="shared" si="24"/>
        <v>263</v>
      </c>
    </row>
    <row r="266" spans="2:13" ht="25.5" x14ac:dyDescent="0.2">
      <c r="B266" s="12" t="s">
        <v>1290</v>
      </c>
      <c r="C266" s="12" t="s">
        <v>1291</v>
      </c>
      <c r="D266" s="5" t="s">
        <v>2</v>
      </c>
      <c r="E266" s="5" t="s">
        <v>1292</v>
      </c>
      <c r="F266" s="5" t="s">
        <v>53</v>
      </c>
      <c r="G266" s="5">
        <v>22.67</v>
      </c>
      <c r="H266" s="6">
        <f t="shared" si="20"/>
        <v>4.4111160123511246E-2</v>
      </c>
      <c r="I266" s="6">
        <v>0.247</v>
      </c>
      <c r="J266" s="4">
        <f t="shared" si="21"/>
        <v>429</v>
      </c>
      <c r="K266" s="4">
        <f t="shared" si="22"/>
        <v>130</v>
      </c>
      <c r="L266" s="4">
        <f t="shared" si="23"/>
        <v>559</v>
      </c>
      <c r="M266" s="4">
        <f t="shared" si="24"/>
        <v>264</v>
      </c>
    </row>
    <row r="267" spans="2:13" x14ac:dyDescent="0.2">
      <c r="B267" s="12" t="s">
        <v>839</v>
      </c>
      <c r="C267" s="12" t="s">
        <v>840</v>
      </c>
      <c r="D267" s="5" t="s">
        <v>2</v>
      </c>
      <c r="E267" s="5" t="s">
        <v>841</v>
      </c>
      <c r="F267" s="5" t="s">
        <v>28</v>
      </c>
      <c r="G267" s="5">
        <v>16.57</v>
      </c>
      <c r="H267" s="6">
        <f t="shared" si="20"/>
        <v>6.0350030175015085E-2</v>
      </c>
      <c r="I267" s="6">
        <v>0.1552</v>
      </c>
      <c r="J267" s="4">
        <f t="shared" si="21"/>
        <v>278</v>
      </c>
      <c r="K267" s="4">
        <f t="shared" si="22"/>
        <v>284</v>
      </c>
      <c r="L267" s="4">
        <f t="shared" si="23"/>
        <v>562</v>
      </c>
      <c r="M267" s="4">
        <f t="shared" si="24"/>
        <v>265</v>
      </c>
    </row>
    <row r="268" spans="2:13" x14ac:dyDescent="0.2">
      <c r="B268" s="12" t="s">
        <v>584</v>
      </c>
      <c r="C268" s="12" t="s">
        <v>585</v>
      </c>
      <c r="D268" s="5" t="s">
        <v>2</v>
      </c>
      <c r="E268" s="5" t="s">
        <v>586</v>
      </c>
      <c r="F268" s="5" t="s">
        <v>18</v>
      </c>
      <c r="G268" s="5">
        <v>14.24</v>
      </c>
      <c r="H268" s="6">
        <f t="shared" si="20"/>
        <v>7.02247191011236E-2</v>
      </c>
      <c r="I268" s="6">
        <v>0.1236</v>
      </c>
      <c r="J268" s="4">
        <f t="shared" si="21"/>
        <v>193</v>
      </c>
      <c r="K268" s="4">
        <f t="shared" si="22"/>
        <v>372</v>
      </c>
      <c r="L268" s="4">
        <f t="shared" si="23"/>
        <v>565</v>
      </c>
      <c r="M268" s="4">
        <f t="shared" si="24"/>
        <v>266</v>
      </c>
    </row>
    <row r="269" spans="2:13" ht="25.5" x14ac:dyDescent="0.2">
      <c r="B269" s="12" t="s">
        <v>899</v>
      </c>
      <c r="C269" s="12" t="s">
        <v>900</v>
      </c>
      <c r="D269" s="5" t="s">
        <v>2</v>
      </c>
      <c r="E269" s="5" t="s">
        <v>901</v>
      </c>
      <c r="F269" s="5" t="s">
        <v>87</v>
      </c>
      <c r="G269" s="5">
        <v>17.28</v>
      </c>
      <c r="H269" s="6">
        <f t="shared" si="20"/>
        <v>5.7870370370370364E-2</v>
      </c>
      <c r="I269" s="6">
        <v>0.1615</v>
      </c>
      <c r="J269" s="4">
        <f t="shared" si="21"/>
        <v>298</v>
      </c>
      <c r="K269" s="4">
        <f t="shared" si="22"/>
        <v>268</v>
      </c>
      <c r="L269" s="4">
        <f t="shared" si="23"/>
        <v>566</v>
      </c>
      <c r="M269" s="4">
        <f t="shared" si="24"/>
        <v>267</v>
      </c>
    </row>
    <row r="270" spans="2:13" x14ac:dyDescent="0.2">
      <c r="B270" s="12" t="s">
        <v>560</v>
      </c>
      <c r="C270" s="12" t="s">
        <v>561</v>
      </c>
      <c r="D270" s="5" t="s">
        <v>2</v>
      </c>
      <c r="E270" s="5" t="s">
        <v>562</v>
      </c>
      <c r="F270" s="5" t="s">
        <v>8</v>
      </c>
      <c r="G270" s="5">
        <v>14.02</v>
      </c>
      <c r="H270" s="6">
        <f t="shared" si="20"/>
        <v>7.1326676176890161E-2</v>
      </c>
      <c r="I270" s="6">
        <v>0.12139999999999999</v>
      </c>
      <c r="J270" s="4">
        <f t="shared" si="21"/>
        <v>185</v>
      </c>
      <c r="K270" s="4">
        <f t="shared" si="22"/>
        <v>384</v>
      </c>
      <c r="L270" s="4">
        <f t="shared" si="23"/>
        <v>569</v>
      </c>
      <c r="M270" s="4">
        <f t="shared" si="24"/>
        <v>268</v>
      </c>
    </row>
    <row r="271" spans="2:13" ht="25.5" x14ac:dyDescent="0.2">
      <c r="B271" s="12" t="s">
        <v>980</v>
      </c>
      <c r="C271" s="12" t="s">
        <v>981</v>
      </c>
      <c r="D271" s="5" t="s">
        <v>2</v>
      </c>
      <c r="E271" s="5" t="s">
        <v>982</v>
      </c>
      <c r="F271" s="5" t="s">
        <v>87</v>
      </c>
      <c r="G271" s="5">
        <v>18.34</v>
      </c>
      <c r="H271" s="6">
        <f t="shared" si="20"/>
        <v>5.4525627044711013E-2</v>
      </c>
      <c r="I271" s="6">
        <v>0.17430000000000001</v>
      </c>
      <c r="J271" s="4">
        <f t="shared" si="21"/>
        <v>325</v>
      </c>
      <c r="K271" s="4">
        <f t="shared" si="22"/>
        <v>246</v>
      </c>
      <c r="L271" s="4">
        <f t="shared" si="23"/>
        <v>571</v>
      </c>
      <c r="M271" s="4">
        <f t="shared" si="24"/>
        <v>269</v>
      </c>
    </row>
    <row r="272" spans="2:13" ht="25.5" x14ac:dyDescent="0.2">
      <c r="B272" s="12" t="s">
        <v>294</v>
      </c>
      <c r="C272" s="12" t="s">
        <v>295</v>
      </c>
      <c r="D272" s="5" t="s">
        <v>2</v>
      </c>
      <c r="E272" s="5" t="s">
        <v>296</v>
      </c>
      <c r="F272" s="5" t="s">
        <v>122</v>
      </c>
      <c r="G272" s="5">
        <v>10.78</v>
      </c>
      <c r="H272" s="6">
        <f t="shared" si="20"/>
        <v>9.27643784786642E-2</v>
      </c>
      <c r="I272" s="6">
        <v>9.5399999999999999E-2</v>
      </c>
      <c r="J272" s="4">
        <f t="shared" si="21"/>
        <v>96</v>
      </c>
      <c r="K272" s="4">
        <f t="shared" si="22"/>
        <v>476</v>
      </c>
      <c r="L272" s="4">
        <f t="shared" si="23"/>
        <v>572</v>
      </c>
      <c r="M272" s="4">
        <f t="shared" si="24"/>
        <v>270</v>
      </c>
    </row>
    <row r="273" spans="2:13" x14ac:dyDescent="0.2">
      <c r="B273" s="12" t="s">
        <v>1123</v>
      </c>
      <c r="C273" s="12" t="s">
        <v>1124</v>
      </c>
      <c r="D273" s="5" t="s">
        <v>2</v>
      </c>
      <c r="E273" s="5" t="s">
        <v>1125</v>
      </c>
      <c r="F273" s="5" t="s">
        <v>91</v>
      </c>
      <c r="G273" s="5">
        <v>20.5</v>
      </c>
      <c r="H273" s="6">
        <f t="shared" si="20"/>
        <v>4.878048780487805E-2</v>
      </c>
      <c r="I273" s="6">
        <v>0.19719999999999999</v>
      </c>
      <c r="J273" s="4">
        <f t="shared" si="21"/>
        <v>373</v>
      </c>
      <c r="K273" s="4">
        <f t="shared" si="22"/>
        <v>200</v>
      </c>
      <c r="L273" s="4">
        <f t="shared" si="23"/>
        <v>573</v>
      </c>
      <c r="M273" s="4">
        <f t="shared" si="24"/>
        <v>271</v>
      </c>
    </row>
    <row r="274" spans="2:13" x14ac:dyDescent="0.2">
      <c r="B274" s="12" t="s">
        <v>1263</v>
      </c>
      <c r="C274" s="12" t="s">
        <v>1264</v>
      </c>
      <c r="D274" s="5" t="s">
        <v>2</v>
      </c>
      <c r="E274" s="5" t="s">
        <v>1265</v>
      </c>
      <c r="F274" s="5" t="s">
        <v>28</v>
      </c>
      <c r="G274" s="5">
        <v>22.24</v>
      </c>
      <c r="H274" s="6">
        <f t="shared" si="20"/>
        <v>4.4964028776978422E-2</v>
      </c>
      <c r="I274" s="6">
        <v>0.2273</v>
      </c>
      <c r="J274" s="4">
        <f t="shared" si="21"/>
        <v>420</v>
      </c>
      <c r="K274" s="4">
        <f t="shared" si="22"/>
        <v>154</v>
      </c>
      <c r="L274" s="4">
        <f t="shared" si="23"/>
        <v>574</v>
      </c>
      <c r="M274" s="4">
        <f t="shared" si="24"/>
        <v>272</v>
      </c>
    </row>
    <row r="275" spans="2:13" x14ac:dyDescent="0.2">
      <c r="B275" s="12" t="s">
        <v>362</v>
      </c>
      <c r="C275" s="12" t="s">
        <v>363</v>
      </c>
      <c r="D275" s="5" t="s">
        <v>2</v>
      </c>
      <c r="E275" s="5" t="s">
        <v>364</v>
      </c>
      <c r="F275" s="5" t="s">
        <v>4</v>
      </c>
      <c r="G275" s="5">
        <v>11.75</v>
      </c>
      <c r="H275" s="6">
        <f t="shared" si="20"/>
        <v>8.5106382978723402E-2</v>
      </c>
      <c r="I275" s="6">
        <v>0.1017</v>
      </c>
      <c r="J275" s="4">
        <f t="shared" si="21"/>
        <v>119</v>
      </c>
      <c r="K275" s="4">
        <f t="shared" si="22"/>
        <v>456</v>
      </c>
      <c r="L275" s="4">
        <f t="shared" si="23"/>
        <v>575</v>
      </c>
      <c r="M275" s="4">
        <f t="shared" si="24"/>
        <v>273</v>
      </c>
    </row>
    <row r="276" spans="2:13" x14ac:dyDescent="0.2">
      <c r="B276" s="12" t="s">
        <v>1447</v>
      </c>
      <c r="C276" s="12" t="s">
        <v>1448</v>
      </c>
      <c r="D276" s="5" t="s">
        <v>2</v>
      </c>
      <c r="E276" s="5" t="s">
        <v>1449</v>
      </c>
      <c r="F276" s="5" t="s">
        <v>28</v>
      </c>
      <c r="G276" s="5">
        <v>25.4</v>
      </c>
      <c r="H276" s="6">
        <f t="shared" si="20"/>
        <v>3.937007874015748E-2</v>
      </c>
      <c r="I276" s="6">
        <v>0.27789999999999998</v>
      </c>
      <c r="J276" s="4">
        <f t="shared" si="21"/>
        <v>482</v>
      </c>
      <c r="K276" s="4">
        <f t="shared" si="22"/>
        <v>95</v>
      </c>
      <c r="L276" s="4">
        <f t="shared" si="23"/>
        <v>577</v>
      </c>
      <c r="M276" s="4">
        <f t="shared" si="24"/>
        <v>274</v>
      </c>
    </row>
    <row r="277" spans="2:13" ht="25.5" x14ac:dyDescent="0.2">
      <c r="B277" s="12" t="s">
        <v>998</v>
      </c>
      <c r="C277" s="12" t="s">
        <v>999</v>
      </c>
      <c r="D277" s="5" t="s">
        <v>2</v>
      </c>
      <c r="E277" s="5" t="s">
        <v>1000</v>
      </c>
      <c r="F277" s="5" t="s">
        <v>53</v>
      </c>
      <c r="G277" s="5">
        <v>18.62</v>
      </c>
      <c r="H277" s="6">
        <f t="shared" si="20"/>
        <v>5.3705692803437163E-2</v>
      </c>
      <c r="I277" s="6">
        <v>0.17369999999999999</v>
      </c>
      <c r="J277" s="4">
        <f t="shared" si="21"/>
        <v>331</v>
      </c>
      <c r="K277" s="4">
        <f t="shared" si="22"/>
        <v>247</v>
      </c>
      <c r="L277" s="4">
        <f t="shared" si="23"/>
        <v>578</v>
      </c>
      <c r="M277" s="4">
        <f t="shared" si="24"/>
        <v>275</v>
      </c>
    </row>
    <row r="278" spans="2:13" x14ac:dyDescent="0.2">
      <c r="B278" s="12" t="s">
        <v>1090</v>
      </c>
      <c r="C278" s="12" t="s">
        <v>1091</v>
      </c>
      <c r="D278" s="5" t="s">
        <v>2</v>
      </c>
      <c r="E278" s="5" t="s">
        <v>1092</v>
      </c>
      <c r="F278" s="5" t="s">
        <v>4</v>
      </c>
      <c r="G278" s="5">
        <v>19.850000000000001</v>
      </c>
      <c r="H278" s="6">
        <f t="shared" si="20"/>
        <v>5.037783375314861E-2</v>
      </c>
      <c r="I278" s="6">
        <v>0.18709999999999999</v>
      </c>
      <c r="J278" s="4">
        <f t="shared" si="21"/>
        <v>362</v>
      </c>
      <c r="K278" s="4">
        <f t="shared" si="22"/>
        <v>216</v>
      </c>
      <c r="L278" s="4">
        <f t="shared" si="23"/>
        <v>578</v>
      </c>
      <c r="M278" s="4">
        <f t="shared" si="24"/>
        <v>275</v>
      </c>
    </row>
    <row r="279" spans="2:13" x14ac:dyDescent="0.2">
      <c r="B279" s="12" t="s">
        <v>1212</v>
      </c>
      <c r="C279" s="12" t="s">
        <v>1213</v>
      </c>
      <c r="D279" s="5" t="s">
        <v>2</v>
      </c>
      <c r="E279" s="5" t="s">
        <v>1214</v>
      </c>
      <c r="F279" s="5" t="s">
        <v>28</v>
      </c>
      <c r="G279" s="5">
        <v>21.47</v>
      </c>
      <c r="H279" s="6">
        <f t="shared" si="20"/>
        <v>4.6576618537494181E-2</v>
      </c>
      <c r="I279" s="6">
        <v>0.20810000000000001</v>
      </c>
      <c r="J279" s="4">
        <f t="shared" si="21"/>
        <v>402</v>
      </c>
      <c r="K279" s="4">
        <f t="shared" si="22"/>
        <v>176</v>
      </c>
      <c r="L279" s="4">
        <f t="shared" si="23"/>
        <v>578</v>
      </c>
      <c r="M279" s="4">
        <f t="shared" si="24"/>
        <v>275</v>
      </c>
    </row>
    <row r="280" spans="2:13" ht="25.5" x14ac:dyDescent="0.2">
      <c r="B280" s="12" t="s">
        <v>1729</v>
      </c>
      <c r="C280" s="12" t="s">
        <v>1730</v>
      </c>
      <c r="D280" s="5" t="s">
        <v>2</v>
      </c>
      <c r="E280" s="5" t="s">
        <v>1731</v>
      </c>
      <c r="F280" s="5" t="s">
        <v>87</v>
      </c>
      <c r="G280" s="5">
        <v>33.409999999999997</v>
      </c>
      <c r="H280" s="6">
        <f t="shared" si="20"/>
        <v>2.9931158335827601E-2</v>
      </c>
      <c r="I280" s="6">
        <v>1.0692999999999999</v>
      </c>
      <c r="J280" s="4">
        <f t="shared" si="21"/>
        <v>576</v>
      </c>
      <c r="K280" s="4">
        <f t="shared" si="22"/>
        <v>2</v>
      </c>
      <c r="L280" s="4">
        <f t="shared" si="23"/>
        <v>578</v>
      </c>
      <c r="M280" s="4">
        <f t="shared" si="24"/>
        <v>275</v>
      </c>
    </row>
    <row r="281" spans="2:13" ht="25.5" x14ac:dyDescent="0.2">
      <c r="B281" s="12" t="s">
        <v>653</v>
      </c>
      <c r="C281" s="12" t="s">
        <v>654</v>
      </c>
      <c r="D281" s="5" t="s">
        <v>2</v>
      </c>
      <c r="E281" s="5" t="s">
        <v>655</v>
      </c>
      <c r="F281" s="5" t="s">
        <v>87</v>
      </c>
      <c r="G281" s="5">
        <v>15.03</v>
      </c>
      <c r="H281" s="6">
        <f t="shared" si="20"/>
        <v>6.6533599467731214E-2</v>
      </c>
      <c r="I281" s="6">
        <v>0.12709999999999999</v>
      </c>
      <c r="J281" s="4">
        <f t="shared" si="21"/>
        <v>216</v>
      </c>
      <c r="K281" s="4">
        <f t="shared" si="22"/>
        <v>363</v>
      </c>
      <c r="L281" s="4">
        <f t="shared" si="23"/>
        <v>579</v>
      </c>
      <c r="M281" s="4">
        <f t="shared" si="24"/>
        <v>279</v>
      </c>
    </row>
    <row r="282" spans="2:13" ht="25.5" x14ac:dyDescent="0.2">
      <c r="B282" s="12" t="s">
        <v>803</v>
      </c>
      <c r="C282" s="12" t="s">
        <v>804</v>
      </c>
      <c r="D282" s="5" t="s">
        <v>2</v>
      </c>
      <c r="E282" s="5" t="s">
        <v>805</v>
      </c>
      <c r="F282" s="5" t="s">
        <v>53</v>
      </c>
      <c r="G282" s="5">
        <v>16.260000000000002</v>
      </c>
      <c r="H282" s="6">
        <f t="shared" si="20"/>
        <v>6.1500615006150054E-2</v>
      </c>
      <c r="I282" s="6">
        <v>0.14480000000000001</v>
      </c>
      <c r="J282" s="4">
        <f t="shared" si="21"/>
        <v>266</v>
      </c>
      <c r="K282" s="4">
        <f t="shared" si="22"/>
        <v>315</v>
      </c>
      <c r="L282" s="4">
        <f t="shared" si="23"/>
        <v>581</v>
      </c>
      <c r="M282" s="4">
        <f t="shared" si="24"/>
        <v>280</v>
      </c>
    </row>
    <row r="283" spans="2:13" x14ac:dyDescent="0.2">
      <c r="B283" s="12" t="s">
        <v>129</v>
      </c>
      <c r="C283" s="12" t="s">
        <v>130</v>
      </c>
      <c r="D283" s="5" t="s">
        <v>2</v>
      </c>
      <c r="E283" s="5" t="s">
        <v>131</v>
      </c>
      <c r="F283" s="5" t="s">
        <v>18</v>
      </c>
      <c r="G283" s="5">
        <v>7.68</v>
      </c>
      <c r="H283" s="6">
        <f t="shared" si="20"/>
        <v>0.13020833333333334</v>
      </c>
      <c r="I283" s="6">
        <v>7.9200000000000007E-2</v>
      </c>
      <c r="J283" s="4">
        <f t="shared" si="21"/>
        <v>41</v>
      </c>
      <c r="K283" s="4">
        <f t="shared" si="22"/>
        <v>542</v>
      </c>
      <c r="L283" s="4">
        <f t="shared" si="23"/>
        <v>583</v>
      </c>
      <c r="M283" s="4">
        <f t="shared" si="24"/>
        <v>281</v>
      </c>
    </row>
    <row r="284" spans="2:13" x14ac:dyDescent="0.2">
      <c r="B284" s="12" t="s">
        <v>542</v>
      </c>
      <c r="C284" s="12" t="s">
        <v>543</v>
      </c>
      <c r="D284" s="5" t="s">
        <v>2</v>
      </c>
      <c r="E284" s="5" t="s">
        <v>544</v>
      </c>
      <c r="F284" s="5" t="s">
        <v>8</v>
      </c>
      <c r="G284" s="5">
        <v>13.82</v>
      </c>
      <c r="H284" s="6">
        <f t="shared" si="20"/>
        <v>7.2358900144717797E-2</v>
      </c>
      <c r="I284" s="6">
        <v>0.1144</v>
      </c>
      <c r="J284" s="4">
        <f t="shared" si="21"/>
        <v>179</v>
      </c>
      <c r="K284" s="4">
        <f t="shared" si="22"/>
        <v>404</v>
      </c>
      <c r="L284" s="4">
        <f t="shared" si="23"/>
        <v>583</v>
      </c>
      <c r="M284" s="4">
        <f t="shared" si="24"/>
        <v>281</v>
      </c>
    </row>
    <row r="285" spans="2:13" x14ac:dyDescent="0.2">
      <c r="B285" s="12" t="s">
        <v>1067</v>
      </c>
      <c r="C285" s="12" t="s">
        <v>1068</v>
      </c>
      <c r="D285" s="5" t="s">
        <v>2</v>
      </c>
      <c r="E285" s="5" t="s">
        <v>1069</v>
      </c>
      <c r="F285" s="5" t="s">
        <v>28</v>
      </c>
      <c r="G285" s="5">
        <v>19.600000000000001</v>
      </c>
      <c r="H285" s="6">
        <f t="shared" si="20"/>
        <v>5.10204081632653E-2</v>
      </c>
      <c r="I285" s="6">
        <v>0.1825</v>
      </c>
      <c r="J285" s="4">
        <f t="shared" si="21"/>
        <v>354</v>
      </c>
      <c r="K285" s="4">
        <f t="shared" si="22"/>
        <v>230</v>
      </c>
      <c r="L285" s="4">
        <f t="shared" si="23"/>
        <v>584</v>
      </c>
      <c r="M285" s="4">
        <f t="shared" si="24"/>
        <v>283</v>
      </c>
    </row>
    <row r="286" spans="2:13" ht="25.5" x14ac:dyDescent="0.2">
      <c r="B286" s="12" t="s">
        <v>1663</v>
      </c>
      <c r="C286" s="12" t="s">
        <v>1664</v>
      </c>
      <c r="D286" s="5" t="s">
        <v>2</v>
      </c>
      <c r="E286" s="5" t="s">
        <v>1665</v>
      </c>
      <c r="F286" s="5" t="s">
        <v>53</v>
      </c>
      <c r="G286" s="5">
        <v>31.26</v>
      </c>
      <c r="H286" s="6">
        <f t="shared" si="20"/>
        <v>3.1989763275751759E-2</v>
      </c>
      <c r="I286" s="6">
        <v>0.42949999999999999</v>
      </c>
      <c r="J286" s="4">
        <f t="shared" si="21"/>
        <v>554</v>
      </c>
      <c r="K286" s="4">
        <f t="shared" si="22"/>
        <v>33</v>
      </c>
      <c r="L286" s="4">
        <f t="shared" si="23"/>
        <v>587</v>
      </c>
      <c r="M286" s="4">
        <f t="shared" si="24"/>
        <v>284</v>
      </c>
    </row>
    <row r="287" spans="2:13" x14ac:dyDescent="0.2">
      <c r="B287" s="12" t="s">
        <v>581</v>
      </c>
      <c r="C287" s="12" t="s">
        <v>582</v>
      </c>
      <c r="D287" s="5" t="s">
        <v>2</v>
      </c>
      <c r="E287" s="5" t="s">
        <v>583</v>
      </c>
      <c r="F287" s="5" t="s">
        <v>8</v>
      </c>
      <c r="G287" s="5">
        <v>14.23</v>
      </c>
      <c r="H287" s="6">
        <f t="shared" si="20"/>
        <v>7.0274068868587489E-2</v>
      </c>
      <c r="I287" s="6">
        <v>0.11700000000000001</v>
      </c>
      <c r="J287" s="4">
        <f t="shared" si="21"/>
        <v>192</v>
      </c>
      <c r="K287" s="4">
        <f t="shared" si="22"/>
        <v>397</v>
      </c>
      <c r="L287" s="4">
        <f t="shared" si="23"/>
        <v>589</v>
      </c>
      <c r="M287" s="4">
        <f t="shared" si="24"/>
        <v>285</v>
      </c>
    </row>
    <row r="288" spans="2:13" x14ac:dyDescent="0.2">
      <c r="B288" s="12" t="s">
        <v>971</v>
      </c>
      <c r="C288" s="12" t="s">
        <v>972</v>
      </c>
      <c r="D288" s="5" t="s">
        <v>2</v>
      </c>
      <c r="E288" s="5" t="s">
        <v>973</v>
      </c>
      <c r="F288" s="5" t="s">
        <v>4</v>
      </c>
      <c r="G288" s="5">
        <v>18.190000000000001</v>
      </c>
      <c r="H288" s="6">
        <f t="shared" si="20"/>
        <v>5.4975261132490377E-2</v>
      </c>
      <c r="I288" s="6">
        <v>0.15959999999999999</v>
      </c>
      <c r="J288" s="4">
        <f t="shared" si="21"/>
        <v>321</v>
      </c>
      <c r="K288" s="4">
        <f t="shared" si="22"/>
        <v>271</v>
      </c>
      <c r="L288" s="4">
        <f t="shared" si="23"/>
        <v>592</v>
      </c>
      <c r="M288" s="4">
        <f t="shared" si="24"/>
        <v>286</v>
      </c>
    </row>
    <row r="289" spans="2:13" ht="25.5" x14ac:dyDescent="0.2">
      <c r="B289" s="12" t="s">
        <v>360</v>
      </c>
      <c r="C289" s="12" t="s">
        <v>361</v>
      </c>
      <c r="D289" s="5" t="s">
        <v>2</v>
      </c>
      <c r="E289" s="5" t="s">
        <v>308</v>
      </c>
      <c r="F289" s="5" t="s">
        <v>53</v>
      </c>
      <c r="G289" s="5">
        <v>11.74</v>
      </c>
      <c r="H289" s="6">
        <f t="shared" si="20"/>
        <v>8.5178875638841564E-2</v>
      </c>
      <c r="I289" s="6">
        <v>9.4600000000000004E-2</v>
      </c>
      <c r="J289" s="4">
        <f t="shared" si="21"/>
        <v>118</v>
      </c>
      <c r="K289" s="4">
        <f t="shared" si="22"/>
        <v>478</v>
      </c>
      <c r="L289" s="4">
        <f t="shared" si="23"/>
        <v>596</v>
      </c>
      <c r="M289" s="4">
        <f t="shared" si="24"/>
        <v>287</v>
      </c>
    </row>
    <row r="290" spans="2:13" ht="25.5" x14ac:dyDescent="0.2">
      <c r="B290" s="12" t="s">
        <v>101</v>
      </c>
      <c r="C290" s="12" t="s">
        <v>102</v>
      </c>
      <c r="D290" s="5" t="s">
        <v>2</v>
      </c>
      <c r="E290" s="5" t="s">
        <v>103</v>
      </c>
      <c r="F290" s="5" t="s">
        <v>53</v>
      </c>
      <c r="G290" s="5">
        <v>6.77</v>
      </c>
      <c r="H290" s="6">
        <f t="shared" si="20"/>
        <v>0.14771048744460857</v>
      </c>
      <c r="I290" s="6">
        <v>7.2700000000000001E-2</v>
      </c>
      <c r="J290" s="4">
        <f t="shared" si="21"/>
        <v>32</v>
      </c>
      <c r="K290" s="4">
        <f t="shared" si="22"/>
        <v>565</v>
      </c>
      <c r="L290" s="4">
        <f t="shared" si="23"/>
        <v>597</v>
      </c>
      <c r="M290" s="4">
        <f t="shared" si="24"/>
        <v>288</v>
      </c>
    </row>
    <row r="291" spans="2:13" x14ac:dyDescent="0.2">
      <c r="B291" s="12" t="s">
        <v>731</v>
      </c>
      <c r="C291" s="12" t="s">
        <v>732</v>
      </c>
      <c r="D291" s="5" t="s">
        <v>2</v>
      </c>
      <c r="E291" s="5" t="s">
        <v>733</v>
      </c>
      <c r="F291" s="5" t="s">
        <v>91</v>
      </c>
      <c r="G291" s="5">
        <v>15.76</v>
      </c>
      <c r="H291" s="6">
        <f t="shared" si="20"/>
        <v>6.3451776649746189E-2</v>
      </c>
      <c r="I291" s="6">
        <v>0.1285</v>
      </c>
      <c r="J291" s="4">
        <f t="shared" si="21"/>
        <v>242</v>
      </c>
      <c r="K291" s="4">
        <f t="shared" si="22"/>
        <v>355</v>
      </c>
      <c r="L291" s="4">
        <f t="shared" si="23"/>
        <v>597</v>
      </c>
      <c r="M291" s="4">
        <f t="shared" si="24"/>
        <v>288</v>
      </c>
    </row>
    <row r="292" spans="2:13" x14ac:dyDescent="0.2">
      <c r="B292" s="12" t="s">
        <v>749</v>
      </c>
      <c r="C292" s="12" t="s">
        <v>750</v>
      </c>
      <c r="D292" s="5" t="s">
        <v>2</v>
      </c>
      <c r="E292" s="5" t="s">
        <v>751</v>
      </c>
      <c r="F292" s="5" t="s">
        <v>28</v>
      </c>
      <c r="G292" s="5">
        <v>15.86</v>
      </c>
      <c r="H292" s="6">
        <f t="shared" si="20"/>
        <v>6.3051702395964693E-2</v>
      </c>
      <c r="I292" s="6">
        <v>0.13159999999999999</v>
      </c>
      <c r="J292" s="4">
        <f t="shared" si="21"/>
        <v>248</v>
      </c>
      <c r="K292" s="4">
        <f t="shared" si="22"/>
        <v>350</v>
      </c>
      <c r="L292" s="4">
        <f t="shared" si="23"/>
        <v>598</v>
      </c>
      <c r="M292" s="4">
        <f t="shared" si="24"/>
        <v>290</v>
      </c>
    </row>
    <row r="293" spans="2:13" ht="25.5" x14ac:dyDescent="0.2">
      <c r="B293" s="12" t="s">
        <v>629</v>
      </c>
      <c r="C293" s="12" t="s">
        <v>630</v>
      </c>
      <c r="D293" s="5" t="s">
        <v>2</v>
      </c>
      <c r="E293" s="5" t="s">
        <v>631</v>
      </c>
      <c r="F293" s="5" t="s">
        <v>53</v>
      </c>
      <c r="G293" s="5">
        <v>14.81</v>
      </c>
      <c r="H293" s="6">
        <f t="shared" si="20"/>
        <v>6.7521944632005393E-2</v>
      </c>
      <c r="I293" s="6">
        <v>0.1179</v>
      </c>
      <c r="J293" s="4">
        <f t="shared" si="21"/>
        <v>208</v>
      </c>
      <c r="K293" s="4">
        <f t="shared" si="22"/>
        <v>394</v>
      </c>
      <c r="L293" s="4">
        <f t="shared" si="23"/>
        <v>602</v>
      </c>
      <c r="M293" s="4">
        <f t="shared" si="24"/>
        <v>291</v>
      </c>
    </row>
    <row r="294" spans="2:13" x14ac:dyDescent="0.2">
      <c r="B294" s="12" t="s">
        <v>965</v>
      </c>
      <c r="C294" s="12" t="s">
        <v>966</v>
      </c>
      <c r="D294" s="5" t="s">
        <v>2</v>
      </c>
      <c r="E294" s="5" t="s">
        <v>967</v>
      </c>
      <c r="F294" s="5" t="s">
        <v>28</v>
      </c>
      <c r="G294" s="5">
        <v>18.14</v>
      </c>
      <c r="H294" s="6">
        <f t="shared" si="20"/>
        <v>5.5126791620727672E-2</v>
      </c>
      <c r="I294" s="6">
        <v>0.155</v>
      </c>
      <c r="J294" s="4">
        <f t="shared" si="21"/>
        <v>320</v>
      </c>
      <c r="K294" s="4">
        <f t="shared" si="22"/>
        <v>285</v>
      </c>
      <c r="L294" s="4">
        <f t="shared" si="23"/>
        <v>605</v>
      </c>
      <c r="M294" s="4">
        <f t="shared" si="24"/>
        <v>292</v>
      </c>
    </row>
    <row r="295" spans="2:13" x14ac:dyDescent="0.2">
      <c r="B295" s="12" t="s">
        <v>539</v>
      </c>
      <c r="C295" s="12" t="s">
        <v>540</v>
      </c>
      <c r="D295" s="5" t="s">
        <v>2</v>
      </c>
      <c r="E295" s="5" t="s">
        <v>541</v>
      </c>
      <c r="F295" s="5" t="s">
        <v>8</v>
      </c>
      <c r="G295" s="5">
        <v>13.8</v>
      </c>
      <c r="H295" s="6">
        <f t="shared" si="20"/>
        <v>7.2463768115942032E-2</v>
      </c>
      <c r="I295" s="6">
        <v>0.1085</v>
      </c>
      <c r="J295" s="4">
        <f t="shared" si="21"/>
        <v>178</v>
      </c>
      <c r="K295" s="4">
        <f t="shared" si="22"/>
        <v>428</v>
      </c>
      <c r="L295" s="4">
        <f t="shared" si="23"/>
        <v>606</v>
      </c>
      <c r="M295" s="4">
        <f t="shared" si="24"/>
        <v>293</v>
      </c>
    </row>
    <row r="296" spans="2:13" x14ac:dyDescent="0.2">
      <c r="B296" s="12" t="s">
        <v>401</v>
      </c>
      <c r="C296" s="12" t="s">
        <v>402</v>
      </c>
      <c r="D296" s="5" t="s">
        <v>2</v>
      </c>
      <c r="E296" s="5" t="s">
        <v>403</v>
      </c>
      <c r="F296" s="5" t="s">
        <v>28</v>
      </c>
      <c r="G296" s="5">
        <v>12.18</v>
      </c>
      <c r="H296" s="6">
        <f t="shared" si="20"/>
        <v>8.2101806239737271E-2</v>
      </c>
      <c r="I296" s="6">
        <v>9.5600000000000004E-2</v>
      </c>
      <c r="J296" s="4">
        <f t="shared" si="21"/>
        <v>132</v>
      </c>
      <c r="K296" s="4">
        <f t="shared" si="22"/>
        <v>475</v>
      </c>
      <c r="L296" s="4">
        <f t="shared" si="23"/>
        <v>607</v>
      </c>
      <c r="M296" s="4">
        <f t="shared" si="24"/>
        <v>294</v>
      </c>
    </row>
    <row r="297" spans="2:13" ht="25.5" x14ac:dyDescent="0.2">
      <c r="B297" s="12" t="s">
        <v>908</v>
      </c>
      <c r="C297" s="12" t="s">
        <v>909</v>
      </c>
      <c r="D297" s="5" t="s">
        <v>2</v>
      </c>
      <c r="E297" s="5" t="s">
        <v>910</v>
      </c>
      <c r="F297" s="5" t="s">
        <v>53</v>
      </c>
      <c r="G297" s="5">
        <v>17.38</v>
      </c>
      <c r="H297" s="6">
        <f t="shared" si="20"/>
        <v>5.7537399309551214E-2</v>
      </c>
      <c r="I297" s="6">
        <v>0.14849999999999999</v>
      </c>
      <c r="J297" s="4">
        <f t="shared" si="21"/>
        <v>301</v>
      </c>
      <c r="K297" s="4">
        <f t="shared" si="22"/>
        <v>306</v>
      </c>
      <c r="L297" s="4">
        <f t="shared" si="23"/>
        <v>607</v>
      </c>
      <c r="M297" s="4">
        <f t="shared" si="24"/>
        <v>294</v>
      </c>
    </row>
    <row r="298" spans="2:13" x14ac:dyDescent="0.2">
      <c r="B298" s="12" t="s">
        <v>1408</v>
      </c>
      <c r="C298" s="12" t="s">
        <v>1409</v>
      </c>
      <c r="D298" s="5" t="s">
        <v>2</v>
      </c>
      <c r="E298" s="5" t="s">
        <v>1410</v>
      </c>
      <c r="F298" s="5" t="s">
        <v>4</v>
      </c>
      <c r="G298" s="5">
        <v>24.65</v>
      </c>
      <c r="H298" s="6">
        <f t="shared" si="20"/>
        <v>4.0567951318458417E-2</v>
      </c>
      <c r="I298" s="6">
        <v>0.2402</v>
      </c>
      <c r="J298" s="4">
        <f t="shared" si="21"/>
        <v>469</v>
      </c>
      <c r="K298" s="4">
        <f t="shared" si="22"/>
        <v>138</v>
      </c>
      <c r="L298" s="4">
        <f t="shared" si="23"/>
        <v>607</v>
      </c>
      <c r="M298" s="4">
        <f t="shared" si="24"/>
        <v>294</v>
      </c>
    </row>
    <row r="299" spans="2:13" x14ac:dyDescent="0.2">
      <c r="B299" s="12" t="s">
        <v>662</v>
      </c>
      <c r="C299" s="12" t="s">
        <v>663</v>
      </c>
      <c r="D299" s="5" t="s">
        <v>2</v>
      </c>
      <c r="E299" s="5" t="s">
        <v>664</v>
      </c>
      <c r="F299" s="5" t="s">
        <v>28</v>
      </c>
      <c r="G299" s="5">
        <v>15.21</v>
      </c>
      <c r="H299" s="6">
        <f t="shared" si="20"/>
        <v>6.5746219592373437E-2</v>
      </c>
      <c r="I299" s="6">
        <v>0.11899999999999999</v>
      </c>
      <c r="J299" s="4">
        <f t="shared" si="21"/>
        <v>219</v>
      </c>
      <c r="K299" s="4">
        <f t="shared" si="22"/>
        <v>389</v>
      </c>
      <c r="L299" s="4">
        <f t="shared" si="23"/>
        <v>608</v>
      </c>
      <c r="M299" s="4">
        <f t="shared" si="24"/>
        <v>297</v>
      </c>
    </row>
    <row r="300" spans="2:13" x14ac:dyDescent="0.2">
      <c r="B300" s="12" t="s">
        <v>1630</v>
      </c>
      <c r="C300" s="12" t="s">
        <v>1631</v>
      </c>
      <c r="D300" s="5" t="s">
        <v>2</v>
      </c>
      <c r="E300" s="5" t="s">
        <v>1632</v>
      </c>
      <c r="F300" s="5" t="s">
        <v>28</v>
      </c>
      <c r="G300" s="5">
        <v>29.75</v>
      </c>
      <c r="H300" s="6">
        <f t="shared" si="20"/>
        <v>3.3613445378151259E-2</v>
      </c>
      <c r="I300" s="6">
        <v>0.32950000000000002</v>
      </c>
      <c r="J300" s="4">
        <f t="shared" si="21"/>
        <v>543</v>
      </c>
      <c r="K300" s="4">
        <f t="shared" si="22"/>
        <v>65</v>
      </c>
      <c r="L300" s="4">
        <f t="shared" si="23"/>
        <v>608</v>
      </c>
      <c r="M300" s="4">
        <f t="shared" si="24"/>
        <v>297</v>
      </c>
    </row>
    <row r="301" spans="2:13" ht="25.5" x14ac:dyDescent="0.2">
      <c r="B301" s="12" t="s">
        <v>467</v>
      </c>
      <c r="C301" s="12" t="s">
        <v>468</v>
      </c>
      <c r="D301" s="5" t="s">
        <v>2</v>
      </c>
      <c r="E301" s="5" t="s">
        <v>469</v>
      </c>
      <c r="F301" s="5" t="s">
        <v>53</v>
      </c>
      <c r="G301" s="5">
        <v>12.74</v>
      </c>
      <c r="H301" s="6">
        <f t="shared" si="20"/>
        <v>7.8492935635792779E-2</v>
      </c>
      <c r="I301" s="6">
        <v>0.1017</v>
      </c>
      <c r="J301" s="4">
        <f t="shared" si="21"/>
        <v>154</v>
      </c>
      <c r="K301" s="4">
        <f t="shared" si="22"/>
        <v>456</v>
      </c>
      <c r="L301" s="4">
        <f t="shared" si="23"/>
        <v>610</v>
      </c>
      <c r="M301" s="4">
        <f t="shared" si="24"/>
        <v>299</v>
      </c>
    </row>
    <row r="302" spans="2:13" x14ac:dyDescent="0.2">
      <c r="B302" s="12" t="s">
        <v>357</v>
      </c>
      <c r="C302" s="12" t="s">
        <v>358</v>
      </c>
      <c r="D302" s="5" t="s">
        <v>2</v>
      </c>
      <c r="E302" s="5" t="s">
        <v>359</v>
      </c>
      <c r="F302" s="5" t="s">
        <v>4</v>
      </c>
      <c r="G302" s="5">
        <v>11.68</v>
      </c>
      <c r="H302" s="6">
        <f t="shared" si="20"/>
        <v>8.5616438356164379E-2</v>
      </c>
      <c r="I302" s="6">
        <v>9.06E-2</v>
      </c>
      <c r="J302" s="4">
        <f t="shared" si="21"/>
        <v>117</v>
      </c>
      <c r="K302" s="4">
        <f t="shared" si="22"/>
        <v>497</v>
      </c>
      <c r="L302" s="4">
        <f t="shared" si="23"/>
        <v>614</v>
      </c>
      <c r="M302" s="4">
        <f t="shared" si="24"/>
        <v>300</v>
      </c>
    </row>
    <row r="303" spans="2:13" x14ac:dyDescent="0.2">
      <c r="B303" s="12" t="s">
        <v>950</v>
      </c>
      <c r="C303" s="12" t="s">
        <v>951</v>
      </c>
      <c r="D303" s="5" t="s">
        <v>2</v>
      </c>
      <c r="E303" s="5" t="s">
        <v>952</v>
      </c>
      <c r="F303" s="5" t="s">
        <v>28</v>
      </c>
      <c r="G303" s="5">
        <v>18.04</v>
      </c>
      <c r="H303" s="6">
        <f t="shared" si="20"/>
        <v>5.543237250554324E-2</v>
      </c>
      <c r="I303" s="6">
        <v>0.15079999999999999</v>
      </c>
      <c r="J303" s="4">
        <f t="shared" si="21"/>
        <v>315</v>
      </c>
      <c r="K303" s="4">
        <f t="shared" si="22"/>
        <v>299</v>
      </c>
      <c r="L303" s="4">
        <f t="shared" si="23"/>
        <v>614</v>
      </c>
      <c r="M303" s="4">
        <f t="shared" si="24"/>
        <v>300</v>
      </c>
    </row>
    <row r="304" spans="2:13" ht="25.5" x14ac:dyDescent="0.2">
      <c r="B304" s="12" t="s">
        <v>1275</v>
      </c>
      <c r="C304" s="12" t="s">
        <v>1276</v>
      </c>
      <c r="D304" s="5" t="s">
        <v>2</v>
      </c>
      <c r="E304" s="5" t="s">
        <v>1277</v>
      </c>
      <c r="F304" s="5" t="s">
        <v>53</v>
      </c>
      <c r="G304" s="5">
        <v>22.46</v>
      </c>
      <c r="H304" s="6">
        <f t="shared" si="20"/>
        <v>4.4523597506678537E-2</v>
      </c>
      <c r="I304" s="6">
        <v>0.20069999999999999</v>
      </c>
      <c r="J304" s="4">
        <f t="shared" si="21"/>
        <v>424</v>
      </c>
      <c r="K304" s="4">
        <f t="shared" si="22"/>
        <v>192</v>
      </c>
      <c r="L304" s="4">
        <f t="shared" si="23"/>
        <v>616</v>
      </c>
      <c r="M304" s="4">
        <f t="shared" si="24"/>
        <v>302</v>
      </c>
    </row>
    <row r="305" spans="2:13" x14ac:dyDescent="0.2">
      <c r="B305" s="12" t="s">
        <v>986</v>
      </c>
      <c r="C305" s="12" t="s">
        <v>987</v>
      </c>
      <c r="D305" s="5" t="s">
        <v>2</v>
      </c>
      <c r="E305" s="5" t="s">
        <v>988</v>
      </c>
      <c r="F305" s="5" t="s">
        <v>91</v>
      </c>
      <c r="G305" s="5">
        <v>18.41</v>
      </c>
      <c r="H305" s="6">
        <f t="shared" si="20"/>
        <v>5.4318305268875614E-2</v>
      </c>
      <c r="I305" s="6">
        <v>0.15379999999999999</v>
      </c>
      <c r="J305" s="4">
        <f t="shared" si="21"/>
        <v>326</v>
      </c>
      <c r="K305" s="4">
        <f t="shared" si="22"/>
        <v>291</v>
      </c>
      <c r="L305" s="4">
        <f t="shared" si="23"/>
        <v>617</v>
      </c>
      <c r="M305" s="4">
        <f t="shared" si="24"/>
        <v>303</v>
      </c>
    </row>
    <row r="306" spans="2:13" x14ac:dyDescent="0.2">
      <c r="B306" s="12" t="s">
        <v>333</v>
      </c>
      <c r="C306" s="12" t="s">
        <v>334</v>
      </c>
      <c r="D306" s="5" t="s">
        <v>2</v>
      </c>
      <c r="E306" s="5" t="s">
        <v>335</v>
      </c>
      <c r="F306" s="5" t="s">
        <v>4</v>
      </c>
      <c r="G306" s="5">
        <v>11.46</v>
      </c>
      <c r="H306" s="6">
        <f t="shared" si="20"/>
        <v>8.7260034904013961E-2</v>
      </c>
      <c r="I306" s="6">
        <v>8.8400000000000006E-2</v>
      </c>
      <c r="J306" s="4">
        <f t="shared" si="21"/>
        <v>109</v>
      </c>
      <c r="K306" s="4">
        <f t="shared" si="22"/>
        <v>510</v>
      </c>
      <c r="L306" s="4">
        <f t="shared" si="23"/>
        <v>619</v>
      </c>
      <c r="M306" s="4">
        <f t="shared" si="24"/>
        <v>304</v>
      </c>
    </row>
    <row r="307" spans="2:13" ht="25.5" x14ac:dyDescent="0.2">
      <c r="B307" s="12" t="s">
        <v>716</v>
      </c>
      <c r="C307" s="12" t="s">
        <v>717</v>
      </c>
      <c r="D307" s="5" t="s">
        <v>2</v>
      </c>
      <c r="E307" s="5" t="s">
        <v>718</v>
      </c>
      <c r="F307" s="5" t="s">
        <v>53</v>
      </c>
      <c r="G307" s="5">
        <v>15.67</v>
      </c>
      <c r="H307" s="6">
        <f t="shared" si="20"/>
        <v>6.3816209317166556E-2</v>
      </c>
      <c r="I307" s="6">
        <v>0.1215</v>
      </c>
      <c r="J307" s="4">
        <f t="shared" si="21"/>
        <v>237</v>
      </c>
      <c r="K307" s="4">
        <f t="shared" si="22"/>
        <v>383</v>
      </c>
      <c r="L307" s="4">
        <f t="shared" si="23"/>
        <v>620</v>
      </c>
      <c r="M307" s="4">
        <f t="shared" si="24"/>
        <v>305</v>
      </c>
    </row>
    <row r="308" spans="2:13" x14ac:dyDescent="0.2">
      <c r="B308" s="12" t="s">
        <v>485</v>
      </c>
      <c r="C308" s="12" t="s">
        <v>486</v>
      </c>
      <c r="D308" s="5" t="s">
        <v>2</v>
      </c>
      <c r="E308" s="5" t="s">
        <v>487</v>
      </c>
      <c r="F308" s="5" t="s">
        <v>4</v>
      </c>
      <c r="G308" s="5">
        <v>13.16</v>
      </c>
      <c r="H308" s="6">
        <f t="shared" si="20"/>
        <v>7.598784194528875E-2</v>
      </c>
      <c r="I308" s="6">
        <v>9.8799999999999999E-2</v>
      </c>
      <c r="J308" s="4">
        <f t="shared" si="21"/>
        <v>159</v>
      </c>
      <c r="K308" s="4">
        <f t="shared" si="22"/>
        <v>464</v>
      </c>
      <c r="L308" s="4">
        <f t="shared" si="23"/>
        <v>623</v>
      </c>
      <c r="M308" s="4">
        <f t="shared" si="24"/>
        <v>306</v>
      </c>
    </row>
    <row r="309" spans="2:13" ht="25.5" x14ac:dyDescent="0.2">
      <c r="B309" s="12" t="s">
        <v>1612</v>
      </c>
      <c r="C309" s="12" t="s">
        <v>1613</v>
      </c>
      <c r="D309" s="5" t="s">
        <v>2</v>
      </c>
      <c r="E309" s="5" t="s">
        <v>1614</v>
      </c>
      <c r="F309" s="5" t="s">
        <v>87</v>
      </c>
      <c r="G309" s="5">
        <v>29.22</v>
      </c>
      <c r="H309" s="6">
        <f t="shared" si="20"/>
        <v>3.4223134839151265E-2</v>
      </c>
      <c r="I309" s="6">
        <v>0.2873</v>
      </c>
      <c r="J309" s="4">
        <f t="shared" si="21"/>
        <v>536</v>
      </c>
      <c r="K309" s="4">
        <f t="shared" si="22"/>
        <v>87</v>
      </c>
      <c r="L309" s="4">
        <f t="shared" si="23"/>
        <v>623</v>
      </c>
      <c r="M309" s="4">
        <f t="shared" si="24"/>
        <v>306</v>
      </c>
    </row>
    <row r="310" spans="2:13" ht="25.5" x14ac:dyDescent="0.2">
      <c r="B310" s="12" t="s">
        <v>1411</v>
      </c>
      <c r="C310" s="12" t="s">
        <v>1412</v>
      </c>
      <c r="D310" s="5" t="s">
        <v>2</v>
      </c>
      <c r="E310" s="5" t="s">
        <v>1413</v>
      </c>
      <c r="F310" s="5" t="s">
        <v>87</v>
      </c>
      <c r="G310" s="5">
        <v>24.7</v>
      </c>
      <c r="H310" s="6">
        <f t="shared" si="20"/>
        <v>4.048582995951417E-2</v>
      </c>
      <c r="I310" s="6">
        <v>0.2268</v>
      </c>
      <c r="J310" s="4">
        <f t="shared" si="21"/>
        <v>470</v>
      </c>
      <c r="K310" s="4">
        <f t="shared" si="22"/>
        <v>155</v>
      </c>
      <c r="L310" s="4">
        <f t="shared" si="23"/>
        <v>625</v>
      </c>
      <c r="M310" s="4">
        <f t="shared" si="24"/>
        <v>308</v>
      </c>
    </row>
    <row r="311" spans="2:13" x14ac:dyDescent="0.2">
      <c r="B311" s="12" t="s">
        <v>1543</v>
      </c>
      <c r="C311" s="12" t="s">
        <v>1544</v>
      </c>
      <c r="D311" s="5" t="s">
        <v>2</v>
      </c>
      <c r="E311" s="5" t="s">
        <v>1545</v>
      </c>
      <c r="F311" s="5" t="s">
        <v>4</v>
      </c>
      <c r="G311" s="5">
        <v>27.81</v>
      </c>
      <c r="H311" s="6">
        <f t="shared" si="20"/>
        <v>3.5958288385472853E-2</v>
      </c>
      <c r="I311" s="6">
        <v>0.26479999999999998</v>
      </c>
      <c r="J311" s="4">
        <f t="shared" si="21"/>
        <v>514</v>
      </c>
      <c r="K311" s="4">
        <f t="shared" si="22"/>
        <v>112</v>
      </c>
      <c r="L311" s="4">
        <f t="shared" si="23"/>
        <v>626</v>
      </c>
      <c r="M311" s="4">
        <f t="shared" si="24"/>
        <v>309</v>
      </c>
    </row>
    <row r="312" spans="2:13" ht="25.5" x14ac:dyDescent="0.2">
      <c r="B312" s="12" t="s">
        <v>767</v>
      </c>
      <c r="C312" s="12" t="s">
        <v>768</v>
      </c>
      <c r="D312" s="5" t="s">
        <v>2</v>
      </c>
      <c r="E312" s="5" t="s">
        <v>769</v>
      </c>
      <c r="F312" s="5" t="s">
        <v>53</v>
      </c>
      <c r="G312" s="5">
        <v>15.97</v>
      </c>
      <c r="H312" s="6">
        <f t="shared" si="20"/>
        <v>6.2617407639323733E-2</v>
      </c>
      <c r="I312" s="6">
        <v>0.1235</v>
      </c>
      <c r="J312" s="4">
        <f t="shared" si="21"/>
        <v>254</v>
      </c>
      <c r="K312" s="4">
        <f t="shared" si="22"/>
        <v>373</v>
      </c>
      <c r="L312" s="4">
        <f t="shared" si="23"/>
        <v>627</v>
      </c>
      <c r="M312" s="4">
        <f t="shared" si="24"/>
        <v>310</v>
      </c>
    </row>
    <row r="313" spans="2:13" x14ac:dyDescent="0.2">
      <c r="B313" s="12" t="s">
        <v>512</v>
      </c>
      <c r="C313" s="12" t="s">
        <v>513</v>
      </c>
      <c r="D313" s="5" t="s">
        <v>2</v>
      </c>
      <c r="E313" s="5" t="s">
        <v>514</v>
      </c>
      <c r="F313" s="5" t="s">
        <v>4</v>
      </c>
      <c r="G313" s="5">
        <v>13.36</v>
      </c>
      <c r="H313" s="6">
        <f t="shared" si="20"/>
        <v>7.4850299401197612E-2</v>
      </c>
      <c r="I313" s="6">
        <v>0.1012</v>
      </c>
      <c r="J313" s="4">
        <f t="shared" si="21"/>
        <v>169</v>
      </c>
      <c r="K313" s="4">
        <f t="shared" si="22"/>
        <v>459</v>
      </c>
      <c r="L313" s="4">
        <f t="shared" si="23"/>
        <v>628</v>
      </c>
      <c r="M313" s="4">
        <f t="shared" si="24"/>
        <v>311</v>
      </c>
    </row>
    <row r="314" spans="2:13" ht="25.5" x14ac:dyDescent="0.2">
      <c r="B314" s="12" t="s">
        <v>458</v>
      </c>
      <c r="C314" s="12" t="s">
        <v>459</v>
      </c>
      <c r="D314" s="5" t="s">
        <v>2</v>
      </c>
      <c r="E314" s="5" t="s">
        <v>460</v>
      </c>
      <c r="F314" s="5" t="s">
        <v>122</v>
      </c>
      <c r="G314" s="5">
        <v>12.61</v>
      </c>
      <c r="H314" s="6">
        <f t="shared" si="20"/>
        <v>7.9302141157811271E-2</v>
      </c>
      <c r="I314" s="6">
        <v>9.4600000000000004E-2</v>
      </c>
      <c r="J314" s="4">
        <f t="shared" si="21"/>
        <v>151</v>
      </c>
      <c r="K314" s="4">
        <f t="shared" si="22"/>
        <v>478</v>
      </c>
      <c r="L314" s="4">
        <f t="shared" si="23"/>
        <v>629</v>
      </c>
      <c r="M314" s="4">
        <f t="shared" si="24"/>
        <v>312</v>
      </c>
    </row>
    <row r="315" spans="2:13" x14ac:dyDescent="0.2">
      <c r="B315" s="12" t="s">
        <v>1301</v>
      </c>
      <c r="C315" s="12" t="s">
        <v>1302</v>
      </c>
      <c r="D315" s="5" t="s">
        <v>2</v>
      </c>
      <c r="E315" s="5" t="s">
        <v>1303</v>
      </c>
      <c r="F315" s="5" t="s">
        <v>4</v>
      </c>
      <c r="G315" s="5">
        <v>22.82</v>
      </c>
      <c r="H315" s="6">
        <f t="shared" si="20"/>
        <v>4.3821209465381247E-2</v>
      </c>
      <c r="I315" s="6">
        <v>0.19969999999999999</v>
      </c>
      <c r="J315" s="4">
        <f t="shared" si="21"/>
        <v>433</v>
      </c>
      <c r="K315" s="4">
        <f t="shared" si="22"/>
        <v>196</v>
      </c>
      <c r="L315" s="4">
        <f t="shared" si="23"/>
        <v>629</v>
      </c>
      <c r="M315" s="4">
        <f t="shared" si="24"/>
        <v>312</v>
      </c>
    </row>
    <row r="316" spans="2:13" ht="25.5" x14ac:dyDescent="0.2">
      <c r="B316" s="12" t="s">
        <v>725</v>
      </c>
      <c r="C316" s="12" t="s">
        <v>726</v>
      </c>
      <c r="D316" s="5" t="s">
        <v>2</v>
      </c>
      <c r="E316" s="5" t="s">
        <v>727</v>
      </c>
      <c r="F316" s="5" t="s">
        <v>87</v>
      </c>
      <c r="G316" s="5">
        <v>15.72</v>
      </c>
      <c r="H316" s="6">
        <f t="shared" si="20"/>
        <v>6.3613231552162849E-2</v>
      </c>
      <c r="I316" s="6">
        <v>0.1187</v>
      </c>
      <c r="J316" s="4">
        <f t="shared" si="21"/>
        <v>240</v>
      </c>
      <c r="K316" s="4">
        <f t="shared" si="22"/>
        <v>390</v>
      </c>
      <c r="L316" s="4">
        <f t="shared" si="23"/>
        <v>630</v>
      </c>
      <c r="M316" s="4">
        <f t="shared" si="24"/>
        <v>314</v>
      </c>
    </row>
    <row r="317" spans="2:13" ht="25.5" x14ac:dyDescent="0.2">
      <c r="B317" s="12" t="s">
        <v>1334</v>
      </c>
      <c r="C317" s="12" t="s">
        <v>1335</v>
      </c>
      <c r="D317" s="5" t="s">
        <v>2</v>
      </c>
      <c r="E317" s="5" t="s">
        <v>1336</v>
      </c>
      <c r="F317" s="5" t="s">
        <v>87</v>
      </c>
      <c r="G317" s="5">
        <v>23.48</v>
      </c>
      <c r="H317" s="6">
        <f t="shared" si="20"/>
        <v>4.2589437819420782E-2</v>
      </c>
      <c r="I317" s="6">
        <v>0.2026</v>
      </c>
      <c r="J317" s="4">
        <f t="shared" si="21"/>
        <v>444</v>
      </c>
      <c r="K317" s="4">
        <f t="shared" si="22"/>
        <v>186</v>
      </c>
      <c r="L317" s="4">
        <f t="shared" si="23"/>
        <v>630</v>
      </c>
      <c r="M317" s="4">
        <f t="shared" si="24"/>
        <v>314</v>
      </c>
    </row>
    <row r="318" spans="2:13" ht="25.5" x14ac:dyDescent="0.2">
      <c r="B318" s="12" t="s">
        <v>638</v>
      </c>
      <c r="C318" s="12" t="s">
        <v>639</v>
      </c>
      <c r="D318" s="5" t="s">
        <v>2</v>
      </c>
      <c r="E318" s="5" t="s">
        <v>640</v>
      </c>
      <c r="F318" s="5" t="s">
        <v>53</v>
      </c>
      <c r="G318" s="5">
        <v>14.87</v>
      </c>
      <c r="H318" s="6">
        <f t="shared" si="20"/>
        <v>6.7249495628782782E-2</v>
      </c>
      <c r="I318" s="6">
        <v>0.11</v>
      </c>
      <c r="J318" s="4">
        <f t="shared" si="21"/>
        <v>211</v>
      </c>
      <c r="K318" s="4">
        <f t="shared" si="22"/>
        <v>420</v>
      </c>
      <c r="L318" s="4">
        <f t="shared" si="23"/>
        <v>631</v>
      </c>
      <c r="M318" s="4">
        <f t="shared" si="24"/>
        <v>316</v>
      </c>
    </row>
    <row r="319" spans="2:13" x14ac:dyDescent="0.2">
      <c r="B319" s="12" t="s">
        <v>1221</v>
      </c>
      <c r="C319" s="12" t="s">
        <v>1222</v>
      </c>
      <c r="D319" s="5" t="s">
        <v>2</v>
      </c>
      <c r="E319" s="5" t="s">
        <v>1223</v>
      </c>
      <c r="F319" s="5" t="s">
        <v>28</v>
      </c>
      <c r="G319" s="5">
        <v>21.54</v>
      </c>
      <c r="H319" s="6">
        <f t="shared" si="20"/>
        <v>4.6425255338904368E-2</v>
      </c>
      <c r="I319" s="6">
        <v>0.18440000000000001</v>
      </c>
      <c r="J319" s="4">
        <f t="shared" si="21"/>
        <v>405</v>
      </c>
      <c r="K319" s="4">
        <f t="shared" si="22"/>
        <v>226</v>
      </c>
      <c r="L319" s="4">
        <f t="shared" si="23"/>
        <v>631</v>
      </c>
      <c r="M319" s="4">
        <f t="shared" si="24"/>
        <v>316</v>
      </c>
    </row>
    <row r="320" spans="2:13" ht="25.5" x14ac:dyDescent="0.2">
      <c r="B320" s="12" t="s">
        <v>1516</v>
      </c>
      <c r="C320" s="12" t="s">
        <v>1517</v>
      </c>
      <c r="D320" s="5" t="s">
        <v>2</v>
      </c>
      <c r="E320" s="5" t="s">
        <v>1518</v>
      </c>
      <c r="F320" s="5" t="s">
        <v>53</v>
      </c>
      <c r="G320" s="5">
        <v>27.24</v>
      </c>
      <c r="H320" s="6">
        <f t="shared" si="20"/>
        <v>3.6710719530102791E-2</v>
      </c>
      <c r="I320" s="6">
        <v>0.24970000000000001</v>
      </c>
      <c r="J320" s="4">
        <f t="shared" si="21"/>
        <v>505</v>
      </c>
      <c r="K320" s="4">
        <f t="shared" si="22"/>
        <v>127</v>
      </c>
      <c r="L320" s="4">
        <f t="shared" si="23"/>
        <v>632</v>
      </c>
      <c r="M320" s="4">
        <f t="shared" si="24"/>
        <v>318</v>
      </c>
    </row>
    <row r="321" spans="2:13" x14ac:dyDescent="0.2">
      <c r="B321" s="12" t="s">
        <v>1284</v>
      </c>
      <c r="C321" s="12" t="s">
        <v>1285</v>
      </c>
      <c r="D321" s="5" t="s">
        <v>2</v>
      </c>
      <c r="E321" s="5" t="s">
        <v>1286</v>
      </c>
      <c r="F321" s="5" t="s">
        <v>4</v>
      </c>
      <c r="G321" s="5">
        <v>22.61</v>
      </c>
      <c r="H321" s="6">
        <f t="shared" si="20"/>
        <v>4.4228217602830605E-2</v>
      </c>
      <c r="I321" s="6">
        <v>0.19470000000000001</v>
      </c>
      <c r="J321" s="4">
        <f t="shared" si="21"/>
        <v>427</v>
      </c>
      <c r="K321" s="4">
        <f t="shared" si="22"/>
        <v>208</v>
      </c>
      <c r="L321" s="4">
        <f t="shared" si="23"/>
        <v>635</v>
      </c>
      <c r="M321" s="4">
        <f t="shared" si="24"/>
        <v>319</v>
      </c>
    </row>
    <row r="322" spans="2:13" x14ac:dyDescent="0.2">
      <c r="B322" s="12" t="s">
        <v>1361</v>
      </c>
      <c r="C322" s="12" t="s">
        <v>1362</v>
      </c>
      <c r="D322" s="5" t="s">
        <v>2</v>
      </c>
      <c r="E322" s="5" t="s">
        <v>1363</v>
      </c>
      <c r="F322" s="5" t="s">
        <v>28</v>
      </c>
      <c r="G322" s="5">
        <v>23.74</v>
      </c>
      <c r="H322" s="6">
        <f t="shared" si="20"/>
        <v>4.2122999157540017E-2</v>
      </c>
      <c r="I322" s="6">
        <v>0.20380000000000001</v>
      </c>
      <c r="J322" s="4">
        <f t="shared" si="21"/>
        <v>453</v>
      </c>
      <c r="K322" s="4">
        <f t="shared" si="22"/>
        <v>182</v>
      </c>
      <c r="L322" s="4">
        <f t="shared" si="23"/>
        <v>635</v>
      </c>
      <c r="M322" s="4">
        <f t="shared" si="24"/>
        <v>319</v>
      </c>
    </row>
    <row r="323" spans="2:13" ht="25.5" x14ac:dyDescent="0.2">
      <c r="B323" s="12" t="s">
        <v>1567</v>
      </c>
      <c r="C323" s="12" t="s">
        <v>1568</v>
      </c>
      <c r="D323" s="5" t="s">
        <v>2</v>
      </c>
      <c r="E323" s="5" t="s">
        <v>1569</v>
      </c>
      <c r="F323" s="5" t="s">
        <v>87</v>
      </c>
      <c r="G323" s="5">
        <v>28.42</v>
      </c>
      <c r="H323" s="6">
        <f t="shared" ref="H323:H386" si="25">1/G323</f>
        <v>3.5186488388458829E-2</v>
      </c>
      <c r="I323" s="6">
        <v>0.26429999999999998</v>
      </c>
      <c r="J323" s="4">
        <f t="shared" ref="J323:J386" si="26">+_xlfn.RANK.EQ(H323,H:H,0)</f>
        <v>521</v>
      </c>
      <c r="K323" s="4">
        <f t="shared" ref="K323:K386" si="27">+_xlfn.RANK.EQ(I323,I:I,0)</f>
        <v>114</v>
      </c>
      <c r="L323" s="4">
        <f t="shared" ref="L323:L386" si="28">+J323+K323</f>
        <v>635</v>
      </c>
      <c r="M323" s="4">
        <f t="shared" ref="M323:M386" si="29">+_xlfn.RANK.EQ(L323,L:L,1)</f>
        <v>319</v>
      </c>
    </row>
    <row r="324" spans="2:13" x14ac:dyDescent="0.2">
      <c r="B324" s="12" t="s">
        <v>884</v>
      </c>
      <c r="C324" s="12" t="s">
        <v>885</v>
      </c>
      <c r="D324" s="5" t="s">
        <v>2</v>
      </c>
      <c r="E324" s="5" t="s">
        <v>886</v>
      </c>
      <c r="F324" s="5" t="s">
        <v>28</v>
      </c>
      <c r="G324" s="5">
        <v>17.100000000000001</v>
      </c>
      <c r="H324" s="6">
        <f t="shared" si="25"/>
        <v>5.8479532163742687E-2</v>
      </c>
      <c r="I324" s="6">
        <v>0.13400000000000001</v>
      </c>
      <c r="J324" s="4">
        <f t="shared" si="26"/>
        <v>293</v>
      </c>
      <c r="K324" s="4">
        <f t="shared" si="27"/>
        <v>343</v>
      </c>
      <c r="L324" s="4">
        <f t="shared" si="28"/>
        <v>636</v>
      </c>
      <c r="M324" s="4">
        <f t="shared" si="29"/>
        <v>322</v>
      </c>
    </row>
    <row r="325" spans="2:13" ht="25.5" x14ac:dyDescent="0.2">
      <c r="B325" s="12" t="s">
        <v>1699</v>
      </c>
      <c r="C325" s="12" t="s">
        <v>1700</v>
      </c>
      <c r="D325" s="5" t="s">
        <v>2</v>
      </c>
      <c r="E325" s="5" t="s">
        <v>1701</v>
      </c>
      <c r="F325" s="5" t="s">
        <v>87</v>
      </c>
      <c r="G325" s="5">
        <v>32.119999999999997</v>
      </c>
      <c r="H325" s="6">
        <f t="shared" si="25"/>
        <v>3.1133250311332506E-2</v>
      </c>
      <c r="I325" s="6">
        <v>0.31830000000000003</v>
      </c>
      <c r="J325" s="4">
        <f t="shared" si="26"/>
        <v>566</v>
      </c>
      <c r="K325" s="4">
        <f t="shared" si="27"/>
        <v>72</v>
      </c>
      <c r="L325" s="4">
        <f t="shared" si="28"/>
        <v>638</v>
      </c>
      <c r="M325" s="4">
        <f t="shared" si="29"/>
        <v>323</v>
      </c>
    </row>
    <row r="326" spans="2:13" x14ac:dyDescent="0.2">
      <c r="B326" s="12" t="s">
        <v>794</v>
      </c>
      <c r="C326" s="12" t="s">
        <v>795</v>
      </c>
      <c r="D326" s="5" t="s">
        <v>2</v>
      </c>
      <c r="E326" s="5" t="s">
        <v>796</v>
      </c>
      <c r="F326" s="5" t="s">
        <v>4</v>
      </c>
      <c r="G326" s="5">
        <v>16.16</v>
      </c>
      <c r="H326" s="6">
        <f t="shared" si="25"/>
        <v>6.1881188118811881E-2</v>
      </c>
      <c r="I326" s="6">
        <v>0.1232</v>
      </c>
      <c r="J326" s="4">
        <f t="shared" si="26"/>
        <v>263</v>
      </c>
      <c r="K326" s="4">
        <f t="shared" si="27"/>
        <v>376</v>
      </c>
      <c r="L326" s="4">
        <f t="shared" si="28"/>
        <v>639</v>
      </c>
      <c r="M326" s="4">
        <f t="shared" si="29"/>
        <v>324</v>
      </c>
    </row>
    <row r="327" spans="2:13" ht="25.5" x14ac:dyDescent="0.2">
      <c r="B327" s="12" t="s">
        <v>836</v>
      </c>
      <c r="C327" s="12" t="s">
        <v>837</v>
      </c>
      <c r="D327" s="5" t="s">
        <v>2</v>
      </c>
      <c r="E327" s="5" t="s">
        <v>838</v>
      </c>
      <c r="F327" s="5" t="s">
        <v>53</v>
      </c>
      <c r="G327" s="5">
        <v>16.559999999999999</v>
      </c>
      <c r="H327" s="6">
        <f t="shared" si="25"/>
        <v>6.0386473429951695E-2</v>
      </c>
      <c r="I327" s="6">
        <v>0.12720000000000001</v>
      </c>
      <c r="J327" s="4">
        <f t="shared" si="26"/>
        <v>277</v>
      </c>
      <c r="K327" s="4">
        <f t="shared" si="27"/>
        <v>362</v>
      </c>
      <c r="L327" s="4">
        <f t="shared" si="28"/>
        <v>639</v>
      </c>
      <c r="M327" s="4">
        <f t="shared" si="29"/>
        <v>324</v>
      </c>
    </row>
    <row r="328" spans="2:13" x14ac:dyDescent="0.2">
      <c r="B328" s="12" t="s">
        <v>1426</v>
      </c>
      <c r="C328" s="12" t="s">
        <v>1427</v>
      </c>
      <c r="D328" s="5" t="s">
        <v>2</v>
      </c>
      <c r="E328" s="5" t="s">
        <v>1428</v>
      </c>
      <c r="F328" s="5" t="s">
        <v>18</v>
      </c>
      <c r="G328" s="5">
        <v>24.91</v>
      </c>
      <c r="H328" s="6">
        <f t="shared" si="25"/>
        <v>4.0144520272982737E-2</v>
      </c>
      <c r="I328" s="6">
        <v>0.21920000000000001</v>
      </c>
      <c r="J328" s="4">
        <f t="shared" si="26"/>
        <v>475</v>
      </c>
      <c r="K328" s="4">
        <f t="shared" si="27"/>
        <v>164</v>
      </c>
      <c r="L328" s="4">
        <f t="shared" si="28"/>
        <v>639</v>
      </c>
      <c r="M328" s="4">
        <f t="shared" si="29"/>
        <v>324</v>
      </c>
    </row>
    <row r="329" spans="2:13" ht="25.5" x14ac:dyDescent="0.2">
      <c r="B329" s="12" t="s">
        <v>1711</v>
      </c>
      <c r="C329" s="12" t="s">
        <v>1712</v>
      </c>
      <c r="D329" s="5" t="s">
        <v>2</v>
      </c>
      <c r="E329" s="5" t="s">
        <v>1713</v>
      </c>
      <c r="F329" s="5" t="s">
        <v>87</v>
      </c>
      <c r="G329" s="5">
        <v>32.4</v>
      </c>
      <c r="H329" s="6">
        <f t="shared" si="25"/>
        <v>3.0864197530864199E-2</v>
      </c>
      <c r="I329" s="6">
        <v>0.32219999999999999</v>
      </c>
      <c r="J329" s="4">
        <f t="shared" si="26"/>
        <v>570</v>
      </c>
      <c r="K329" s="4">
        <f t="shared" si="27"/>
        <v>70</v>
      </c>
      <c r="L329" s="4">
        <f t="shared" si="28"/>
        <v>640</v>
      </c>
      <c r="M329" s="4">
        <f t="shared" si="29"/>
        <v>327</v>
      </c>
    </row>
    <row r="330" spans="2:13" x14ac:dyDescent="0.2">
      <c r="B330" s="12" t="s">
        <v>881</v>
      </c>
      <c r="C330" s="12" t="s">
        <v>882</v>
      </c>
      <c r="D330" s="5" t="s">
        <v>2</v>
      </c>
      <c r="E330" s="5" t="s">
        <v>883</v>
      </c>
      <c r="F330" s="5" t="s">
        <v>91</v>
      </c>
      <c r="G330" s="5">
        <v>17.09</v>
      </c>
      <c r="H330" s="6">
        <f t="shared" si="25"/>
        <v>5.8513750731421885E-2</v>
      </c>
      <c r="I330" s="6">
        <v>0.13189999999999999</v>
      </c>
      <c r="J330" s="4">
        <f t="shared" si="26"/>
        <v>292</v>
      </c>
      <c r="K330" s="4">
        <f t="shared" si="27"/>
        <v>349</v>
      </c>
      <c r="L330" s="4">
        <f t="shared" si="28"/>
        <v>641</v>
      </c>
      <c r="M330" s="4">
        <f t="shared" si="29"/>
        <v>328</v>
      </c>
    </row>
    <row r="331" spans="2:13" x14ac:dyDescent="0.2">
      <c r="B331" s="12" t="s">
        <v>404</v>
      </c>
      <c r="C331" s="12" t="s">
        <v>405</v>
      </c>
      <c r="D331" s="5" t="s">
        <v>2</v>
      </c>
      <c r="E331" s="5" t="s">
        <v>406</v>
      </c>
      <c r="F331" s="5" t="s">
        <v>18</v>
      </c>
      <c r="G331" s="5">
        <v>12.2</v>
      </c>
      <c r="H331" s="6">
        <f t="shared" si="25"/>
        <v>8.1967213114754106E-2</v>
      </c>
      <c r="I331" s="6">
        <v>8.8599999999999998E-2</v>
      </c>
      <c r="J331" s="4">
        <f t="shared" si="26"/>
        <v>133</v>
      </c>
      <c r="K331" s="4">
        <f t="shared" si="27"/>
        <v>509</v>
      </c>
      <c r="L331" s="4">
        <f t="shared" si="28"/>
        <v>642</v>
      </c>
      <c r="M331" s="4">
        <f t="shared" si="29"/>
        <v>329</v>
      </c>
    </row>
    <row r="332" spans="2:13" x14ac:dyDescent="0.2">
      <c r="B332" s="12" t="s">
        <v>446</v>
      </c>
      <c r="C332" s="12" t="s">
        <v>447</v>
      </c>
      <c r="D332" s="5" t="s">
        <v>2</v>
      </c>
      <c r="E332" s="5" t="s">
        <v>448</v>
      </c>
      <c r="F332" s="5" t="s">
        <v>28</v>
      </c>
      <c r="G332" s="5">
        <v>12.46</v>
      </c>
      <c r="H332" s="6">
        <f t="shared" si="25"/>
        <v>8.0256821829855537E-2</v>
      </c>
      <c r="I332" s="6">
        <v>9.0700000000000003E-2</v>
      </c>
      <c r="J332" s="4">
        <f t="shared" si="26"/>
        <v>147</v>
      </c>
      <c r="K332" s="4">
        <f t="shared" si="27"/>
        <v>495</v>
      </c>
      <c r="L332" s="4">
        <f t="shared" si="28"/>
        <v>642</v>
      </c>
      <c r="M332" s="4">
        <f t="shared" si="29"/>
        <v>329</v>
      </c>
    </row>
    <row r="333" spans="2:13" x14ac:dyDescent="0.2">
      <c r="B333" s="12" t="s">
        <v>968</v>
      </c>
      <c r="C333" s="12" t="s">
        <v>969</v>
      </c>
      <c r="D333" s="5" t="s">
        <v>2</v>
      </c>
      <c r="E333" s="5" t="s">
        <v>970</v>
      </c>
      <c r="F333" s="5" t="s">
        <v>4</v>
      </c>
      <c r="G333" s="5">
        <v>18.190000000000001</v>
      </c>
      <c r="H333" s="6">
        <f t="shared" si="25"/>
        <v>5.4975261132490377E-2</v>
      </c>
      <c r="I333" s="6">
        <v>0.1424</v>
      </c>
      <c r="J333" s="4">
        <f t="shared" si="26"/>
        <v>321</v>
      </c>
      <c r="K333" s="4">
        <f t="shared" si="27"/>
        <v>324</v>
      </c>
      <c r="L333" s="4">
        <f t="shared" si="28"/>
        <v>645</v>
      </c>
      <c r="M333" s="4">
        <f t="shared" si="29"/>
        <v>331</v>
      </c>
    </row>
    <row r="334" spans="2:13" x14ac:dyDescent="0.2">
      <c r="B334" s="12" t="s">
        <v>650</v>
      </c>
      <c r="C334" s="12" t="s">
        <v>651</v>
      </c>
      <c r="D334" s="5" t="s">
        <v>2</v>
      </c>
      <c r="E334" s="5" t="s">
        <v>652</v>
      </c>
      <c r="F334" s="5" t="s">
        <v>28</v>
      </c>
      <c r="G334" s="5">
        <v>14.98</v>
      </c>
      <c r="H334" s="6">
        <f t="shared" si="25"/>
        <v>6.6755674232309742E-2</v>
      </c>
      <c r="I334" s="6">
        <v>0.1076</v>
      </c>
      <c r="J334" s="4">
        <f t="shared" si="26"/>
        <v>215</v>
      </c>
      <c r="K334" s="4">
        <f t="shared" si="27"/>
        <v>431</v>
      </c>
      <c r="L334" s="4">
        <f t="shared" si="28"/>
        <v>646</v>
      </c>
      <c r="M334" s="4">
        <f t="shared" si="29"/>
        <v>332</v>
      </c>
    </row>
    <row r="335" spans="2:13" x14ac:dyDescent="0.2">
      <c r="B335" s="12" t="s">
        <v>1013</v>
      </c>
      <c r="C335" s="12" t="s">
        <v>1014</v>
      </c>
      <c r="D335" s="5" t="s">
        <v>2</v>
      </c>
      <c r="E335" s="5" t="s">
        <v>1015</v>
      </c>
      <c r="F335" s="5" t="s">
        <v>28</v>
      </c>
      <c r="G335" s="5">
        <v>18.73</v>
      </c>
      <c r="H335" s="6">
        <f t="shared" si="25"/>
        <v>5.3390282968499729E-2</v>
      </c>
      <c r="I335" s="6">
        <v>0.14660000000000001</v>
      </c>
      <c r="J335" s="4">
        <f t="shared" si="26"/>
        <v>336</v>
      </c>
      <c r="K335" s="4">
        <f t="shared" si="27"/>
        <v>310</v>
      </c>
      <c r="L335" s="4">
        <f t="shared" si="28"/>
        <v>646</v>
      </c>
      <c r="M335" s="4">
        <f t="shared" si="29"/>
        <v>332</v>
      </c>
    </row>
    <row r="336" spans="2:13" ht="25.5" x14ac:dyDescent="0.2">
      <c r="B336" s="12" t="s">
        <v>300</v>
      </c>
      <c r="C336" s="12" t="s">
        <v>301</v>
      </c>
      <c r="D336" s="5" t="s">
        <v>2</v>
      </c>
      <c r="E336" s="5" t="s">
        <v>302</v>
      </c>
      <c r="F336" s="5" t="s">
        <v>122</v>
      </c>
      <c r="G336" s="5">
        <v>10.92</v>
      </c>
      <c r="H336" s="6">
        <f t="shared" si="25"/>
        <v>9.1575091575091569E-2</v>
      </c>
      <c r="I336" s="6">
        <v>7.7499999999999999E-2</v>
      </c>
      <c r="J336" s="4">
        <f t="shared" si="26"/>
        <v>98</v>
      </c>
      <c r="K336" s="4">
        <f t="shared" si="27"/>
        <v>551</v>
      </c>
      <c r="L336" s="4">
        <f t="shared" si="28"/>
        <v>649</v>
      </c>
      <c r="M336" s="4">
        <f t="shared" si="29"/>
        <v>334</v>
      </c>
    </row>
    <row r="337" spans="2:13" x14ac:dyDescent="0.2">
      <c r="B337" s="12" t="s">
        <v>1257</v>
      </c>
      <c r="C337" s="12" t="s">
        <v>1258</v>
      </c>
      <c r="D337" s="5" t="s">
        <v>2</v>
      </c>
      <c r="E337" s="5" t="s">
        <v>1259</v>
      </c>
      <c r="F337" s="5" t="s">
        <v>91</v>
      </c>
      <c r="G337" s="5">
        <v>22.07</v>
      </c>
      <c r="H337" s="6">
        <f t="shared" si="25"/>
        <v>4.5310376076121428E-2</v>
      </c>
      <c r="I337" s="6">
        <v>0.17960000000000001</v>
      </c>
      <c r="J337" s="4">
        <f t="shared" si="26"/>
        <v>418</v>
      </c>
      <c r="K337" s="4">
        <f t="shared" si="27"/>
        <v>233</v>
      </c>
      <c r="L337" s="4">
        <f t="shared" si="28"/>
        <v>651</v>
      </c>
      <c r="M337" s="4">
        <f t="shared" si="29"/>
        <v>335</v>
      </c>
    </row>
    <row r="338" spans="2:13" x14ac:dyDescent="0.2">
      <c r="B338" s="12" t="s">
        <v>719</v>
      </c>
      <c r="C338" s="12" t="s">
        <v>720</v>
      </c>
      <c r="D338" s="5" t="s">
        <v>2</v>
      </c>
      <c r="E338" s="5" t="s">
        <v>721</v>
      </c>
      <c r="F338" s="5" t="s">
        <v>4</v>
      </c>
      <c r="G338" s="5">
        <v>15.7</v>
      </c>
      <c r="H338" s="6">
        <f t="shared" si="25"/>
        <v>6.3694267515923567E-2</v>
      </c>
      <c r="I338" s="6">
        <v>0.1123</v>
      </c>
      <c r="J338" s="4">
        <f t="shared" si="26"/>
        <v>238</v>
      </c>
      <c r="K338" s="4">
        <f t="shared" si="27"/>
        <v>414</v>
      </c>
      <c r="L338" s="4">
        <f t="shared" si="28"/>
        <v>652</v>
      </c>
      <c r="M338" s="4">
        <f t="shared" si="29"/>
        <v>336</v>
      </c>
    </row>
    <row r="339" spans="2:13" x14ac:dyDescent="0.2">
      <c r="B339" s="12" t="s">
        <v>893</v>
      </c>
      <c r="C339" s="12" t="s">
        <v>894</v>
      </c>
      <c r="D339" s="5" t="s">
        <v>2</v>
      </c>
      <c r="E339" s="5" t="s">
        <v>895</v>
      </c>
      <c r="F339" s="5" t="s">
        <v>28</v>
      </c>
      <c r="G339" s="5">
        <v>17.2</v>
      </c>
      <c r="H339" s="6">
        <f t="shared" si="25"/>
        <v>5.8139534883720929E-2</v>
      </c>
      <c r="I339" s="6">
        <v>0.12759999999999999</v>
      </c>
      <c r="J339" s="4">
        <f t="shared" si="26"/>
        <v>296</v>
      </c>
      <c r="K339" s="4">
        <f t="shared" si="27"/>
        <v>357</v>
      </c>
      <c r="L339" s="4">
        <f t="shared" si="28"/>
        <v>653</v>
      </c>
      <c r="M339" s="4">
        <f t="shared" si="29"/>
        <v>337</v>
      </c>
    </row>
    <row r="340" spans="2:13" x14ac:dyDescent="0.2">
      <c r="B340" s="12" t="s">
        <v>1126</v>
      </c>
      <c r="C340" s="12" t="s">
        <v>1127</v>
      </c>
      <c r="D340" s="5" t="s">
        <v>2</v>
      </c>
      <c r="E340" s="5" t="s">
        <v>1128</v>
      </c>
      <c r="F340" s="5" t="s">
        <v>28</v>
      </c>
      <c r="G340" s="5">
        <v>20.5</v>
      </c>
      <c r="H340" s="6">
        <f t="shared" si="25"/>
        <v>4.878048780487805E-2</v>
      </c>
      <c r="I340" s="6">
        <v>0.15670000000000001</v>
      </c>
      <c r="J340" s="4">
        <f t="shared" si="26"/>
        <v>373</v>
      </c>
      <c r="K340" s="4">
        <f t="shared" si="27"/>
        <v>281</v>
      </c>
      <c r="L340" s="4">
        <f t="shared" si="28"/>
        <v>654</v>
      </c>
      <c r="M340" s="4">
        <f t="shared" si="29"/>
        <v>338</v>
      </c>
    </row>
    <row r="341" spans="2:13" ht="25.5" x14ac:dyDescent="0.2">
      <c r="B341" s="12" t="s">
        <v>635</v>
      </c>
      <c r="C341" s="12" t="s">
        <v>636</v>
      </c>
      <c r="D341" s="5" t="s">
        <v>2</v>
      </c>
      <c r="E341" s="5" t="s">
        <v>637</v>
      </c>
      <c r="F341" s="5" t="s">
        <v>87</v>
      </c>
      <c r="G341" s="5">
        <v>14.83</v>
      </c>
      <c r="H341" s="6">
        <f t="shared" si="25"/>
        <v>6.7430883344571813E-2</v>
      </c>
      <c r="I341" s="6">
        <v>0.10349999999999999</v>
      </c>
      <c r="J341" s="4">
        <f t="shared" si="26"/>
        <v>210</v>
      </c>
      <c r="K341" s="4">
        <f t="shared" si="27"/>
        <v>448</v>
      </c>
      <c r="L341" s="4">
        <f t="shared" si="28"/>
        <v>658</v>
      </c>
      <c r="M341" s="4">
        <f t="shared" si="29"/>
        <v>339</v>
      </c>
    </row>
    <row r="342" spans="2:13" x14ac:dyDescent="0.2">
      <c r="B342" s="12" t="s">
        <v>1161</v>
      </c>
      <c r="C342" s="12" t="s">
        <v>1162</v>
      </c>
      <c r="D342" s="5" t="s">
        <v>2</v>
      </c>
      <c r="E342" s="5" t="s">
        <v>1163</v>
      </c>
      <c r="F342" s="5" t="s">
        <v>18</v>
      </c>
      <c r="G342" s="5">
        <v>21.05</v>
      </c>
      <c r="H342" s="6">
        <f t="shared" si="25"/>
        <v>4.7505938242280284E-2</v>
      </c>
      <c r="I342" s="6">
        <v>0.15939999999999999</v>
      </c>
      <c r="J342" s="4">
        <f t="shared" si="26"/>
        <v>386</v>
      </c>
      <c r="K342" s="4">
        <f t="shared" si="27"/>
        <v>272</v>
      </c>
      <c r="L342" s="4">
        <f t="shared" si="28"/>
        <v>658</v>
      </c>
      <c r="M342" s="4">
        <f t="shared" si="29"/>
        <v>339</v>
      </c>
    </row>
    <row r="343" spans="2:13" ht="25.5" x14ac:dyDescent="0.2">
      <c r="B343" s="12" t="s">
        <v>449</v>
      </c>
      <c r="C343" s="12" t="s">
        <v>450</v>
      </c>
      <c r="D343" s="5" t="s">
        <v>2</v>
      </c>
      <c r="E343" s="5" t="s">
        <v>451</v>
      </c>
      <c r="F343" s="5" t="s">
        <v>122</v>
      </c>
      <c r="G343" s="5">
        <v>12.47</v>
      </c>
      <c r="H343" s="6">
        <f t="shared" si="25"/>
        <v>8.0192461908580592E-2</v>
      </c>
      <c r="I343" s="6">
        <v>8.8099999999999998E-2</v>
      </c>
      <c r="J343" s="4">
        <f t="shared" si="26"/>
        <v>148</v>
      </c>
      <c r="K343" s="4">
        <f t="shared" si="27"/>
        <v>511</v>
      </c>
      <c r="L343" s="4">
        <f t="shared" si="28"/>
        <v>659</v>
      </c>
      <c r="M343" s="4">
        <f t="shared" si="29"/>
        <v>341</v>
      </c>
    </row>
    <row r="344" spans="2:13" ht="25.5" x14ac:dyDescent="0.2">
      <c r="B344" s="12" t="s">
        <v>602</v>
      </c>
      <c r="C344" s="12" t="s">
        <v>603</v>
      </c>
      <c r="D344" s="5" t="s">
        <v>2</v>
      </c>
      <c r="E344" s="5" t="s">
        <v>604</v>
      </c>
      <c r="F344" s="5" t="s">
        <v>53</v>
      </c>
      <c r="G344" s="5">
        <v>14.5</v>
      </c>
      <c r="H344" s="6">
        <f t="shared" si="25"/>
        <v>6.8965517241379309E-2</v>
      </c>
      <c r="I344" s="6">
        <v>0.1007</v>
      </c>
      <c r="J344" s="4">
        <f t="shared" si="26"/>
        <v>199</v>
      </c>
      <c r="K344" s="4">
        <f t="shared" si="27"/>
        <v>460</v>
      </c>
      <c r="L344" s="4">
        <f t="shared" si="28"/>
        <v>659</v>
      </c>
      <c r="M344" s="4">
        <f t="shared" si="29"/>
        <v>341</v>
      </c>
    </row>
    <row r="345" spans="2:13" x14ac:dyDescent="0.2">
      <c r="B345" s="12" t="s">
        <v>686</v>
      </c>
      <c r="C345" s="12" t="s">
        <v>687</v>
      </c>
      <c r="D345" s="5" t="s">
        <v>2</v>
      </c>
      <c r="E345" s="5" t="s">
        <v>688</v>
      </c>
      <c r="F345" s="5" t="s">
        <v>8</v>
      </c>
      <c r="G345" s="5">
        <v>15.41</v>
      </c>
      <c r="H345" s="6">
        <f t="shared" si="25"/>
        <v>6.4892926670992862E-2</v>
      </c>
      <c r="I345" s="6">
        <v>0.1075</v>
      </c>
      <c r="J345" s="4">
        <f t="shared" si="26"/>
        <v>227</v>
      </c>
      <c r="K345" s="4">
        <f t="shared" si="27"/>
        <v>432</v>
      </c>
      <c r="L345" s="4">
        <f t="shared" si="28"/>
        <v>659</v>
      </c>
      <c r="M345" s="4">
        <f t="shared" si="29"/>
        <v>341</v>
      </c>
    </row>
    <row r="346" spans="2:13" x14ac:dyDescent="0.2">
      <c r="B346" s="12" t="s">
        <v>1884</v>
      </c>
      <c r="C346" s="12" t="s">
        <v>1885</v>
      </c>
      <c r="D346" s="5" t="s">
        <v>2</v>
      </c>
      <c r="E346" s="5" t="s">
        <v>1886</v>
      </c>
      <c r="F346" s="5" t="s">
        <v>4</v>
      </c>
      <c r="G346" s="5">
        <v>43.69</v>
      </c>
      <c r="H346" s="6">
        <f t="shared" si="25"/>
        <v>2.2888532845044635E-2</v>
      </c>
      <c r="I346" s="6">
        <v>0.44040000000000001</v>
      </c>
      <c r="J346" s="4">
        <f t="shared" si="26"/>
        <v>628</v>
      </c>
      <c r="K346" s="4">
        <f t="shared" si="27"/>
        <v>31</v>
      </c>
      <c r="L346" s="4">
        <f t="shared" si="28"/>
        <v>659</v>
      </c>
      <c r="M346" s="4">
        <f t="shared" si="29"/>
        <v>341</v>
      </c>
    </row>
    <row r="347" spans="2:13" x14ac:dyDescent="0.2">
      <c r="B347" s="12" t="s">
        <v>1007</v>
      </c>
      <c r="C347" s="12" t="s">
        <v>1008</v>
      </c>
      <c r="D347" s="5" t="s">
        <v>2</v>
      </c>
      <c r="E347" s="5" t="s">
        <v>1009</v>
      </c>
      <c r="F347" s="5" t="s">
        <v>18</v>
      </c>
      <c r="G347" s="5">
        <v>18.670000000000002</v>
      </c>
      <c r="H347" s="6">
        <f t="shared" si="25"/>
        <v>5.3561863952865552E-2</v>
      </c>
      <c r="I347" s="6">
        <v>0.1401</v>
      </c>
      <c r="J347" s="4">
        <f t="shared" si="26"/>
        <v>334</v>
      </c>
      <c r="K347" s="4">
        <f t="shared" si="27"/>
        <v>327</v>
      </c>
      <c r="L347" s="4">
        <f t="shared" si="28"/>
        <v>661</v>
      </c>
      <c r="M347" s="4">
        <f t="shared" si="29"/>
        <v>345</v>
      </c>
    </row>
    <row r="348" spans="2:13" x14ac:dyDescent="0.2">
      <c r="B348" s="12" t="s">
        <v>743</v>
      </c>
      <c r="C348" s="12" t="s">
        <v>744</v>
      </c>
      <c r="D348" s="5" t="s">
        <v>2</v>
      </c>
      <c r="E348" s="5" t="s">
        <v>745</v>
      </c>
      <c r="F348" s="5" t="s">
        <v>18</v>
      </c>
      <c r="G348" s="5">
        <v>15.77</v>
      </c>
      <c r="H348" s="6">
        <f t="shared" si="25"/>
        <v>6.3411540900443888E-2</v>
      </c>
      <c r="I348" s="6">
        <v>0.1101</v>
      </c>
      <c r="J348" s="4">
        <f t="shared" si="26"/>
        <v>244</v>
      </c>
      <c r="K348" s="4">
        <f t="shared" si="27"/>
        <v>418</v>
      </c>
      <c r="L348" s="4">
        <f t="shared" si="28"/>
        <v>662</v>
      </c>
      <c r="M348" s="4">
        <f t="shared" si="29"/>
        <v>346</v>
      </c>
    </row>
    <row r="349" spans="2:13" ht="25.5" x14ac:dyDescent="0.2">
      <c r="B349" s="12" t="s">
        <v>1940</v>
      </c>
      <c r="C349" s="12" t="s">
        <v>1941</v>
      </c>
      <c r="D349" s="5" t="s">
        <v>2</v>
      </c>
      <c r="E349" s="5" t="s">
        <v>1942</v>
      </c>
      <c r="F349" s="5" t="s">
        <v>87</v>
      </c>
      <c r="G349" s="5">
        <v>47.75</v>
      </c>
      <c r="H349" s="6">
        <f t="shared" si="25"/>
        <v>2.0942408376963352E-2</v>
      </c>
      <c r="I349" s="6">
        <v>0.52800000000000002</v>
      </c>
      <c r="J349" s="4">
        <f t="shared" si="26"/>
        <v>647</v>
      </c>
      <c r="K349" s="4">
        <f t="shared" si="27"/>
        <v>16</v>
      </c>
      <c r="L349" s="4">
        <f t="shared" si="28"/>
        <v>663</v>
      </c>
      <c r="M349" s="4">
        <f t="shared" si="29"/>
        <v>347</v>
      </c>
    </row>
    <row r="350" spans="2:13" x14ac:dyDescent="0.2">
      <c r="B350" s="12" t="s">
        <v>1597</v>
      </c>
      <c r="C350" s="12" t="s">
        <v>1598</v>
      </c>
      <c r="D350" s="5" t="s">
        <v>2</v>
      </c>
      <c r="E350" s="5" t="s">
        <v>1599</v>
      </c>
      <c r="F350" s="5" t="s">
        <v>91</v>
      </c>
      <c r="G350" s="5">
        <v>28.97</v>
      </c>
      <c r="H350" s="6">
        <f t="shared" si="25"/>
        <v>3.451846738004833E-2</v>
      </c>
      <c r="I350" s="6">
        <v>0.24329999999999999</v>
      </c>
      <c r="J350" s="4">
        <f t="shared" si="26"/>
        <v>532</v>
      </c>
      <c r="K350" s="4">
        <f t="shared" si="27"/>
        <v>134</v>
      </c>
      <c r="L350" s="4">
        <f t="shared" si="28"/>
        <v>666</v>
      </c>
      <c r="M350" s="4">
        <f t="shared" si="29"/>
        <v>348</v>
      </c>
    </row>
    <row r="351" spans="2:13" ht="25.5" x14ac:dyDescent="0.2">
      <c r="B351" s="12" t="s">
        <v>1828</v>
      </c>
      <c r="C351" s="12" t="s">
        <v>1829</v>
      </c>
      <c r="D351" s="5" t="s">
        <v>2</v>
      </c>
      <c r="E351" s="5" t="s">
        <v>1830</v>
      </c>
      <c r="F351" s="5" t="s">
        <v>87</v>
      </c>
      <c r="G351" s="5">
        <v>39.770000000000003</v>
      </c>
      <c r="H351" s="6">
        <f t="shared" si="25"/>
        <v>2.5144581342720643E-2</v>
      </c>
      <c r="I351" s="6">
        <v>0.34870000000000001</v>
      </c>
      <c r="J351" s="4">
        <f t="shared" si="26"/>
        <v>609</v>
      </c>
      <c r="K351" s="4">
        <f t="shared" si="27"/>
        <v>57</v>
      </c>
      <c r="L351" s="4">
        <f t="shared" si="28"/>
        <v>666</v>
      </c>
      <c r="M351" s="4">
        <f t="shared" si="29"/>
        <v>348</v>
      </c>
    </row>
    <row r="352" spans="2:13" ht="25.5" x14ac:dyDescent="0.2">
      <c r="B352" s="12" t="s">
        <v>1896</v>
      </c>
      <c r="C352" s="12" t="s">
        <v>1897</v>
      </c>
      <c r="D352" s="5" t="s">
        <v>2</v>
      </c>
      <c r="E352" s="5" t="s">
        <v>1898</v>
      </c>
      <c r="F352" s="5" t="s">
        <v>87</v>
      </c>
      <c r="G352" s="5">
        <v>43.95</v>
      </c>
      <c r="H352" s="6">
        <f t="shared" si="25"/>
        <v>2.2753128555176336E-2</v>
      </c>
      <c r="I352" s="6">
        <v>0.42909999999999998</v>
      </c>
      <c r="J352" s="4">
        <f t="shared" si="26"/>
        <v>632</v>
      </c>
      <c r="K352" s="4">
        <f t="shared" si="27"/>
        <v>34</v>
      </c>
      <c r="L352" s="4">
        <f t="shared" si="28"/>
        <v>666</v>
      </c>
      <c r="M352" s="4">
        <f t="shared" si="29"/>
        <v>348</v>
      </c>
    </row>
    <row r="353" spans="2:13" ht="25.5" x14ac:dyDescent="0.2">
      <c r="B353" s="12" t="s">
        <v>210</v>
      </c>
      <c r="C353" s="12" t="s">
        <v>211</v>
      </c>
      <c r="D353" s="5" t="s">
        <v>2</v>
      </c>
      <c r="E353" s="5" t="s">
        <v>212</v>
      </c>
      <c r="F353" s="5" t="s">
        <v>122</v>
      </c>
      <c r="G353" s="5">
        <v>9.26</v>
      </c>
      <c r="H353" s="6">
        <f t="shared" si="25"/>
        <v>0.10799136069114471</v>
      </c>
      <c r="I353" s="6">
        <v>6.1899999999999997E-2</v>
      </c>
      <c r="J353" s="4">
        <f t="shared" si="26"/>
        <v>68</v>
      </c>
      <c r="K353" s="4">
        <f t="shared" si="27"/>
        <v>601</v>
      </c>
      <c r="L353" s="4">
        <f t="shared" si="28"/>
        <v>669</v>
      </c>
      <c r="M353" s="4">
        <f t="shared" si="29"/>
        <v>351</v>
      </c>
    </row>
    <row r="354" spans="2:13" x14ac:dyDescent="0.2">
      <c r="B354" s="12" t="s">
        <v>1087</v>
      </c>
      <c r="C354" s="12" t="s">
        <v>1088</v>
      </c>
      <c r="D354" s="5" t="s">
        <v>2</v>
      </c>
      <c r="E354" s="5" t="s">
        <v>1089</v>
      </c>
      <c r="F354" s="5" t="s">
        <v>28</v>
      </c>
      <c r="G354" s="5">
        <v>19.82</v>
      </c>
      <c r="H354" s="6">
        <f t="shared" si="25"/>
        <v>5.0454086781029264E-2</v>
      </c>
      <c r="I354" s="6">
        <v>0.14580000000000001</v>
      </c>
      <c r="J354" s="4">
        <f t="shared" si="26"/>
        <v>361</v>
      </c>
      <c r="K354" s="4">
        <f t="shared" si="27"/>
        <v>311</v>
      </c>
      <c r="L354" s="4">
        <f t="shared" si="28"/>
        <v>672</v>
      </c>
      <c r="M354" s="4">
        <f t="shared" si="29"/>
        <v>352</v>
      </c>
    </row>
    <row r="355" spans="2:13" x14ac:dyDescent="0.2">
      <c r="B355" s="12" t="s">
        <v>1591</v>
      </c>
      <c r="C355" s="12" t="s">
        <v>1592</v>
      </c>
      <c r="D355" s="5" t="s">
        <v>2</v>
      </c>
      <c r="E355" s="5" t="s">
        <v>1593</v>
      </c>
      <c r="F355" s="5" t="s">
        <v>28</v>
      </c>
      <c r="G355" s="5">
        <v>28.9</v>
      </c>
      <c r="H355" s="6">
        <f t="shared" si="25"/>
        <v>3.4602076124567477E-2</v>
      </c>
      <c r="I355" s="6">
        <v>0.2359</v>
      </c>
      <c r="J355" s="4">
        <f t="shared" si="26"/>
        <v>530</v>
      </c>
      <c r="K355" s="4">
        <f t="shared" si="27"/>
        <v>144</v>
      </c>
      <c r="L355" s="4">
        <f t="shared" si="28"/>
        <v>674</v>
      </c>
      <c r="M355" s="4">
        <f t="shared" si="29"/>
        <v>353</v>
      </c>
    </row>
    <row r="356" spans="2:13" ht="25.5" x14ac:dyDescent="0.2">
      <c r="B356" s="12" t="s">
        <v>713</v>
      </c>
      <c r="C356" s="12" t="s">
        <v>714</v>
      </c>
      <c r="D356" s="5" t="s">
        <v>2</v>
      </c>
      <c r="E356" s="5" t="s">
        <v>715</v>
      </c>
      <c r="F356" s="5" t="s">
        <v>4</v>
      </c>
      <c r="G356" s="5">
        <v>15.65</v>
      </c>
      <c r="H356" s="6">
        <f t="shared" si="25"/>
        <v>6.3897763578274758E-2</v>
      </c>
      <c r="I356" s="6">
        <v>0.1057</v>
      </c>
      <c r="J356" s="4">
        <f t="shared" si="26"/>
        <v>236</v>
      </c>
      <c r="K356" s="4">
        <f t="shared" si="27"/>
        <v>439</v>
      </c>
      <c r="L356" s="4">
        <f t="shared" si="28"/>
        <v>675</v>
      </c>
      <c r="M356" s="4">
        <f t="shared" si="29"/>
        <v>354</v>
      </c>
    </row>
    <row r="357" spans="2:13" ht="25.5" x14ac:dyDescent="0.2">
      <c r="B357" s="12" t="s">
        <v>1254</v>
      </c>
      <c r="C357" s="12" t="s">
        <v>1255</v>
      </c>
      <c r="D357" s="5" t="s">
        <v>2</v>
      </c>
      <c r="E357" s="5" t="s">
        <v>1256</v>
      </c>
      <c r="F357" s="5" t="s">
        <v>87</v>
      </c>
      <c r="G357" s="5">
        <v>22.03</v>
      </c>
      <c r="H357" s="6">
        <f t="shared" si="25"/>
        <v>4.5392646391284611E-2</v>
      </c>
      <c r="I357" s="6">
        <v>0.16819999999999999</v>
      </c>
      <c r="J357" s="4">
        <f t="shared" si="26"/>
        <v>417</v>
      </c>
      <c r="K357" s="4">
        <f t="shared" si="27"/>
        <v>259</v>
      </c>
      <c r="L357" s="4">
        <f t="shared" si="28"/>
        <v>676</v>
      </c>
      <c r="M357" s="4">
        <f t="shared" si="29"/>
        <v>355</v>
      </c>
    </row>
    <row r="358" spans="2:13" x14ac:dyDescent="0.2">
      <c r="B358" s="12" t="s">
        <v>1666</v>
      </c>
      <c r="C358" s="12" t="s">
        <v>1667</v>
      </c>
      <c r="D358" s="5" t="s">
        <v>2</v>
      </c>
      <c r="E358" s="5" t="s">
        <v>1668</v>
      </c>
      <c r="F358" s="5" t="s">
        <v>4</v>
      </c>
      <c r="G358" s="5">
        <v>31.28</v>
      </c>
      <c r="H358" s="6">
        <f t="shared" si="25"/>
        <v>3.1969309462915603E-2</v>
      </c>
      <c r="I358" s="6">
        <v>0.2545</v>
      </c>
      <c r="J358" s="4">
        <f t="shared" si="26"/>
        <v>555</v>
      </c>
      <c r="K358" s="4">
        <f t="shared" si="27"/>
        <v>122</v>
      </c>
      <c r="L358" s="4">
        <f t="shared" si="28"/>
        <v>677</v>
      </c>
      <c r="M358" s="4">
        <f t="shared" si="29"/>
        <v>356</v>
      </c>
    </row>
    <row r="359" spans="2:13" x14ac:dyDescent="0.2">
      <c r="B359" s="12" t="s">
        <v>464</v>
      </c>
      <c r="C359" s="12" t="s">
        <v>465</v>
      </c>
      <c r="D359" s="5" t="s">
        <v>2</v>
      </c>
      <c r="E359" s="5" t="s">
        <v>466</v>
      </c>
      <c r="F359" s="5" t="s">
        <v>28</v>
      </c>
      <c r="G359" s="5">
        <v>12.68</v>
      </c>
      <c r="H359" s="6">
        <f t="shared" si="25"/>
        <v>7.8864353312302835E-2</v>
      </c>
      <c r="I359" s="6">
        <v>8.3900000000000002E-2</v>
      </c>
      <c r="J359" s="4">
        <f t="shared" si="26"/>
        <v>153</v>
      </c>
      <c r="K359" s="4">
        <f t="shared" si="27"/>
        <v>526</v>
      </c>
      <c r="L359" s="4">
        <f t="shared" si="28"/>
        <v>679</v>
      </c>
      <c r="M359" s="4">
        <f t="shared" si="29"/>
        <v>357</v>
      </c>
    </row>
    <row r="360" spans="2:13" x14ac:dyDescent="0.2">
      <c r="B360" s="12" t="s">
        <v>659</v>
      </c>
      <c r="C360" s="12" t="s">
        <v>660</v>
      </c>
      <c r="D360" s="5" t="s">
        <v>2</v>
      </c>
      <c r="E360" s="5" t="s">
        <v>661</v>
      </c>
      <c r="F360" s="5" t="s">
        <v>4</v>
      </c>
      <c r="G360" s="5">
        <v>15.1</v>
      </c>
      <c r="H360" s="6">
        <f t="shared" si="25"/>
        <v>6.6225165562913912E-2</v>
      </c>
      <c r="I360" s="6">
        <v>0.10009999999999999</v>
      </c>
      <c r="J360" s="4">
        <f t="shared" si="26"/>
        <v>218</v>
      </c>
      <c r="K360" s="4">
        <f t="shared" si="27"/>
        <v>461</v>
      </c>
      <c r="L360" s="4">
        <f t="shared" si="28"/>
        <v>679</v>
      </c>
      <c r="M360" s="4">
        <f t="shared" si="29"/>
        <v>357</v>
      </c>
    </row>
    <row r="361" spans="2:13" ht="25.5" x14ac:dyDescent="0.2">
      <c r="B361" s="12" t="s">
        <v>563</v>
      </c>
      <c r="C361" s="12" t="s">
        <v>564</v>
      </c>
      <c r="D361" s="5" t="s">
        <v>2</v>
      </c>
      <c r="E361" s="5" t="s">
        <v>565</v>
      </c>
      <c r="F361" s="5" t="s">
        <v>53</v>
      </c>
      <c r="G361" s="5">
        <v>14.03</v>
      </c>
      <c r="H361" s="6">
        <f t="shared" si="25"/>
        <v>7.1275837491090524E-2</v>
      </c>
      <c r="I361" s="6">
        <v>9.0700000000000003E-2</v>
      </c>
      <c r="J361" s="4">
        <f t="shared" si="26"/>
        <v>186</v>
      </c>
      <c r="K361" s="4">
        <f t="shared" si="27"/>
        <v>495</v>
      </c>
      <c r="L361" s="4">
        <f t="shared" si="28"/>
        <v>681</v>
      </c>
      <c r="M361" s="4">
        <f t="shared" si="29"/>
        <v>359</v>
      </c>
    </row>
    <row r="362" spans="2:13" x14ac:dyDescent="0.2">
      <c r="B362" s="12" t="s">
        <v>1093</v>
      </c>
      <c r="C362" s="12" t="s">
        <v>1094</v>
      </c>
      <c r="D362" s="5" t="s">
        <v>2</v>
      </c>
      <c r="E362" s="5" t="s">
        <v>1095</v>
      </c>
      <c r="F362" s="5" t="s">
        <v>28</v>
      </c>
      <c r="G362" s="5">
        <v>19.899999999999999</v>
      </c>
      <c r="H362" s="6">
        <f t="shared" si="25"/>
        <v>5.0251256281407038E-2</v>
      </c>
      <c r="I362" s="6">
        <v>0.14410000000000001</v>
      </c>
      <c r="J362" s="4">
        <f t="shared" si="26"/>
        <v>363</v>
      </c>
      <c r="K362" s="4">
        <f t="shared" si="27"/>
        <v>319</v>
      </c>
      <c r="L362" s="4">
        <f t="shared" si="28"/>
        <v>682</v>
      </c>
      <c r="M362" s="4">
        <f t="shared" si="29"/>
        <v>360</v>
      </c>
    </row>
    <row r="363" spans="2:13" x14ac:dyDescent="0.2">
      <c r="B363" s="12" t="s">
        <v>1167</v>
      </c>
      <c r="C363" s="12" t="s">
        <v>1168</v>
      </c>
      <c r="D363" s="5" t="s">
        <v>2</v>
      </c>
      <c r="E363" s="5" t="s">
        <v>1169</v>
      </c>
      <c r="F363" s="5" t="s">
        <v>18</v>
      </c>
      <c r="G363" s="5">
        <v>21.1</v>
      </c>
      <c r="H363" s="6">
        <f t="shared" si="25"/>
        <v>4.7393364928909949E-2</v>
      </c>
      <c r="I363" s="6">
        <v>0.15279999999999999</v>
      </c>
      <c r="J363" s="4">
        <f t="shared" si="26"/>
        <v>388</v>
      </c>
      <c r="K363" s="4">
        <f t="shared" si="27"/>
        <v>294</v>
      </c>
      <c r="L363" s="4">
        <f t="shared" si="28"/>
        <v>682</v>
      </c>
      <c r="M363" s="4">
        <f t="shared" si="29"/>
        <v>360</v>
      </c>
    </row>
    <row r="364" spans="2:13" ht="25.5" x14ac:dyDescent="0.2">
      <c r="B364" s="12" t="s">
        <v>1182</v>
      </c>
      <c r="C364" s="12" t="s">
        <v>1183</v>
      </c>
      <c r="D364" s="5" t="s">
        <v>2</v>
      </c>
      <c r="E364" s="5" t="s">
        <v>1184</v>
      </c>
      <c r="F364" s="5" t="s">
        <v>53</v>
      </c>
      <c r="G364" s="5">
        <v>21.24</v>
      </c>
      <c r="H364" s="6">
        <f t="shared" si="25"/>
        <v>4.708097928436912E-2</v>
      </c>
      <c r="I364" s="6">
        <v>0.15409999999999999</v>
      </c>
      <c r="J364" s="4">
        <f t="shared" si="26"/>
        <v>393</v>
      </c>
      <c r="K364" s="4">
        <f t="shared" si="27"/>
        <v>289</v>
      </c>
      <c r="L364" s="4">
        <f t="shared" si="28"/>
        <v>682</v>
      </c>
      <c r="M364" s="4">
        <f t="shared" si="29"/>
        <v>360</v>
      </c>
    </row>
    <row r="365" spans="2:13" x14ac:dyDescent="0.2">
      <c r="B365" s="12" t="s">
        <v>491</v>
      </c>
      <c r="C365" s="12" t="s">
        <v>492</v>
      </c>
      <c r="D365" s="5" t="s">
        <v>2</v>
      </c>
      <c r="E365" s="5" t="s">
        <v>493</v>
      </c>
      <c r="F365" s="5" t="s">
        <v>8</v>
      </c>
      <c r="G365" s="5">
        <v>13.21</v>
      </c>
      <c r="H365" s="6">
        <f t="shared" si="25"/>
        <v>7.5700227100681292E-2</v>
      </c>
      <c r="I365" s="6">
        <v>8.4699999999999998E-2</v>
      </c>
      <c r="J365" s="4">
        <f t="shared" si="26"/>
        <v>162</v>
      </c>
      <c r="K365" s="4">
        <f t="shared" si="27"/>
        <v>522</v>
      </c>
      <c r="L365" s="4">
        <f t="shared" si="28"/>
        <v>684</v>
      </c>
      <c r="M365" s="4">
        <f t="shared" si="29"/>
        <v>363</v>
      </c>
    </row>
    <row r="366" spans="2:13" x14ac:dyDescent="0.2">
      <c r="B366" s="12" t="s">
        <v>641</v>
      </c>
      <c r="C366" s="12" t="s">
        <v>642</v>
      </c>
      <c r="D366" s="5" t="s">
        <v>2</v>
      </c>
      <c r="E366" s="5" t="s">
        <v>643</v>
      </c>
      <c r="F366" s="5" t="s">
        <v>28</v>
      </c>
      <c r="G366" s="5">
        <v>14.87</v>
      </c>
      <c r="H366" s="6">
        <f t="shared" si="25"/>
        <v>6.7249495628782782E-2</v>
      </c>
      <c r="I366" s="6">
        <v>9.7199999999999995E-2</v>
      </c>
      <c r="J366" s="4">
        <f t="shared" si="26"/>
        <v>211</v>
      </c>
      <c r="K366" s="4">
        <f t="shared" si="27"/>
        <v>473</v>
      </c>
      <c r="L366" s="4">
        <f t="shared" si="28"/>
        <v>684</v>
      </c>
      <c r="M366" s="4">
        <f t="shared" si="29"/>
        <v>363</v>
      </c>
    </row>
    <row r="367" spans="2:13" x14ac:dyDescent="0.2">
      <c r="B367" s="12" t="s">
        <v>791</v>
      </c>
      <c r="C367" s="12" t="s">
        <v>792</v>
      </c>
      <c r="D367" s="5" t="s">
        <v>2</v>
      </c>
      <c r="E367" s="5" t="s">
        <v>793</v>
      </c>
      <c r="F367" s="5" t="s">
        <v>91</v>
      </c>
      <c r="G367" s="5">
        <v>16.14</v>
      </c>
      <c r="H367" s="6">
        <f t="shared" si="25"/>
        <v>6.1957868649318459E-2</v>
      </c>
      <c r="I367" s="6">
        <v>0.1096</v>
      </c>
      <c r="J367" s="4">
        <f t="shared" si="26"/>
        <v>262</v>
      </c>
      <c r="K367" s="4">
        <f t="shared" si="27"/>
        <v>423</v>
      </c>
      <c r="L367" s="4">
        <f t="shared" si="28"/>
        <v>685</v>
      </c>
      <c r="M367" s="4">
        <f t="shared" si="29"/>
        <v>365</v>
      </c>
    </row>
    <row r="368" spans="2:13" x14ac:dyDescent="0.2">
      <c r="B368" s="12" t="s">
        <v>1010</v>
      </c>
      <c r="C368" s="12" t="s">
        <v>1011</v>
      </c>
      <c r="D368" s="5" t="s">
        <v>2</v>
      </c>
      <c r="E368" s="5" t="s">
        <v>1012</v>
      </c>
      <c r="F368" s="5" t="s">
        <v>91</v>
      </c>
      <c r="G368" s="5">
        <v>18.71</v>
      </c>
      <c r="H368" s="6">
        <f t="shared" si="25"/>
        <v>5.3447354355959376E-2</v>
      </c>
      <c r="I368" s="6">
        <v>0.1308</v>
      </c>
      <c r="J368" s="4">
        <f t="shared" si="26"/>
        <v>335</v>
      </c>
      <c r="K368" s="4">
        <f t="shared" si="27"/>
        <v>352</v>
      </c>
      <c r="L368" s="4">
        <f t="shared" si="28"/>
        <v>687</v>
      </c>
      <c r="M368" s="4">
        <f t="shared" si="29"/>
        <v>366</v>
      </c>
    </row>
    <row r="369" spans="2:13" ht="25.5" x14ac:dyDescent="0.2">
      <c r="B369" s="12" t="s">
        <v>2051</v>
      </c>
      <c r="C369" s="12" t="s">
        <v>2052</v>
      </c>
      <c r="D369" s="5" t="s">
        <v>2</v>
      </c>
      <c r="E369" s="5" t="s">
        <v>2053</v>
      </c>
      <c r="F369" s="5" t="s">
        <v>87</v>
      </c>
      <c r="G369" s="5">
        <v>69.849999999999994</v>
      </c>
      <c r="H369" s="6">
        <f t="shared" si="25"/>
        <v>1.4316392269148177E-2</v>
      </c>
      <c r="I369" s="6">
        <v>0.86470000000000002</v>
      </c>
      <c r="J369" s="4">
        <f t="shared" si="26"/>
        <v>684</v>
      </c>
      <c r="K369" s="4">
        <f t="shared" si="27"/>
        <v>3</v>
      </c>
      <c r="L369" s="4">
        <f t="shared" si="28"/>
        <v>687</v>
      </c>
      <c r="M369" s="4">
        <f t="shared" si="29"/>
        <v>366</v>
      </c>
    </row>
    <row r="370" spans="2:13" ht="25.5" x14ac:dyDescent="0.2">
      <c r="B370" s="12" t="s">
        <v>380</v>
      </c>
      <c r="C370" s="12" t="s">
        <v>381</v>
      </c>
      <c r="D370" s="5" t="s">
        <v>2</v>
      </c>
      <c r="E370" s="5" t="s">
        <v>382</v>
      </c>
      <c r="F370" s="5" t="s">
        <v>87</v>
      </c>
      <c r="G370" s="5">
        <v>11.85</v>
      </c>
      <c r="H370" s="6">
        <f t="shared" si="25"/>
        <v>8.4388185654008435E-2</v>
      </c>
      <c r="I370" s="6">
        <v>7.3899999999999993E-2</v>
      </c>
      <c r="J370" s="4">
        <f t="shared" si="26"/>
        <v>125</v>
      </c>
      <c r="K370" s="4">
        <f t="shared" si="27"/>
        <v>563</v>
      </c>
      <c r="L370" s="4">
        <f t="shared" si="28"/>
        <v>688</v>
      </c>
      <c r="M370" s="4">
        <f t="shared" si="29"/>
        <v>368</v>
      </c>
    </row>
    <row r="371" spans="2:13" ht="25.5" x14ac:dyDescent="0.2">
      <c r="B371" s="12" t="s">
        <v>707</v>
      </c>
      <c r="C371" s="12" t="s">
        <v>708</v>
      </c>
      <c r="D371" s="5" t="s">
        <v>2</v>
      </c>
      <c r="E371" s="5" t="s">
        <v>709</v>
      </c>
      <c r="F371" s="5" t="s">
        <v>87</v>
      </c>
      <c r="G371" s="5">
        <v>15.64</v>
      </c>
      <c r="H371" s="6">
        <f t="shared" si="25"/>
        <v>6.3938618925831206E-2</v>
      </c>
      <c r="I371" s="6">
        <v>0.1021</v>
      </c>
      <c r="J371" s="4">
        <f t="shared" si="26"/>
        <v>234</v>
      </c>
      <c r="K371" s="4">
        <f t="shared" si="27"/>
        <v>454</v>
      </c>
      <c r="L371" s="4">
        <f t="shared" si="28"/>
        <v>688</v>
      </c>
      <c r="M371" s="4">
        <f t="shared" si="29"/>
        <v>368</v>
      </c>
    </row>
    <row r="372" spans="2:13" x14ac:dyDescent="0.2">
      <c r="B372" s="12" t="s">
        <v>1801</v>
      </c>
      <c r="C372" s="12" t="s">
        <v>1802</v>
      </c>
      <c r="D372" s="5" t="s">
        <v>2</v>
      </c>
      <c r="E372" s="5" t="s">
        <v>1803</v>
      </c>
      <c r="F372" s="5" t="s">
        <v>28</v>
      </c>
      <c r="G372" s="5">
        <v>38.159999999999997</v>
      </c>
      <c r="H372" s="6">
        <f t="shared" si="25"/>
        <v>2.6205450733752623E-2</v>
      </c>
      <c r="I372" s="6">
        <v>0.2848</v>
      </c>
      <c r="J372" s="4">
        <f t="shared" si="26"/>
        <v>600</v>
      </c>
      <c r="K372" s="4">
        <f t="shared" si="27"/>
        <v>88</v>
      </c>
      <c r="L372" s="4">
        <f t="shared" si="28"/>
        <v>688</v>
      </c>
      <c r="M372" s="4">
        <f t="shared" si="29"/>
        <v>368</v>
      </c>
    </row>
    <row r="373" spans="2:13" x14ac:dyDescent="0.2">
      <c r="B373" s="12" t="s">
        <v>488</v>
      </c>
      <c r="C373" s="12" t="s">
        <v>489</v>
      </c>
      <c r="D373" s="5" t="s">
        <v>2</v>
      </c>
      <c r="E373" s="5" t="s">
        <v>490</v>
      </c>
      <c r="F373" s="5" t="s">
        <v>28</v>
      </c>
      <c r="G373" s="5">
        <v>13.17</v>
      </c>
      <c r="H373" s="6">
        <f t="shared" si="25"/>
        <v>7.5930144267274111E-2</v>
      </c>
      <c r="I373" s="6">
        <v>8.3799999999999999E-2</v>
      </c>
      <c r="J373" s="4">
        <f t="shared" si="26"/>
        <v>161</v>
      </c>
      <c r="K373" s="4">
        <f t="shared" si="27"/>
        <v>528</v>
      </c>
      <c r="L373" s="4">
        <f t="shared" si="28"/>
        <v>689</v>
      </c>
      <c r="M373" s="4">
        <f t="shared" si="29"/>
        <v>371</v>
      </c>
    </row>
    <row r="374" spans="2:13" ht="25.5" x14ac:dyDescent="0.2">
      <c r="B374" s="12" t="s">
        <v>1061</v>
      </c>
      <c r="C374" s="12" t="s">
        <v>1062</v>
      </c>
      <c r="D374" s="5" t="s">
        <v>2</v>
      </c>
      <c r="E374" s="5" t="s">
        <v>1063</v>
      </c>
      <c r="F374" s="5" t="s">
        <v>87</v>
      </c>
      <c r="G374" s="5">
        <v>19.55</v>
      </c>
      <c r="H374" s="6">
        <f t="shared" si="25"/>
        <v>5.1150895140664961E-2</v>
      </c>
      <c r="I374" s="6">
        <v>0.13689999999999999</v>
      </c>
      <c r="J374" s="4">
        <f t="shared" si="26"/>
        <v>352</v>
      </c>
      <c r="K374" s="4">
        <f t="shared" si="27"/>
        <v>337</v>
      </c>
      <c r="L374" s="4">
        <f t="shared" si="28"/>
        <v>689</v>
      </c>
      <c r="M374" s="4">
        <f t="shared" si="29"/>
        <v>371</v>
      </c>
    </row>
    <row r="375" spans="2:13" ht="25.5" x14ac:dyDescent="0.2">
      <c r="B375" s="12" t="s">
        <v>1997</v>
      </c>
      <c r="C375" s="12" t="s">
        <v>1998</v>
      </c>
      <c r="D375" s="5" t="s">
        <v>2</v>
      </c>
      <c r="E375" s="5" t="s">
        <v>1999</v>
      </c>
      <c r="F375" s="5" t="s">
        <v>87</v>
      </c>
      <c r="G375" s="5">
        <v>57.27</v>
      </c>
      <c r="H375" s="6">
        <f t="shared" si="25"/>
        <v>1.7461148943600489E-2</v>
      </c>
      <c r="I375" s="6">
        <v>0.46100000000000002</v>
      </c>
      <c r="J375" s="4">
        <f t="shared" si="26"/>
        <v>666</v>
      </c>
      <c r="K375" s="4">
        <f t="shared" si="27"/>
        <v>23</v>
      </c>
      <c r="L375" s="4">
        <f t="shared" si="28"/>
        <v>689</v>
      </c>
      <c r="M375" s="4">
        <f t="shared" si="29"/>
        <v>371</v>
      </c>
    </row>
    <row r="376" spans="2:13" x14ac:dyDescent="0.2">
      <c r="B376" s="12" t="s">
        <v>614</v>
      </c>
      <c r="C376" s="12" t="s">
        <v>615</v>
      </c>
      <c r="D376" s="5" t="s">
        <v>2</v>
      </c>
      <c r="E376" s="5" t="s">
        <v>616</v>
      </c>
      <c r="F376" s="5" t="s">
        <v>18</v>
      </c>
      <c r="G376" s="5">
        <v>14.6</v>
      </c>
      <c r="H376" s="6">
        <f t="shared" si="25"/>
        <v>6.8493150684931503E-2</v>
      </c>
      <c r="I376" s="6">
        <v>9.2799999999999994E-2</v>
      </c>
      <c r="J376" s="4">
        <f t="shared" si="26"/>
        <v>202</v>
      </c>
      <c r="K376" s="4">
        <f t="shared" si="27"/>
        <v>488</v>
      </c>
      <c r="L376" s="4">
        <f t="shared" si="28"/>
        <v>690</v>
      </c>
      <c r="M376" s="4">
        <f t="shared" si="29"/>
        <v>374</v>
      </c>
    </row>
    <row r="377" spans="2:13" x14ac:dyDescent="0.2">
      <c r="B377" s="12" t="s">
        <v>1717</v>
      </c>
      <c r="C377" s="12" t="s">
        <v>1718</v>
      </c>
      <c r="D377" s="5" t="s">
        <v>2</v>
      </c>
      <c r="E377" s="5" t="s">
        <v>1719</v>
      </c>
      <c r="F377" s="5" t="s">
        <v>28</v>
      </c>
      <c r="G377" s="5">
        <v>32.81</v>
      </c>
      <c r="H377" s="6">
        <f t="shared" si="25"/>
        <v>3.0478512648582746E-2</v>
      </c>
      <c r="I377" s="6">
        <v>0.25729999999999997</v>
      </c>
      <c r="J377" s="4">
        <f t="shared" si="26"/>
        <v>572</v>
      </c>
      <c r="K377" s="4">
        <f t="shared" si="27"/>
        <v>118</v>
      </c>
      <c r="L377" s="4">
        <f t="shared" si="28"/>
        <v>690</v>
      </c>
      <c r="M377" s="4">
        <f t="shared" si="29"/>
        <v>374</v>
      </c>
    </row>
    <row r="378" spans="2:13" x14ac:dyDescent="0.2">
      <c r="B378" s="12" t="s">
        <v>611</v>
      </c>
      <c r="C378" s="12" t="s">
        <v>612</v>
      </c>
      <c r="D378" s="5" t="s">
        <v>2</v>
      </c>
      <c r="E378" s="5" t="s">
        <v>613</v>
      </c>
      <c r="F378" s="5" t="s">
        <v>18</v>
      </c>
      <c r="G378" s="5">
        <v>14.6</v>
      </c>
      <c r="H378" s="6">
        <f t="shared" si="25"/>
        <v>6.8493150684931503E-2</v>
      </c>
      <c r="I378" s="6">
        <v>9.2700000000000005E-2</v>
      </c>
      <c r="J378" s="4">
        <f t="shared" si="26"/>
        <v>202</v>
      </c>
      <c r="K378" s="4">
        <f t="shared" si="27"/>
        <v>490</v>
      </c>
      <c r="L378" s="4">
        <f t="shared" si="28"/>
        <v>692</v>
      </c>
      <c r="M378" s="4">
        <f t="shared" si="29"/>
        <v>376</v>
      </c>
    </row>
    <row r="379" spans="2:13" x14ac:dyDescent="0.2">
      <c r="B379" s="12" t="s">
        <v>1561</v>
      </c>
      <c r="C379" s="12" t="s">
        <v>1562</v>
      </c>
      <c r="D379" s="5" t="s">
        <v>2</v>
      </c>
      <c r="E379" s="5" t="s">
        <v>1563</v>
      </c>
      <c r="F379" s="5" t="s">
        <v>4</v>
      </c>
      <c r="G379" s="5">
        <v>28.29</v>
      </c>
      <c r="H379" s="6">
        <f t="shared" si="25"/>
        <v>3.5348179568752212E-2</v>
      </c>
      <c r="I379" s="6">
        <v>0.21210000000000001</v>
      </c>
      <c r="J379" s="4">
        <f t="shared" si="26"/>
        <v>520</v>
      </c>
      <c r="K379" s="4">
        <f t="shared" si="27"/>
        <v>172</v>
      </c>
      <c r="L379" s="4">
        <f t="shared" si="28"/>
        <v>692</v>
      </c>
      <c r="M379" s="4">
        <f t="shared" si="29"/>
        <v>376</v>
      </c>
    </row>
    <row r="380" spans="2:13" x14ac:dyDescent="0.2">
      <c r="B380" s="12" t="s">
        <v>1022</v>
      </c>
      <c r="C380" s="12" t="s">
        <v>1023</v>
      </c>
      <c r="D380" s="5" t="s">
        <v>2</v>
      </c>
      <c r="E380" s="5" t="s">
        <v>1024</v>
      </c>
      <c r="F380" s="5" t="s">
        <v>28</v>
      </c>
      <c r="G380" s="5">
        <v>18.93</v>
      </c>
      <c r="H380" s="6">
        <f t="shared" si="25"/>
        <v>5.2826201796090863E-2</v>
      </c>
      <c r="I380" s="6">
        <v>0.13</v>
      </c>
      <c r="J380" s="4">
        <f t="shared" si="26"/>
        <v>339</v>
      </c>
      <c r="K380" s="4">
        <f t="shared" si="27"/>
        <v>354</v>
      </c>
      <c r="L380" s="4">
        <f t="shared" si="28"/>
        <v>693</v>
      </c>
      <c r="M380" s="4">
        <f t="shared" si="29"/>
        <v>378</v>
      </c>
    </row>
    <row r="381" spans="2:13" x14ac:dyDescent="0.2">
      <c r="B381" s="12" t="s">
        <v>1384</v>
      </c>
      <c r="C381" s="12" t="s">
        <v>1385</v>
      </c>
      <c r="D381" s="5" t="s">
        <v>2</v>
      </c>
      <c r="E381" s="5" t="s">
        <v>1386</v>
      </c>
      <c r="F381" s="5" t="s">
        <v>91</v>
      </c>
      <c r="G381" s="5">
        <v>24.32</v>
      </c>
      <c r="H381" s="6">
        <f t="shared" si="25"/>
        <v>4.1118421052631582E-2</v>
      </c>
      <c r="I381" s="6">
        <v>0.18110000000000001</v>
      </c>
      <c r="J381" s="4">
        <f t="shared" si="26"/>
        <v>461</v>
      </c>
      <c r="K381" s="4">
        <f t="shared" si="27"/>
        <v>232</v>
      </c>
      <c r="L381" s="4">
        <f t="shared" si="28"/>
        <v>693</v>
      </c>
      <c r="M381" s="4">
        <f t="shared" si="29"/>
        <v>378</v>
      </c>
    </row>
    <row r="382" spans="2:13" x14ac:dyDescent="0.2">
      <c r="B382" s="12" t="s">
        <v>548</v>
      </c>
      <c r="C382" s="12" t="s">
        <v>549</v>
      </c>
      <c r="D382" s="5" t="s">
        <v>2</v>
      </c>
      <c r="E382" s="5" t="s">
        <v>550</v>
      </c>
      <c r="F382" s="5" t="s">
        <v>18</v>
      </c>
      <c r="G382" s="5">
        <v>13.87</v>
      </c>
      <c r="H382" s="6">
        <f t="shared" si="25"/>
        <v>7.2098053352559491E-2</v>
      </c>
      <c r="I382" s="6">
        <v>8.7300000000000003E-2</v>
      </c>
      <c r="J382" s="4">
        <f t="shared" si="26"/>
        <v>181</v>
      </c>
      <c r="K382" s="4">
        <f t="shared" si="27"/>
        <v>514</v>
      </c>
      <c r="L382" s="4">
        <f t="shared" si="28"/>
        <v>695</v>
      </c>
      <c r="M382" s="4">
        <f t="shared" si="29"/>
        <v>380</v>
      </c>
    </row>
    <row r="383" spans="2:13" x14ac:dyDescent="0.2">
      <c r="B383" s="12" t="s">
        <v>827</v>
      </c>
      <c r="C383" s="12" t="s">
        <v>828</v>
      </c>
      <c r="D383" s="5" t="s">
        <v>2</v>
      </c>
      <c r="E383" s="5" t="s">
        <v>829</v>
      </c>
      <c r="F383" s="5" t="s">
        <v>4</v>
      </c>
      <c r="G383" s="5">
        <v>16.48</v>
      </c>
      <c r="H383" s="6">
        <f t="shared" si="25"/>
        <v>6.0679611650485438E-2</v>
      </c>
      <c r="I383" s="6">
        <v>0.1099</v>
      </c>
      <c r="J383" s="4">
        <f t="shared" si="26"/>
        <v>274</v>
      </c>
      <c r="K383" s="4">
        <f t="shared" si="27"/>
        <v>421</v>
      </c>
      <c r="L383" s="4">
        <f t="shared" si="28"/>
        <v>695</v>
      </c>
      <c r="M383" s="4">
        <f t="shared" si="29"/>
        <v>380</v>
      </c>
    </row>
    <row r="384" spans="2:13" x14ac:dyDescent="0.2">
      <c r="B384" s="12" t="s">
        <v>1579</v>
      </c>
      <c r="C384" s="12" t="s">
        <v>1580</v>
      </c>
      <c r="D384" s="5" t="s">
        <v>2</v>
      </c>
      <c r="E384" s="5" t="s">
        <v>1581</v>
      </c>
      <c r="F384" s="5" t="s">
        <v>91</v>
      </c>
      <c r="G384" s="5">
        <v>28.7</v>
      </c>
      <c r="H384" s="6">
        <f t="shared" si="25"/>
        <v>3.484320557491289E-2</v>
      </c>
      <c r="I384" s="6">
        <v>0.21690000000000001</v>
      </c>
      <c r="J384" s="4">
        <f t="shared" si="26"/>
        <v>526</v>
      </c>
      <c r="K384" s="4">
        <f t="shared" si="27"/>
        <v>169</v>
      </c>
      <c r="L384" s="4">
        <f t="shared" si="28"/>
        <v>695</v>
      </c>
      <c r="M384" s="4">
        <f t="shared" si="29"/>
        <v>380</v>
      </c>
    </row>
    <row r="385" spans="2:13" x14ac:dyDescent="0.2">
      <c r="B385" s="12" t="s">
        <v>782</v>
      </c>
      <c r="C385" s="12" t="s">
        <v>783</v>
      </c>
      <c r="D385" s="5" t="s">
        <v>2</v>
      </c>
      <c r="E385" s="5" t="s">
        <v>784</v>
      </c>
      <c r="F385" s="5" t="s">
        <v>8</v>
      </c>
      <c r="G385" s="5">
        <v>16.09</v>
      </c>
      <c r="H385" s="6">
        <f t="shared" si="25"/>
        <v>6.2150403977625855E-2</v>
      </c>
      <c r="I385" s="6">
        <v>0.10630000000000001</v>
      </c>
      <c r="J385" s="4">
        <f t="shared" si="26"/>
        <v>259</v>
      </c>
      <c r="K385" s="4">
        <f t="shared" si="27"/>
        <v>437</v>
      </c>
      <c r="L385" s="4">
        <f t="shared" si="28"/>
        <v>696</v>
      </c>
      <c r="M385" s="4">
        <f t="shared" si="29"/>
        <v>383</v>
      </c>
    </row>
    <row r="386" spans="2:13" ht="25.5" x14ac:dyDescent="0.2">
      <c r="B386" s="12" t="s">
        <v>524</v>
      </c>
      <c r="C386" s="12" t="s">
        <v>525</v>
      </c>
      <c r="D386" s="5" t="s">
        <v>2</v>
      </c>
      <c r="E386" s="5" t="s">
        <v>526</v>
      </c>
      <c r="F386" s="5" t="s">
        <v>53</v>
      </c>
      <c r="G386" s="5">
        <v>13.59</v>
      </c>
      <c r="H386" s="6">
        <f t="shared" si="25"/>
        <v>7.358351729212656E-2</v>
      </c>
      <c r="I386" s="6">
        <v>8.4500000000000006E-2</v>
      </c>
      <c r="J386" s="4">
        <f t="shared" si="26"/>
        <v>173</v>
      </c>
      <c r="K386" s="4">
        <f t="shared" si="27"/>
        <v>524</v>
      </c>
      <c r="L386" s="4">
        <f t="shared" si="28"/>
        <v>697</v>
      </c>
      <c r="M386" s="4">
        <f t="shared" si="29"/>
        <v>384</v>
      </c>
    </row>
    <row r="387" spans="2:13" ht="25.5" x14ac:dyDescent="0.2">
      <c r="B387" s="12" t="s">
        <v>1358</v>
      </c>
      <c r="C387" s="12" t="s">
        <v>1359</v>
      </c>
      <c r="D387" s="5" t="s">
        <v>2</v>
      </c>
      <c r="E387" s="5" t="s">
        <v>1360</v>
      </c>
      <c r="F387" s="5" t="s">
        <v>87</v>
      </c>
      <c r="G387" s="5">
        <v>23.71</v>
      </c>
      <c r="H387" s="6">
        <f t="shared" ref="H387:H450" si="30">1/G387</f>
        <v>4.217629692113032E-2</v>
      </c>
      <c r="I387" s="6">
        <v>0.17449999999999999</v>
      </c>
      <c r="J387" s="4">
        <f t="shared" ref="J387:J450" si="31">+_xlfn.RANK.EQ(H387,H:H,0)</f>
        <v>452</v>
      </c>
      <c r="K387" s="4">
        <f t="shared" ref="K387:K450" si="32">+_xlfn.RANK.EQ(I387,I:I,0)</f>
        <v>245</v>
      </c>
      <c r="L387" s="4">
        <f t="shared" ref="L387:L450" si="33">+J387+K387</f>
        <v>697</v>
      </c>
      <c r="M387" s="4">
        <f t="shared" ref="M387:M450" si="34">+_xlfn.RANK.EQ(L387,L:L,1)</f>
        <v>384</v>
      </c>
    </row>
    <row r="388" spans="2:13" x14ac:dyDescent="0.2">
      <c r="B388" s="12" t="s">
        <v>944</v>
      </c>
      <c r="C388" s="12" t="s">
        <v>945</v>
      </c>
      <c r="D388" s="5" t="s">
        <v>2</v>
      </c>
      <c r="E388" s="5" t="s">
        <v>946</v>
      </c>
      <c r="F388" s="5" t="s">
        <v>4</v>
      </c>
      <c r="G388" s="5">
        <v>17.96</v>
      </c>
      <c r="H388" s="6">
        <f t="shared" si="30"/>
        <v>5.5679287305122491E-2</v>
      </c>
      <c r="I388" s="6">
        <v>0.1207</v>
      </c>
      <c r="J388" s="4">
        <f t="shared" si="31"/>
        <v>313</v>
      </c>
      <c r="K388" s="4">
        <f t="shared" si="32"/>
        <v>385</v>
      </c>
      <c r="L388" s="4">
        <f t="shared" si="33"/>
        <v>698</v>
      </c>
      <c r="M388" s="4">
        <f t="shared" si="34"/>
        <v>386</v>
      </c>
    </row>
    <row r="389" spans="2:13" x14ac:dyDescent="0.2">
      <c r="B389" s="12" t="s">
        <v>1206</v>
      </c>
      <c r="C389" s="12" t="s">
        <v>1207</v>
      </c>
      <c r="D389" s="5" t="s">
        <v>2</v>
      </c>
      <c r="E389" s="5" t="s">
        <v>1208</v>
      </c>
      <c r="F389" s="5" t="s">
        <v>28</v>
      </c>
      <c r="G389" s="5">
        <v>21.45</v>
      </c>
      <c r="H389" s="6">
        <f t="shared" si="30"/>
        <v>4.6620046620046623E-2</v>
      </c>
      <c r="I389" s="6">
        <v>0.152</v>
      </c>
      <c r="J389" s="4">
        <f t="shared" si="31"/>
        <v>401</v>
      </c>
      <c r="K389" s="4">
        <f t="shared" si="32"/>
        <v>297</v>
      </c>
      <c r="L389" s="4">
        <f t="shared" si="33"/>
        <v>698</v>
      </c>
      <c r="M389" s="4">
        <f t="shared" si="34"/>
        <v>386</v>
      </c>
    </row>
    <row r="390" spans="2:13" x14ac:dyDescent="0.2">
      <c r="B390" s="12" t="s">
        <v>374</v>
      </c>
      <c r="C390" s="12" t="s">
        <v>375</v>
      </c>
      <c r="D390" s="5" t="s">
        <v>2</v>
      </c>
      <c r="E390" s="5" t="s">
        <v>376</v>
      </c>
      <c r="F390" s="5" t="s">
        <v>91</v>
      </c>
      <c r="G390" s="5">
        <v>11.8</v>
      </c>
      <c r="H390" s="6">
        <f t="shared" si="30"/>
        <v>8.4745762711864403E-2</v>
      </c>
      <c r="I390" s="6">
        <v>6.9500000000000006E-2</v>
      </c>
      <c r="J390" s="4">
        <f t="shared" si="31"/>
        <v>121</v>
      </c>
      <c r="K390" s="4">
        <f t="shared" si="32"/>
        <v>578</v>
      </c>
      <c r="L390" s="4">
        <f t="shared" si="33"/>
        <v>699</v>
      </c>
      <c r="M390" s="4">
        <f t="shared" si="34"/>
        <v>388</v>
      </c>
    </row>
    <row r="391" spans="2:13" x14ac:dyDescent="0.2">
      <c r="B391" s="12" t="s">
        <v>482</v>
      </c>
      <c r="C391" s="12" t="s">
        <v>483</v>
      </c>
      <c r="D391" s="5" t="s">
        <v>2</v>
      </c>
      <c r="E391" s="5" t="s">
        <v>484</v>
      </c>
      <c r="F391" s="5" t="s">
        <v>18</v>
      </c>
      <c r="G391" s="5">
        <v>13.16</v>
      </c>
      <c r="H391" s="6">
        <f t="shared" si="30"/>
        <v>7.598784194528875E-2</v>
      </c>
      <c r="I391" s="6">
        <v>8.0699999999999994E-2</v>
      </c>
      <c r="J391" s="4">
        <f t="shared" si="31"/>
        <v>159</v>
      </c>
      <c r="K391" s="4">
        <f t="shared" si="32"/>
        <v>540</v>
      </c>
      <c r="L391" s="4">
        <f t="shared" si="33"/>
        <v>699</v>
      </c>
      <c r="M391" s="4">
        <f t="shared" si="34"/>
        <v>388</v>
      </c>
    </row>
    <row r="392" spans="2:13" x14ac:dyDescent="0.2">
      <c r="B392" s="12" t="s">
        <v>902</v>
      </c>
      <c r="C392" s="12" t="s">
        <v>903</v>
      </c>
      <c r="D392" s="5" t="s">
        <v>2</v>
      </c>
      <c r="E392" s="5" t="s">
        <v>904</v>
      </c>
      <c r="F392" s="5" t="s">
        <v>18</v>
      </c>
      <c r="G392" s="5">
        <v>17.329999999999998</v>
      </c>
      <c r="H392" s="6">
        <f t="shared" si="30"/>
        <v>5.7703404500865557E-2</v>
      </c>
      <c r="I392" s="6">
        <v>0.1166</v>
      </c>
      <c r="J392" s="4">
        <f t="shared" si="31"/>
        <v>299</v>
      </c>
      <c r="K392" s="4">
        <f t="shared" si="32"/>
        <v>400</v>
      </c>
      <c r="L392" s="4">
        <f t="shared" si="33"/>
        <v>699</v>
      </c>
      <c r="M392" s="4">
        <f t="shared" si="34"/>
        <v>388</v>
      </c>
    </row>
    <row r="393" spans="2:13" ht="25.5" x14ac:dyDescent="0.2">
      <c r="B393" s="12" t="s">
        <v>1893</v>
      </c>
      <c r="C393" s="12" t="s">
        <v>1894</v>
      </c>
      <c r="D393" s="5" t="s">
        <v>2</v>
      </c>
      <c r="E393" s="5" t="s">
        <v>1895</v>
      </c>
      <c r="F393" s="5" t="s">
        <v>87</v>
      </c>
      <c r="G393" s="5">
        <v>43.79</v>
      </c>
      <c r="H393" s="6">
        <f t="shared" si="30"/>
        <v>2.2836263987211693E-2</v>
      </c>
      <c r="I393" s="6">
        <v>0.32269999999999999</v>
      </c>
      <c r="J393" s="4">
        <f t="shared" si="31"/>
        <v>631</v>
      </c>
      <c r="K393" s="4">
        <f t="shared" si="32"/>
        <v>68</v>
      </c>
      <c r="L393" s="4">
        <f t="shared" si="33"/>
        <v>699</v>
      </c>
      <c r="M393" s="4">
        <f t="shared" si="34"/>
        <v>388</v>
      </c>
    </row>
    <row r="394" spans="2:13" x14ac:dyDescent="0.2">
      <c r="B394" s="12" t="s">
        <v>830</v>
      </c>
      <c r="C394" s="12" t="s">
        <v>831</v>
      </c>
      <c r="D394" s="5" t="s">
        <v>2</v>
      </c>
      <c r="E394" s="5" t="s">
        <v>832</v>
      </c>
      <c r="F394" s="5" t="s">
        <v>91</v>
      </c>
      <c r="G394" s="5">
        <v>16.54</v>
      </c>
      <c r="H394" s="6">
        <f t="shared" si="30"/>
        <v>6.0459492140266025E-2</v>
      </c>
      <c r="I394" s="6">
        <v>0.1091</v>
      </c>
      <c r="J394" s="4">
        <f t="shared" si="31"/>
        <v>275</v>
      </c>
      <c r="K394" s="4">
        <f t="shared" si="32"/>
        <v>426</v>
      </c>
      <c r="L394" s="4">
        <f t="shared" si="33"/>
        <v>701</v>
      </c>
      <c r="M394" s="4">
        <f t="shared" si="34"/>
        <v>392</v>
      </c>
    </row>
    <row r="395" spans="2:13" ht="25.5" x14ac:dyDescent="0.2">
      <c r="B395" s="12" t="s">
        <v>407</v>
      </c>
      <c r="C395" s="12" t="s">
        <v>408</v>
      </c>
      <c r="D395" s="5" t="s">
        <v>2</v>
      </c>
      <c r="E395" s="5" t="s">
        <v>409</v>
      </c>
      <c r="F395" s="5" t="s">
        <v>122</v>
      </c>
      <c r="G395" s="5">
        <v>12.25</v>
      </c>
      <c r="H395" s="6">
        <f t="shared" si="30"/>
        <v>8.1632653061224483E-2</v>
      </c>
      <c r="I395" s="6">
        <v>7.0900000000000005E-2</v>
      </c>
      <c r="J395" s="4">
        <f t="shared" si="31"/>
        <v>134</v>
      </c>
      <c r="K395" s="4">
        <f t="shared" si="32"/>
        <v>568</v>
      </c>
      <c r="L395" s="4">
        <f t="shared" si="33"/>
        <v>702</v>
      </c>
      <c r="M395" s="4">
        <f t="shared" si="34"/>
        <v>393</v>
      </c>
    </row>
    <row r="396" spans="2:13" x14ac:dyDescent="0.2">
      <c r="B396" s="12" t="s">
        <v>497</v>
      </c>
      <c r="C396" s="12" t="s">
        <v>498</v>
      </c>
      <c r="D396" s="5" t="s">
        <v>2</v>
      </c>
      <c r="E396" s="5" t="s">
        <v>499</v>
      </c>
      <c r="F396" s="5" t="s">
        <v>91</v>
      </c>
      <c r="G396" s="5">
        <v>13.23</v>
      </c>
      <c r="H396" s="6">
        <f t="shared" si="30"/>
        <v>7.5585789871504161E-2</v>
      </c>
      <c r="I396" s="6">
        <v>8.1100000000000005E-2</v>
      </c>
      <c r="J396" s="4">
        <f t="shared" si="31"/>
        <v>164</v>
      </c>
      <c r="K396" s="4">
        <f t="shared" si="32"/>
        <v>538</v>
      </c>
      <c r="L396" s="4">
        <f t="shared" si="33"/>
        <v>702</v>
      </c>
      <c r="M396" s="4">
        <f t="shared" si="34"/>
        <v>393</v>
      </c>
    </row>
    <row r="397" spans="2:13" x14ac:dyDescent="0.2">
      <c r="B397" s="12" t="s">
        <v>1331</v>
      </c>
      <c r="C397" s="12" t="s">
        <v>1332</v>
      </c>
      <c r="D397" s="5" t="s">
        <v>2</v>
      </c>
      <c r="E397" s="5" t="s">
        <v>1333</v>
      </c>
      <c r="F397" s="5" t="s">
        <v>28</v>
      </c>
      <c r="G397" s="5">
        <v>23.43</v>
      </c>
      <c r="H397" s="6">
        <f t="shared" si="30"/>
        <v>4.2680324370465213E-2</v>
      </c>
      <c r="I397" s="6">
        <v>0.16750000000000001</v>
      </c>
      <c r="J397" s="4">
        <f t="shared" si="31"/>
        <v>443</v>
      </c>
      <c r="K397" s="4">
        <f t="shared" si="32"/>
        <v>261</v>
      </c>
      <c r="L397" s="4">
        <f t="shared" si="33"/>
        <v>704</v>
      </c>
      <c r="M397" s="4">
        <f t="shared" si="34"/>
        <v>395</v>
      </c>
    </row>
    <row r="398" spans="2:13" x14ac:dyDescent="0.2">
      <c r="B398" s="12" t="s">
        <v>809</v>
      </c>
      <c r="C398" s="12" t="s">
        <v>810</v>
      </c>
      <c r="D398" s="5" t="s">
        <v>2</v>
      </c>
      <c r="E398" s="5" t="s">
        <v>811</v>
      </c>
      <c r="F398" s="5" t="s">
        <v>28</v>
      </c>
      <c r="G398" s="5">
        <v>16.29</v>
      </c>
      <c r="H398" s="6">
        <f t="shared" si="30"/>
        <v>6.1387354205033766E-2</v>
      </c>
      <c r="I398" s="6">
        <v>0.1062</v>
      </c>
      <c r="J398" s="4">
        <f t="shared" si="31"/>
        <v>268</v>
      </c>
      <c r="K398" s="4">
        <f t="shared" si="32"/>
        <v>438</v>
      </c>
      <c r="L398" s="4">
        <f t="shared" si="33"/>
        <v>706</v>
      </c>
      <c r="M398" s="4">
        <f t="shared" si="34"/>
        <v>396</v>
      </c>
    </row>
    <row r="399" spans="2:13" ht="25.5" x14ac:dyDescent="0.2">
      <c r="B399" s="12" t="s">
        <v>2045</v>
      </c>
      <c r="C399" s="12" t="s">
        <v>2046</v>
      </c>
      <c r="D399" s="5" t="s">
        <v>2</v>
      </c>
      <c r="E399" s="5" t="s">
        <v>2047</v>
      </c>
      <c r="F399" s="5" t="s">
        <v>53</v>
      </c>
      <c r="G399" s="5">
        <v>69.069999999999993</v>
      </c>
      <c r="H399" s="6">
        <f t="shared" si="30"/>
        <v>1.4478065730418417E-2</v>
      </c>
      <c r="I399" s="6">
        <v>0.45629999999999998</v>
      </c>
      <c r="J399" s="4">
        <f t="shared" si="31"/>
        <v>682</v>
      </c>
      <c r="K399" s="4">
        <f t="shared" si="32"/>
        <v>24</v>
      </c>
      <c r="L399" s="4">
        <f t="shared" si="33"/>
        <v>706</v>
      </c>
      <c r="M399" s="4">
        <f t="shared" si="34"/>
        <v>396</v>
      </c>
    </row>
    <row r="400" spans="2:13" x14ac:dyDescent="0.2">
      <c r="B400" s="12" t="s">
        <v>806</v>
      </c>
      <c r="C400" s="12" t="s">
        <v>807</v>
      </c>
      <c r="D400" s="5" t="s">
        <v>2</v>
      </c>
      <c r="E400" s="5" t="s">
        <v>808</v>
      </c>
      <c r="F400" s="5" t="s">
        <v>28</v>
      </c>
      <c r="G400" s="5">
        <v>16.28</v>
      </c>
      <c r="H400" s="6">
        <f t="shared" si="30"/>
        <v>6.142506142506142E-2</v>
      </c>
      <c r="I400" s="6">
        <v>0.1051</v>
      </c>
      <c r="J400" s="4">
        <f t="shared" si="31"/>
        <v>267</v>
      </c>
      <c r="K400" s="4">
        <f t="shared" si="32"/>
        <v>441</v>
      </c>
      <c r="L400" s="4">
        <f t="shared" si="33"/>
        <v>708</v>
      </c>
      <c r="M400" s="4">
        <f t="shared" si="34"/>
        <v>398</v>
      </c>
    </row>
    <row r="401" spans="2:13" ht="25.5" x14ac:dyDescent="0.2">
      <c r="B401" s="12" t="s">
        <v>1420</v>
      </c>
      <c r="C401" s="12" t="s">
        <v>1421</v>
      </c>
      <c r="D401" s="5" t="s">
        <v>2</v>
      </c>
      <c r="E401" s="5" t="s">
        <v>1422</v>
      </c>
      <c r="F401" s="5" t="s">
        <v>53</v>
      </c>
      <c r="G401" s="5">
        <v>24.89</v>
      </c>
      <c r="H401" s="6">
        <f t="shared" si="30"/>
        <v>4.0176777822418644E-2</v>
      </c>
      <c r="I401" s="6">
        <v>0.17910000000000001</v>
      </c>
      <c r="J401" s="4">
        <f t="shared" si="31"/>
        <v>473</v>
      </c>
      <c r="K401" s="4">
        <f t="shared" si="32"/>
        <v>236</v>
      </c>
      <c r="L401" s="4">
        <f t="shared" si="33"/>
        <v>709</v>
      </c>
      <c r="M401" s="4">
        <f t="shared" si="34"/>
        <v>399</v>
      </c>
    </row>
    <row r="402" spans="2:13" ht="25.5" x14ac:dyDescent="0.2">
      <c r="B402" s="12" t="s">
        <v>1852</v>
      </c>
      <c r="C402" s="12" t="s">
        <v>1853</v>
      </c>
      <c r="D402" s="5" t="s">
        <v>2</v>
      </c>
      <c r="E402" s="5" t="s">
        <v>1854</v>
      </c>
      <c r="F402" s="5" t="s">
        <v>53</v>
      </c>
      <c r="G402" s="5">
        <v>42.01</v>
      </c>
      <c r="H402" s="6">
        <f t="shared" si="30"/>
        <v>2.3803856224708403E-2</v>
      </c>
      <c r="I402" s="6">
        <v>0.28010000000000002</v>
      </c>
      <c r="J402" s="4">
        <f t="shared" si="31"/>
        <v>617</v>
      </c>
      <c r="K402" s="4">
        <f t="shared" si="32"/>
        <v>93</v>
      </c>
      <c r="L402" s="4">
        <f t="shared" si="33"/>
        <v>710</v>
      </c>
      <c r="M402" s="4">
        <f t="shared" si="34"/>
        <v>400</v>
      </c>
    </row>
    <row r="403" spans="2:13" ht="25.5" x14ac:dyDescent="0.2">
      <c r="B403" s="12" t="s">
        <v>734</v>
      </c>
      <c r="C403" s="12" t="s">
        <v>735</v>
      </c>
      <c r="D403" s="5" t="s">
        <v>2</v>
      </c>
      <c r="E403" s="5" t="s">
        <v>736</v>
      </c>
      <c r="F403" s="5" t="s">
        <v>53</v>
      </c>
      <c r="G403" s="5">
        <v>15.76</v>
      </c>
      <c r="H403" s="6">
        <f t="shared" si="30"/>
        <v>6.3451776649746189E-2</v>
      </c>
      <c r="I403" s="6">
        <v>9.7799999999999998E-2</v>
      </c>
      <c r="J403" s="4">
        <f t="shared" si="31"/>
        <v>242</v>
      </c>
      <c r="K403" s="4">
        <f t="shared" si="32"/>
        <v>470</v>
      </c>
      <c r="L403" s="4">
        <f t="shared" si="33"/>
        <v>712</v>
      </c>
      <c r="M403" s="4">
        <f t="shared" si="34"/>
        <v>401</v>
      </c>
    </row>
    <row r="404" spans="2:13" ht="25.5" x14ac:dyDescent="0.2">
      <c r="B404" s="12" t="s">
        <v>1414</v>
      </c>
      <c r="C404" s="12" t="s">
        <v>1415</v>
      </c>
      <c r="D404" s="5" t="s">
        <v>2</v>
      </c>
      <c r="E404" s="5" t="s">
        <v>1416</v>
      </c>
      <c r="F404" s="5" t="s">
        <v>122</v>
      </c>
      <c r="G404" s="5">
        <v>24.72</v>
      </c>
      <c r="H404" s="6">
        <f t="shared" si="30"/>
        <v>4.0453074433656963E-2</v>
      </c>
      <c r="I404" s="6">
        <v>0.17549999999999999</v>
      </c>
      <c r="J404" s="4">
        <f t="shared" si="31"/>
        <v>471</v>
      </c>
      <c r="K404" s="4">
        <f t="shared" si="32"/>
        <v>242</v>
      </c>
      <c r="L404" s="4">
        <f t="shared" si="33"/>
        <v>713</v>
      </c>
      <c r="M404" s="4">
        <f t="shared" si="34"/>
        <v>402</v>
      </c>
    </row>
    <row r="405" spans="2:13" x14ac:dyDescent="0.2">
      <c r="B405" s="12" t="s">
        <v>845</v>
      </c>
      <c r="C405" s="12" t="s">
        <v>846</v>
      </c>
      <c r="D405" s="5" t="s">
        <v>2</v>
      </c>
      <c r="E405" s="5" t="s">
        <v>847</v>
      </c>
      <c r="F405" s="5" t="s">
        <v>28</v>
      </c>
      <c r="G405" s="5">
        <v>16.600000000000001</v>
      </c>
      <c r="H405" s="6">
        <f t="shared" si="30"/>
        <v>6.0240963855421679E-2</v>
      </c>
      <c r="I405" s="6">
        <v>0.1072</v>
      </c>
      <c r="J405" s="4">
        <f t="shared" si="31"/>
        <v>280</v>
      </c>
      <c r="K405" s="4">
        <f t="shared" si="32"/>
        <v>434</v>
      </c>
      <c r="L405" s="4">
        <f t="shared" si="33"/>
        <v>714</v>
      </c>
      <c r="M405" s="4">
        <f t="shared" si="34"/>
        <v>403</v>
      </c>
    </row>
    <row r="406" spans="2:13" x14ac:dyDescent="0.2">
      <c r="B406" s="12" t="s">
        <v>755</v>
      </c>
      <c r="C406" s="12" t="s">
        <v>756</v>
      </c>
      <c r="D406" s="5" t="s">
        <v>2</v>
      </c>
      <c r="E406" s="5" t="s">
        <v>757</v>
      </c>
      <c r="F406" s="5" t="s">
        <v>91</v>
      </c>
      <c r="G406" s="5">
        <v>15.9</v>
      </c>
      <c r="H406" s="6">
        <f t="shared" si="30"/>
        <v>6.2893081761006289E-2</v>
      </c>
      <c r="I406" s="6">
        <v>9.8599999999999993E-2</v>
      </c>
      <c r="J406" s="4">
        <f t="shared" si="31"/>
        <v>250</v>
      </c>
      <c r="K406" s="4">
        <f t="shared" si="32"/>
        <v>465</v>
      </c>
      <c r="L406" s="4">
        <f t="shared" si="33"/>
        <v>715</v>
      </c>
      <c r="M406" s="4">
        <f t="shared" si="34"/>
        <v>404</v>
      </c>
    </row>
    <row r="407" spans="2:13" x14ac:dyDescent="0.2">
      <c r="B407" s="12" t="s">
        <v>956</v>
      </c>
      <c r="C407" s="12" t="s">
        <v>957</v>
      </c>
      <c r="D407" s="5" t="s">
        <v>2</v>
      </c>
      <c r="E407" s="5" t="s">
        <v>958</v>
      </c>
      <c r="F407" s="5" t="s">
        <v>28</v>
      </c>
      <c r="G407" s="5">
        <v>18.09</v>
      </c>
      <c r="H407" s="6">
        <f t="shared" si="30"/>
        <v>5.5279159756771695E-2</v>
      </c>
      <c r="I407" s="6">
        <v>0.1164</v>
      </c>
      <c r="J407" s="4">
        <f t="shared" si="31"/>
        <v>317</v>
      </c>
      <c r="K407" s="4">
        <f t="shared" si="32"/>
        <v>402</v>
      </c>
      <c r="L407" s="4">
        <f t="shared" si="33"/>
        <v>719</v>
      </c>
      <c r="M407" s="4">
        <f t="shared" si="34"/>
        <v>405</v>
      </c>
    </row>
    <row r="408" spans="2:13" x14ac:dyDescent="0.2">
      <c r="B408" s="12" t="s">
        <v>1720</v>
      </c>
      <c r="C408" s="12" t="s">
        <v>1721</v>
      </c>
      <c r="D408" s="5" t="s">
        <v>2</v>
      </c>
      <c r="E408" s="5" t="s">
        <v>1722</v>
      </c>
      <c r="F408" s="5" t="s">
        <v>91</v>
      </c>
      <c r="G408" s="5">
        <v>32.950000000000003</v>
      </c>
      <c r="H408" s="6">
        <f t="shared" si="30"/>
        <v>3.0349013657056143E-2</v>
      </c>
      <c r="I408" s="6">
        <v>0.23369999999999999</v>
      </c>
      <c r="J408" s="4">
        <f t="shared" si="31"/>
        <v>573</v>
      </c>
      <c r="K408" s="4">
        <f t="shared" si="32"/>
        <v>147</v>
      </c>
      <c r="L408" s="4">
        <f t="shared" si="33"/>
        <v>720</v>
      </c>
      <c r="M408" s="4">
        <f t="shared" si="34"/>
        <v>406</v>
      </c>
    </row>
    <row r="409" spans="2:13" ht="25.5" x14ac:dyDescent="0.2">
      <c r="B409" s="12" t="s">
        <v>1639</v>
      </c>
      <c r="C409" s="12" t="s">
        <v>1640</v>
      </c>
      <c r="D409" s="5" t="s">
        <v>2</v>
      </c>
      <c r="E409" s="5" t="s">
        <v>1641</v>
      </c>
      <c r="F409" s="5" t="s">
        <v>53</v>
      </c>
      <c r="G409" s="5">
        <v>30.61</v>
      </c>
      <c r="H409" s="6">
        <f t="shared" si="30"/>
        <v>3.2669062397909183E-2</v>
      </c>
      <c r="I409" s="6">
        <v>0.20910000000000001</v>
      </c>
      <c r="J409" s="4">
        <f t="shared" si="31"/>
        <v>546</v>
      </c>
      <c r="K409" s="4">
        <f t="shared" si="32"/>
        <v>175</v>
      </c>
      <c r="L409" s="4">
        <f t="shared" si="33"/>
        <v>721</v>
      </c>
      <c r="M409" s="4">
        <f t="shared" si="34"/>
        <v>407</v>
      </c>
    </row>
    <row r="410" spans="2:13" ht="25.5" x14ac:dyDescent="0.2">
      <c r="B410" s="12" t="s">
        <v>428</v>
      </c>
      <c r="C410" s="12" t="s">
        <v>429</v>
      </c>
      <c r="D410" s="5" t="s">
        <v>2</v>
      </c>
      <c r="E410" s="5" t="s">
        <v>430</v>
      </c>
      <c r="F410" s="5" t="s">
        <v>53</v>
      </c>
      <c r="G410" s="5">
        <v>12.4</v>
      </c>
      <c r="H410" s="6">
        <f t="shared" si="30"/>
        <v>8.0645161290322578E-2</v>
      </c>
      <c r="I410" s="6">
        <v>6.6100000000000006E-2</v>
      </c>
      <c r="J410" s="4">
        <f t="shared" si="31"/>
        <v>141</v>
      </c>
      <c r="K410" s="4">
        <f t="shared" si="32"/>
        <v>587</v>
      </c>
      <c r="L410" s="4">
        <f t="shared" si="33"/>
        <v>728</v>
      </c>
      <c r="M410" s="4">
        <f t="shared" si="34"/>
        <v>408</v>
      </c>
    </row>
    <row r="411" spans="2:13" x14ac:dyDescent="0.2">
      <c r="B411" s="12" t="s">
        <v>1099</v>
      </c>
      <c r="C411" s="12" t="s">
        <v>1100</v>
      </c>
      <c r="D411" s="5" t="s">
        <v>2</v>
      </c>
      <c r="E411" s="5" t="s">
        <v>1101</v>
      </c>
      <c r="F411" s="5" t="s">
        <v>28</v>
      </c>
      <c r="G411" s="5">
        <v>20.16</v>
      </c>
      <c r="H411" s="6">
        <f t="shared" si="30"/>
        <v>4.96031746031746E-2</v>
      </c>
      <c r="I411" s="6">
        <v>0.12709999999999999</v>
      </c>
      <c r="J411" s="4">
        <f t="shared" si="31"/>
        <v>365</v>
      </c>
      <c r="K411" s="4">
        <f t="shared" si="32"/>
        <v>363</v>
      </c>
      <c r="L411" s="4">
        <f t="shared" si="33"/>
        <v>728</v>
      </c>
      <c r="M411" s="4">
        <f t="shared" si="34"/>
        <v>408</v>
      </c>
    </row>
    <row r="412" spans="2:13" x14ac:dyDescent="0.2">
      <c r="B412" s="12" t="s">
        <v>947</v>
      </c>
      <c r="C412" s="12" t="s">
        <v>948</v>
      </c>
      <c r="D412" s="5" t="s">
        <v>2</v>
      </c>
      <c r="E412" s="5" t="s">
        <v>949</v>
      </c>
      <c r="F412" s="5" t="s">
        <v>4</v>
      </c>
      <c r="G412" s="5">
        <v>18.02</v>
      </c>
      <c r="H412" s="6">
        <f t="shared" si="30"/>
        <v>5.549389567147614E-2</v>
      </c>
      <c r="I412" s="6">
        <v>0.1108</v>
      </c>
      <c r="J412" s="4">
        <f t="shared" si="31"/>
        <v>314</v>
      </c>
      <c r="K412" s="4">
        <f t="shared" si="32"/>
        <v>415</v>
      </c>
      <c r="L412" s="4">
        <f t="shared" si="33"/>
        <v>729</v>
      </c>
      <c r="M412" s="4">
        <f t="shared" si="34"/>
        <v>410</v>
      </c>
    </row>
    <row r="413" spans="2:13" ht="25.5" x14ac:dyDescent="0.2">
      <c r="B413" s="12" t="s">
        <v>1278</v>
      </c>
      <c r="C413" s="12" t="s">
        <v>1279</v>
      </c>
      <c r="D413" s="5" t="s">
        <v>2</v>
      </c>
      <c r="E413" s="5" t="s">
        <v>1280</v>
      </c>
      <c r="F413" s="5" t="s">
        <v>122</v>
      </c>
      <c r="G413" s="5">
        <v>22.57</v>
      </c>
      <c r="H413" s="6">
        <f t="shared" si="30"/>
        <v>4.4306601683650866E-2</v>
      </c>
      <c r="I413" s="6">
        <v>0.14879999999999999</v>
      </c>
      <c r="J413" s="4">
        <f t="shared" si="31"/>
        <v>425</v>
      </c>
      <c r="K413" s="4">
        <f t="shared" si="32"/>
        <v>304</v>
      </c>
      <c r="L413" s="4">
        <f t="shared" si="33"/>
        <v>729</v>
      </c>
      <c r="M413" s="4">
        <f t="shared" si="34"/>
        <v>410</v>
      </c>
    </row>
    <row r="414" spans="2:13" x14ac:dyDescent="0.2">
      <c r="B414" s="12" t="s">
        <v>1750</v>
      </c>
      <c r="C414" s="12" t="s">
        <v>1751</v>
      </c>
      <c r="D414" s="5" t="s">
        <v>2</v>
      </c>
      <c r="E414" s="5" t="s">
        <v>1752</v>
      </c>
      <c r="F414" s="5" t="s">
        <v>4</v>
      </c>
      <c r="G414" s="5">
        <v>34.78</v>
      </c>
      <c r="H414" s="6">
        <f t="shared" si="30"/>
        <v>2.8752156411730879E-2</v>
      </c>
      <c r="I414" s="6">
        <v>0.2344</v>
      </c>
      <c r="J414" s="4">
        <f t="shared" si="31"/>
        <v>583</v>
      </c>
      <c r="K414" s="4">
        <f t="shared" si="32"/>
        <v>146</v>
      </c>
      <c r="L414" s="4">
        <f t="shared" si="33"/>
        <v>729</v>
      </c>
      <c r="M414" s="4">
        <f t="shared" si="34"/>
        <v>410</v>
      </c>
    </row>
    <row r="415" spans="2:13" x14ac:dyDescent="0.2">
      <c r="B415" s="12" t="s">
        <v>593</v>
      </c>
      <c r="C415" s="12" t="s">
        <v>594</v>
      </c>
      <c r="D415" s="5" t="s">
        <v>2</v>
      </c>
      <c r="E415" s="5" t="s">
        <v>595</v>
      </c>
      <c r="F415" s="5" t="s">
        <v>8</v>
      </c>
      <c r="G415" s="5">
        <v>14.44</v>
      </c>
      <c r="H415" s="6">
        <f t="shared" si="30"/>
        <v>6.9252077562326875E-2</v>
      </c>
      <c r="I415" s="6">
        <v>8.1600000000000006E-2</v>
      </c>
      <c r="J415" s="4">
        <f t="shared" si="31"/>
        <v>196</v>
      </c>
      <c r="K415" s="4">
        <f t="shared" si="32"/>
        <v>535</v>
      </c>
      <c r="L415" s="4">
        <f t="shared" si="33"/>
        <v>731</v>
      </c>
      <c r="M415" s="4">
        <f t="shared" si="34"/>
        <v>413</v>
      </c>
    </row>
    <row r="416" spans="2:13" ht="25.5" x14ac:dyDescent="0.2">
      <c r="B416" s="12" t="s">
        <v>1908</v>
      </c>
      <c r="C416" s="12" t="s">
        <v>1909</v>
      </c>
      <c r="D416" s="5" t="s">
        <v>2</v>
      </c>
      <c r="E416" s="5" t="s">
        <v>1910</v>
      </c>
      <c r="F416" s="5" t="s">
        <v>87</v>
      </c>
      <c r="G416" s="5">
        <v>44.65</v>
      </c>
      <c r="H416" s="6">
        <f t="shared" si="30"/>
        <v>2.2396416573348264E-2</v>
      </c>
      <c r="I416" s="6">
        <v>0.27300000000000002</v>
      </c>
      <c r="J416" s="4">
        <f t="shared" si="31"/>
        <v>636</v>
      </c>
      <c r="K416" s="4">
        <f t="shared" si="32"/>
        <v>102</v>
      </c>
      <c r="L416" s="4">
        <f t="shared" si="33"/>
        <v>738</v>
      </c>
      <c r="M416" s="4">
        <f t="shared" si="34"/>
        <v>414</v>
      </c>
    </row>
    <row r="417" spans="2:13" x14ac:dyDescent="0.2">
      <c r="B417" s="12" t="s">
        <v>929</v>
      </c>
      <c r="C417" s="12" t="s">
        <v>930</v>
      </c>
      <c r="D417" s="5" t="s">
        <v>2</v>
      </c>
      <c r="E417" s="5" t="s">
        <v>931</v>
      </c>
      <c r="F417" s="5" t="s">
        <v>28</v>
      </c>
      <c r="G417" s="5">
        <v>17.64</v>
      </c>
      <c r="H417" s="6">
        <f t="shared" si="30"/>
        <v>5.6689342403628114E-2</v>
      </c>
      <c r="I417" s="6">
        <v>0.1075</v>
      </c>
      <c r="J417" s="4">
        <f t="shared" si="31"/>
        <v>308</v>
      </c>
      <c r="K417" s="4">
        <f t="shared" si="32"/>
        <v>432</v>
      </c>
      <c r="L417" s="4">
        <f t="shared" si="33"/>
        <v>740</v>
      </c>
      <c r="M417" s="4">
        <f t="shared" si="34"/>
        <v>415</v>
      </c>
    </row>
    <row r="418" spans="2:13" x14ac:dyDescent="0.2">
      <c r="B418" s="12" t="s">
        <v>1399</v>
      </c>
      <c r="C418" s="12" t="s">
        <v>1400</v>
      </c>
      <c r="D418" s="5" t="s">
        <v>2</v>
      </c>
      <c r="E418" s="5" t="s">
        <v>1401</v>
      </c>
      <c r="F418" s="5" t="s">
        <v>28</v>
      </c>
      <c r="G418" s="5">
        <v>24.54</v>
      </c>
      <c r="H418" s="6">
        <f t="shared" si="30"/>
        <v>4.0749796251018745E-2</v>
      </c>
      <c r="I418" s="6">
        <v>0.15909999999999999</v>
      </c>
      <c r="J418" s="4">
        <f t="shared" si="31"/>
        <v>466</v>
      </c>
      <c r="K418" s="4">
        <f t="shared" si="32"/>
        <v>274</v>
      </c>
      <c r="L418" s="4">
        <f t="shared" si="33"/>
        <v>740</v>
      </c>
      <c r="M418" s="4">
        <f t="shared" si="34"/>
        <v>415</v>
      </c>
    </row>
    <row r="419" spans="2:13" ht="25.5" x14ac:dyDescent="0.2">
      <c r="B419" s="12" t="s">
        <v>557</v>
      </c>
      <c r="C419" s="12" t="s">
        <v>558</v>
      </c>
      <c r="D419" s="5" t="s">
        <v>2</v>
      </c>
      <c r="E419" s="5" t="s">
        <v>559</v>
      </c>
      <c r="F419" s="5" t="s">
        <v>53</v>
      </c>
      <c r="G419" s="5">
        <v>13.94</v>
      </c>
      <c r="H419" s="6">
        <f t="shared" si="30"/>
        <v>7.1736011477761832E-2</v>
      </c>
      <c r="I419" s="6">
        <v>7.5600000000000001E-2</v>
      </c>
      <c r="J419" s="4">
        <f t="shared" si="31"/>
        <v>184</v>
      </c>
      <c r="K419" s="4">
        <f t="shared" si="32"/>
        <v>557</v>
      </c>
      <c r="L419" s="4">
        <f t="shared" si="33"/>
        <v>741</v>
      </c>
      <c r="M419" s="4">
        <f t="shared" si="34"/>
        <v>417</v>
      </c>
    </row>
    <row r="420" spans="2:13" ht="25.5" x14ac:dyDescent="0.2">
      <c r="B420" s="12" t="s">
        <v>1459</v>
      </c>
      <c r="C420" s="12" t="s">
        <v>1460</v>
      </c>
      <c r="D420" s="5" t="s">
        <v>2</v>
      </c>
      <c r="E420" s="5" t="s">
        <v>1461</v>
      </c>
      <c r="F420" s="5" t="s">
        <v>122</v>
      </c>
      <c r="G420" s="5">
        <v>25.66</v>
      </c>
      <c r="H420" s="6">
        <f t="shared" si="30"/>
        <v>3.8971161340607949E-2</v>
      </c>
      <c r="I420" s="6">
        <v>0.16900000000000001</v>
      </c>
      <c r="J420" s="4">
        <f t="shared" si="31"/>
        <v>485</v>
      </c>
      <c r="K420" s="4">
        <f t="shared" si="32"/>
        <v>256</v>
      </c>
      <c r="L420" s="4">
        <f t="shared" si="33"/>
        <v>741</v>
      </c>
      <c r="M420" s="4">
        <f t="shared" si="34"/>
        <v>417</v>
      </c>
    </row>
    <row r="421" spans="2:13" x14ac:dyDescent="0.2">
      <c r="B421" s="12" t="s">
        <v>1994</v>
      </c>
      <c r="C421" s="12" t="s">
        <v>1995</v>
      </c>
      <c r="D421" s="5" t="s">
        <v>2</v>
      </c>
      <c r="E421" s="5" t="s">
        <v>1996</v>
      </c>
      <c r="F421" s="5" t="s">
        <v>4</v>
      </c>
      <c r="G421" s="5">
        <v>56.58</v>
      </c>
      <c r="H421" s="6">
        <f t="shared" si="30"/>
        <v>1.7674089784376106E-2</v>
      </c>
      <c r="I421" s="6">
        <v>0.30980000000000002</v>
      </c>
      <c r="J421" s="4">
        <f t="shared" si="31"/>
        <v>665</v>
      </c>
      <c r="K421" s="4">
        <f t="shared" si="32"/>
        <v>76</v>
      </c>
      <c r="L421" s="4">
        <f t="shared" si="33"/>
        <v>741</v>
      </c>
      <c r="M421" s="4">
        <f t="shared" si="34"/>
        <v>417</v>
      </c>
    </row>
    <row r="422" spans="2:13" x14ac:dyDescent="0.2">
      <c r="B422" s="12" t="s">
        <v>812</v>
      </c>
      <c r="C422" s="12" t="s">
        <v>813</v>
      </c>
      <c r="D422" s="5" t="s">
        <v>2</v>
      </c>
      <c r="E422" s="5" t="s">
        <v>814</v>
      </c>
      <c r="F422" s="5" t="s">
        <v>8</v>
      </c>
      <c r="G422" s="5">
        <v>16.29</v>
      </c>
      <c r="H422" s="6">
        <f t="shared" si="30"/>
        <v>6.1387354205033766E-2</v>
      </c>
      <c r="I422" s="6">
        <v>9.6299999999999997E-2</v>
      </c>
      <c r="J422" s="4">
        <f t="shared" si="31"/>
        <v>268</v>
      </c>
      <c r="K422" s="4">
        <f t="shared" si="32"/>
        <v>474</v>
      </c>
      <c r="L422" s="4">
        <f t="shared" si="33"/>
        <v>742</v>
      </c>
      <c r="M422" s="4">
        <f t="shared" si="34"/>
        <v>420</v>
      </c>
    </row>
    <row r="423" spans="2:13" x14ac:dyDescent="0.2">
      <c r="B423" s="12" t="s">
        <v>1164</v>
      </c>
      <c r="C423" s="12" t="s">
        <v>1165</v>
      </c>
      <c r="D423" s="5" t="s">
        <v>2</v>
      </c>
      <c r="E423" s="5" t="s">
        <v>1166</v>
      </c>
      <c r="F423" s="5" t="s">
        <v>28</v>
      </c>
      <c r="G423" s="5">
        <v>21.08</v>
      </c>
      <c r="H423" s="6">
        <f t="shared" si="30"/>
        <v>4.743833017077799E-2</v>
      </c>
      <c r="I423" s="6">
        <v>0.12759999999999999</v>
      </c>
      <c r="J423" s="4">
        <f t="shared" si="31"/>
        <v>387</v>
      </c>
      <c r="K423" s="4">
        <f t="shared" si="32"/>
        <v>357</v>
      </c>
      <c r="L423" s="4">
        <f t="shared" si="33"/>
        <v>744</v>
      </c>
      <c r="M423" s="4">
        <f t="shared" si="34"/>
        <v>421</v>
      </c>
    </row>
    <row r="424" spans="2:13" ht="25.5" x14ac:dyDescent="0.2">
      <c r="B424" s="12" t="s">
        <v>1194</v>
      </c>
      <c r="C424" s="12" t="s">
        <v>1195</v>
      </c>
      <c r="D424" s="5" t="s">
        <v>2</v>
      </c>
      <c r="E424" s="5" t="s">
        <v>1196</v>
      </c>
      <c r="F424" s="5" t="s">
        <v>53</v>
      </c>
      <c r="G424" s="5">
        <v>21.33</v>
      </c>
      <c r="H424" s="6">
        <f t="shared" si="30"/>
        <v>4.6882325363338022E-2</v>
      </c>
      <c r="I424" s="6">
        <v>0.1323</v>
      </c>
      <c r="J424" s="4">
        <f t="shared" si="31"/>
        <v>397</v>
      </c>
      <c r="K424" s="4">
        <f t="shared" si="32"/>
        <v>348</v>
      </c>
      <c r="L424" s="4">
        <f t="shared" si="33"/>
        <v>745</v>
      </c>
      <c r="M424" s="4">
        <f t="shared" si="34"/>
        <v>422</v>
      </c>
    </row>
    <row r="425" spans="2:13" ht="25.5" x14ac:dyDescent="0.2">
      <c r="B425" s="12" t="s">
        <v>1705</v>
      </c>
      <c r="C425" s="12" t="s">
        <v>1706</v>
      </c>
      <c r="D425" s="5" t="s">
        <v>2</v>
      </c>
      <c r="E425" s="5" t="s">
        <v>1707</v>
      </c>
      <c r="F425" s="5" t="s">
        <v>53</v>
      </c>
      <c r="G425" s="5">
        <v>32.25</v>
      </c>
      <c r="H425" s="6">
        <f t="shared" si="30"/>
        <v>3.1007751937984496E-2</v>
      </c>
      <c r="I425" s="6">
        <v>0.20480000000000001</v>
      </c>
      <c r="J425" s="4">
        <f t="shared" si="31"/>
        <v>568</v>
      </c>
      <c r="K425" s="4">
        <f t="shared" si="32"/>
        <v>180</v>
      </c>
      <c r="L425" s="4">
        <f t="shared" si="33"/>
        <v>748</v>
      </c>
      <c r="M425" s="4">
        <f t="shared" si="34"/>
        <v>423</v>
      </c>
    </row>
    <row r="426" spans="2:13" x14ac:dyDescent="0.2">
      <c r="B426" s="12" t="s">
        <v>1307</v>
      </c>
      <c r="C426" s="12" t="s">
        <v>1308</v>
      </c>
      <c r="D426" s="5" t="s">
        <v>2</v>
      </c>
      <c r="E426" s="5" t="s">
        <v>1309</v>
      </c>
      <c r="F426" s="5" t="s">
        <v>28</v>
      </c>
      <c r="G426" s="5">
        <v>22.95</v>
      </c>
      <c r="H426" s="6">
        <f t="shared" si="30"/>
        <v>4.357298474945534E-2</v>
      </c>
      <c r="I426" s="6">
        <v>0.14480000000000001</v>
      </c>
      <c r="J426" s="4">
        <f t="shared" si="31"/>
        <v>435</v>
      </c>
      <c r="K426" s="4">
        <f t="shared" si="32"/>
        <v>315</v>
      </c>
      <c r="L426" s="4">
        <f t="shared" si="33"/>
        <v>750</v>
      </c>
      <c r="M426" s="4">
        <f t="shared" si="34"/>
        <v>424</v>
      </c>
    </row>
    <row r="427" spans="2:13" ht="25.5" x14ac:dyDescent="0.2">
      <c r="B427" s="12" t="s">
        <v>935</v>
      </c>
      <c r="C427" s="12" t="s">
        <v>936</v>
      </c>
      <c r="D427" s="5" t="s">
        <v>2</v>
      </c>
      <c r="E427" s="5" t="s">
        <v>937</v>
      </c>
      <c r="F427" s="5" t="s">
        <v>53</v>
      </c>
      <c r="G427" s="5">
        <v>17.850000000000001</v>
      </c>
      <c r="H427" s="6">
        <f t="shared" si="30"/>
        <v>5.6022408963585429E-2</v>
      </c>
      <c r="I427" s="6">
        <v>0.1048</v>
      </c>
      <c r="J427" s="4">
        <f t="shared" si="31"/>
        <v>310</v>
      </c>
      <c r="K427" s="4">
        <f t="shared" si="32"/>
        <v>442</v>
      </c>
      <c r="L427" s="4">
        <f t="shared" si="33"/>
        <v>752</v>
      </c>
      <c r="M427" s="4">
        <f t="shared" si="34"/>
        <v>425</v>
      </c>
    </row>
    <row r="428" spans="2:13" x14ac:dyDescent="0.2">
      <c r="B428" s="12" t="s">
        <v>962</v>
      </c>
      <c r="C428" s="12" t="s">
        <v>963</v>
      </c>
      <c r="D428" s="5" t="s">
        <v>2</v>
      </c>
      <c r="E428" s="5" t="s">
        <v>964</v>
      </c>
      <c r="F428" s="5" t="s">
        <v>18</v>
      </c>
      <c r="G428" s="5">
        <v>18.11</v>
      </c>
      <c r="H428" s="6">
        <f t="shared" si="30"/>
        <v>5.5218111540585313E-2</v>
      </c>
      <c r="I428" s="6">
        <v>0.1066</v>
      </c>
      <c r="J428" s="4">
        <f t="shared" si="31"/>
        <v>318</v>
      </c>
      <c r="K428" s="4">
        <f t="shared" si="32"/>
        <v>435</v>
      </c>
      <c r="L428" s="4">
        <f t="shared" si="33"/>
        <v>753</v>
      </c>
      <c r="M428" s="4">
        <f t="shared" si="34"/>
        <v>426</v>
      </c>
    </row>
    <row r="429" spans="2:13" x14ac:dyDescent="0.2">
      <c r="B429" s="12" t="s">
        <v>503</v>
      </c>
      <c r="C429" s="12" t="s">
        <v>504</v>
      </c>
      <c r="D429" s="5" t="s">
        <v>2</v>
      </c>
      <c r="E429" s="5" t="s">
        <v>505</v>
      </c>
      <c r="F429" s="5" t="s">
        <v>91</v>
      </c>
      <c r="G429" s="5">
        <v>13.27</v>
      </c>
      <c r="H429" s="6">
        <f t="shared" si="30"/>
        <v>7.5357950263752832E-2</v>
      </c>
      <c r="I429" s="6">
        <v>6.5699999999999995E-2</v>
      </c>
      <c r="J429" s="4">
        <f t="shared" si="31"/>
        <v>166</v>
      </c>
      <c r="K429" s="4">
        <f t="shared" si="32"/>
        <v>588</v>
      </c>
      <c r="L429" s="4">
        <f t="shared" si="33"/>
        <v>754</v>
      </c>
      <c r="M429" s="4">
        <f t="shared" si="34"/>
        <v>427</v>
      </c>
    </row>
    <row r="430" spans="2:13" ht="25.5" x14ac:dyDescent="0.2">
      <c r="B430" s="12" t="s">
        <v>1031</v>
      </c>
      <c r="C430" s="12" t="s">
        <v>1032</v>
      </c>
      <c r="D430" s="5" t="s">
        <v>2</v>
      </c>
      <c r="E430" s="5" t="s">
        <v>1033</v>
      </c>
      <c r="F430" s="5" t="s">
        <v>53</v>
      </c>
      <c r="G430" s="5">
        <v>19.14</v>
      </c>
      <c r="H430" s="6">
        <f t="shared" si="30"/>
        <v>5.2246603970741899E-2</v>
      </c>
      <c r="I430" s="6">
        <v>0.11070000000000001</v>
      </c>
      <c r="J430" s="4">
        <f t="shared" si="31"/>
        <v>342</v>
      </c>
      <c r="K430" s="4">
        <f t="shared" si="32"/>
        <v>416</v>
      </c>
      <c r="L430" s="4">
        <f t="shared" si="33"/>
        <v>758</v>
      </c>
      <c r="M430" s="4">
        <f t="shared" si="34"/>
        <v>428</v>
      </c>
    </row>
    <row r="431" spans="2:13" x14ac:dyDescent="0.2">
      <c r="B431" s="12" t="s">
        <v>1073</v>
      </c>
      <c r="C431" s="12" t="s">
        <v>1074</v>
      </c>
      <c r="D431" s="5" t="s">
        <v>2</v>
      </c>
      <c r="E431" s="5" t="s">
        <v>1075</v>
      </c>
      <c r="F431" s="5" t="s">
        <v>28</v>
      </c>
      <c r="G431" s="5">
        <v>19.72</v>
      </c>
      <c r="H431" s="6">
        <f t="shared" si="30"/>
        <v>5.0709939148073029E-2</v>
      </c>
      <c r="I431" s="6">
        <v>0.11550000000000001</v>
      </c>
      <c r="J431" s="4">
        <f t="shared" si="31"/>
        <v>356</v>
      </c>
      <c r="K431" s="4">
        <f t="shared" si="32"/>
        <v>403</v>
      </c>
      <c r="L431" s="4">
        <f t="shared" si="33"/>
        <v>759</v>
      </c>
      <c r="M431" s="4">
        <f t="shared" si="34"/>
        <v>429</v>
      </c>
    </row>
    <row r="432" spans="2:13" ht="25.5" x14ac:dyDescent="0.2">
      <c r="B432" s="12" t="s">
        <v>2033</v>
      </c>
      <c r="C432" s="12" t="s">
        <v>2034</v>
      </c>
      <c r="D432" s="5" t="s">
        <v>2</v>
      </c>
      <c r="E432" s="5" t="s">
        <v>2035</v>
      </c>
      <c r="F432" s="5" t="s">
        <v>87</v>
      </c>
      <c r="G432" s="5">
        <v>65.290000000000006</v>
      </c>
      <c r="H432" s="6">
        <f t="shared" si="30"/>
        <v>1.5316281206922957E-2</v>
      </c>
      <c r="I432" s="6">
        <v>0.30499999999999999</v>
      </c>
      <c r="J432" s="4">
        <f t="shared" si="31"/>
        <v>678</v>
      </c>
      <c r="K432" s="4">
        <f t="shared" si="32"/>
        <v>82</v>
      </c>
      <c r="L432" s="4">
        <f t="shared" si="33"/>
        <v>760</v>
      </c>
      <c r="M432" s="4">
        <f t="shared" si="34"/>
        <v>430</v>
      </c>
    </row>
    <row r="433" spans="2:13" ht="25.5" x14ac:dyDescent="0.2">
      <c r="B433" s="12" t="s">
        <v>623</v>
      </c>
      <c r="C433" s="12" t="s">
        <v>624</v>
      </c>
      <c r="D433" s="5" t="s">
        <v>2</v>
      </c>
      <c r="E433" s="5" t="s">
        <v>625</v>
      </c>
      <c r="F433" s="5" t="s">
        <v>53</v>
      </c>
      <c r="G433" s="5">
        <v>14.71</v>
      </c>
      <c r="H433" s="6">
        <f t="shared" si="30"/>
        <v>6.7980965329707682E-2</v>
      </c>
      <c r="I433" s="6">
        <v>7.5800000000000006E-2</v>
      </c>
      <c r="J433" s="4">
        <f t="shared" si="31"/>
        <v>206</v>
      </c>
      <c r="K433" s="4">
        <f t="shared" si="32"/>
        <v>555</v>
      </c>
      <c r="L433" s="4">
        <f t="shared" si="33"/>
        <v>761</v>
      </c>
      <c r="M433" s="4">
        <f t="shared" si="34"/>
        <v>431</v>
      </c>
    </row>
    <row r="434" spans="2:13" x14ac:dyDescent="0.2">
      <c r="B434" s="12" t="s">
        <v>1352</v>
      </c>
      <c r="C434" s="12" t="s">
        <v>1353</v>
      </c>
      <c r="D434" s="5" t="s">
        <v>2</v>
      </c>
      <c r="E434" s="5" t="s">
        <v>1354</v>
      </c>
      <c r="F434" s="5" t="s">
        <v>28</v>
      </c>
      <c r="G434" s="5">
        <v>23.59</v>
      </c>
      <c r="H434" s="6">
        <f t="shared" si="30"/>
        <v>4.2390843577787198E-2</v>
      </c>
      <c r="I434" s="6">
        <v>0.1454</v>
      </c>
      <c r="J434" s="4">
        <f t="shared" si="31"/>
        <v>448</v>
      </c>
      <c r="K434" s="4">
        <f t="shared" si="32"/>
        <v>313</v>
      </c>
      <c r="L434" s="4">
        <f t="shared" si="33"/>
        <v>761</v>
      </c>
      <c r="M434" s="4">
        <f t="shared" si="34"/>
        <v>431</v>
      </c>
    </row>
    <row r="435" spans="2:13" ht="25.5" x14ac:dyDescent="0.2">
      <c r="B435" s="12" t="s">
        <v>1858</v>
      </c>
      <c r="C435" s="12" t="s">
        <v>1859</v>
      </c>
      <c r="D435" s="5" t="s">
        <v>2</v>
      </c>
      <c r="E435" s="5" t="s">
        <v>1860</v>
      </c>
      <c r="F435" s="5" t="s">
        <v>53</v>
      </c>
      <c r="G435" s="5">
        <v>42.04</v>
      </c>
      <c r="H435" s="6">
        <f t="shared" si="30"/>
        <v>2.3786869647954331E-2</v>
      </c>
      <c r="I435" s="6">
        <v>0.2374</v>
      </c>
      <c r="J435" s="4">
        <f t="shared" si="31"/>
        <v>619</v>
      </c>
      <c r="K435" s="4">
        <f t="shared" si="32"/>
        <v>142</v>
      </c>
      <c r="L435" s="4">
        <f t="shared" si="33"/>
        <v>761</v>
      </c>
      <c r="M435" s="4">
        <f t="shared" si="34"/>
        <v>431</v>
      </c>
    </row>
    <row r="436" spans="2:13" x14ac:dyDescent="0.2">
      <c r="B436" s="12" t="s">
        <v>1081</v>
      </c>
      <c r="C436" s="12" t="s">
        <v>1082</v>
      </c>
      <c r="D436" s="5" t="s">
        <v>2</v>
      </c>
      <c r="E436" s="5" t="s">
        <v>1083</v>
      </c>
      <c r="F436" s="5" t="s">
        <v>91</v>
      </c>
      <c r="G436" s="5">
        <v>19.75</v>
      </c>
      <c r="H436" s="6">
        <f t="shared" si="30"/>
        <v>5.0632911392405063E-2</v>
      </c>
      <c r="I436" s="6">
        <v>0.1142</v>
      </c>
      <c r="J436" s="4">
        <f t="shared" si="31"/>
        <v>357</v>
      </c>
      <c r="K436" s="4">
        <f t="shared" si="32"/>
        <v>405</v>
      </c>
      <c r="L436" s="4">
        <f t="shared" si="33"/>
        <v>762</v>
      </c>
      <c r="M436" s="4">
        <f t="shared" si="34"/>
        <v>434</v>
      </c>
    </row>
    <row r="437" spans="2:13" ht="25.5" x14ac:dyDescent="0.2">
      <c r="B437" s="12" t="s">
        <v>1135</v>
      </c>
      <c r="C437" s="12" t="s">
        <v>1135</v>
      </c>
      <c r="D437" s="5" t="s">
        <v>2</v>
      </c>
      <c r="E437" s="5" t="s">
        <v>1136</v>
      </c>
      <c r="F437" s="5" t="s">
        <v>53</v>
      </c>
      <c r="G437" s="5">
        <v>20.73</v>
      </c>
      <c r="H437" s="6">
        <f t="shared" si="30"/>
        <v>4.8239266763145196E-2</v>
      </c>
      <c r="I437" s="6">
        <v>0.1193</v>
      </c>
      <c r="J437" s="4">
        <f t="shared" si="31"/>
        <v>377</v>
      </c>
      <c r="K437" s="4">
        <f t="shared" si="32"/>
        <v>387</v>
      </c>
      <c r="L437" s="4">
        <f t="shared" si="33"/>
        <v>764</v>
      </c>
      <c r="M437" s="4">
        <f t="shared" si="34"/>
        <v>435</v>
      </c>
    </row>
    <row r="438" spans="2:13" x14ac:dyDescent="0.2">
      <c r="B438" s="12" t="s">
        <v>1381</v>
      </c>
      <c r="C438" s="12" t="s">
        <v>1382</v>
      </c>
      <c r="D438" s="5" t="s">
        <v>2</v>
      </c>
      <c r="E438" s="5" t="s">
        <v>1383</v>
      </c>
      <c r="F438" s="5" t="s">
        <v>28</v>
      </c>
      <c r="G438" s="5">
        <v>24.28</v>
      </c>
      <c r="H438" s="6">
        <f t="shared" si="30"/>
        <v>4.118616144975288E-2</v>
      </c>
      <c r="I438" s="6">
        <v>0.14879999999999999</v>
      </c>
      <c r="J438" s="4">
        <f t="shared" si="31"/>
        <v>460</v>
      </c>
      <c r="K438" s="4">
        <f t="shared" si="32"/>
        <v>304</v>
      </c>
      <c r="L438" s="4">
        <f t="shared" si="33"/>
        <v>764</v>
      </c>
      <c r="M438" s="4">
        <f t="shared" si="34"/>
        <v>435</v>
      </c>
    </row>
    <row r="439" spans="2:13" ht="25.5" x14ac:dyDescent="0.2">
      <c r="B439" s="12" t="s">
        <v>1438</v>
      </c>
      <c r="C439" s="12" t="s">
        <v>1439</v>
      </c>
      <c r="D439" s="5" t="s">
        <v>2</v>
      </c>
      <c r="E439" s="5" t="s">
        <v>1440</v>
      </c>
      <c r="F439" s="5" t="s">
        <v>122</v>
      </c>
      <c r="G439" s="5">
        <v>25.17</v>
      </c>
      <c r="H439" s="6">
        <f t="shared" si="30"/>
        <v>3.9729837107667858E-2</v>
      </c>
      <c r="I439" s="6">
        <v>0.15490000000000001</v>
      </c>
      <c r="J439" s="4">
        <f t="shared" si="31"/>
        <v>477</v>
      </c>
      <c r="K439" s="4">
        <f t="shared" si="32"/>
        <v>287</v>
      </c>
      <c r="L439" s="4">
        <f t="shared" si="33"/>
        <v>764</v>
      </c>
      <c r="M439" s="4">
        <f t="shared" si="34"/>
        <v>435</v>
      </c>
    </row>
    <row r="440" spans="2:13" ht="25.5" x14ac:dyDescent="0.2">
      <c r="B440" s="12" t="s">
        <v>1402</v>
      </c>
      <c r="C440" s="12" t="s">
        <v>1403</v>
      </c>
      <c r="D440" s="5" t="s">
        <v>2</v>
      </c>
      <c r="E440" s="5" t="s">
        <v>1404</v>
      </c>
      <c r="F440" s="5" t="s">
        <v>87</v>
      </c>
      <c r="G440" s="5">
        <v>24.55</v>
      </c>
      <c r="H440" s="6">
        <f t="shared" si="30"/>
        <v>4.0733197556008148E-2</v>
      </c>
      <c r="I440" s="6">
        <v>0.15049999999999999</v>
      </c>
      <c r="J440" s="4">
        <f t="shared" si="31"/>
        <v>467</v>
      </c>
      <c r="K440" s="4">
        <f t="shared" si="32"/>
        <v>300</v>
      </c>
      <c r="L440" s="4">
        <f t="shared" si="33"/>
        <v>767</v>
      </c>
      <c r="M440" s="4">
        <f t="shared" si="34"/>
        <v>438</v>
      </c>
    </row>
    <row r="441" spans="2:13" x14ac:dyDescent="0.2">
      <c r="B441" s="12" t="s">
        <v>1471</v>
      </c>
      <c r="C441" s="12" t="s">
        <v>1472</v>
      </c>
      <c r="D441" s="5" t="s">
        <v>2</v>
      </c>
      <c r="E441" s="5" t="s">
        <v>1473</v>
      </c>
      <c r="F441" s="5" t="s">
        <v>28</v>
      </c>
      <c r="G441" s="5">
        <v>26.45</v>
      </c>
      <c r="H441" s="6">
        <f t="shared" si="30"/>
        <v>3.780718336483932E-2</v>
      </c>
      <c r="I441" s="6">
        <v>0.15759999999999999</v>
      </c>
      <c r="J441" s="4">
        <f t="shared" si="31"/>
        <v>490</v>
      </c>
      <c r="K441" s="4">
        <f t="shared" si="32"/>
        <v>277</v>
      </c>
      <c r="L441" s="4">
        <f t="shared" si="33"/>
        <v>767</v>
      </c>
      <c r="M441" s="4">
        <f t="shared" si="34"/>
        <v>438</v>
      </c>
    </row>
    <row r="442" spans="2:13" ht="25.5" x14ac:dyDescent="0.2">
      <c r="B442" s="12" t="s">
        <v>1651</v>
      </c>
      <c r="C442" s="12" t="s">
        <v>1652</v>
      </c>
      <c r="D442" s="5" t="s">
        <v>2</v>
      </c>
      <c r="E442" s="5" t="s">
        <v>1653</v>
      </c>
      <c r="F442" s="5" t="s">
        <v>87</v>
      </c>
      <c r="G442" s="5">
        <v>30.75</v>
      </c>
      <c r="H442" s="6">
        <f t="shared" si="30"/>
        <v>3.2520325203252036E-2</v>
      </c>
      <c r="I442" s="6">
        <v>0.18679999999999999</v>
      </c>
      <c r="J442" s="4">
        <f t="shared" si="31"/>
        <v>550</v>
      </c>
      <c r="K442" s="4">
        <f t="shared" si="32"/>
        <v>219</v>
      </c>
      <c r="L442" s="4">
        <f t="shared" si="33"/>
        <v>769</v>
      </c>
      <c r="M442" s="4">
        <f t="shared" si="34"/>
        <v>440</v>
      </c>
    </row>
    <row r="443" spans="2:13" ht="25.5" x14ac:dyDescent="0.2">
      <c r="B443" s="12" t="s">
        <v>1293</v>
      </c>
      <c r="C443" s="12" t="s">
        <v>1294</v>
      </c>
      <c r="D443" s="5" t="s">
        <v>2</v>
      </c>
      <c r="E443" s="5" t="s">
        <v>308</v>
      </c>
      <c r="F443" s="5" t="s">
        <v>53</v>
      </c>
      <c r="G443" s="5">
        <v>22.75</v>
      </c>
      <c r="H443" s="6">
        <f t="shared" si="30"/>
        <v>4.3956043956043959E-2</v>
      </c>
      <c r="I443" s="6">
        <v>0.13400000000000001</v>
      </c>
      <c r="J443" s="4">
        <f t="shared" si="31"/>
        <v>430</v>
      </c>
      <c r="K443" s="4">
        <f t="shared" si="32"/>
        <v>343</v>
      </c>
      <c r="L443" s="4">
        <f t="shared" si="33"/>
        <v>773</v>
      </c>
      <c r="M443" s="4">
        <f t="shared" si="34"/>
        <v>441</v>
      </c>
    </row>
    <row r="444" spans="2:13" ht="25.5" x14ac:dyDescent="0.2">
      <c r="B444" s="12" t="s">
        <v>1982</v>
      </c>
      <c r="C444" s="12" t="s">
        <v>1983</v>
      </c>
      <c r="D444" s="5" t="s">
        <v>2</v>
      </c>
      <c r="E444" s="5" t="s">
        <v>1984</v>
      </c>
      <c r="F444" s="5" t="s">
        <v>87</v>
      </c>
      <c r="G444" s="5">
        <v>54.41</v>
      </c>
      <c r="H444" s="6">
        <f t="shared" si="30"/>
        <v>1.8378974453225512E-2</v>
      </c>
      <c r="I444" s="6">
        <v>0.26479999999999998</v>
      </c>
      <c r="J444" s="4">
        <f t="shared" si="31"/>
        <v>661</v>
      </c>
      <c r="K444" s="4">
        <f t="shared" si="32"/>
        <v>112</v>
      </c>
      <c r="L444" s="4">
        <f t="shared" si="33"/>
        <v>773</v>
      </c>
      <c r="M444" s="4">
        <f t="shared" si="34"/>
        <v>441</v>
      </c>
    </row>
    <row r="445" spans="2:13" x14ac:dyDescent="0.2">
      <c r="B445" s="12" t="s">
        <v>1310</v>
      </c>
      <c r="C445" s="12" t="s">
        <v>1311</v>
      </c>
      <c r="D445" s="5" t="s">
        <v>2</v>
      </c>
      <c r="E445" s="5" t="s">
        <v>1312</v>
      </c>
      <c r="F445" s="5" t="s">
        <v>28</v>
      </c>
      <c r="G445" s="5">
        <v>23.02</v>
      </c>
      <c r="H445" s="6">
        <f t="shared" si="30"/>
        <v>4.3440486533449174E-2</v>
      </c>
      <c r="I445" s="6">
        <v>0.1366</v>
      </c>
      <c r="J445" s="4">
        <f t="shared" si="31"/>
        <v>436</v>
      </c>
      <c r="K445" s="4">
        <f t="shared" si="32"/>
        <v>339</v>
      </c>
      <c r="L445" s="4">
        <f t="shared" si="33"/>
        <v>775</v>
      </c>
      <c r="M445" s="4">
        <f t="shared" si="34"/>
        <v>443</v>
      </c>
    </row>
    <row r="446" spans="2:13" x14ac:dyDescent="0.2">
      <c r="B446" s="12" t="s">
        <v>1480</v>
      </c>
      <c r="C446" s="12" t="s">
        <v>1481</v>
      </c>
      <c r="D446" s="5" t="s">
        <v>2</v>
      </c>
      <c r="E446" s="5" t="s">
        <v>1482</v>
      </c>
      <c r="F446" s="5" t="s">
        <v>28</v>
      </c>
      <c r="G446" s="5">
        <v>26.49</v>
      </c>
      <c r="H446" s="6">
        <f t="shared" si="30"/>
        <v>3.7750094375235937E-2</v>
      </c>
      <c r="I446" s="6">
        <v>0.15529999999999999</v>
      </c>
      <c r="J446" s="4">
        <f t="shared" si="31"/>
        <v>492</v>
      </c>
      <c r="K446" s="4">
        <f t="shared" si="32"/>
        <v>283</v>
      </c>
      <c r="L446" s="4">
        <f t="shared" si="33"/>
        <v>775</v>
      </c>
      <c r="M446" s="4">
        <f t="shared" si="34"/>
        <v>443</v>
      </c>
    </row>
    <row r="447" spans="2:13" x14ac:dyDescent="0.2">
      <c r="B447" s="12" t="s">
        <v>1378</v>
      </c>
      <c r="C447" s="12" t="s">
        <v>1379</v>
      </c>
      <c r="D447" s="5" t="s">
        <v>2</v>
      </c>
      <c r="E447" s="5" t="s">
        <v>1380</v>
      </c>
      <c r="F447" s="5" t="s">
        <v>91</v>
      </c>
      <c r="G447" s="5">
        <v>24.1</v>
      </c>
      <c r="H447" s="6">
        <f t="shared" si="30"/>
        <v>4.1493775933609957E-2</v>
      </c>
      <c r="I447" s="6">
        <v>0.1429</v>
      </c>
      <c r="J447" s="4">
        <f t="shared" si="31"/>
        <v>459</v>
      </c>
      <c r="K447" s="4">
        <f t="shared" si="32"/>
        <v>323</v>
      </c>
      <c r="L447" s="4">
        <f t="shared" si="33"/>
        <v>782</v>
      </c>
      <c r="M447" s="4">
        <f t="shared" si="34"/>
        <v>445</v>
      </c>
    </row>
    <row r="448" spans="2:13" x14ac:dyDescent="0.2">
      <c r="B448" s="12" t="s">
        <v>1096</v>
      </c>
      <c r="C448" s="12" t="s">
        <v>1097</v>
      </c>
      <c r="D448" s="5" t="s">
        <v>2</v>
      </c>
      <c r="E448" s="5" t="s">
        <v>1098</v>
      </c>
      <c r="F448" s="5" t="s">
        <v>4</v>
      </c>
      <c r="G448" s="5">
        <v>20.03</v>
      </c>
      <c r="H448" s="6">
        <f t="shared" si="30"/>
        <v>4.9925112331502743E-2</v>
      </c>
      <c r="I448" s="6">
        <v>0.1096</v>
      </c>
      <c r="J448" s="4">
        <f t="shared" si="31"/>
        <v>364</v>
      </c>
      <c r="K448" s="4">
        <f t="shared" si="32"/>
        <v>423</v>
      </c>
      <c r="L448" s="4">
        <f t="shared" si="33"/>
        <v>787</v>
      </c>
      <c r="M448" s="4">
        <f t="shared" si="34"/>
        <v>446</v>
      </c>
    </row>
    <row r="449" spans="2:13" ht="25.5" x14ac:dyDescent="0.2">
      <c r="B449" s="12" t="s">
        <v>1233</v>
      </c>
      <c r="C449" s="12" t="s">
        <v>1234</v>
      </c>
      <c r="D449" s="5" t="s">
        <v>2</v>
      </c>
      <c r="E449" s="5" t="s">
        <v>1235</v>
      </c>
      <c r="F449" s="5" t="s">
        <v>53</v>
      </c>
      <c r="G449" s="5">
        <v>21.81</v>
      </c>
      <c r="H449" s="6">
        <f t="shared" si="30"/>
        <v>4.5850527281063737E-2</v>
      </c>
      <c r="I449" s="6">
        <v>0.1227</v>
      </c>
      <c r="J449" s="4">
        <f t="shared" si="31"/>
        <v>410</v>
      </c>
      <c r="K449" s="4">
        <f t="shared" si="32"/>
        <v>377</v>
      </c>
      <c r="L449" s="4">
        <f t="shared" si="33"/>
        <v>787</v>
      </c>
      <c r="M449" s="4">
        <f t="shared" si="34"/>
        <v>446</v>
      </c>
    </row>
    <row r="450" spans="2:13" ht="25.5" x14ac:dyDescent="0.2">
      <c r="B450" s="12" t="s">
        <v>506</v>
      </c>
      <c r="C450" s="12" t="s">
        <v>507</v>
      </c>
      <c r="D450" s="5" t="s">
        <v>2</v>
      </c>
      <c r="E450" s="5" t="s">
        <v>508</v>
      </c>
      <c r="F450" s="5" t="s">
        <v>53</v>
      </c>
      <c r="G450" s="5">
        <v>13.28</v>
      </c>
      <c r="H450" s="6">
        <f t="shared" si="30"/>
        <v>7.5301204819277115E-2</v>
      </c>
      <c r="I450" s="6">
        <v>5.33E-2</v>
      </c>
      <c r="J450" s="4">
        <f t="shared" si="31"/>
        <v>167</v>
      </c>
      <c r="K450" s="4">
        <f t="shared" si="32"/>
        <v>626</v>
      </c>
      <c r="L450" s="4">
        <f t="shared" si="33"/>
        <v>793</v>
      </c>
      <c r="M450" s="4">
        <f t="shared" si="34"/>
        <v>448</v>
      </c>
    </row>
    <row r="451" spans="2:13" ht="25.5" x14ac:dyDescent="0.2">
      <c r="B451" s="12" t="s">
        <v>1887</v>
      </c>
      <c r="C451" s="12" t="s">
        <v>1888</v>
      </c>
      <c r="D451" s="5" t="s">
        <v>2</v>
      </c>
      <c r="E451" s="5" t="s">
        <v>1889</v>
      </c>
      <c r="F451" s="5" t="s">
        <v>53</v>
      </c>
      <c r="G451" s="5">
        <v>43.7</v>
      </c>
      <c r="H451" s="6">
        <f t="shared" ref="H451:H514" si="35">1/G451</f>
        <v>2.2883295194508008E-2</v>
      </c>
      <c r="I451" s="6">
        <v>0.21790000000000001</v>
      </c>
      <c r="J451" s="4">
        <f t="shared" ref="J451:J514" si="36">+_xlfn.RANK.EQ(H451,H:H,0)</f>
        <v>629</v>
      </c>
      <c r="K451" s="4">
        <f t="shared" ref="K451:K514" si="37">+_xlfn.RANK.EQ(I451,I:I,0)</f>
        <v>167</v>
      </c>
      <c r="L451" s="4">
        <f t="shared" ref="L451:L514" si="38">+J451+K451</f>
        <v>796</v>
      </c>
      <c r="M451" s="4">
        <f t="shared" ref="M451:M514" si="39">+_xlfn.RANK.EQ(L451,L:L,1)</f>
        <v>449</v>
      </c>
    </row>
    <row r="452" spans="2:13" ht="25.5" x14ac:dyDescent="0.2">
      <c r="B452" s="12" t="s">
        <v>1786</v>
      </c>
      <c r="C452" s="12" t="s">
        <v>1787</v>
      </c>
      <c r="D452" s="5" t="s">
        <v>2</v>
      </c>
      <c r="E452" s="5" t="s">
        <v>1788</v>
      </c>
      <c r="F452" s="5" t="s">
        <v>53</v>
      </c>
      <c r="G452" s="5">
        <v>37.29</v>
      </c>
      <c r="H452" s="6">
        <f t="shared" si="35"/>
        <v>2.6816840976133013E-2</v>
      </c>
      <c r="I452" s="6">
        <v>0.19689999999999999</v>
      </c>
      <c r="J452" s="4">
        <f t="shared" si="36"/>
        <v>595</v>
      </c>
      <c r="K452" s="4">
        <f t="shared" si="37"/>
        <v>202</v>
      </c>
      <c r="L452" s="4">
        <f t="shared" si="38"/>
        <v>797</v>
      </c>
      <c r="M452" s="4">
        <f t="shared" si="39"/>
        <v>450</v>
      </c>
    </row>
    <row r="453" spans="2:13" ht="25.5" x14ac:dyDescent="0.2">
      <c r="B453" s="12" t="s">
        <v>1179</v>
      </c>
      <c r="C453" s="12" t="s">
        <v>1180</v>
      </c>
      <c r="D453" s="5" t="s">
        <v>2</v>
      </c>
      <c r="E453" s="5" t="s">
        <v>1181</v>
      </c>
      <c r="F453" s="5" t="s">
        <v>87</v>
      </c>
      <c r="G453" s="5">
        <v>21.23</v>
      </c>
      <c r="H453" s="6">
        <f t="shared" si="35"/>
        <v>4.7103155911446065E-2</v>
      </c>
      <c r="I453" s="6">
        <v>0.11360000000000001</v>
      </c>
      <c r="J453" s="4">
        <f t="shared" si="36"/>
        <v>392</v>
      </c>
      <c r="K453" s="4">
        <f t="shared" si="37"/>
        <v>407</v>
      </c>
      <c r="L453" s="4">
        <f t="shared" si="38"/>
        <v>799</v>
      </c>
      <c r="M453" s="4">
        <f t="shared" si="39"/>
        <v>451</v>
      </c>
    </row>
    <row r="454" spans="2:13" x14ac:dyDescent="0.2">
      <c r="B454" s="12" t="s">
        <v>989</v>
      </c>
      <c r="C454" s="12" t="s">
        <v>990</v>
      </c>
      <c r="D454" s="5" t="s">
        <v>2</v>
      </c>
      <c r="E454" s="5" t="s">
        <v>991</v>
      </c>
      <c r="F454" s="5"/>
      <c r="G454" s="5">
        <v>18.47</v>
      </c>
      <c r="H454" s="6">
        <f t="shared" si="35"/>
        <v>5.4141851651326477E-2</v>
      </c>
      <c r="I454" s="6">
        <v>9.7299999999999998E-2</v>
      </c>
      <c r="J454" s="4">
        <f t="shared" si="36"/>
        <v>328</v>
      </c>
      <c r="K454" s="4">
        <f t="shared" si="37"/>
        <v>472</v>
      </c>
      <c r="L454" s="4">
        <f t="shared" si="38"/>
        <v>800</v>
      </c>
      <c r="M454" s="4">
        <f t="shared" si="39"/>
        <v>452</v>
      </c>
    </row>
    <row r="455" spans="2:13" x14ac:dyDescent="0.2">
      <c r="B455" s="12" t="s">
        <v>920</v>
      </c>
      <c r="C455" s="12" t="s">
        <v>921</v>
      </c>
      <c r="D455" s="5" t="s">
        <v>2</v>
      </c>
      <c r="E455" s="5" t="s">
        <v>922</v>
      </c>
      <c r="F455" s="5" t="s">
        <v>8</v>
      </c>
      <c r="G455" s="5">
        <v>17.47</v>
      </c>
      <c r="H455" s="6">
        <f t="shared" si="35"/>
        <v>5.7240984544934176E-2</v>
      </c>
      <c r="I455" s="6">
        <v>9.0499999999999997E-2</v>
      </c>
      <c r="J455" s="4">
        <f t="shared" si="36"/>
        <v>304</v>
      </c>
      <c r="K455" s="4">
        <f t="shared" si="37"/>
        <v>498</v>
      </c>
      <c r="L455" s="4">
        <f t="shared" si="38"/>
        <v>802</v>
      </c>
      <c r="M455" s="4">
        <f t="shared" si="39"/>
        <v>453</v>
      </c>
    </row>
    <row r="456" spans="2:13" ht="25.5" x14ac:dyDescent="0.2">
      <c r="B456" s="12" t="s">
        <v>1726</v>
      </c>
      <c r="C456" s="12" t="s">
        <v>1727</v>
      </c>
      <c r="D456" s="5" t="s">
        <v>2</v>
      </c>
      <c r="E456" s="5" t="s">
        <v>1728</v>
      </c>
      <c r="F456" s="5" t="s">
        <v>87</v>
      </c>
      <c r="G456" s="5">
        <v>33.25</v>
      </c>
      <c r="H456" s="6">
        <f t="shared" si="35"/>
        <v>3.007518796992481E-2</v>
      </c>
      <c r="I456" s="6">
        <v>0.18410000000000001</v>
      </c>
      <c r="J456" s="4">
        <f t="shared" si="36"/>
        <v>575</v>
      </c>
      <c r="K456" s="4">
        <f t="shared" si="37"/>
        <v>227</v>
      </c>
      <c r="L456" s="4">
        <f t="shared" si="38"/>
        <v>802</v>
      </c>
      <c r="M456" s="4">
        <f t="shared" si="39"/>
        <v>453</v>
      </c>
    </row>
    <row r="457" spans="2:13" x14ac:dyDescent="0.2">
      <c r="B457" s="12" t="s">
        <v>740</v>
      </c>
      <c r="C457" s="12" t="s">
        <v>741</v>
      </c>
      <c r="D457" s="5" t="s">
        <v>2</v>
      </c>
      <c r="E457" s="5" t="s">
        <v>742</v>
      </c>
      <c r="F457" s="5"/>
      <c r="G457" s="5">
        <v>15.77</v>
      </c>
      <c r="H457" s="6">
        <f t="shared" si="35"/>
        <v>6.3411540900443888E-2</v>
      </c>
      <c r="I457" s="6">
        <v>7.5300000000000006E-2</v>
      </c>
      <c r="J457" s="4">
        <f t="shared" si="36"/>
        <v>244</v>
      </c>
      <c r="K457" s="4">
        <f t="shared" si="37"/>
        <v>559</v>
      </c>
      <c r="L457" s="4">
        <f t="shared" si="38"/>
        <v>803</v>
      </c>
      <c r="M457" s="4">
        <f t="shared" si="39"/>
        <v>455</v>
      </c>
    </row>
    <row r="458" spans="2:13" x14ac:dyDescent="0.2">
      <c r="B458" s="12" t="s">
        <v>1281</v>
      </c>
      <c r="C458" s="12" t="s">
        <v>1282</v>
      </c>
      <c r="D458" s="5" t="s">
        <v>2</v>
      </c>
      <c r="E458" s="5" t="s">
        <v>1283</v>
      </c>
      <c r="F458" s="5" t="s">
        <v>18</v>
      </c>
      <c r="G458" s="5">
        <v>22.57</v>
      </c>
      <c r="H458" s="6">
        <f t="shared" si="35"/>
        <v>4.4306601683650866E-2</v>
      </c>
      <c r="I458" s="6">
        <v>0.12239999999999999</v>
      </c>
      <c r="J458" s="4">
        <f t="shared" si="36"/>
        <v>425</v>
      </c>
      <c r="K458" s="4">
        <f t="shared" si="37"/>
        <v>379</v>
      </c>
      <c r="L458" s="4">
        <f t="shared" si="38"/>
        <v>804</v>
      </c>
      <c r="M458" s="4">
        <f t="shared" si="39"/>
        <v>456</v>
      </c>
    </row>
    <row r="459" spans="2:13" x14ac:dyDescent="0.2">
      <c r="B459" s="12" t="s">
        <v>533</v>
      </c>
      <c r="C459" s="12" t="s">
        <v>534</v>
      </c>
      <c r="D459" s="5" t="s">
        <v>2</v>
      </c>
      <c r="E459" s="5" t="s">
        <v>535</v>
      </c>
      <c r="F459" s="5" t="s">
        <v>4</v>
      </c>
      <c r="G459" s="5">
        <v>13.73</v>
      </c>
      <c r="H459" s="6">
        <f t="shared" si="35"/>
        <v>7.2833211944646759E-2</v>
      </c>
      <c r="I459" s="6">
        <v>5.1200000000000002E-2</v>
      </c>
      <c r="J459" s="4">
        <f t="shared" si="36"/>
        <v>176</v>
      </c>
      <c r="K459" s="4">
        <f t="shared" si="37"/>
        <v>631</v>
      </c>
      <c r="L459" s="4">
        <f t="shared" si="38"/>
        <v>807</v>
      </c>
      <c r="M459" s="4">
        <f t="shared" si="39"/>
        <v>457</v>
      </c>
    </row>
    <row r="460" spans="2:13" x14ac:dyDescent="0.2">
      <c r="B460" s="12" t="s">
        <v>1540</v>
      </c>
      <c r="C460" s="12" t="s">
        <v>1541</v>
      </c>
      <c r="D460" s="5" t="s">
        <v>2</v>
      </c>
      <c r="E460" s="5" t="s">
        <v>1542</v>
      </c>
      <c r="F460" s="5" t="s">
        <v>4</v>
      </c>
      <c r="G460" s="5">
        <v>27.63</v>
      </c>
      <c r="H460" s="6">
        <f t="shared" si="35"/>
        <v>3.6192544335866814E-2</v>
      </c>
      <c r="I460" s="6">
        <v>0.15240000000000001</v>
      </c>
      <c r="J460" s="4">
        <f t="shared" si="36"/>
        <v>513</v>
      </c>
      <c r="K460" s="4">
        <f t="shared" si="37"/>
        <v>295</v>
      </c>
      <c r="L460" s="4">
        <f t="shared" si="38"/>
        <v>808</v>
      </c>
      <c r="M460" s="4">
        <f t="shared" si="39"/>
        <v>458</v>
      </c>
    </row>
    <row r="461" spans="2:13" x14ac:dyDescent="0.2">
      <c r="B461" s="12" t="s">
        <v>1200</v>
      </c>
      <c r="C461" s="12" t="s">
        <v>1201</v>
      </c>
      <c r="D461" s="5" t="s">
        <v>2</v>
      </c>
      <c r="E461" s="5" t="s">
        <v>1202</v>
      </c>
      <c r="F461" s="5" t="s">
        <v>4</v>
      </c>
      <c r="G461" s="5">
        <v>21.39</v>
      </c>
      <c r="H461" s="6">
        <f t="shared" si="35"/>
        <v>4.6750818139317439E-2</v>
      </c>
      <c r="I461" s="6">
        <v>0.1129</v>
      </c>
      <c r="J461" s="4">
        <f t="shared" si="36"/>
        <v>399</v>
      </c>
      <c r="K461" s="4">
        <f t="shared" si="37"/>
        <v>411</v>
      </c>
      <c r="L461" s="4">
        <f t="shared" si="38"/>
        <v>810</v>
      </c>
      <c r="M461" s="4">
        <f t="shared" si="39"/>
        <v>459</v>
      </c>
    </row>
    <row r="462" spans="2:13" ht="25.5" x14ac:dyDescent="0.2">
      <c r="B462" s="12" t="s">
        <v>518</v>
      </c>
      <c r="C462" s="12" t="s">
        <v>519</v>
      </c>
      <c r="D462" s="5" t="s">
        <v>2</v>
      </c>
      <c r="E462" s="5" t="s">
        <v>520</v>
      </c>
      <c r="F462" s="5" t="s">
        <v>122</v>
      </c>
      <c r="G462" s="5">
        <v>13.42</v>
      </c>
      <c r="H462" s="6">
        <f t="shared" si="35"/>
        <v>7.4515648286140088E-2</v>
      </c>
      <c r="I462" s="6">
        <v>4.8899999999999999E-2</v>
      </c>
      <c r="J462" s="4">
        <f t="shared" si="36"/>
        <v>171</v>
      </c>
      <c r="K462" s="4">
        <f t="shared" si="37"/>
        <v>640</v>
      </c>
      <c r="L462" s="4">
        <f t="shared" si="38"/>
        <v>811</v>
      </c>
      <c r="M462" s="4">
        <f t="shared" si="39"/>
        <v>460</v>
      </c>
    </row>
    <row r="463" spans="2:13" x14ac:dyDescent="0.2">
      <c r="B463" s="12" t="s">
        <v>932</v>
      </c>
      <c r="C463" s="12" t="s">
        <v>933</v>
      </c>
      <c r="D463" s="5" t="s">
        <v>2</v>
      </c>
      <c r="E463" s="5" t="s">
        <v>934</v>
      </c>
      <c r="F463" s="5" t="s">
        <v>28</v>
      </c>
      <c r="G463" s="5">
        <v>17.649999999999999</v>
      </c>
      <c r="H463" s="6">
        <f t="shared" si="35"/>
        <v>5.6657223796034002E-2</v>
      </c>
      <c r="I463" s="6">
        <v>8.9599999999999999E-2</v>
      </c>
      <c r="J463" s="4">
        <f t="shared" si="36"/>
        <v>309</v>
      </c>
      <c r="K463" s="4">
        <f t="shared" si="37"/>
        <v>503</v>
      </c>
      <c r="L463" s="4">
        <f t="shared" si="38"/>
        <v>812</v>
      </c>
      <c r="M463" s="4">
        <f t="shared" si="39"/>
        <v>461</v>
      </c>
    </row>
    <row r="464" spans="2:13" ht="25.5" x14ac:dyDescent="0.2">
      <c r="B464" s="12" t="s">
        <v>911</v>
      </c>
      <c r="C464" s="12" t="s">
        <v>912</v>
      </c>
      <c r="D464" s="5" t="s">
        <v>2</v>
      </c>
      <c r="E464" s="5" t="s">
        <v>913</v>
      </c>
      <c r="F464" s="5" t="s">
        <v>53</v>
      </c>
      <c r="G464" s="5">
        <v>17.399999999999999</v>
      </c>
      <c r="H464" s="6">
        <f t="shared" si="35"/>
        <v>5.7471264367816098E-2</v>
      </c>
      <c r="I464" s="6">
        <v>8.5999999999999993E-2</v>
      </c>
      <c r="J464" s="4">
        <f t="shared" si="36"/>
        <v>302</v>
      </c>
      <c r="K464" s="4">
        <f t="shared" si="37"/>
        <v>518</v>
      </c>
      <c r="L464" s="4">
        <f t="shared" si="38"/>
        <v>820</v>
      </c>
      <c r="M464" s="4">
        <f t="shared" si="39"/>
        <v>462</v>
      </c>
    </row>
    <row r="465" spans="2:13" x14ac:dyDescent="0.2">
      <c r="B465" s="12" t="s">
        <v>1633</v>
      </c>
      <c r="C465" s="12" t="s">
        <v>1634</v>
      </c>
      <c r="D465" s="5" t="s">
        <v>2</v>
      </c>
      <c r="E465" s="5" t="s">
        <v>1635</v>
      </c>
      <c r="F465" s="5" t="s">
        <v>4</v>
      </c>
      <c r="G465" s="5">
        <v>29.79</v>
      </c>
      <c r="H465" s="6">
        <f t="shared" si="35"/>
        <v>3.3568311513930853E-2</v>
      </c>
      <c r="I465" s="6">
        <v>0.1573</v>
      </c>
      <c r="J465" s="4">
        <f t="shared" si="36"/>
        <v>544</v>
      </c>
      <c r="K465" s="4">
        <f t="shared" si="37"/>
        <v>278</v>
      </c>
      <c r="L465" s="4">
        <f t="shared" si="38"/>
        <v>822</v>
      </c>
      <c r="M465" s="4">
        <f t="shared" si="39"/>
        <v>463</v>
      </c>
    </row>
    <row r="466" spans="2:13" ht="25.5" x14ac:dyDescent="0.2">
      <c r="B466" s="12" t="s">
        <v>926</v>
      </c>
      <c r="C466" s="12" t="s">
        <v>927</v>
      </c>
      <c r="D466" s="5" t="s">
        <v>2</v>
      </c>
      <c r="E466" s="5" t="s">
        <v>928</v>
      </c>
      <c r="F466" s="5" t="s">
        <v>87</v>
      </c>
      <c r="G466" s="5">
        <v>17.600000000000001</v>
      </c>
      <c r="H466" s="6">
        <f t="shared" si="35"/>
        <v>5.6818181818181816E-2</v>
      </c>
      <c r="I466" s="6">
        <v>8.6400000000000005E-2</v>
      </c>
      <c r="J466" s="4">
        <f t="shared" si="36"/>
        <v>307</v>
      </c>
      <c r="K466" s="4">
        <f t="shared" si="37"/>
        <v>516</v>
      </c>
      <c r="L466" s="4">
        <f t="shared" si="38"/>
        <v>823</v>
      </c>
      <c r="M466" s="4">
        <f t="shared" si="39"/>
        <v>464</v>
      </c>
    </row>
    <row r="467" spans="2:13" x14ac:dyDescent="0.2">
      <c r="B467" s="12" t="s">
        <v>938</v>
      </c>
      <c r="C467" s="12" t="s">
        <v>939</v>
      </c>
      <c r="D467" s="5" t="s">
        <v>2</v>
      </c>
      <c r="E467" s="5" t="s">
        <v>940</v>
      </c>
      <c r="F467" s="5" t="s">
        <v>28</v>
      </c>
      <c r="G467" s="5">
        <v>17.86</v>
      </c>
      <c r="H467" s="6">
        <f t="shared" si="35"/>
        <v>5.5991041433370664E-2</v>
      </c>
      <c r="I467" s="6">
        <v>8.5400000000000004E-2</v>
      </c>
      <c r="J467" s="4">
        <f t="shared" si="36"/>
        <v>311</v>
      </c>
      <c r="K467" s="4">
        <f t="shared" si="37"/>
        <v>520</v>
      </c>
      <c r="L467" s="4">
        <f t="shared" si="38"/>
        <v>831</v>
      </c>
      <c r="M467" s="4">
        <f t="shared" si="39"/>
        <v>465</v>
      </c>
    </row>
    <row r="468" spans="2:13" x14ac:dyDescent="0.2">
      <c r="B468" s="12" t="s">
        <v>1049</v>
      </c>
      <c r="C468" s="12" t="s">
        <v>1050</v>
      </c>
      <c r="D468" s="5" t="s">
        <v>2</v>
      </c>
      <c r="E468" s="5" t="s">
        <v>1051</v>
      </c>
      <c r="F468" s="5" t="s">
        <v>28</v>
      </c>
      <c r="G468" s="5">
        <v>19.39</v>
      </c>
      <c r="H468" s="6">
        <f t="shared" si="35"/>
        <v>5.1572975760701391E-2</v>
      </c>
      <c r="I468" s="6">
        <v>9.3700000000000006E-2</v>
      </c>
      <c r="J468" s="4">
        <f t="shared" si="36"/>
        <v>348</v>
      </c>
      <c r="K468" s="4">
        <f t="shared" si="37"/>
        <v>484</v>
      </c>
      <c r="L468" s="4">
        <f t="shared" si="38"/>
        <v>832</v>
      </c>
      <c r="M468" s="4">
        <f t="shared" si="39"/>
        <v>466</v>
      </c>
    </row>
    <row r="469" spans="2:13" x14ac:dyDescent="0.2">
      <c r="B469" s="12" t="s">
        <v>737</v>
      </c>
      <c r="C469" s="12" t="s">
        <v>738</v>
      </c>
      <c r="D469" s="5" t="s">
        <v>2</v>
      </c>
      <c r="E469" s="5" t="s">
        <v>739</v>
      </c>
      <c r="F469" s="5" t="s">
        <v>18</v>
      </c>
      <c r="G469" s="5">
        <v>15.77</v>
      </c>
      <c r="H469" s="6">
        <f t="shared" si="35"/>
        <v>6.3411540900443888E-2</v>
      </c>
      <c r="I469" s="6">
        <v>6.5500000000000003E-2</v>
      </c>
      <c r="J469" s="4">
        <f t="shared" si="36"/>
        <v>244</v>
      </c>
      <c r="K469" s="4">
        <f t="shared" si="37"/>
        <v>589</v>
      </c>
      <c r="L469" s="4">
        <f t="shared" si="38"/>
        <v>833</v>
      </c>
      <c r="M469" s="4">
        <f t="shared" si="39"/>
        <v>467</v>
      </c>
    </row>
    <row r="470" spans="2:13" x14ac:dyDescent="0.2">
      <c r="B470" s="12" t="s">
        <v>2000</v>
      </c>
      <c r="C470" s="12" t="s">
        <v>2001</v>
      </c>
      <c r="D470" s="5" t="s">
        <v>2</v>
      </c>
      <c r="E470" s="5" t="s">
        <v>2002</v>
      </c>
      <c r="F470" s="5" t="s">
        <v>91</v>
      </c>
      <c r="G470" s="5">
        <v>58.58</v>
      </c>
      <c r="H470" s="6">
        <f t="shared" si="35"/>
        <v>1.7070672584499829E-2</v>
      </c>
      <c r="I470" s="6">
        <v>0.21909999999999999</v>
      </c>
      <c r="J470" s="4">
        <f t="shared" si="36"/>
        <v>667</v>
      </c>
      <c r="K470" s="4">
        <f t="shared" si="37"/>
        <v>166</v>
      </c>
      <c r="L470" s="4">
        <f t="shared" si="38"/>
        <v>833</v>
      </c>
      <c r="M470" s="4">
        <f t="shared" si="39"/>
        <v>467</v>
      </c>
    </row>
    <row r="471" spans="2:13" x14ac:dyDescent="0.2">
      <c r="B471" s="12" t="s">
        <v>1498</v>
      </c>
      <c r="C471" s="12" t="s">
        <v>1499</v>
      </c>
      <c r="D471" s="5" t="s">
        <v>2</v>
      </c>
      <c r="E471" s="5" t="s">
        <v>1500</v>
      </c>
      <c r="F471" s="5" t="s">
        <v>18</v>
      </c>
      <c r="G471" s="5">
        <v>26.8</v>
      </c>
      <c r="H471" s="6">
        <f t="shared" si="35"/>
        <v>3.7313432835820892E-2</v>
      </c>
      <c r="I471" s="6">
        <v>0.13689999999999999</v>
      </c>
      <c r="J471" s="4">
        <f t="shared" si="36"/>
        <v>499</v>
      </c>
      <c r="K471" s="4">
        <f t="shared" si="37"/>
        <v>337</v>
      </c>
      <c r="L471" s="4">
        <f t="shared" si="38"/>
        <v>836</v>
      </c>
      <c r="M471" s="4">
        <f t="shared" si="39"/>
        <v>469</v>
      </c>
    </row>
    <row r="472" spans="2:13" ht="25.5" x14ac:dyDescent="0.2">
      <c r="B472" s="12" t="s">
        <v>671</v>
      </c>
      <c r="C472" s="12" t="s">
        <v>672</v>
      </c>
      <c r="D472" s="5" t="s">
        <v>2</v>
      </c>
      <c r="E472" s="5" t="s">
        <v>673</v>
      </c>
      <c r="F472" s="5" t="s">
        <v>53</v>
      </c>
      <c r="G472" s="5">
        <v>15.26</v>
      </c>
      <c r="H472" s="6">
        <f t="shared" si="35"/>
        <v>6.5530799475753604E-2</v>
      </c>
      <c r="I472" s="6">
        <v>5.5399999999999998E-2</v>
      </c>
      <c r="J472" s="4">
        <f t="shared" si="36"/>
        <v>222</v>
      </c>
      <c r="K472" s="4">
        <f t="shared" si="37"/>
        <v>618</v>
      </c>
      <c r="L472" s="4">
        <f t="shared" si="38"/>
        <v>840</v>
      </c>
      <c r="M472" s="4">
        <f t="shared" si="39"/>
        <v>470</v>
      </c>
    </row>
    <row r="473" spans="2:13" x14ac:dyDescent="0.2">
      <c r="B473" s="12" t="s">
        <v>1287</v>
      </c>
      <c r="C473" s="12" t="s">
        <v>1288</v>
      </c>
      <c r="D473" s="5" t="s">
        <v>2</v>
      </c>
      <c r="E473" s="5" t="s">
        <v>1289</v>
      </c>
      <c r="F473" s="5" t="s">
        <v>18</v>
      </c>
      <c r="G473" s="5">
        <v>22.63</v>
      </c>
      <c r="H473" s="6">
        <f t="shared" si="35"/>
        <v>4.4189129474149359E-2</v>
      </c>
      <c r="I473" s="6">
        <v>0.1125</v>
      </c>
      <c r="J473" s="4">
        <f t="shared" si="36"/>
        <v>428</v>
      </c>
      <c r="K473" s="4">
        <f t="shared" si="37"/>
        <v>412</v>
      </c>
      <c r="L473" s="4">
        <f t="shared" si="38"/>
        <v>840</v>
      </c>
      <c r="M473" s="4">
        <f t="shared" si="39"/>
        <v>470</v>
      </c>
    </row>
    <row r="474" spans="2:13" x14ac:dyDescent="0.2">
      <c r="B474" s="12" t="s">
        <v>1173</v>
      </c>
      <c r="C474" s="12" t="s">
        <v>1174</v>
      </c>
      <c r="D474" s="5" t="s">
        <v>2</v>
      </c>
      <c r="E474" s="5" t="s">
        <v>1175</v>
      </c>
      <c r="F474" s="5" t="s">
        <v>4</v>
      </c>
      <c r="G474" s="5">
        <v>21.13</v>
      </c>
      <c r="H474" s="6">
        <f t="shared" si="35"/>
        <v>4.7326076668244205E-2</v>
      </c>
      <c r="I474" s="6">
        <v>0.1026</v>
      </c>
      <c r="J474" s="4">
        <f t="shared" si="36"/>
        <v>390</v>
      </c>
      <c r="K474" s="4">
        <f t="shared" si="37"/>
        <v>451</v>
      </c>
      <c r="L474" s="4">
        <f t="shared" si="38"/>
        <v>841</v>
      </c>
      <c r="M474" s="4">
        <f t="shared" si="39"/>
        <v>472</v>
      </c>
    </row>
    <row r="475" spans="2:13" x14ac:dyDescent="0.2">
      <c r="B475" s="12" t="s">
        <v>887</v>
      </c>
      <c r="C475" s="12" t="s">
        <v>888</v>
      </c>
      <c r="D475" s="5" t="s">
        <v>2</v>
      </c>
      <c r="E475" s="5" t="s">
        <v>889</v>
      </c>
      <c r="F475" s="5" t="s">
        <v>18</v>
      </c>
      <c r="G475" s="5">
        <v>17.14</v>
      </c>
      <c r="H475" s="6">
        <f t="shared" si="35"/>
        <v>5.8343057176196034E-2</v>
      </c>
      <c r="I475" s="6">
        <v>7.7899999999999997E-2</v>
      </c>
      <c r="J475" s="4">
        <f t="shared" si="36"/>
        <v>294</v>
      </c>
      <c r="K475" s="4">
        <f t="shared" si="37"/>
        <v>548</v>
      </c>
      <c r="L475" s="4">
        <f t="shared" si="38"/>
        <v>842</v>
      </c>
      <c r="M475" s="4">
        <f t="shared" si="39"/>
        <v>473</v>
      </c>
    </row>
    <row r="476" spans="2:13" ht="25.5" x14ac:dyDescent="0.2">
      <c r="B476" s="12" t="s">
        <v>1744</v>
      </c>
      <c r="C476" s="12" t="s">
        <v>1745</v>
      </c>
      <c r="D476" s="5" t="s">
        <v>2</v>
      </c>
      <c r="E476" s="5" t="s">
        <v>1746</v>
      </c>
      <c r="F476" s="5" t="s">
        <v>87</v>
      </c>
      <c r="G476" s="5">
        <v>34.43</v>
      </c>
      <c r="H476" s="6">
        <f t="shared" si="35"/>
        <v>2.9044437990124891E-2</v>
      </c>
      <c r="I476" s="6">
        <v>0.1671</v>
      </c>
      <c r="J476" s="4">
        <f t="shared" si="36"/>
        <v>581</v>
      </c>
      <c r="K476" s="4">
        <f t="shared" si="37"/>
        <v>262</v>
      </c>
      <c r="L476" s="4">
        <f t="shared" si="38"/>
        <v>843</v>
      </c>
      <c r="M476" s="4">
        <f t="shared" si="39"/>
        <v>474</v>
      </c>
    </row>
    <row r="477" spans="2:13" x14ac:dyDescent="0.2">
      <c r="B477" s="12" t="s">
        <v>1973</v>
      </c>
      <c r="C477" s="12" t="s">
        <v>1974</v>
      </c>
      <c r="D477" s="5" t="s">
        <v>2</v>
      </c>
      <c r="E477" s="5" t="s">
        <v>1975</v>
      </c>
      <c r="F477" s="5" t="s">
        <v>28</v>
      </c>
      <c r="G477" s="5">
        <v>52.62</v>
      </c>
      <c r="H477" s="6">
        <f t="shared" si="35"/>
        <v>1.9004180919802358E-2</v>
      </c>
      <c r="I477" s="6">
        <v>0.20230000000000001</v>
      </c>
      <c r="J477" s="4">
        <f t="shared" si="36"/>
        <v>658</v>
      </c>
      <c r="K477" s="4">
        <f t="shared" si="37"/>
        <v>187</v>
      </c>
      <c r="L477" s="4">
        <f t="shared" si="38"/>
        <v>845</v>
      </c>
      <c r="M477" s="4">
        <f t="shared" si="39"/>
        <v>475</v>
      </c>
    </row>
    <row r="478" spans="2:13" x14ac:dyDescent="0.2">
      <c r="B478" s="12" t="s">
        <v>1052</v>
      </c>
      <c r="C478" s="12" t="s">
        <v>1053</v>
      </c>
      <c r="D478" s="5" t="s">
        <v>2</v>
      </c>
      <c r="E478" s="5" t="s">
        <v>1054</v>
      </c>
      <c r="F478" s="5" t="s">
        <v>91</v>
      </c>
      <c r="G478" s="5">
        <v>19.46</v>
      </c>
      <c r="H478" s="6">
        <f t="shared" si="35"/>
        <v>5.1387461459403906E-2</v>
      </c>
      <c r="I478" s="6">
        <v>9.0499999999999997E-2</v>
      </c>
      <c r="J478" s="4">
        <f t="shared" si="36"/>
        <v>349</v>
      </c>
      <c r="K478" s="4">
        <f t="shared" si="37"/>
        <v>498</v>
      </c>
      <c r="L478" s="4">
        <f t="shared" si="38"/>
        <v>847</v>
      </c>
      <c r="M478" s="4">
        <f t="shared" si="39"/>
        <v>476</v>
      </c>
    </row>
    <row r="479" spans="2:13" x14ac:dyDescent="0.2">
      <c r="B479" s="12" t="s">
        <v>1576</v>
      </c>
      <c r="C479" s="12" t="s">
        <v>1577</v>
      </c>
      <c r="D479" s="5" t="s">
        <v>2</v>
      </c>
      <c r="E479" s="5" t="s">
        <v>1578</v>
      </c>
      <c r="F479" s="5" t="s">
        <v>4</v>
      </c>
      <c r="G479" s="5">
        <v>28.52</v>
      </c>
      <c r="H479" s="6">
        <f t="shared" si="35"/>
        <v>3.5063113604488078E-2</v>
      </c>
      <c r="I479" s="6">
        <v>0.13980000000000001</v>
      </c>
      <c r="J479" s="4">
        <f t="shared" si="36"/>
        <v>525</v>
      </c>
      <c r="K479" s="4">
        <f t="shared" si="37"/>
        <v>328</v>
      </c>
      <c r="L479" s="4">
        <f t="shared" si="38"/>
        <v>853</v>
      </c>
      <c r="M479" s="4">
        <f t="shared" si="39"/>
        <v>477</v>
      </c>
    </row>
    <row r="480" spans="2:13" ht="25.5" x14ac:dyDescent="0.2">
      <c r="B480" s="12" t="s">
        <v>1266</v>
      </c>
      <c r="C480" s="12" t="s">
        <v>1267</v>
      </c>
      <c r="D480" s="5" t="s">
        <v>2</v>
      </c>
      <c r="E480" s="5" t="s">
        <v>1268</v>
      </c>
      <c r="F480" s="5" t="s">
        <v>122</v>
      </c>
      <c r="G480" s="5">
        <v>22.31</v>
      </c>
      <c r="H480" s="6">
        <f t="shared" si="35"/>
        <v>4.482294935006724E-2</v>
      </c>
      <c r="I480" s="6">
        <v>0.1065</v>
      </c>
      <c r="J480" s="4">
        <f t="shared" si="36"/>
        <v>421</v>
      </c>
      <c r="K480" s="4">
        <f t="shared" si="37"/>
        <v>436</v>
      </c>
      <c r="L480" s="4">
        <f t="shared" si="38"/>
        <v>857</v>
      </c>
      <c r="M480" s="4">
        <f t="shared" si="39"/>
        <v>478</v>
      </c>
    </row>
    <row r="481" spans="2:13" x14ac:dyDescent="0.2">
      <c r="B481" s="12" t="s">
        <v>1937</v>
      </c>
      <c r="C481" s="12" t="s">
        <v>1938</v>
      </c>
      <c r="D481" s="5" t="s">
        <v>2</v>
      </c>
      <c r="E481" s="5" t="s">
        <v>1939</v>
      </c>
      <c r="F481" s="5" t="s">
        <v>28</v>
      </c>
      <c r="G481" s="5">
        <v>46.83</v>
      </c>
      <c r="H481" s="6">
        <f t="shared" si="35"/>
        <v>2.135383301302584E-2</v>
      </c>
      <c r="I481" s="6">
        <v>0.19309999999999999</v>
      </c>
      <c r="J481" s="4">
        <f t="shared" si="36"/>
        <v>646</v>
      </c>
      <c r="K481" s="4">
        <f t="shared" si="37"/>
        <v>212</v>
      </c>
      <c r="L481" s="4">
        <f t="shared" si="38"/>
        <v>858</v>
      </c>
      <c r="M481" s="4">
        <f t="shared" si="39"/>
        <v>479</v>
      </c>
    </row>
    <row r="482" spans="2:13" x14ac:dyDescent="0.2">
      <c r="B482" s="12" t="s">
        <v>878</v>
      </c>
      <c r="C482" s="12" t="s">
        <v>879</v>
      </c>
      <c r="D482" s="5" t="s">
        <v>2</v>
      </c>
      <c r="E482" s="5" t="s">
        <v>880</v>
      </c>
      <c r="F482" s="5" t="s">
        <v>4</v>
      </c>
      <c r="G482" s="5">
        <v>17.059999999999999</v>
      </c>
      <c r="H482" s="6">
        <f t="shared" si="35"/>
        <v>5.8616647127784298E-2</v>
      </c>
      <c r="I482" s="6">
        <v>7.0800000000000002E-2</v>
      </c>
      <c r="J482" s="4">
        <f t="shared" si="36"/>
        <v>291</v>
      </c>
      <c r="K482" s="4">
        <f t="shared" si="37"/>
        <v>570</v>
      </c>
      <c r="L482" s="4">
        <f t="shared" si="38"/>
        <v>861</v>
      </c>
      <c r="M482" s="4">
        <f t="shared" si="39"/>
        <v>480</v>
      </c>
    </row>
    <row r="483" spans="2:13" x14ac:dyDescent="0.2">
      <c r="B483" s="12" t="s">
        <v>1364</v>
      </c>
      <c r="C483" s="12" t="s">
        <v>1365</v>
      </c>
      <c r="D483" s="5" t="s">
        <v>2</v>
      </c>
      <c r="E483" s="5" t="s">
        <v>1366</v>
      </c>
      <c r="F483" s="5" t="s">
        <v>28</v>
      </c>
      <c r="G483" s="5">
        <v>23.76</v>
      </c>
      <c r="H483" s="6">
        <f t="shared" si="35"/>
        <v>4.2087542087542083E-2</v>
      </c>
      <c r="I483" s="6">
        <v>0.11310000000000001</v>
      </c>
      <c r="J483" s="4">
        <f t="shared" si="36"/>
        <v>454</v>
      </c>
      <c r="K483" s="4">
        <f t="shared" si="37"/>
        <v>408</v>
      </c>
      <c r="L483" s="4">
        <f t="shared" si="38"/>
        <v>862</v>
      </c>
      <c r="M483" s="4">
        <f t="shared" si="39"/>
        <v>481</v>
      </c>
    </row>
    <row r="484" spans="2:13" x14ac:dyDescent="0.2">
      <c r="B484" s="12" t="s">
        <v>1531</v>
      </c>
      <c r="C484" s="12" t="s">
        <v>1532</v>
      </c>
      <c r="D484" s="5" t="s">
        <v>2</v>
      </c>
      <c r="E484" s="5" t="s">
        <v>1533</v>
      </c>
      <c r="F484" s="5" t="s">
        <v>28</v>
      </c>
      <c r="G484" s="5">
        <v>27.5</v>
      </c>
      <c r="H484" s="6">
        <f t="shared" si="35"/>
        <v>3.6363636363636362E-2</v>
      </c>
      <c r="I484" s="6">
        <v>0.1305</v>
      </c>
      <c r="J484" s="4">
        <f t="shared" si="36"/>
        <v>510</v>
      </c>
      <c r="K484" s="4">
        <f t="shared" si="37"/>
        <v>353</v>
      </c>
      <c r="L484" s="4">
        <f t="shared" si="38"/>
        <v>863</v>
      </c>
      <c r="M484" s="4">
        <f t="shared" si="39"/>
        <v>482</v>
      </c>
    </row>
    <row r="485" spans="2:13" x14ac:dyDescent="0.2">
      <c r="B485" s="12" t="s">
        <v>1714</v>
      </c>
      <c r="C485" s="12" t="s">
        <v>1715</v>
      </c>
      <c r="D485" s="5" t="s">
        <v>2</v>
      </c>
      <c r="E485" s="5" t="s">
        <v>1716</v>
      </c>
      <c r="F485" s="5" t="s">
        <v>4</v>
      </c>
      <c r="G485" s="5">
        <v>32.53</v>
      </c>
      <c r="H485" s="6">
        <f t="shared" si="35"/>
        <v>3.0740854595757761E-2</v>
      </c>
      <c r="I485" s="6">
        <v>0.15290000000000001</v>
      </c>
      <c r="J485" s="4">
        <f t="shared" si="36"/>
        <v>571</v>
      </c>
      <c r="K485" s="4">
        <f t="shared" si="37"/>
        <v>292</v>
      </c>
      <c r="L485" s="4">
        <f t="shared" si="38"/>
        <v>863</v>
      </c>
      <c r="M485" s="4">
        <f t="shared" si="39"/>
        <v>482</v>
      </c>
    </row>
    <row r="486" spans="2:13" x14ac:dyDescent="0.2">
      <c r="B486" s="12" t="s">
        <v>866</v>
      </c>
      <c r="C486" s="12" t="s">
        <v>867</v>
      </c>
      <c r="D486" s="5" t="s">
        <v>2</v>
      </c>
      <c r="E486" s="5" t="s">
        <v>868</v>
      </c>
      <c r="F486" s="5" t="s">
        <v>8</v>
      </c>
      <c r="G486" s="5">
        <v>16.84</v>
      </c>
      <c r="H486" s="6">
        <f t="shared" si="35"/>
        <v>5.938242280285036E-2</v>
      </c>
      <c r="I486" s="6">
        <v>6.6199999999999995E-2</v>
      </c>
      <c r="J486" s="4">
        <f t="shared" si="36"/>
        <v>287</v>
      </c>
      <c r="K486" s="4">
        <f t="shared" si="37"/>
        <v>586</v>
      </c>
      <c r="L486" s="4">
        <f t="shared" si="38"/>
        <v>873</v>
      </c>
      <c r="M486" s="4">
        <f t="shared" si="39"/>
        <v>484</v>
      </c>
    </row>
    <row r="487" spans="2:13" x14ac:dyDescent="0.2">
      <c r="B487" s="12" t="s">
        <v>788</v>
      </c>
      <c r="C487" s="12" t="s">
        <v>789</v>
      </c>
      <c r="D487" s="5" t="s">
        <v>2</v>
      </c>
      <c r="E487" s="5" t="s">
        <v>790</v>
      </c>
      <c r="F487" s="5" t="s">
        <v>28</v>
      </c>
      <c r="G487" s="5">
        <v>16.13</v>
      </c>
      <c r="H487" s="6">
        <f t="shared" si="35"/>
        <v>6.1996280223186616E-2</v>
      </c>
      <c r="I487" s="6">
        <v>5.6000000000000001E-2</v>
      </c>
      <c r="J487" s="4">
        <f t="shared" si="36"/>
        <v>261</v>
      </c>
      <c r="K487" s="4">
        <f t="shared" si="37"/>
        <v>614</v>
      </c>
      <c r="L487" s="4">
        <f t="shared" si="38"/>
        <v>875</v>
      </c>
      <c r="M487" s="4">
        <f t="shared" si="39"/>
        <v>485</v>
      </c>
    </row>
    <row r="488" spans="2:13" x14ac:dyDescent="0.2">
      <c r="B488" s="12" t="s">
        <v>1058</v>
      </c>
      <c r="C488" s="12" t="s">
        <v>1059</v>
      </c>
      <c r="D488" s="5" t="s">
        <v>2</v>
      </c>
      <c r="E488" s="5" t="s">
        <v>1060</v>
      </c>
      <c r="F488" s="5" t="s">
        <v>91</v>
      </c>
      <c r="G488" s="5">
        <v>19.52</v>
      </c>
      <c r="H488" s="6">
        <f t="shared" si="35"/>
        <v>5.1229508196721313E-2</v>
      </c>
      <c r="I488" s="6">
        <v>8.4099999999999994E-2</v>
      </c>
      <c r="J488" s="4">
        <f t="shared" si="36"/>
        <v>351</v>
      </c>
      <c r="K488" s="4">
        <f t="shared" si="37"/>
        <v>525</v>
      </c>
      <c r="L488" s="4">
        <f t="shared" si="38"/>
        <v>876</v>
      </c>
      <c r="M488" s="4">
        <f t="shared" si="39"/>
        <v>486</v>
      </c>
    </row>
    <row r="489" spans="2:13" x14ac:dyDescent="0.2">
      <c r="B489" s="12" t="s">
        <v>1129</v>
      </c>
      <c r="C489" s="12" t="s">
        <v>1130</v>
      </c>
      <c r="D489" s="5" t="s">
        <v>2</v>
      </c>
      <c r="E489" s="5" t="s">
        <v>1131</v>
      </c>
      <c r="F489" s="5" t="s">
        <v>4</v>
      </c>
      <c r="G489" s="5">
        <v>20.59</v>
      </c>
      <c r="H489" s="6">
        <f t="shared" si="35"/>
        <v>4.8567265662943178E-2</v>
      </c>
      <c r="I489" s="6">
        <v>0.09</v>
      </c>
      <c r="J489" s="4">
        <f t="shared" si="36"/>
        <v>375</v>
      </c>
      <c r="K489" s="4">
        <f t="shared" si="37"/>
        <v>501</v>
      </c>
      <c r="L489" s="4">
        <f t="shared" si="38"/>
        <v>876</v>
      </c>
      <c r="M489" s="4">
        <f t="shared" si="39"/>
        <v>486</v>
      </c>
    </row>
    <row r="490" spans="2:13" x14ac:dyDescent="0.2">
      <c r="B490" s="12" t="s">
        <v>1492</v>
      </c>
      <c r="C490" s="12" t="s">
        <v>1493</v>
      </c>
      <c r="D490" s="5" t="s">
        <v>2</v>
      </c>
      <c r="E490" s="5" t="s">
        <v>1494</v>
      </c>
      <c r="F490" s="5"/>
      <c r="G490" s="5">
        <v>26.67</v>
      </c>
      <c r="H490" s="6">
        <f t="shared" si="35"/>
        <v>3.7495313085864262E-2</v>
      </c>
      <c r="I490" s="6">
        <v>0.12189999999999999</v>
      </c>
      <c r="J490" s="4">
        <f t="shared" si="36"/>
        <v>497</v>
      </c>
      <c r="K490" s="4">
        <f t="shared" si="37"/>
        <v>382</v>
      </c>
      <c r="L490" s="4">
        <f t="shared" si="38"/>
        <v>879</v>
      </c>
      <c r="M490" s="4">
        <f t="shared" si="39"/>
        <v>488</v>
      </c>
    </row>
    <row r="491" spans="2:13" ht="25.5" x14ac:dyDescent="0.2">
      <c r="B491" s="12" t="s">
        <v>1774</v>
      </c>
      <c r="C491" s="12" t="s">
        <v>1775</v>
      </c>
      <c r="D491" s="5" t="s">
        <v>2</v>
      </c>
      <c r="E491" s="5" t="s">
        <v>1776</v>
      </c>
      <c r="F491" s="5" t="s">
        <v>122</v>
      </c>
      <c r="G491" s="5">
        <v>36.450000000000003</v>
      </c>
      <c r="H491" s="6">
        <f t="shared" si="35"/>
        <v>2.7434842249657063E-2</v>
      </c>
      <c r="I491" s="6">
        <v>0.15459999999999999</v>
      </c>
      <c r="J491" s="4">
        <f t="shared" si="36"/>
        <v>591</v>
      </c>
      <c r="K491" s="4">
        <f t="shared" si="37"/>
        <v>288</v>
      </c>
      <c r="L491" s="4">
        <f t="shared" si="38"/>
        <v>879</v>
      </c>
      <c r="M491" s="4">
        <f t="shared" si="39"/>
        <v>488</v>
      </c>
    </row>
    <row r="492" spans="2:13" ht="25.5" x14ac:dyDescent="0.2">
      <c r="B492" s="12" t="s">
        <v>2021</v>
      </c>
      <c r="C492" s="12" t="s">
        <v>2022</v>
      </c>
      <c r="D492" s="5" t="s">
        <v>2</v>
      </c>
      <c r="E492" s="5" t="s">
        <v>2023</v>
      </c>
      <c r="F492" s="5" t="s">
        <v>87</v>
      </c>
      <c r="G492" s="5">
        <v>63.53</v>
      </c>
      <c r="H492" s="6">
        <f t="shared" si="35"/>
        <v>1.5740594994490792E-2</v>
      </c>
      <c r="I492" s="6">
        <v>0.19589999999999999</v>
      </c>
      <c r="J492" s="4">
        <f t="shared" si="36"/>
        <v>674</v>
      </c>
      <c r="K492" s="4">
        <f t="shared" si="37"/>
        <v>205</v>
      </c>
      <c r="L492" s="4">
        <f t="shared" si="38"/>
        <v>879</v>
      </c>
      <c r="M492" s="4">
        <f t="shared" si="39"/>
        <v>488</v>
      </c>
    </row>
    <row r="493" spans="2:13" x14ac:dyDescent="0.2">
      <c r="B493" s="12" t="s">
        <v>869</v>
      </c>
      <c r="C493" s="12" t="s">
        <v>870</v>
      </c>
      <c r="D493" s="5" t="s">
        <v>2</v>
      </c>
      <c r="E493" s="5" t="s">
        <v>871</v>
      </c>
      <c r="F493" s="5" t="s">
        <v>18</v>
      </c>
      <c r="G493" s="5">
        <v>16.93</v>
      </c>
      <c r="H493" s="6">
        <f t="shared" si="35"/>
        <v>5.9066745422327233E-2</v>
      </c>
      <c r="I493" s="6">
        <v>6.1899999999999997E-2</v>
      </c>
      <c r="J493" s="4">
        <f t="shared" si="36"/>
        <v>288</v>
      </c>
      <c r="K493" s="4">
        <f t="shared" si="37"/>
        <v>601</v>
      </c>
      <c r="L493" s="4">
        <f t="shared" si="38"/>
        <v>889</v>
      </c>
      <c r="M493" s="4">
        <f t="shared" si="39"/>
        <v>491</v>
      </c>
    </row>
    <row r="494" spans="2:13" ht="25.5" x14ac:dyDescent="0.2">
      <c r="B494" s="12" t="s">
        <v>1102</v>
      </c>
      <c r="C494" s="12" t="s">
        <v>1103</v>
      </c>
      <c r="D494" s="5" t="s">
        <v>2</v>
      </c>
      <c r="E494" s="5" t="s">
        <v>1104</v>
      </c>
      <c r="F494" s="5" t="s">
        <v>28</v>
      </c>
      <c r="G494" s="5">
        <v>20.2</v>
      </c>
      <c r="H494" s="6">
        <f t="shared" si="35"/>
        <v>4.9504950495049507E-2</v>
      </c>
      <c r="I494" s="6">
        <v>8.4599999999999995E-2</v>
      </c>
      <c r="J494" s="4">
        <f t="shared" si="36"/>
        <v>366</v>
      </c>
      <c r="K494" s="4">
        <f t="shared" si="37"/>
        <v>523</v>
      </c>
      <c r="L494" s="4">
        <f t="shared" si="38"/>
        <v>889</v>
      </c>
      <c r="M494" s="4">
        <f t="shared" si="39"/>
        <v>491</v>
      </c>
    </row>
    <row r="495" spans="2:13" x14ac:dyDescent="0.2">
      <c r="B495" s="12" t="s">
        <v>818</v>
      </c>
      <c r="C495" s="12" t="s">
        <v>819</v>
      </c>
      <c r="D495" s="5" t="s">
        <v>2</v>
      </c>
      <c r="E495" s="5" t="s">
        <v>820</v>
      </c>
      <c r="F495" s="5" t="s">
        <v>18</v>
      </c>
      <c r="G495" s="5">
        <v>16.32</v>
      </c>
      <c r="H495" s="6">
        <f t="shared" si="35"/>
        <v>6.1274509803921566E-2</v>
      </c>
      <c r="I495" s="6">
        <v>5.5100000000000003E-2</v>
      </c>
      <c r="J495" s="4">
        <f t="shared" si="36"/>
        <v>271</v>
      </c>
      <c r="K495" s="4">
        <f t="shared" si="37"/>
        <v>620</v>
      </c>
      <c r="L495" s="4">
        <f t="shared" si="38"/>
        <v>891</v>
      </c>
      <c r="M495" s="4">
        <f t="shared" si="39"/>
        <v>493</v>
      </c>
    </row>
    <row r="496" spans="2:13" ht="25.5" x14ac:dyDescent="0.2">
      <c r="B496" s="12" t="s">
        <v>1573</v>
      </c>
      <c r="C496" s="12" t="s">
        <v>1574</v>
      </c>
      <c r="D496" s="5" t="s">
        <v>2</v>
      </c>
      <c r="E496" s="5" t="s">
        <v>1575</v>
      </c>
      <c r="F496" s="5" t="s">
        <v>53</v>
      </c>
      <c r="G496" s="5">
        <v>28.5</v>
      </c>
      <c r="H496" s="6">
        <f t="shared" si="35"/>
        <v>3.5087719298245612E-2</v>
      </c>
      <c r="I496" s="6">
        <v>0.12540000000000001</v>
      </c>
      <c r="J496" s="4">
        <f t="shared" si="36"/>
        <v>524</v>
      </c>
      <c r="K496" s="4">
        <f t="shared" si="37"/>
        <v>367</v>
      </c>
      <c r="L496" s="4">
        <f t="shared" si="38"/>
        <v>891</v>
      </c>
      <c r="M496" s="4">
        <f t="shared" si="39"/>
        <v>493</v>
      </c>
    </row>
    <row r="497" spans="2:13" x14ac:dyDescent="0.2">
      <c r="B497" s="12" t="s">
        <v>1627</v>
      </c>
      <c r="C497" s="12" t="s">
        <v>1628</v>
      </c>
      <c r="D497" s="5" t="s">
        <v>2</v>
      </c>
      <c r="E497" s="5" t="s">
        <v>1629</v>
      </c>
      <c r="F497" s="5" t="s">
        <v>28</v>
      </c>
      <c r="G497" s="5">
        <v>29.55</v>
      </c>
      <c r="H497" s="6">
        <f t="shared" si="35"/>
        <v>3.3840947546531303E-2</v>
      </c>
      <c r="I497" s="6">
        <v>0.13159999999999999</v>
      </c>
      <c r="J497" s="4">
        <f t="shared" si="36"/>
        <v>542</v>
      </c>
      <c r="K497" s="4">
        <f t="shared" si="37"/>
        <v>350</v>
      </c>
      <c r="L497" s="4">
        <f t="shared" si="38"/>
        <v>892</v>
      </c>
      <c r="M497" s="4">
        <f t="shared" si="39"/>
        <v>495</v>
      </c>
    </row>
    <row r="498" spans="2:13" x14ac:dyDescent="0.2">
      <c r="B498" s="12" t="s">
        <v>1771</v>
      </c>
      <c r="C498" s="12" t="s">
        <v>1772</v>
      </c>
      <c r="D498" s="5" t="s">
        <v>2</v>
      </c>
      <c r="E498" s="5" t="s">
        <v>1773</v>
      </c>
      <c r="F498" s="5" t="s">
        <v>4</v>
      </c>
      <c r="G498" s="5">
        <v>35.630000000000003</v>
      </c>
      <c r="H498" s="6">
        <f t="shared" si="35"/>
        <v>2.8066236317709794E-2</v>
      </c>
      <c r="I498" s="6">
        <v>0.14799999999999999</v>
      </c>
      <c r="J498" s="4">
        <f t="shared" si="36"/>
        <v>590</v>
      </c>
      <c r="K498" s="4">
        <f t="shared" si="37"/>
        <v>307</v>
      </c>
      <c r="L498" s="4">
        <f t="shared" si="38"/>
        <v>897</v>
      </c>
      <c r="M498" s="4">
        <f t="shared" si="39"/>
        <v>496</v>
      </c>
    </row>
    <row r="499" spans="2:13" ht="25.5" x14ac:dyDescent="0.2">
      <c r="B499" s="12" t="s">
        <v>1239</v>
      </c>
      <c r="C499" s="12" t="s">
        <v>1240</v>
      </c>
      <c r="D499" s="5" t="s">
        <v>2</v>
      </c>
      <c r="E499" s="5" t="s">
        <v>1241</v>
      </c>
      <c r="F499" s="5" t="s">
        <v>53</v>
      </c>
      <c r="G499" s="5">
        <v>21.85</v>
      </c>
      <c r="H499" s="6">
        <f t="shared" si="35"/>
        <v>4.5766590389016017E-2</v>
      </c>
      <c r="I499" s="6">
        <v>9.2799999999999994E-2</v>
      </c>
      <c r="J499" s="4">
        <f t="shared" si="36"/>
        <v>412</v>
      </c>
      <c r="K499" s="4">
        <f t="shared" si="37"/>
        <v>488</v>
      </c>
      <c r="L499" s="4">
        <f t="shared" si="38"/>
        <v>900</v>
      </c>
      <c r="M499" s="4">
        <f t="shared" si="39"/>
        <v>497</v>
      </c>
    </row>
    <row r="500" spans="2:13" x14ac:dyDescent="0.2">
      <c r="B500" s="12" t="s">
        <v>1304</v>
      </c>
      <c r="C500" s="12" t="s">
        <v>1305</v>
      </c>
      <c r="D500" s="5" t="s">
        <v>2</v>
      </c>
      <c r="E500" s="5" t="s">
        <v>1306</v>
      </c>
      <c r="F500" s="5"/>
      <c r="G500" s="5">
        <v>22.84</v>
      </c>
      <c r="H500" s="6">
        <f t="shared" si="35"/>
        <v>4.3782837127845885E-2</v>
      </c>
      <c r="I500" s="6">
        <v>9.8100000000000007E-2</v>
      </c>
      <c r="J500" s="4">
        <f t="shared" si="36"/>
        <v>434</v>
      </c>
      <c r="K500" s="4">
        <f t="shared" si="37"/>
        <v>469</v>
      </c>
      <c r="L500" s="4">
        <f t="shared" si="38"/>
        <v>903</v>
      </c>
      <c r="M500" s="4">
        <f t="shared" si="39"/>
        <v>498</v>
      </c>
    </row>
    <row r="501" spans="2:13" x14ac:dyDescent="0.2">
      <c r="B501" s="12" t="s">
        <v>923</v>
      </c>
      <c r="C501" s="12" t="s">
        <v>924</v>
      </c>
      <c r="D501" s="5" t="s">
        <v>2</v>
      </c>
      <c r="E501" s="5" t="s">
        <v>925</v>
      </c>
      <c r="F501" s="5" t="s">
        <v>18</v>
      </c>
      <c r="G501" s="5">
        <v>17.559999999999999</v>
      </c>
      <c r="H501" s="6">
        <f t="shared" si="35"/>
        <v>5.6947608200455586E-2</v>
      </c>
      <c r="I501" s="6">
        <v>6.3E-2</v>
      </c>
      <c r="J501" s="4">
        <f t="shared" si="36"/>
        <v>306</v>
      </c>
      <c r="K501" s="4">
        <f t="shared" si="37"/>
        <v>599</v>
      </c>
      <c r="L501" s="4">
        <f t="shared" si="38"/>
        <v>905</v>
      </c>
      <c r="M501" s="4">
        <f t="shared" si="39"/>
        <v>499</v>
      </c>
    </row>
    <row r="502" spans="2:13" x14ac:dyDescent="0.2">
      <c r="B502" s="12" t="s">
        <v>917</v>
      </c>
      <c r="C502" s="12" t="s">
        <v>918</v>
      </c>
      <c r="D502" s="5" t="s">
        <v>2</v>
      </c>
      <c r="E502" s="5" t="s">
        <v>919</v>
      </c>
      <c r="F502" s="5" t="s">
        <v>91</v>
      </c>
      <c r="G502" s="5">
        <v>17.47</v>
      </c>
      <c r="H502" s="6">
        <f t="shared" si="35"/>
        <v>5.7240984544934176E-2</v>
      </c>
      <c r="I502" s="6">
        <v>6.1699999999999998E-2</v>
      </c>
      <c r="J502" s="4">
        <f t="shared" si="36"/>
        <v>304</v>
      </c>
      <c r="K502" s="4">
        <f t="shared" si="37"/>
        <v>603</v>
      </c>
      <c r="L502" s="4">
        <f t="shared" si="38"/>
        <v>907</v>
      </c>
      <c r="M502" s="4">
        <f t="shared" si="39"/>
        <v>500</v>
      </c>
    </row>
    <row r="503" spans="2:13" x14ac:dyDescent="0.2">
      <c r="B503" s="12" t="s">
        <v>1618</v>
      </c>
      <c r="C503" s="12" t="s">
        <v>1619</v>
      </c>
      <c r="D503" s="5" t="s">
        <v>2</v>
      </c>
      <c r="E503" s="5" t="s">
        <v>1620</v>
      </c>
      <c r="F503" s="5" t="s">
        <v>4</v>
      </c>
      <c r="G503" s="5">
        <v>29.4</v>
      </c>
      <c r="H503" s="6">
        <f t="shared" si="35"/>
        <v>3.4013605442176874E-2</v>
      </c>
      <c r="I503" s="6">
        <v>0.1242</v>
      </c>
      <c r="J503" s="4">
        <f t="shared" si="36"/>
        <v>539</v>
      </c>
      <c r="K503" s="4">
        <f t="shared" si="37"/>
        <v>369</v>
      </c>
      <c r="L503" s="4">
        <f t="shared" si="38"/>
        <v>908</v>
      </c>
      <c r="M503" s="4">
        <f t="shared" si="39"/>
        <v>501</v>
      </c>
    </row>
    <row r="504" spans="2:13" ht="25.5" x14ac:dyDescent="0.2">
      <c r="B504" s="12" t="s">
        <v>833</v>
      </c>
      <c r="C504" s="12" t="s">
        <v>834</v>
      </c>
      <c r="D504" s="5" t="s">
        <v>2</v>
      </c>
      <c r="E504" s="5" t="s">
        <v>835</v>
      </c>
      <c r="F504" s="5" t="s">
        <v>53</v>
      </c>
      <c r="G504" s="5">
        <v>16.54</v>
      </c>
      <c r="H504" s="6">
        <f t="shared" si="35"/>
        <v>6.0459492140266025E-2</v>
      </c>
      <c r="I504" s="6">
        <v>4.99E-2</v>
      </c>
      <c r="J504" s="4">
        <f t="shared" si="36"/>
        <v>275</v>
      </c>
      <c r="K504" s="4">
        <f t="shared" si="37"/>
        <v>638</v>
      </c>
      <c r="L504" s="4">
        <f t="shared" si="38"/>
        <v>913</v>
      </c>
      <c r="M504" s="4">
        <f t="shared" si="39"/>
        <v>502</v>
      </c>
    </row>
    <row r="505" spans="2:13" x14ac:dyDescent="0.2">
      <c r="B505" s="12" t="s">
        <v>1025</v>
      </c>
      <c r="C505" s="12" t="s">
        <v>1026</v>
      </c>
      <c r="D505" s="5" t="s">
        <v>2</v>
      </c>
      <c r="E505" s="5" t="s">
        <v>1027</v>
      </c>
      <c r="F505" s="5" t="s">
        <v>91</v>
      </c>
      <c r="G505" s="5">
        <v>18.95</v>
      </c>
      <c r="H505" s="6">
        <f t="shared" si="35"/>
        <v>5.2770448548812667E-2</v>
      </c>
      <c r="I505" s="6">
        <v>7.0199999999999999E-2</v>
      </c>
      <c r="J505" s="4">
        <f t="shared" si="36"/>
        <v>340</v>
      </c>
      <c r="K505" s="4">
        <f t="shared" si="37"/>
        <v>575</v>
      </c>
      <c r="L505" s="4">
        <f t="shared" si="38"/>
        <v>915</v>
      </c>
      <c r="M505" s="4">
        <f t="shared" si="39"/>
        <v>503</v>
      </c>
    </row>
    <row r="506" spans="2:13" x14ac:dyDescent="0.2">
      <c r="B506" s="12" t="s">
        <v>1218</v>
      </c>
      <c r="C506" s="12" t="s">
        <v>1219</v>
      </c>
      <c r="D506" s="5" t="s">
        <v>2</v>
      </c>
      <c r="E506" s="5" t="s">
        <v>1220</v>
      </c>
      <c r="F506" s="5" t="s">
        <v>18</v>
      </c>
      <c r="G506" s="5">
        <v>21.54</v>
      </c>
      <c r="H506" s="6">
        <f t="shared" si="35"/>
        <v>4.6425255338904368E-2</v>
      </c>
      <c r="I506" s="6">
        <v>8.7599999999999997E-2</v>
      </c>
      <c r="J506" s="4">
        <f t="shared" si="36"/>
        <v>405</v>
      </c>
      <c r="K506" s="4">
        <f t="shared" si="37"/>
        <v>512</v>
      </c>
      <c r="L506" s="4">
        <f t="shared" si="38"/>
        <v>917</v>
      </c>
      <c r="M506" s="4">
        <f t="shared" si="39"/>
        <v>504</v>
      </c>
    </row>
    <row r="507" spans="2:13" x14ac:dyDescent="0.2">
      <c r="B507" s="12" t="s">
        <v>1114</v>
      </c>
      <c r="C507" s="12" t="s">
        <v>1115</v>
      </c>
      <c r="D507" s="5" t="s">
        <v>2</v>
      </c>
      <c r="E507" s="5" t="s">
        <v>1116</v>
      </c>
      <c r="F507" s="5" t="s">
        <v>28</v>
      </c>
      <c r="G507" s="5">
        <v>20.41</v>
      </c>
      <c r="H507" s="6">
        <f t="shared" si="35"/>
        <v>4.8995590396864283E-2</v>
      </c>
      <c r="I507" s="6">
        <v>7.7899999999999997E-2</v>
      </c>
      <c r="J507" s="4">
        <f t="shared" si="36"/>
        <v>370</v>
      </c>
      <c r="K507" s="4">
        <f t="shared" si="37"/>
        <v>548</v>
      </c>
      <c r="L507" s="4">
        <f t="shared" si="38"/>
        <v>918</v>
      </c>
      <c r="M507" s="4">
        <f t="shared" si="39"/>
        <v>505</v>
      </c>
    </row>
    <row r="508" spans="2:13" x14ac:dyDescent="0.2">
      <c r="B508" s="12" t="s">
        <v>1678</v>
      </c>
      <c r="C508" s="12" t="s">
        <v>1679</v>
      </c>
      <c r="D508" s="5" t="s">
        <v>2</v>
      </c>
      <c r="E508" s="5" t="s">
        <v>1680</v>
      </c>
      <c r="F508" s="5" t="s">
        <v>4</v>
      </c>
      <c r="G508" s="5">
        <v>31.47</v>
      </c>
      <c r="H508" s="6">
        <f t="shared" si="35"/>
        <v>3.1776294884016523E-2</v>
      </c>
      <c r="I508" s="6">
        <v>0.12740000000000001</v>
      </c>
      <c r="J508" s="4">
        <f t="shared" si="36"/>
        <v>559</v>
      </c>
      <c r="K508" s="4">
        <f t="shared" si="37"/>
        <v>360</v>
      </c>
      <c r="L508" s="4">
        <f t="shared" si="38"/>
        <v>919</v>
      </c>
      <c r="M508" s="4">
        <f t="shared" si="39"/>
        <v>506</v>
      </c>
    </row>
    <row r="509" spans="2:13" ht="25.5" x14ac:dyDescent="0.2">
      <c r="B509" s="12" t="s">
        <v>1215</v>
      </c>
      <c r="C509" s="12" t="s">
        <v>1216</v>
      </c>
      <c r="D509" s="5" t="s">
        <v>2</v>
      </c>
      <c r="E509" s="5" t="s">
        <v>1217</v>
      </c>
      <c r="F509" s="5" t="s">
        <v>87</v>
      </c>
      <c r="G509" s="5">
        <v>21.47</v>
      </c>
      <c r="H509" s="6">
        <f t="shared" si="35"/>
        <v>4.6576618537494181E-2</v>
      </c>
      <c r="I509" s="6">
        <v>8.4900000000000003E-2</v>
      </c>
      <c r="J509" s="4">
        <f t="shared" si="36"/>
        <v>402</v>
      </c>
      <c r="K509" s="4">
        <f t="shared" si="37"/>
        <v>521</v>
      </c>
      <c r="L509" s="4">
        <f t="shared" si="38"/>
        <v>923</v>
      </c>
      <c r="M509" s="4">
        <f t="shared" si="39"/>
        <v>507</v>
      </c>
    </row>
    <row r="510" spans="2:13" ht="25.5" x14ac:dyDescent="0.2">
      <c r="B510" s="12" t="s">
        <v>1108</v>
      </c>
      <c r="C510" s="12" t="s">
        <v>1109</v>
      </c>
      <c r="D510" s="5" t="s">
        <v>2</v>
      </c>
      <c r="E510" s="5" t="s">
        <v>1110</v>
      </c>
      <c r="F510" s="5" t="s">
        <v>122</v>
      </c>
      <c r="G510" s="5">
        <v>20.260000000000002</v>
      </c>
      <c r="H510" s="6">
        <f t="shared" si="35"/>
        <v>4.9358341559723587E-2</v>
      </c>
      <c r="I510" s="6">
        <v>7.5600000000000001E-2</v>
      </c>
      <c r="J510" s="4">
        <f t="shared" si="36"/>
        <v>368</v>
      </c>
      <c r="K510" s="4">
        <f t="shared" si="37"/>
        <v>557</v>
      </c>
      <c r="L510" s="4">
        <f t="shared" si="38"/>
        <v>925</v>
      </c>
      <c r="M510" s="4">
        <f t="shared" si="39"/>
        <v>508</v>
      </c>
    </row>
    <row r="511" spans="2:13" x14ac:dyDescent="0.2">
      <c r="B511" s="12" t="s">
        <v>1325</v>
      </c>
      <c r="C511" s="12" t="s">
        <v>1326</v>
      </c>
      <c r="D511" s="5" t="s">
        <v>2</v>
      </c>
      <c r="E511" s="5" t="s">
        <v>1327</v>
      </c>
      <c r="F511" s="5" t="s">
        <v>91</v>
      </c>
      <c r="G511" s="5">
        <v>23.39</v>
      </c>
      <c r="H511" s="6">
        <f t="shared" si="35"/>
        <v>4.2753313381787089E-2</v>
      </c>
      <c r="I511" s="6">
        <v>9.2999999999999999E-2</v>
      </c>
      <c r="J511" s="4">
        <f t="shared" si="36"/>
        <v>441</v>
      </c>
      <c r="K511" s="4">
        <f t="shared" si="37"/>
        <v>486</v>
      </c>
      <c r="L511" s="4">
        <f t="shared" si="38"/>
        <v>927</v>
      </c>
      <c r="M511" s="4">
        <f t="shared" si="39"/>
        <v>509</v>
      </c>
    </row>
    <row r="512" spans="2:13" x14ac:dyDescent="0.2">
      <c r="B512" s="12" t="s">
        <v>1272</v>
      </c>
      <c r="C512" s="12" t="s">
        <v>1273</v>
      </c>
      <c r="D512" s="5" t="s">
        <v>2</v>
      </c>
      <c r="E512" s="5" t="s">
        <v>1274</v>
      </c>
      <c r="F512" s="5" t="s">
        <v>28</v>
      </c>
      <c r="G512" s="5">
        <v>22.37</v>
      </c>
      <c r="H512" s="6">
        <f t="shared" si="35"/>
        <v>4.4702726866338846E-2</v>
      </c>
      <c r="I512" s="6">
        <v>8.9499999999999996E-2</v>
      </c>
      <c r="J512" s="4">
        <f t="shared" si="36"/>
        <v>423</v>
      </c>
      <c r="K512" s="4">
        <f t="shared" si="37"/>
        <v>505</v>
      </c>
      <c r="L512" s="4">
        <f t="shared" si="38"/>
        <v>928</v>
      </c>
      <c r="M512" s="4">
        <f t="shared" si="39"/>
        <v>510</v>
      </c>
    </row>
    <row r="513" spans="2:13" x14ac:dyDescent="0.2">
      <c r="B513" s="12" t="s">
        <v>1143</v>
      </c>
      <c r="C513" s="12" t="s">
        <v>1144</v>
      </c>
      <c r="D513" s="5" t="s">
        <v>2</v>
      </c>
      <c r="E513" s="5" t="s">
        <v>1145</v>
      </c>
      <c r="F513" s="5" t="s">
        <v>4</v>
      </c>
      <c r="G513" s="5">
        <v>20.81</v>
      </c>
      <c r="H513" s="6">
        <f t="shared" si="35"/>
        <v>4.8053820278712162E-2</v>
      </c>
      <c r="I513" s="6">
        <v>7.7299999999999994E-2</v>
      </c>
      <c r="J513" s="4">
        <f t="shared" si="36"/>
        <v>380</v>
      </c>
      <c r="K513" s="4">
        <f t="shared" si="37"/>
        <v>552</v>
      </c>
      <c r="L513" s="4">
        <f t="shared" si="38"/>
        <v>932</v>
      </c>
      <c r="M513" s="4">
        <f t="shared" si="39"/>
        <v>511</v>
      </c>
    </row>
    <row r="514" spans="2:13" x14ac:dyDescent="0.2">
      <c r="B514" s="12" t="s">
        <v>1158</v>
      </c>
      <c r="C514" s="12" t="s">
        <v>1159</v>
      </c>
      <c r="D514" s="5" t="s">
        <v>2</v>
      </c>
      <c r="E514" s="5" t="s">
        <v>1160</v>
      </c>
      <c r="F514" s="5" t="s">
        <v>4</v>
      </c>
      <c r="G514" s="5">
        <v>20.94</v>
      </c>
      <c r="H514" s="6">
        <f t="shared" si="35"/>
        <v>4.775549188156638E-2</v>
      </c>
      <c r="I514" s="6">
        <v>7.8E-2</v>
      </c>
      <c r="J514" s="4">
        <f t="shared" si="36"/>
        <v>385</v>
      </c>
      <c r="K514" s="4">
        <f t="shared" si="37"/>
        <v>547</v>
      </c>
      <c r="L514" s="4">
        <f t="shared" si="38"/>
        <v>932</v>
      </c>
      <c r="M514" s="4">
        <f t="shared" si="39"/>
        <v>511</v>
      </c>
    </row>
    <row r="515" spans="2:13" x14ac:dyDescent="0.2">
      <c r="B515" s="12" t="s">
        <v>1209</v>
      </c>
      <c r="C515" s="12" t="s">
        <v>1210</v>
      </c>
      <c r="D515" s="5" t="s">
        <v>2</v>
      </c>
      <c r="E515" s="5" t="s">
        <v>1211</v>
      </c>
      <c r="F515" s="5" t="s">
        <v>4</v>
      </c>
      <c r="G515" s="5">
        <v>21.47</v>
      </c>
      <c r="H515" s="6">
        <f t="shared" ref="H515:H578" si="40">1/G515</f>
        <v>4.6576618537494181E-2</v>
      </c>
      <c r="I515" s="6">
        <v>8.2900000000000001E-2</v>
      </c>
      <c r="J515" s="4">
        <f t="shared" ref="J515:J578" si="41">+_xlfn.RANK.EQ(H515,H:H,0)</f>
        <v>402</v>
      </c>
      <c r="K515" s="4">
        <f t="shared" ref="K515:K578" si="42">+_xlfn.RANK.EQ(I515,I:I,0)</f>
        <v>531</v>
      </c>
      <c r="L515" s="4">
        <f t="shared" ref="L515:L578" si="43">+J515+K515</f>
        <v>933</v>
      </c>
      <c r="M515" s="4">
        <f t="shared" ref="M515:M578" si="44">+_xlfn.RANK.EQ(L515,L:L,1)</f>
        <v>513</v>
      </c>
    </row>
    <row r="516" spans="2:13" ht="25.5" x14ac:dyDescent="0.2">
      <c r="B516" s="12" t="s">
        <v>2048</v>
      </c>
      <c r="C516" s="12" t="s">
        <v>2049</v>
      </c>
      <c r="D516" s="5" t="s">
        <v>2</v>
      </c>
      <c r="E516" s="5" t="s">
        <v>2050</v>
      </c>
      <c r="F516" s="5" t="s">
        <v>53</v>
      </c>
      <c r="G516" s="5">
        <v>69.33</v>
      </c>
      <c r="H516" s="6">
        <f t="shared" si="40"/>
        <v>1.4423770373575654E-2</v>
      </c>
      <c r="I516" s="6">
        <v>0.1711</v>
      </c>
      <c r="J516" s="4">
        <f t="shared" si="41"/>
        <v>683</v>
      </c>
      <c r="K516" s="4">
        <f t="shared" si="42"/>
        <v>251</v>
      </c>
      <c r="L516" s="4">
        <f t="shared" si="43"/>
        <v>934</v>
      </c>
      <c r="M516" s="4">
        <f t="shared" si="44"/>
        <v>514</v>
      </c>
    </row>
    <row r="517" spans="2:13" x14ac:dyDescent="0.2">
      <c r="B517" s="12" t="s">
        <v>1117</v>
      </c>
      <c r="C517" s="12" t="s">
        <v>1118</v>
      </c>
      <c r="D517" s="5" t="s">
        <v>2</v>
      </c>
      <c r="E517" s="5" t="s">
        <v>1119</v>
      </c>
      <c r="F517" s="5" t="s">
        <v>8</v>
      </c>
      <c r="G517" s="5">
        <v>20.48</v>
      </c>
      <c r="H517" s="6">
        <f t="shared" si="40"/>
        <v>4.8828125E-2</v>
      </c>
      <c r="I517" s="6">
        <v>7.3200000000000001E-2</v>
      </c>
      <c r="J517" s="4">
        <f t="shared" si="41"/>
        <v>371</v>
      </c>
      <c r="K517" s="4">
        <f t="shared" si="42"/>
        <v>564</v>
      </c>
      <c r="L517" s="4">
        <f t="shared" si="43"/>
        <v>935</v>
      </c>
      <c r="M517" s="4">
        <f t="shared" si="44"/>
        <v>515</v>
      </c>
    </row>
    <row r="518" spans="2:13" x14ac:dyDescent="0.2">
      <c r="B518" s="12" t="s">
        <v>2042</v>
      </c>
      <c r="C518" s="12" t="s">
        <v>2043</v>
      </c>
      <c r="D518" s="5" t="s">
        <v>2</v>
      </c>
      <c r="E518" s="5" t="s">
        <v>2044</v>
      </c>
      <c r="F518" s="5" t="s">
        <v>91</v>
      </c>
      <c r="G518" s="5">
        <v>68.22</v>
      </c>
      <c r="H518" s="6">
        <f t="shared" si="40"/>
        <v>1.465845793022574E-2</v>
      </c>
      <c r="I518" s="6">
        <v>0.1701</v>
      </c>
      <c r="J518" s="4">
        <f t="shared" si="41"/>
        <v>681</v>
      </c>
      <c r="K518" s="4">
        <f t="shared" si="42"/>
        <v>254</v>
      </c>
      <c r="L518" s="4">
        <f t="shared" si="43"/>
        <v>935</v>
      </c>
      <c r="M518" s="4">
        <f t="shared" si="44"/>
        <v>515</v>
      </c>
    </row>
    <row r="519" spans="2:13" x14ac:dyDescent="0.2">
      <c r="B519" s="12" t="s">
        <v>974</v>
      </c>
      <c r="C519" s="12" t="s">
        <v>975</v>
      </c>
      <c r="D519" s="5" t="s">
        <v>2</v>
      </c>
      <c r="E519" s="5" t="s">
        <v>976</v>
      </c>
      <c r="F519" s="5" t="s">
        <v>8</v>
      </c>
      <c r="G519" s="5">
        <v>18.3</v>
      </c>
      <c r="H519" s="6">
        <f t="shared" si="40"/>
        <v>5.4644808743169397E-2</v>
      </c>
      <c r="I519" s="6">
        <v>5.5899999999999998E-2</v>
      </c>
      <c r="J519" s="4">
        <f t="shared" si="41"/>
        <v>323</v>
      </c>
      <c r="K519" s="4">
        <f t="shared" si="42"/>
        <v>616</v>
      </c>
      <c r="L519" s="4">
        <f t="shared" si="43"/>
        <v>939</v>
      </c>
      <c r="M519" s="4">
        <f t="shared" si="44"/>
        <v>517</v>
      </c>
    </row>
    <row r="520" spans="2:13" ht="25.5" x14ac:dyDescent="0.2">
      <c r="B520" s="12" t="s">
        <v>1227</v>
      </c>
      <c r="C520" s="12" t="s">
        <v>1228</v>
      </c>
      <c r="D520" s="5" t="s">
        <v>2</v>
      </c>
      <c r="E520" s="5" t="s">
        <v>1229</v>
      </c>
      <c r="F520" s="5" t="s">
        <v>122</v>
      </c>
      <c r="G520" s="5">
        <v>21.74</v>
      </c>
      <c r="H520" s="6">
        <f t="shared" si="40"/>
        <v>4.5998160073597062E-2</v>
      </c>
      <c r="I520" s="6">
        <v>8.2199999999999995E-2</v>
      </c>
      <c r="J520" s="4">
        <f t="shared" si="41"/>
        <v>408</v>
      </c>
      <c r="K520" s="4">
        <f t="shared" si="42"/>
        <v>532</v>
      </c>
      <c r="L520" s="4">
        <f t="shared" si="43"/>
        <v>940</v>
      </c>
      <c r="M520" s="4">
        <f t="shared" si="44"/>
        <v>518</v>
      </c>
    </row>
    <row r="521" spans="2:13" ht="25.5" x14ac:dyDescent="0.2">
      <c r="B521" s="12" t="s">
        <v>1149</v>
      </c>
      <c r="C521" s="12" t="s">
        <v>1150</v>
      </c>
      <c r="D521" s="5" t="s">
        <v>2</v>
      </c>
      <c r="E521" s="5" t="s">
        <v>1151</v>
      </c>
      <c r="F521" s="5" t="s">
        <v>122</v>
      </c>
      <c r="G521" s="5">
        <v>20.87</v>
      </c>
      <c r="H521" s="6">
        <f t="shared" si="40"/>
        <v>4.7915668423574503E-2</v>
      </c>
      <c r="I521" s="6">
        <v>7.3999999999999996E-2</v>
      </c>
      <c r="J521" s="4">
        <f t="shared" si="41"/>
        <v>382</v>
      </c>
      <c r="K521" s="4">
        <f t="shared" si="42"/>
        <v>562</v>
      </c>
      <c r="L521" s="4">
        <f t="shared" si="43"/>
        <v>944</v>
      </c>
      <c r="M521" s="4">
        <f t="shared" si="44"/>
        <v>519</v>
      </c>
    </row>
    <row r="522" spans="2:13" x14ac:dyDescent="0.2">
      <c r="B522" s="12" t="s">
        <v>1669</v>
      </c>
      <c r="C522" s="12" t="s">
        <v>1670</v>
      </c>
      <c r="D522" s="5" t="s">
        <v>2</v>
      </c>
      <c r="E522" s="5" t="s">
        <v>1671</v>
      </c>
      <c r="F522" s="5" t="s">
        <v>18</v>
      </c>
      <c r="G522" s="5">
        <v>31.38</v>
      </c>
      <c r="H522" s="6">
        <f t="shared" si="40"/>
        <v>3.1867431485022309E-2</v>
      </c>
      <c r="I522" s="6">
        <v>0.11849999999999999</v>
      </c>
      <c r="J522" s="4">
        <f t="shared" si="41"/>
        <v>556</v>
      </c>
      <c r="K522" s="4">
        <f t="shared" si="42"/>
        <v>392</v>
      </c>
      <c r="L522" s="4">
        <f t="shared" si="43"/>
        <v>948</v>
      </c>
      <c r="M522" s="4">
        <f t="shared" si="44"/>
        <v>520</v>
      </c>
    </row>
    <row r="523" spans="2:13" x14ac:dyDescent="0.2">
      <c r="B523" s="12" t="s">
        <v>1260</v>
      </c>
      <c r="C523" s="12" t="s">
        <v>1261</v>
      </c>
      <c r="D523" s="5" t="s">
        <v>2</v>
      </c>
      <c r="E523" s="5" t="s">
        <v>1262</v>
      </c>
      <c r="F523" s="5" t="s">
        <v>4</v>
      </c>
      <c r="G523" s="5">
        <v>22.09</v>
      </c>
      <c r="H523" s="6">
        <f t="shared" si="40"/>
        <v>4.5269352648257127E-2</v>
      </c>
      <c r="I523" s="6">
        <v>8.3199999999999996E-2</v>
      </c>
      <c r="J523" s="4">
        <f t="shared" si="41"/>
        <v>419</v>
      </c>
      <c r="K523" s="4">
        <f t="shared" si="42"/>
        <v>530</v>
      </c>
      <c r="L523" s="4">
        <f t="shared" si="43"/>
        <v>949</v>
      </c>
      <c r="M523" s="4">
        <f t="shared" si="44"/>
        <v>521</v>
      </c>
    </row>
    <row r="524" spans="2:13" x14ac:dyDescent="0.2">
      <c r="B524" s="12" t="s">
        <v>1702</v>
      </c>
      <c r="C524" s="12" t="s">
        <v>1703</v>
      </c>
      <c r="D524" s="5" t="s">
        <v>2</v>
      </c>
      <c r="E524" s="5" t="s">
        <v>1704</v>
      </c>
      <c r="F524" s="5" t="s">
        <v>4</v>
      </c>
      <c r="G524" s="5">
        <v>32.22</v>
      </c>
      <c r="H524" s="6">
        <f t="shared" si="40"/>
        <v>3.1036623215394167E-2</v>
      </c>
      <c r="I524" s="6">
        <v>0.1197</v>
      </c>
      <c r="J524" s="4">
        <f t="shared" si="41"/>
        <v>567</v>
      </c>
      <c r="K524" s="4">
        <f t="shared" si="42"/>
        <v>386</v>
      </c>
      <c r="L524" s="4">
        <f t="shared" si="43"/>
        <v>953</v>
      </c>
      <c r="M524" s="4">
        <f t="shared" si="44"/>
        <v>522</v>
      </c>
    </row>
    <row r="525" spans="2:13" x14ac:dyDescent="0.2">
      <c r="B525" s="12" t="s">
        <v>1396</v>
      </c>
      <c r="C525" s="12" t="s">
        <v>1397</v>
      </c>
      <c r="D525" s="5" t="s">
        <v>2</v>
      </c>
      <c r="E525" s="5" t="s">
        <v>1398</v>
      </c>
      <c r="F525" s="5" t="s">
        <v>28</v>
      </c>
      <c r="G525" s="5">
        <v>24.51</v>
      </c>
      <c r="H525" s="6">
        <f t="shared" si="40"/>
        <v>4.0799673602611178E-2</v>
      </c>
      <c r="I525" s="6">
        <v>9.2600000000000002E-2</v>
      </c>
      <c r="J525" s="4">
        <f t="shared" si="41"/>
        <v>465</v>
      </c>
      <c r="K525" s="4">
        <f t="shared" si="42"/>
        <v>491</v>
      </c>
      <c r="L525" s="4">
        <f t="shared" si="43"/>
        <v>956</v>
      </c>
      <c r="M525" s="4">
        <f t="shared" si="44"/>
        <v>523</v>
      </c>
    </row>
    <row r="526" spans="2:13" ht="25.5" x14ac:dyDescent="0.2">
      <c r="B526" s="12" t="s">
        <v>1585</v>
      </c>
      <c r="C526" s="12" t="s">
        <v>1586</v>
      </c>
      <c r="D526" s="5" t="s">
        <v>2</v>
      </c>
      <c r="E526" s="5" t="s">
        <v>1587</v>
      </c>
      <c r="F526" s="5" t="s">
        <v>87</v>
      </c>
      <c r="G526" s="5">
        <v>28.83</v>
      </c>
      <c r="H526" s="6">
        <f t="shared" si="40"/>
        <v>3.4686090877558098E-2</v>
      </c>
      <c r="I526" s="6">
        <v>0.1085</v>
      </c>
      <c r="J526" s="4">
        <f t="shared" si="41"/>
        <v>528</v>
      </c>
      <c r="K526" s="4">
        <f t="shared" si="42"/>
        <v>428</v>
      </c>
      <c r="L526" s="4">
        <f t="shared" si="43"/>
        <v>956</v>
      </c>
      <c r="M526" s="4">
        <f t="shared" si="44"/>
        <v>523</v>
      </c>
    </row>
    <row r="527" spans="2:13" x14ac:dyDescent="0.2">
      <c r="B527" s="12" t="s">
        <v>1474</v>
      </c>
      <c r="C527" s="12" t="s">
        <v>1475</v>
      </c>
      <c r="D527" s="5" t="s">
        <v>2</v>
      </c>
      <c r="E527" s="5" t="s">
        <v>1476</v>
      </c>
      <c r="F527" s="5" t="s">
        <v>18</v>
      </c>
      <c r="G527" s="5">
        <v>26.48</v>
      </c>
      <c r="H527" s="6">
        <f t="shared" si="40"/>
        <v>3.7764350453172203E-2</v>
      </c>
      <c r="I527" s="6">
        <v>9.8299999999999998E-2</v>
      </c>
      <c r="J527" s="4">
        <f t="shared" si="41"/>
        <v>491</v>
      </c>
      <c r="K527" s="4">
        <f t="shared" si="42"/>
        <v>466</v>
      </c>
      <c r="L527" s="4">
        <f t="shared" si="43"/>
        <v>957</v>
      </c>
      <c r="M527" s="4">
        <f t="shared" si="44"/>
        <v>525</v>
      </c>
    </row>
    <row r="528" spans="2:13" ht="25.5" x14ac:dyDescent="0.2">
      <c r="B528" s="12" t="s">
        <v>1435</v>
      </c>
      <c r="C528" s="12" t="s">
        <v>1436</v>
      </c>
      <c r="D528" s="5" t="s">
        <v>2</v>
      </c>
      <c r="E528" s="5" t="s">
        <v>1437</v>
      </c>
      <c r="F528" s="5" t="s">
        <v>53</v>
      </c>
      <c r="G528" s="5">
        <v>25.17</v>
      </c>
      <c r="H528" s="6">
        <f t="shared" si="40"/>
        <v>3.9729837107667858E-2</v>
      </c>
      <c r="I528" s="6">
        <v>9.4E-2</v>
      </c>
      <c r="J528" s="4">
        <f t="shared" si="41"/>
        <v>477</v>
      </c>
      <c r="K528" s="4">
        <f t="shared" si="42"/>
        <v>483</v>
      </c>
      <c r="L528" s="4">
        <f t="shared" si="43"/>
        <v>960</v>
      </c>
      <c r="M528" s="4">
        <f t="shared" si="44"/>
        <v>526</v>
      </c>
    </row>
    <row r="529" spans="2:13" x14ac:dyDescent="0.2">
      <c r="B529" s="12" t="s">
        <v>1444</v>
      </c>
      <c r="C529" s="12" t="s">
        <v>1445</v>
      </c>
      <c r="D529" s="5" t="s">
        <v>2</v>
      </c>
      <c r="E529" s="5" t="s">
        <v>1446</v>
      </c>
      <c r="F529" s="5" t="s">
        <v>4</v>
      </c>
      <c r="G529" s="5">
        <v>25.38</v>
      </c>
      <c r="H529" s="6">
        <f t="shared" si="40"/>
        <v>3.9401103230890466E-2</v>
      </c>
      <c r="I529" s="6">
        <v>9.3100000000000002E-2</v>
      </c>
      <c r="J529" s="4">
        <f t="shared" si="41"/>
        <v>481</v>
      </c>
      <c r="K529" s="4">
        <f t="shared" si="42"/>
        <v>485</v>
      </c>
      <c r="L529" s="4">
        <f t="shared" si="43"/>
        <v>966</v>
      </c>
      <c r="M529" s="4">
        <f t="shared" si="44"/>
        <v>527</v>
      </c>
    </row>
    <row r="530" spans="2:13" x14ac:dyDescent="0.2">
      <c r="B530" s="12" t="s">
        <v>1423</v>
      </c>
      <c r="C530" s="12" t="s">
        <v>1424</v>
      </c>
      <c r="D530" s="5" t="s">
        <v>2</v>
      </c>
      <c r="E530" s="5" t="s">
        <v>1425</v>
      </c>
      <c r="F530" s="5" t="s">
        <v>4</v>
      </c>
      <c r="G530" s="5">
        <v>24.9</v>
      </c>
      <c r="H530" s="6">
        <f t="shared" si="40"/>
        <v>4.0160642570281124E-2</v>
      </c>
      <c r="I530" s="6">
        <v>9.1700000000000004E-2</v>
      </c>
      <c r="J530" s="4">
        <f t="shared" si="41"/>
        <v>474</v>
      </c>
      <c r="K530" s="4">
        <f t="shared" si="42"/>
        <v>493</v>
      </c>
      <c r="L530" s="4">
        <f t="shared" si="43"/>
        <v>967</v>
      </c>
      <c r="M530" s="4">
        <f t="shared" si="44"/>
        <v>528</v>
      </c>
    </row>
    <row r="531" spans="2:13" x14ac:dyDescent="0.2">
      <c r="B531" s="12" t="s">
        <v>1295</v>
      </c>
      <c r="C531" s="12" t="s">
        <v>1296</v>
      </c>
      <c r="D531" s="5" t="s">
        <v>2</v>
      </c>
      <c r="E531" s="5" t="s">
        <v>1297</v>
      </c>
      <c r="F531" s="5" t="s">
        <v>91</v>
      </c>
      <c r="G531" s="5">
        <v>22.79</v>
      </c>
      <c r="H531" s="6">
        <f t="shared" si="40"/>
        <v>4.3878894251864857E-2</v>
      </c>
      <c r="I531" s="6">
        <v>8.14E-2</v>
      </c>
      <c r="J531" s="4">
        <f t="shared" si="41"/>
        <v>431</v>
      </c>
      <c r="K531" s="4">
        <f t="shared" si="42"/>
        <v>537</v>
      </c>
      <c r="L531" s="4">
        <f t="shared" si="43"/>
        <v>968</v>
      </c>
      <c r="M531" s="4">
        <f t="shared" si="44"/>
        <v>529</v>
      </c>
    </row>
    <row r="532" spans="2:13" ht="25.5" x14ac:dyDescent="0.2">
      <c r="B532" s="12" t="s">
        <v>1429</v>
      </c>
      <c r="C532" s="12" t="s">
        <v>1430</v>
      </c>
      <c r="D532" s="5" t="s">
        <v>2</v>
      </c>
      <c r="E532" s="5" t="s">
        <v>1431</v>
      </c>
      <c r="F532" s="5" t="s">
        <v>87</v>
      </c>
      <c r="G532" s="5">
        <v>25.1</v>
      </c>
      <c r="H532" s="6">
        <f t="shared" si="40"/>
        <v>3.9840637450199202E-2</v>
      </c>
      <c r="I532" s="6">
        <v>9.2200000000000004E-2</v>
      </c>
      <c r="J532" s="4">
        <f t="shared" si="41"/>
        <v>476</v>
      </c>
      <c r="K532" s="4">
        <f t="shared" si="42"/>
        <v>492</v>
      </c>
      <c r="L532" s="4">
        <f t="shared" si="43"/>
        <v>968</v>
      </c>
      <c r="M532" s="4">
        <f t="shared" si="44"/>
        <v>529</v>
      </c>
    </row>
    <row r="533" spans="2:13" x14ac:dyDescent="0.2">
      <c r="B533" s="12" t="s">
        <v>1507</v>
      </c>
      <c r="C533" s="12" t="s">
        <v>1508</v>
      </c>
      <c r="D533" s="5" t="s">
        <v>2</v>
      </c>
      <c r="E533" s="5" t="s">
        <v>1509</v>
      </c>
      <c r="F533" s="5"/>
      <c r="G533" s="5">
        <v>27.03</v>
      </c>
      <c r="H533" s="6">
        <f t="shared" si="40"/>
        <v>3.699593044765076E-2</v>
      </c>
      <c r="I533" s="6">
        <v>9.8299999999999998E-2</v>
      </c>
      <c r="J533" s="4">
        <f t="shared" si="41"/>
        <v>502</v>
      </c>
      <c r="K533" s="4">
        <f t="shared" si="42"/>
        <v>466</v>
      </c>
      <c r="L533" s="4">
        <f t="shared" si="43"/>
        <v>968</v>
      </c>
      <c r="M533" s="4">
        <f t="shared" si="44"/>
        <v>529</v>
      </c>
    </row>
    <row r="534" spans="2:13" x14ac:dyDescent="0.2">
      <c r="B534" s="12" t="s">
        <v>1369</v>
      </c>
      <c r="C534" s="12" t="s">
        <v>1370</v>
      </c>
      <c r="D534" s="5" t="s">
        <v>2</v>
      </c>
      <c r="E534" s="5" t="s">
        <v>1371</v>
      </c>
      <c r="F534" s="5" t="s">
        <v>28</v>
      </c>
      <c r="G534" s="5">
        <v>23.82</v>
      </c>
      <c r="H534" s="6">
        <f t="shared" si="40"/>
        <v>4.1981528127623846E-2</v>
      </c>
      <c r="I534" s="6">
        <v>8.7499999999999994E-2</v>
      </c>
      <c r="J534" s="4">
        <f t="shared" si="41"/>
        <v>456</v>
      </c>
      <c r="K534" s="4">
        <f t="shared" si="42"/>
        <v>513</v>
      </c>
      <c r="L534" s="4">
        <f t="shared" si="43"/>
        <v>969</v>
      </c>
      <c r="M534" s="4">
        <f t="shared" si="44"/>
        <v>532</v>
      </c>
    </row>
    <row r="535" spans="2:13" x14ac:dyDescent="0.2">
      <c r="B535" s="12" t="s">
        <v>1483</v>
      </c>
      <c r="C535" s="12" t="s">
        <v>1484</v>
      </c>
      <c r="D535" s="5" t="s">
        <v>2</v>
      </c>
      <c r="E535" s="5" t="s">
        <v>1485</v>
      </c>
      <c r="F535" s="5" t="s">
        <v>18</v>
      </c>
      <c r="G535" s="5">
        <v>26.52</v>
      </c>
      <c r="H535" s="6">
        <f t="shared" si="40"/>
        <v>3.7707390648567117E-2</v>
      </c>
      <c r="I535" s="6">
        <v>9.4600000000000004E-2</v>
      </c>
      <c r="J535" s="4">
        <f t="shared" si="41"/>
        <v>494</v>
      </c>
      <c r="K535" s="4">
        <f t="shared" si="42"/>
        <v>478</v>
      </c>
      <c r="L535" s="4">
        <f t="shared" si="43"/>
        <v>972</v>
      </c>
      <c r="M535" s="4">
        <f t="shared" si="44"/>
        <v>533</v>
      </c>
    </row>
    <row r="536" spans="2:13" x14ac:dyDescent="0.2">
      <c r="B536" s="12" t="s">
        <v>1522</v>
      </c>
      <c r="C536" s="12" t="s">
        <v>1523</v>
      </c>
      <c r="D536" s="5" t="s">
        <v>2</v>
      </c>
      <c r="E536" s="5" t="s">
        <v>1524</v>
      </c>
      <c r="F536" s="5" t="s">
        <v>4</v>
      </c>
      <c r="G536" s="5">
        <v>27.31</v>
      </c>
      <c r="H536" s="6">
        <f t="shared" si="40"/>
        <v>3.661662394727206E-2</v>
      </c>
      <c r="I536" s="6">
        <v>9.8299999999999998E-2</v>
      </c>
      <c r="J536" s="4">
        <f t="shared" si="41"/>
        <v>507</v>
      </c>
      <c r="K536" s="4">
        <f t="shared" si="42"/>
        <v>466</v>
      </c>
      <c r="L536" s="4">
        <f t="shared" si="43"/>
        <v>973</v>
      </c>
      <c r="M536" s="4">
        <f t="shared" si="44"/>
        <v>534</v>
      </c>
    </row>
    <row r="537" spans="2:13" x14ac:dyDescent="0.2">
      <c r="B537" s="12" t="s">
        <v>1346</v>
      </c>
      <c r="C537" s="12" t="s">
        <v>1347</v>
      </c>
      <c r="D537" s="5" t="s">
        <v>2</v>
      </c>
      <c r="E537" s="5" t="s">
        <v>1348</v>
      </c>
      <c r="F537" s="5" t="s">
        <v>4</v>
      </c>
      <c r="G537" s="5">
        <v>23.59</v>
      </c>
      <c r="H537" s="6">
        <f t="shared" si="40"/>
        <v>4.2390843577787198E-2</v>
      </c>
      <c r="I537" s="6">
        <v>8.3900000000000002E-2</v>
      </c>
      <c r="J537" s="4">
        <f t="shared" si="41"/>
        <v>448</v>
      </c>
      <c r="K537" s="4">
        <f t="shared" si="42"/>
        <v>526</v>
      </c>
      <c r="L537" s="4">
        <f t="shared" si="43"/>
        <v>974</v>
      </c>
      <c r="M537" s="4">
        <f t="shared" si="44"/>
        <v>535</v>
      </c>
    </row>
    <row r="538" spans="2:13" x14ac:dyDescent="0.2">
      <c r="B538" s="12" t="s">
        <v>1468</v>
      </c>
      <c r="C538" s="12" t="s">
        <v>1469</v>
      </c>
      <c r="D538" s="5" t="s">
        <v>2</v>
      </c>
      <c r="E538" s="5" t="s">
        <v>1470</v>
      </c>
      <c r="F538" s="5"/>
      <c r="G538" s="5">
        <v>26.22</v>
      </c>
      <c r="H538" s="6">
        <f t="shared" si="40"/>
        <v>3.8138825324180017E-2</v>
      </c>
      <c r="I538" s="6">
        <v>9.2999999999999999E-2</v>
      </c>
      <c r="J538" s="4">
        <f t="shared" si="41"/>
        <v>489</v>
      </c>
      <c r="K538" s="4">
        <f t="shared" si="42"/>
        <v>486</v>
      </c>
      <c r="L538" s="4">
        <f t="shared" si="43"/>
        <v>975</v>
      </c>
      <c r="M538" s="4">
        <f t="shared" si="44"/>
        <v>536</v>
      </c>
    </row>
    <row r="539" spans="2:13" ht="25.5" x14ac:dyDescent="0.2">
      <c r="B539" s="12" t="s">
        <v>1964</v>
      </c>
      <c r="C539" s="12" t="s">
        <v>1965</v>
      </c>
      <c r="D539" s="5" t="s">
        <v>2</v>
      </c>
      <c r="E539" s="5" t="s">
        <v>1966</v>
      </c>
      <c r="F539" s="5" t="s">
        <v>87</v>
      </c>
      <c r="G539" s="5">
        <v>51.89</v>
      </c>
      <c r="H539" s="6">
        <f t="shared" si="40"/>
        <v>1.9271535941414529E-2</v>
      </c>
      <c r="I539" s="6">
        <v>0.1439</v>
      </c>
      <c r="J539" s="4">
        <f t="shared" si="41"/>
        <v>655</v>
      </c>
      <c r="K539" s="4">
        <f t="shared" si="42"/>
        <v>320</v>
      </c>
      <c r="L539" s="4">
        <f t="shared" si="43"/>
        <v>975</v>
      </c>
      <c r="M539" s="4">
        <f t="shared" si="44"/>
        <v>536</v>
      </c>
    </row>
    <row r="540" spans="2:13" x14ac:dyDescent="0.2">
      <c r="B540" s="12" t="s">
        <v>1837</v>
      </c>
      <c r="C540" s="12" t="s">
        <v>1838</v>
      </c>
      <c r="D540" s="5" t="s">
        <v>2</v>
      </c>
      <c r="E540" s="5" t="s">
        <v>1839</v>
      </c>
      <c r="F540" s="5" t="s">
        <v>28</v>
      </c>
      <c r="G540" s="5">
        <v>40.82</v>
      </c>
      <c r="H540" s="6">
        <f t="shared" si="40"/>
        <v>2.4497795198432142E-2</v>
      </c>
      <c r="I540" s="6">
        <v>0.12520000000000001</v>
      </c>
      <c r="J540" s="4">
        <f t="shared" si="41"/>
        <v>612</v>
      </c>
      <c r="K540" s="4">
        <f t="shared" si="42"/>
        <v>368</v>
      </c>
      <c r="L540" s="4">
        <f t="shared" si="43"/>
        <v>980</v>
      </c>
      <c r="M540" s="4">
        <f t="shared" si="44"/>
        <v>538</v>
      </c>
    </row>
    <row r="541" spans="2:13" x14ac:dyDescent="0.2">
      <c r="B541" s="12" t="s">
        <v>1603</v>
      </c>
      <c r="C541" s="12" t="s">
        <v>1604</v>
      </c>
      <c r="D541" s="5" t="s">
        <v>2</v>
      </c>
      <c r="E541" s="5" t="s">
        <v>1605</v>
      </c>
      <c r="F541" s="5" t="s">
        <v>28</v>
      </c>
      <c r="G541" s="5">
        <v>29.11</v>
      </c>
      <c r="H541" s="6">
        <f t="shared" si="40"/>
        <v>3.4352456200618345E-2</v>
      </c>
      <c r="I541" s="6">
        <v>0.1033</v>
      </c>
      <c r="J541" s="4">
        <f t="shared" si="41"/>
        <v>534</v>
      </c>
      <c r="K541" s="4">
        <f t="shared" si="42"/>
        <v>449</v>
      </c>
      <c r="L541" s="4">
        <f t="shared" si="43"/>
        <v>983</v>
      </c>
      <c r="M541" s="4">
        <f t="shared" si="44"/>
        <v>539</v>
      </c>
    </row>
    <row r="542" spans="2:13" ht="25.5" x14ac:dyDescent="0.2">
      <c r="B542" s="12" t="s">
        <v>1236</v>
      </c>
      <c r="C542" s="12" t="s">
        <v>1237</v>
      </c>
      <c r="D542" s="5" t="s">
        <v>2</v>
      </c>
      <c r="E542" s="5" t="s">
        <v>1238</v>
      </c>
      <c r="F542" s="5" t="s">
        <v>122</v>
      </c>
      <c r="G542" s="5">
        <v>21.82</v>
      </c>
      <c r="H542" s="6">
        <f t="shared" si="40"/>
        <v>4.5829514207149404E-2</v>
      </c>
      <c r="I542" s="6">
        <v>7.0499999999999993E-2</v>
      </c>
      <c r="J542" s="4">
        <f t="shared" si="41"/>
        <v>411</v>
      </c>
      <c r="K542" s="4">
        <f t="shared" si="42"/>
        <v>573</v>
      </c>
      <c r="L542" s="4">
        <f t="shared" si="43"/>
        <v>984</v>
      </c>
      <c r="M542" s="4">
        <f t="shared" si="44"/>
        <v>540</v>
      </c>
    </row>
    <row r="543" spans="2:13" x14ac:dyDescent="0.2">
      <c r="B543" s="12" t="s">
        <v>1197</v>
      </c>
      <c r="C543" s="12" t="s">
        <v>1198</v>
      </c>
      <c r="D543" s="5" t="s">
        <v>2</v>
      </c>
      <c r="E543" s="5" t="s">
        <v>1199</v>
      </c>
      <c r="F543" s="5" t="s">
        <v>4</v>
      </c>
      <c r="G543" s="5">
        <v>21.37</v>
      </c>
      <c r="H543" s="6">
        <f t="shared" si="40"/>
        <v>4.6794571829667758E-2</v>
      </c>
      <c r="I543" s="6">
        <v>6.4399999999999999E-2</v>
      </c>
      <c r="J543" s="4">
        <f t="shared" si="41"/>
        <v>398</v>
      </c>
      <c r="K543" s="4">
        <f t="shared" si="42"/>
        <v>595</v>
      </c>
      <c r="L543" s="4">
        <f t="shared" si="43"/>
        <v>993</v>
      </c>
      <c r="M543" s="4">
        <f t="shared" si="44"/>
        <v>541</v>
      </c>
    </row>
    <row r="544" spans="2:13" x14ac:dyDescent="0.2">
      <c r="B544" s="12" t="s">
        <v>1642</v>
      </c>
      <c r="C544" s="12" t="s">
        <v>1643</v>
      </c>
      <c r="D544" s="5" t="s">
        <v>2</v>
      </c>
      <c r="E544" s="5" t="s">
        <v>1644</v>
      </c>
      <c r="F544" s="5" t="s">
        <v>28</v>
      </c>
      <c r="G544" s="5">
        <v>30.63</v>
      </c>
      <c r="H544" s="6">
        <f t="shared" si="40"/>
        <v>3.2647730982696702E-2</v>
      </c>
      <c r="I544" s="6">
        <v>0.1036</v>
      </c>
      <c r="J544" s="4">
        <f t="shared" si="41"/>
        <v>547</v>
      </c>
      <c r="K544" s="4">
        <f t="shared" si="42"/>
        <v>447</v>
      </c>
      <c r="L544" s="4">
        <f t="shared" si="43"/>
        <v>994</v>
      </c>
      <c r="M544" s="4">
        <f t="shared" si="44"/>
        <v>542</v>
      </c>
    </row>
    <row r="545" spans="2:13" x14ac:dyDescent="0.2">
      <c r="B545" s="12" t="s">
        <v>1245</v>
      </c>
      <c r="C545" s="12" t="s">
        <v>1246</v>
      </c>
      <c r="D545" s="5" t="s">
        <v>2</v>
      </c>
      <c r="E545" s="5" t="s">
        <v>1247</v>
      </c>
      <c r="F545" s="5"/>
      <c r="G545" s="5">
        <v>21.93</v>
      </c>
      <c r="H545" s="6">
        <f t="shared" si="40"/>
        <v>4.5599635202918376E-2</v>
      </c>
      <c r="I545" s="6">
        <v>6.6699999999999995E-2</v>
      </c>
      <c r="J545" s="4">
        <f t="shared" si="41"/>
        <v>414</v>
      </c>
      <c r="K545" s="4">
        <f t="shared" si="42"/>
        <v>583</v>
      </c>
      <c r="L545" s="4">
        <f t="shared" si="43"/>
        <v>997</v>
      </c>
      <c r="M545" s="4">
        <f t="shared" si="44"/>
        <v>543</v>
      </c>
    </row>
    <row r="546" spans="2:13" x14ac:dyDescent="0.2">
      <c r="B546" s="12" t="s">
        <v>1355</v>
      </c>
      <c r="C546" s="12" t="s">
        <v>1356</v>
      </c>
      <c r="D546" s="5" t="s">
        <v>2</v>
      </c>
      <c r="E546" s="5" t="s">
        <v>1357</v>
      </c>
      <c r="F546" s="5" t="s">
        <v>8</v>
      </c>
      <c r="G546" s="5">
        <v>23.7</v>
      </c>
      <c r="H546" s="6">
        <f t="shared" si="40"/>
        <v>4.2194092827004218E-2</v>
      </c>
      <c r="I546" s="6">
        <v>7.7600000000000002E-2</v>
      </c>
      <c r="J546" s="4">
        <f t="shared" si="41"/>
        <v>451</v>
      </c>
      <c r="K546" s="4">
        <f t="shared" si="42"/>
        <v>550</v>
      </c>
      <c r="L546" s="4">
        <f t="shared" si="43"/>
        <v>1001</v>
      </c>
      <c r="M546" s="4">
        <f t="shared" si="44"/>
        <v>544</v>
      </c>
    </row>
    <row r="547" spans="2:13" ht="25.5" x14ac:dyDescent="0.2">
      <c r="B547" s="12" t="s">
        <v>1453</v>
      </c>
      <c r="C547" s="12" t="s">
        <v>1454</v>
      </c>
      <c r="D547" s="5" t="s">
        <v>2</v>
      </c>
      <c r="E547" s="5" t="s">
        <v>1455</v>
      </c>
      <c r="F547" s="5" t="s">
        <v>87</v>
      </c>
      <c r="G547" s="5">
        <v>25.61</v>
      </c>
      <c r="H547" s="6">
        <f t="shared" si="40"/>
        <v>3.9047247169074581E-2</v>
      </c>
      <c r="I547" s="6">
        <v>8.6199999999999999E-2</v>
      </c>
      <c r="J547" s="4">
        <f t="shared" si="41"/>
        <v>484</v>
      </c>
      <c r="K547" s="4">
        <f t="shared" si="42"/>
        <v>517</v>
      </c>
      <c r="L547" s="4">
        <f t="shared" si="43"/>
        <v>1001</v>
      </c>
      <c r="M547" s="4">
        <f t="shared" si="44"/>
        <v>544</v>
      </c>
    </row>
    <row r="548" spans="2:13" x14ac:dyDescent="0.2">
      <c r="B548" s="12" t="s">
        <v>1840</v>
      </c>
      <c r="C548" s="12" t="s">
        <v>1841</v>
      </c>
      <c r="D548" s="5" t="s">
        <v>2</v>
      </c>
      <c r="E548" s="5" t="s">
        <v>1842</v>
      </c>
      <c r="F548" s="5" t="s">
        <v>4</v>
      </c>
      <c r="G548" s="5">
        <v>40.86</v>
      </c>
      <c r="H548" s="6">
        <f t="shared" si="40"/>
        <v>2.4473813020068527E-2</v>
      </c>
      <c r="I548" s="6">
        <v>0.1191</v>
      </c>
      <c r="J548" s="4">
        <f t="shared" si="41"/>
        <v>613</v>
      </c>
      <c r="K548" s="4">
        <f t="shared" si="42"/>
        <v>388</v>
      </c>
      <c r="L548" s="4">
        <f t="shared" si="43"/>
        <v>1001</v>
      </c>
      <c r="M548" s="4">
        <f t="shared" si="44"/>
        <v>544</v>
      </c>
    </row>
    <row r="549" spans="2:13" x14ac:dyDescent="0.2">
      <c r="B549" s="12" t="s">
        <v>1504</v>
      </c>
      <c r="C549" s="12" t="s">
        <v>1505</v>
      </c>
      <c r="D549" s="5" t="s">
        <v>2</v>
      </c>
      <c r="E549" s="5" t="s">
        <v>1506</v>
      </c>
      <c r="F549" s="5" t="s">
        <v>28</v>
      </c>
      <c r="G549" s="5">
        <v>26.93</v>
      </c>
      <c r="H549" s="6">
        <f t="shared" si="40"/>
        <v>3.7133308577794281E-2</v>
      </c>
      <c r="I549" s="6">
        <v>8.9599999999999999E-2</v>
      </c>
      <c r="J549" s="4">
        <f t="shared" si="41"/>
        <v>501</v>
      </c>
      <c r="K549" s="4">
        <f t="shared" si="42"/>
        <v>503</v>
      </c>
      <c r="L549" s="4">
        <f t="shared" si="43"/>
        <v>1004</v>
      </c>
      <c r="M549" s="4">
        <f t="shared" si="44"/>
        <v>547</v>
      </c>
    </row>
    <row r="550" spans="2:13" x14ac:dyDescent="0.2">
      <c r="B550" s="12" t="s">
        <v>1203</v>
      </c>
      <c r="C550" s="12" t="s">
        <v>1204</v>
      </c>
      <c r="D550" s="5" t="s">
        <v>2</v>
      </c>
      <c r="E550" s="5" t="s">
        <v>1205</v>
      </c>
      <c r="F550" s="5" t="s">
        <v>91</v>
      </c>
      <c r="G550" s="5">
        <v>21.4</v>
      </c>
      <c r="H550" s="6">
        <f t="shared" si="40"/>
        <v>4.6728971962616828E-2</v>
      </c>
      <c r="I550" s="6">
        <v>6.08E-2</v>
      </c>
      <c r="J550" s="4">
        <f t="shared" si="41"/>
        <v>400</v>
      </c>
      <c r="K550" s="4">
        <f t="shared" si="42"/>
        <v>606</v>
      </c>
      <c r="L550" s="4">
        <f t="shared" si="43"/>
        <v>1006</v>
      </c>
      <c r="M550" s="4">
        <f t="shared" si="44"/>
        <v>548</v>
      </c>
    </row>
    <row r="551" spans="2:13" ht="25.5" x14ac:dyDescent="0.2">
      <c r="B551" s="12" t="s">
        <v>1078</v>
      </c>
      <c r="C551" s="12" t="s">
        <v>1079</v>
      </c>
      <c r="D551" s="5" t="s">
        <v>2</v>
      </c>
      <c r="E551" s="5" t="s">
        <v>1080</v>
      </c>
      <c r="F551" s="5" t="s">
        <v>122</v>
      </c>
      <c r="G551" s="5">
        <v>19.75</v>
      </c>
      <c r="H551" s="6">
        <f t="shared" si="40"/>
        <v>5.0632911392405063E-2</v>
      </c>
      <c r="I551" s="6">
        <v>4.41E-2</v>
      </c>
      <c r="J551" s="4">
        <f t="shared" si="41"/>
        <v>357</v>
      </c>
      <c r="K551" s="4">
        <f t="shared" si="42"/>
        <v>654</v>
      </c>
      <c r="L551" s="4">
        <f t="shared" si="43"/>
        <v>1011</v>
      </c>
      <c r="M551" s="4">
        <f t="shared" si="44"/>
        <v>549</v>
      </c>
    </row>
    <row r="552" spans="2:13" x14ac:dyDescent="0.2">
      <c r="B552" s="12" t="s">
        <v>1528</v>
      </c>
      <c r="C552" s="12" t="s">
        <v>1529</v>
      </c>
      <c r="D552" s="5" t="s">
        <v>2</v>
      </c>
      <c r="E552" s="5" t="s">
        <v>1530</v>
      </c>
      <c r="F552" s="5" t="s">
        <v>18</v>
      </c>
      <c r="G552" s="5">
        <v>27.37</v>
      </c>
      <c r="H552" s="6">
        <f t="shared" si="40"/>
        <v>3.653635367190354E-2</v>
      </c>
      <c r="I552" s="6">
        <v>8.9300000000000004E-2</v>
      </c>
      <c r="J552" s="4">
        <f t="shared" si="41"/>
        <v>509</v>
      </c>
      <c r="K552" s="4">
        <f t="shared" si="42"/>
        <v>506</v>
      </c>
      <c r="L552" s="4">
        <f t="shared" si="43"/>
        <v>1015</v>
      </c>
      <c r="M552" s="4">
        <f t="shared" si="44"/>
        <v>550</v>
      </c>
    </row>
    <row r="553" spans="2:13" ht="25.5" x14ac:dyDescent="0.2">
      <c r="B553" s="12" t="s">
        <v>1780</v>
      </c>
      <c r="C553" s="12" t="s">
        <v>1781</v>
      </c>
      <c r="D553" s="5" t="s">
        <v>2</v>
      </c>
      <c r="E553" s="5" t="s">
        <v>1782</v>
      </c>
      <c r="F553" s="5" t="s">
        <v>53</v>
      </c>
      <c r="G553" s="5">
        <v>36.880000000000003</v>
      </c>
      <c r="H553" s="6">
        <f t="shared" si="40"/>
        <v>2.7114967462039043E-2</v>
      </c>
      <c r="I553" s="6">
        <v>0.10970000000000001</v>
      </c>
      <c r="J553" s="4">
        <f t="shared" si="41"/>
        <v>593</v>
      </c>
      <c r="K553" s="4">
        <f t="shared" si="42"/>
        <v>422</v>
      </c>
      <c r="L553" s="4">
        <f t="shared" si="43"/>
        <v>1015</v>
      </c>
      <c r="M553" s="4">
        <f t="shared" si="44"/>
        <v>550</v>
      </c>
    </row>
    <row r="554" spans="2:13" x14ac:dyDescent="0.2">
      <c r="B554" s="12" t="s">
        <v>2024</v>
      </c>
      <c r="C554" s="12" t="s">
        <v>2025</v>
      </c>
      <c r="D554" s="5" t="s">
        <v>2</v>
      </c>
      <c r="E554" s="5" t="s">
        <v>2026</v>
      </c>
      <c r="F554" s="5" t="s">
        <v>4</v>
      </c>
      <c r="G554" s="5">
        <v>63.72</v>
      </c>
      <c r="H554" s="6">
        <f t="shared" si="40"/>
        <v>1.5693659761456372E-2</v>
      </c>
      <c r="I554" s="6">
        <v>0.13600000000000001</v>
      </c>
      <c r="J554" s="4">
        <f t="shared" si="41"/>
        <v>675</v>
      </c>
      <c r="K554" s="4">
        <f t="shared" si="42"/>
        <v>340</v>
      </c>
      <c r="L554" s="4">
        <f t="shared" si="43"/>
        <v>1015</v>
      </c>
      <c r="M554" s="4">
        <f t="shared" si="44"/>
        <v>550</v>
      </c>
    </row>
    <row r="555" spans="2:13" x14ac:dyDescent="0.2">
      <c r="B555" s="12" t="s">
        <v>1176</v>
      </c>
      <c r="C555" s="12" t="s">
        <v>1177</v>
      </c>
      <c r="D555" s="5" t="s">
        <v>2</v>
      </c>
      <c r="E555" s="5" t="s">
        <v>1178</v>
      </c>
      <c r="F555" s="5" t="s">
        <v>8</v>
      </c>
      <c r="G555" s="5">
        <v>21.15</v>
      </c>
      <c r="H555" s="6">
        <f t="shared" si="40"/>
        <v>4.7281323877068564E-2</v>
      </c>
      <c r="I555" s="6">
        <v>5.1900000000000002E-2</v>
      </c>
      <c r="J555" s="4">
        <f t="shared" si="41"/>
        <v>391</v>
      </c>
      <c r="K555" s="4">
        <f t="shared" si="42"/>
        <v>630</v>
      </c>
      <c r="L555" s="4">
        <f t="shared" si="43"/>
        <v>1021</v>
      </c>
      <c r="M555" s="4">
        <f t="shared" si="44"/>
        <v>553</v>
      </c>
    </row>
    <row r="556" spans="2:13" ht="25.5" x14ac:dyDescent="0.2">
      <c r="B556" s="12" t="s">
        <v>1738</v>
      </c>
      <c r="C556" s="12" t="s">
        <v>1739</v>
      </c>
      <c r="D556" s="5" t="s">
        <v>2</v>
      </c>
      <c r="E556" s="5" t="s">
        <v>1740</v>
      </c>
      <c r="F556" s="5" t="s">
        <v>53</v>
      </c>
      <c r="G556" s="5">
        <v>34.22</v>
      </c>
      <c r="H556" s="6">
        <f t="shared" si="40"/>
        <v>2.9222676797194622E-2</v>
      </c>
      <c r="I556" s="6">
        <v>0.1045</v>
      </c>
      <c r="J556" s="4">
        <f t="shared" si="41"/>
        <v>579</v>
      </c>
      <c r="K556" s="4">
        <f t="shared" si="42"/>
        <v>445</v>
      </c>
      <c r="L556" s="4">
        <f t="shared" si="43"/>
        <v>1024</v>
      </c>
      <c r="M556" s="4">
        <f t="shared" si="44"/>
        <v>554</v>
      </c>
    </row>
    <row r="557" spans="2:13" x14ac:dyDescent="0.2">
      <c r="B557" s="12" t="s">
        <v>1495</v>
      </c>
      <c r="C557" s="12" t="s">
        <v>1496</v>
      </c>
      <c r="D557" s="5" t="s">
        <v>2</v>
      </c>
      <c r="E557" s="5" t="s">
        <v>1497</v>
      </c>
      <c r="F557" s="5" t="s">
        <v>28</v>
      </c>
      <c r="G557" s="5">
        <v>26.68</v>
      </c>
      <c r="H557" s="6">
        <f t="shared" si="40"/>
        <v>3.7481259370314844E-2</v>
      </c>
      <c r="I557" s="6">
        <v>8.3299999999999999E-2</v>
      </c>
      <c r="J557" s="4">
        <f t="shared" si="41"/>
        <v>498</v>
      </c>
      <c r="K557" s="4">
        <f t="shared" si="42"/>
        <v>529</v>
      </c>
      <c r="L557" s="4">
        <f t="shared" si="43"/>
        <v>1027</v>
      </c>
      <c r="M557" s="4">
        <f t="shared" si="44"/>
        <v>555</v>
      </c>
    </row>
    <row r="558" spans="2:13" x14ac:dyDescent="0.2">
      <c r="B558" s="12" t="s">
        <v>1501</v>
      </c>
      <c r="C558" s="12" t="s">
        <v>1502</v>
      </c>
      <c r="D558" s="5" t="s">
        <v>2</v>
      </c>
      <c r="E558" s="5" t="s">
        <v>1503</v>
      </c>
      <c r="F558" s="5"/>
      <c r="G558" s="5">
        <v>26.9</v>
      </c>
      <c r="H558" s="6">
        <f t="shared" si="40"/>
        <v>3.717472118959108E-2</v>
      </c>
      <c r="I558" s="6">
        <v>8.1699999999999995E-2</v>
      </c>
      <c r="J558" s="4">
        <f t="shared" si="41"/>
        <v>500</v>
      </c>
      <c r="K558" s="4">
        <f t="shared" si="42"/>
        <v>534</v>
      </c>
      <c r="L558" s="4">
        <f t="shared" si="43"/>
        <v>1034</v>
      </c>
      <c r="M558" s="4">
        <f t="shared" si="44"/>
        <v>556</v>
      </c>
    </row>
    <row r="559" spans="2:13" x14ac:dyDescent="0.2">
      <c r="B559" s="12" t="s">
        <v>1819</v>
      </c>
      <c r="C559" s="12" t="s">
        <v>1820</v>
      </c>
      <c r="D559" s="5" t="s">
        <v>2</v>
      </c>
      <c r="E559" s="5" t="s">
        <v>1821</v>
      </c>
      <c r="F559" s="5"/>
      <c r="G559" s="5">
        <v>39.590000000000003</v>
      </c>
      <c r="H559" s="6">
        <f t="shared" si="40"/>
        <v>2.5258903763576659E-2</v>
      </c>
      <c r="I559" s="6">
        <v>0.1085</v>
      </c>
      <c r="J559" s="4">
        <f t="shared" si="41"/>
        <v>606</v>
      </c>
      <c r="K559" s="4">
        <f t="shared" si="42"/>
        <v>428</v>
      </c>
      <c r="L559" s="4">
        <f t="shared" si="43"/>
        <v>1034</v>
      </c>
      <c r="M559" s="4">
        <f t="shared" si="44"/>
        <v>556</v>
      </c>
    </row>
    <row r="560" spans="2:13" x14ac:dyDescent="0.2">
      <c r="B560" s="12" t="s">
        <v>1723</v>
      </c>
      <c r="C560" s="12" t="s">
        <v>1724</v>
      </c>
      <c r="D560" s="5" t="s">
        <v>2</v>
      </c>
      <c r="E560" s="5" t="s">
        <v>1725</v>
      </c>
      <c r="F560" s="5" t="s">
        <v>28</v>
      </c>
      <c r="G560" s="5">
        <v>33.21</v>
      </c>
      <c r="H560" s="6">
        <f t="shared" si="40"/>
        <v>3.0111412225233364E-2</v>
      </c>
      <c r="I560" s="6">
        <v>9.8900000000000002E-2</v>
      </c>
      <c r="J560" s="4">
        <f t="shared" si="41"/>
        <v>574</v>
      </c>
      <c r="K560" s="4">
        <f t="shared" si="42"/>
        <v>463</v>
      </c>
      <c r="L560" s="4">
        <f t="shared" si="43"/>
        <v>1037</v>
      </c>
      <c r="M560" s="4">
        <f t="shared" si="44"/>
        <v>558</v>
      </c>
    </row>
    <row r="561" spans="2:13" ht="25.5" x14ac:dyDescent="0.2">
      <c r="B561" s="12" t="s">
        <v>1943</v>
      </c>
      <c r="C561" s="12" t="s">
        <v>1944</v>
      </c>
      <c r="D561" s="5" t="s">
        <v>2</v>
      </c>
      <c r="E561" s="5" t="s">
        <v>1945</v>
      </c>
      <c r="F561" s="5" t="s">
        <v>87</v>
      </c>
      <c r="G561" s="5">
        <v>48.08</v>
      </c>
      <c r="H561" s="6">
        <f t="shared" si="40"/>
        <v>2.079866888519135E-2</v>
      </c>
      <c r="I561" s="6">
        <v>0.11840000000000001</v>
      </c>
      <c r="J561" s="4">
        <f t="shared" si="41"/>
        <v>648</v>
      </c>
      <c r="K561" s="4">
        <f t="shared" si="42"/>
        <v>393</v>
      </c>
      <c r="L561" s="4">
        <f t="shared" si="43"/>
        <v>1041</v>
      </c>
      <c r="M561" s="4">
        <f t="shared" si="44"/>
        <v>559</v>
      </c>
    </row>
    <row r="562" spans="2:13" x14ac:dyDescent="0.2">
      <c r="B562" s="12" t="s">
        <v>1319</v>
      </c>
      <c r="C562" s="12" t="s">
        <v>1320</v>
      </c>
      <c r="D562" s="5" t="s">
        <v>2</v>
      </c>
      <c r="E562" s="5" t="s">
        <v>1321</v>
      </c>
      <c r="F562" s="5"/>
      <c r="G562" s="5">
        <v>23.34</v>
      </c>
      <c r="H562" s="6">
        <f t="shared" si="40"/>
        <v>4.2844901456726647E-2</v>
      </c>
      <c r="I562" s="6">
        <v>0.06</v>
      </c>
      <c r="J562" s="4">
        <f t="shared" si="41"/>
        <v>439</v>
      </c>
      <c r="K562" s="4">
        <f t="shared" si="42"/>
        <v>608</v>
      </c>
      <c r="L562" s="4">
        <f t="shared" si="43"/>
        <v>1047</v>
      </c>
      <c r="M562" s="4">
        <f t="shared" si="44"/>
        <v>560</v>
      </c>
    </row>
    <row r="563" spans="2:13" ht="25.5" x14ac:dyDescent="0.2">
      <c r="B563" s="12" t="s">
        <v>1923</v>
      </c>
      <c r="C563" s="12" t="s">
        <v>1924</v>
      </c>
      <c r="D563" s="5" t="s">
        <v>2</v>
      </c>
      <c r="E563" s="5" t="s">
        <v>1925</v>
      </c>
      <c r="F563" s="5" t="s">
        <v>87</v>
      </c>
      <c r="G563" s="5">
        <v>45.77</v>
      </c>
      <c r="H563" s="6">
        <f t="shared" si="40"/>
        <v>2.1848372296263928E-2</v>
      </c>
      <c r="I563" s="6">
        <v>0.1139</v>
      </c>
      <c r="J563" s="4">
        <f t="shared" si="41"/>
        <v>641</v>
      </c>
      <c r="K563" s="4">
        <f t="shared" si="42"/>
        <v>406</v>
      </c>
      <c r="L563" s="4">
        <f t="shared" si="43"/>
        <v>1047</v>
      </c>
      <c r="M563" s="4">
        <f t="shared" si="44"/>
        <v>560</v>
      </c>
    </row>
    <row r="564" spans="2:13" x14ac:dyDescent="0.2">
      <c r="B564" s="12" t="s">
        <v>1248</v>
      </c>
      <c r="C564" s="12" t="s">
        <v>1249</v>
      </c>
      <c r="D564" s="5" t="s">
        <v>2</v>
      </c>
      <c r="E564" s="5" t="s">
        <v>1250</v>
      </c>
      <c r="F564" s="5" t="s">
        <v>18</v>
      </c>
      <c r="G564" s="5">
        <v>21.93</v>
      </c>
      <c r="H564" s="6">
        <f t="shared" si="40"/>
        <v>4.5599635202918376E-2</v>
      </c>
      <c r="I564" s="6">
        <v>5.0900000000000001E-2</v>
      </c>
      <c r="J564" s="4">
        <f t="shared" si="41"/>
        <v>414</v>
      </c>
      <c r="K564" s="4">
        <f t="shared" si="42"/>
        <v>634</v>
      </c>
      <c r="L564" s="4">
        <f t="shared" si="43"/>
        <v>1048</v>
      </c>
      <c r="M564" s="4">
        <f t="shared" si="44"/>
        <v>562</v>
      </c>
    </row>
    <row r="565" spans="2:13" ht="25.5" x14ac:dyDescent="0.2">
      <c r="B565" s="12" t="s">
        <v>1298</v>
      </c>
      <c r="C565" s="12" t="s">
        <v>1299</v>
      </c>
      <c r="D565" s="5" t="s">
        <v>2</v>
      </c>
      <c r="E565" s="5" t="s">
        <v>1300</v>
      </c>
      <c r="F565" s="5" t="s">
        <v>122</v>
      </c>
      <c r="G565" s="5">
        <v>22.81</v>
      </c>
      <c r="H565" s="6">
        <f t="shared" si="40"/>
        <v>4.3840420868040339E-2</v>
      </c>
      <c r="I565" s="6">
        <v>5.5899999999999998E-2</v>
      </c>
      <c r="J565" s="4">
        <f t="shared" si="41"/>
        <v>432</v>
      </c>
      <c r="K565" s="4">
        <f t="shared" si="42"/>
        <v>616</v>
      </c>
      <c r="L565" s="4">
        <f t="shared" si="43"/>
        <v>1048</v>
      </c>
      <c r="M565" s="4">
        <f t="shared" si="44"/>
        <v>562</v>
      </c>
    </row>
    <row r="566" spans="2:13" x14ac:dyDescent="0.2">
      <c r="B566" s="12" t="s">
        <v>1417</v>
      </c>
      <c r="C566" s="12" t="s">
        <v>1418</v>
      </c>
      <c r="D566" s="5" t="s">
        <v>2</v>
      </c>
      <c r="E566" s="5" t="s">
        <v>1419</v>
      </c>
      <c r="F566" s="5" t="s">
        <v>28</v>
      </c>
      <c r="G566" s="5">
        <v>24.81</v>
      </c>
      <c r="H566" s="6">
        <f t="shared" si="40"/>
        <v>4.0306328093510681E-2</v>
      </c>
      <c r="I566" s="6">
        <v>6.9699999999999998E-2</v>
      </c>
      <c r="J566" s="4">
        <f t="shared" si="41"/>
        <v>472</v>
      </c>
      <c r="K566" s="4">
        <f t="shared" si="42"/>
        <v>576</v>
      </c>
      <c r="L566" s="4">
        <f t="shared" si="43"/>
        <v>1048</v>
      </c>
      <c r="M566" s="4">
        <f t="shared" si="44"/>
        <v>562</v>
      </c>
    </row>
    <row r="567" spans="2:13" x14ac:dyDescent="0.2">
      <c r="B567" s="12" t="s">
        <v>1230</v>
      </c>
      <c r="C567" s="12" t="s">
        <v>1231</v>
      </c>
      <c r="D567" s="5" t="s">
        <v>2</v>
      </c>
      <c r="E567" s="5" t="s">
        <v>1232</v>
      </c>
      <c r="F567" s="5" t="s">
        <v>4</v>
      </c>
      <c r="G567" s="5">
        <v>21.76</v>
      </c>
      <c r="H567" s="6">
        <f t="shared" si="40"/>
        <v>4.5955882352941173E-2</v>
      </c>
      <c r="I567" s="6">
        <v>4.8300000000000003E-2</v>
      </c>
      <c r="J567" s="4">
        <f t="shared" si="41"/>
        <v>409</v>
      </c>
      <c r="K567" s="4">
        <f t="shared" si="42"/>
        <v>641</v>
      </c>
      <c r="L567" s="4">
        <f t="shared" si="43"/>
        <v>1050</v>
      </c>
      <c r="M567" s="4">
        <f t="shared" si="44"/>
        <v>565</v>
      </c>
    </row>
    <row r="568" spans="2:13" ht="25.5" x14ac:dyDescent="0.2">
      <c r="B568" s="12" t="s">
        <v>2113</v>
      </c>
      <c r="C568" s="12" t="s">
        <v>2114</v>
      </c>
      <c r="D568" s="5" t="s">
        <v>2</v>
      </c>
      <c r="E568" s="5" t="s">
        <v>2115</v>
      </c>
      <c r="F568" s="5" t="s">
        <v>87</v>
      </c>
      <c r="G568" s="5">
        <v>165.65</v>
      </c>
      <c r="H568" s="6">
        <f t="shared" si="40"/>
        <v>6.0368246302444908E-3</v>
      </c>
      <c r="I568" s="6">
        <v>0.13370000000000001</v>
      </c>
      <c r="J568" s="4">
        <f t="shared" si="41"/>
        <v>705</v>
      </c>
      <c r="K568" s="4">
        <f t="shared" si="42"/>
        <v>345</v>
      </c>
      <c r="L568" s="4">
        <f t="shared" si="43"/>
        <v>1050</v>
      </c>
      <c r="M568" s="4">
        <f t="shared" si="44"/>
        <v>565</v>
      </c>
    </row>
    <row r="569" spans="2:13" ht="25.5" x14ac:dyDescent="0.2">
      <c r="B569" s="12" t="s">
        <v>1387</v>
      </c>
      <c r="C569" s="12" t="s">
        <v>1388</v>
      </c>
      <c r="D569" s="5" t="s">
        <v>2</v>
      </c>
      <c r="E569" s="5" t="s">
        <v>1389</v>
      </c>
      <c r="F569" s="5" t="s">
        <v>87</v>
      </c>
      <c r="G569" s="5">
        <v>24.35</v>
      </c>
      <c r="H569" s="6">
        <f t="shared" si="40"/>
        <v>4.1067761806981518E-2</v>
      </c>
      <c r="I569" s="6">
        <v>6.5299999999999997E-2</v>
      </c>
      <c r="J569" s="4">
        <f t="shared" si="41"/>
        <v>462</v>
      </c>
      <c r="K569" s="4">
        <f t="shared" si="42"/>
        <v>591</v>
      </c>
      <c r="L569" s="4">
        <f t="shared" si="43"/>
        <v>1053</v>
      </c>
      <c r="M569" s="4">
        <f t="shared" si="44"/>
        <v>567</v>
      </c>
    </row>
    <row r="570" spans="2:13" x14ac:dyDescent="0.2">
      <c r="B570" s="12" t="s">
        <v>1834</v>
      </c>
      <c r="C570" s="12" t="s">
        <v>1835</v>
      </c>
      <c r="D570" s="5" t="s">
        <v>2</v>
      </c>
      <c r="E570" s="5" t="s">
        <v>1836</v>
      </c>
      <c r="F570" s="5" t="s">
        <v>28</v>
      </c>
      <c r="G570" s="5">
        <v>40.17</v>
      </c>
      <c r="H570" s="6">
        <f t="shared" si="40"/>
        <v>2.4894199651481205E-2</v>
      </c>
      <c r="I570" s="6">
        <v>0.1048</v>
      </c>
      <c r="J570" s="4">
        <f t="shared" si="41"/>
        <v>611</v>
      </c>
      <c r="K570" s="4">
        <f t="shared" si="42"/>
        <v>442</v>
      </c>
      <c r="L570" s="4">
        <f t="shared" si="43"/>
        <v>1053</v>
      </c>
      <c r="M570" s="4">
        <f t="shared" si="44"/>
        <v>567</v>
      </c>
    </row>
    <row r="571" spans="2:13" ht="25.5" x14ac:dyDescent="0.2">
      <c r="B571" s="12" t="s">
        <v>1549</v>
      </c>
      <c r="C571" s="12" t="s">
        <v>1550</v>
      </c>
      <c r="D571" s="5" t="s">
        <v>2</v>
      </c>
      <c r="E571" s="5" t="s">
        <v>1551</v>
      </c>
      <c r="F571" s="5" t="s">
        <v>53</v>
      </c>
      <c r="G571" s="5">
        <v>27.88</v>
      </c>
      <c r="H571" s="6">
        <f t="shared" si="40"/>
        <v>3.5868005738880916E-2</v>
      </c>
      <c r="I571" s="6">
        <v>8.1100000000000005E-2</v>
      </c>
      <c r="J571" s="4">
        <f t="shared" si="41"/>
        <v>516</v>
      </c>
      <c r="K571" s="4">
        <f t="shared" si="42"/>
        <v>538</v>
      </c>
      <c r="L571" s="4">
        <f t="shared" si="43"/>
        <v>1054</v>
      </c>
      <c r="M571" s="4">
        <f t="shared" si="44"/>
        <v>569</v>
      </c>
    </row>
    <row r="572" spans="2:13" x14ac:dyDescent="0.2">
      <c r="B572" s="12" t="s">
        <v>1432</v>
      </c>
      <c r="C572" s="12" t="s">
        <v>1433</v>
      </c>
      <c r="D572" s="5" t="s">
        <v>2</v>
      </c>
      <c r="E572" s="5" t="s">
        <v>1434</v>
      </c>
      <c r="F572" s="5"/>
      <c r="G572" s="5">
        <v>25.17</v>
      </c>
      <c r="H572" s="6">
        <f t="shared" si="40"/>
        <v>3.9729837107667858E-2</v>
      </c>
      <c r="I572" s="6">
        <v>6.9099999999999995E-2</v>
      </c>
      <c r="J572" s="4">
        <f t="shared" si="41"/>
        <v>477</v>
      </c>
      <c r="K572" s="4">
        <f t="shared" si="42"/>
        <v>579</v>
      </c>
      <c r="L572" s="4">
        <f t="shared" si="43"/>
        <v>1056</v>
      </c>
      <c r="M572" s="4">
        <f t="shared" si="44"/>
        <v>570</v>
      </c>
    </row>
    <row r="573" spans="2:13" x14ac:dyDescent="0.2">
      <c r="B573" s="12" t="s">
        <v>1519</v>
      </c>
      <c r="C573" s="12" t="s">
        <v>1520</v>
      </c>
      <c r="D573" s="5" t="s">
        <v>2</v>
      </c>
      <c r="E573" s="5" t="s">
        <v>1521</v>
      </c>
      <c r="F573" s="5" t="s">
        <v>28</v>
      </c>
      <c r="G573" s="5">
        <v>27.27</v>
      </c>
      <c r="H573" s="6">
        <f t="shared" si="40"/>
        <v>3.6670333700036674E-2</v>
      </c>
      <c r="I573" s="6">
        <v>7.7100000000000002E-2</v>
      </c>
      <c r="J573" s="4">
        <f t="shared" si="41"/>
        <v>506</v>
      </c>
      <c r="K573" s="4">
        <f t="shared" si="42"/>
        <v>553</v>
      </c>
      <c r="L573" s="4">
        <f t="shared" si="43"/>
        <v>1059</v>
      </c>
      <c r="M573" s="4">
        <f t="shared" si="44"/>
        <v>571</v>
      </c>
    </row>
    <row r="574" spans="2:13" x14ac:dyDescent="0.2">
      <c r="B574" s="12" t="s">
        <v>1657</v>
      </c>
      <c r="C574" s="12" t="s">
        <v>1658</v>
      </c>
      <c r="D574" s="5" t="s">
        <v>2</v>
      </c>
      <c r="E574" s="5" t="s">
        <v>1659</v>
      </c>
      <c r="F574" s="5" t="s">
        <v>4</v>
      </c>
      <c r="G574" s="5">
        <v>30.94</v>
      </c>
      <c r="H574" s="6">
        <f t="shared" si="40"/>
        <v>3.232062055591467E-2</v>
      </c>
      <c r="I574" s="6">
        <v>8.8900000000000007E-2</v>
      </c>
      <c r="J574" s="4">
        <f t="shared" si="41"/>
        <v>552</v>
      </c>
      <c r="K574" s="4">
        <f t="shared" si="42"/>
        <v>507</v>
      </c>
      <c r="L574" s="4">
        <f t="shared" si="43"/>
        <v>1059</v>
      </c>
      <c r="M574" s="4">
        <f t="shared" si="44"/>
        <v>571</v>
      </c>
    </row>
    <row r="575" spans="2:13" ht="25.5" x14ac:dyDescent="0.2">
      <c r="B575" s="12" t="s">
        <v>1985</v>
      </c>
      <c r="C575" s="12" t="s">
        <v>1986</v>
      </c>
      <c r="D575" s="5" t="s">
        <v>2</v>
      </c>
      <c r="E575" s="5" t="s">
        <v>1987</v>
      </c>
      <c r="F575" s="5" t="s">
        <v>53</v>
      </c>
      <c r="G575" s="5">
        <v>54.57</v>
      </c>
      <c r="H575" s="6">
        <f t="shared" si="40"/>
        <v>1.8325087044163461E-2</v>
      </c>
      <c r="I575" s="6">
        <v>0.1168</v>
      </c>
      <c r="J575" s="4">
        <f t="shared" si="41"/>
        <v>662</v>
      </c>
      <c r="K575" s="4">
        <f t="shared" si="42"/>
        <v>398</v>
      </c>
      <c r="L575" s="4">
        <f t="shared" si="43"/>
        <v>1060</v>
      </c>
      <c r="M575" s="4">
        <f t="shared" si="44"/>
        <v>573</v>
      </c>
    </row>
    <row r="576" spans="2:13" ht="25.5" x14ac:dyDescent="0.2">
      <c r="B576" s="12" t="s">
        <v>1322</v>
      </c>
      <c r="C576" s="12" t="s">
        <v>1323</v>
      </c>
      <c r="D576" s="5" t="s">
        <v>2</v>
      </c>
      <c r="E576" s="5" t="s">
        <v>1324</v>
      </c>
      <c r="F576" s="5" t="s">
        <v>87</v>
      </c>
      <c r="G576" s="5">
        <v>23.34</v>
      </c>
      <c r="H576" s="6">
        <f t="shared" si="40"/>
        <v>4.2844901456726647E-2</v>
      </c>
      <c r="I576" s="6">
        <v>5.3499999999999999E-2</v>
      </c>
      <c r="J576" s="4">
        <f t="shared" si="41"/>
        <v>439</v>
      </c>
      <c r="K576" s="4">
        <f t="shared" si="42"/>
        <v>625</v>
      </c>
      <c r="L576" s="4">
        <f t="shared" si="43"/>
        <v>1064</v>
      </c>
      <c r="M576" s="4">
        <f t="shared" si="44"/>
        <v>574</v>
      </c>
    </row>
    <row r="577" spans="2:13" x14ac:dyDescent="0.2">
      <c r="B577" s="12" t="s">
        <v>1693</v>
      </c>
      <c r="C577" s="12" t="s">
        <v>1694</v>
      </c>
      <c r="D577" s="5" t="s">
        <v>2</v>
      </c>
      <c r="E577" s="5" t="s">
        <v>1695</v>
      </c>
      <c r="F577" s="5" t="s">
        <v>28</v>
      </c>
      <c r="G577" s="5">
        <v>31.88</v>
      </c>
      <c r="H577" s="6">
        <f t="shared" si="40"/>
        <v>3.1367628607277293E-2</v>
      </c>
      <c r="I577" s="6">
        <v>9.0200000000000002E-2</v>
      </c>
      <c r="J577" s="4">
        <f t="shared" si="41"/>
        <v>564</v>
      </c>
      <c r="K577" s="4">
        <f t="shared" si="42"/>
        <v>500</v>
      </c>
      <c r="L577" s="4">
        <f t="shared" si="43"/>
        <v>1064</v>
      </c>
      <c r="M577" s="4">
        <f t="shared" si="44"/>
        <v>574</v>
      </c>
    </row>
    <row r="578" spans="2:13" ht="25.5" x14ac:dyDescent="0.2">
      <c r="B578" s="12" t="s">
        <v>1789</v>
      </c>
      <c r="C578" s="12" t="s">
        <v>1790</v>
      </c>
      <c r="D578" s="5" t="s">
        <v>2</v>
      </c>
      <c r="E578" s="5" t="s">
        <v>1791</v>
      </c>
      <c r="F578" s="5" t="s">
        <v>87</v>
      </c>
      <c r="G578" s="5">
        <v>37.340000000000003</v>
      </c>
      <c r="H578" s="6">
        <f t="shared" si="40"/>
        <v>2.6780931976432776E-2</v>
      </c>
      <c r="I578" s="6">
        <v>9.7500000000000003E-2</v>
      </c>
      <c r="J578" s="4">
        <f t="shared" si="41"/>
        <v>596</v>
      </c>
      <c r="K578" s="4">
        <f t="shared" si="42"/>
        <v>471</v>
      </c>
      <c r="L578" s="4">
        <f t="shared" si="43"/>
        <v>1067</v>
      </c>
      <c r="M578" s="4">
        <f t="shared" si="44"/>
        <v>576</v>
      </c>
    </row>
    <row r="579" spans="2:13" x14ac:dyDescent="0.2">
      <c r="B579" s="12" t="s">
        <v>1881</v>
      </c>
      <c r="C579" s="12" t="s">
        <v>1882</v>
      </c>
      <c r="D579" s="5" t="s">
        <v>2</v>
      </c>
      <c r="E579" s="5" t="s">
        <v>1883</v>
      </c>
      <c r="F579" s="5" t="s">
        <v>4</v>
      </c>
      <c r="G579" s="5">
        <v>43.61</v>
      </c>
      <c r="H579" s="6">
        <f t="shared" ref="H579:H642" si="45">1/G579</f>
        <v>2.293052052281587E-2</v>
      </c>
      <c r="I579" s="6">
        <v>0.1055</v>
      </c>
      <c r="J579" s="4">
        <f t="shared" ref="J579:J642" si="46">+_xlfn.RANK.EQ(H579,H:H,0)</f>
        <v>627</v>
      </c>
      <c r="K579" s="4">
        <f t="shared" ref="K579:K642" si="47">+_xlfn.RANK.EQ(I579,I:I,0)</f>
        <v>440</v>
      </c>
      <c r="L579" s="4">
        <f t="shared" ref="L579:L642" si="48">+J579+K579</f>
        <v>1067</v>
      </c>
      <c r="M579" s="4">
        <f t="shared" ref="M579:M642" si="49">+_xlfn.RANK.EQ(L579,L:L,1)</f>
        <v>576</v>
      </c>
    </row>
    <row r="580" spans="2:13" ht="25.5" x14ac:dyDescent="0.2">
      <c r="B580" s="12" t="s">
        <v>1349</v>
      </c>
      <c r="C580" s="12" t="s">
        <v>1350</v>
      </c>
      <c r="D580" s="5" t="s">
        <v>2</v>
      </c>
      <c r="E580" s="5" t="s">
        <v>1351</v>
      </c>
      <c r="F580" s="5" t="s">
        <v>122</v>
      </c>
      <c r="G580" s="5">
        <v>23.59</v>
      </c>
      <c r="H580" s="6">
        <f t="shared" si="45"/>
        <v>4.2390843577787198E-2</v>
      </c>
      <c r="I580" s="6">
        <v>5.4600000000000003E-2</v>
      </c>
      <c r="J580" s="4">
        <f t="shared" si="46"/>
        <v>448</v>
      </c>
      <c r="K580" s="4">
        <f t="shared" si="47"/>
        <v>623</v>
      </c>
      <c r="L580" s="4">
        <f t="shared" si="48"/>
        <v>1071</v>
      </c>
      <c r="M580" s="4">
        <f t="shared" si="49"/>
        <v>578</v>
      </c>
    </row>
    <row r="581" spans="2:13" ht="25.5" x14ac:dyDescent="0.2">
      <c r="B581" s="12" t="s">
        <v>1588</v>
      </c>
      <c r="C581" s="12" t="s">
        <v>1589</v>
      </c>
      <c r="D581" s="5" t="s">
        <v>2</v>
      </c>
      <c r="E581" s="5" t="s">
        <v>1590</v>
      </c>
      <c r="F581" s="5" t="s">
        <v>87</v>
      </c>
      <c r="G581" s="5">
        <v>28.85</v>
      </c>
      <c r="H581" s="6">
        <f t="shared" si="45"/>
        <v>3.4662045060658578E-2</v>
      </c>
      <c r="I581" s="6">
        <v>7.8700000000000006E-2</v>
      </c>
      <c r="J581" s="4">
        <f t="shared" si="46"/>
        <v>529</v>
      </c>
      <c r="K581" s="4">
        <f t="shared" si="47"/>
        <v>543</v>
      </c>
      <c r="L581" s="4">
        <f t="shared" si="48"/>
        <v>1072</v>
      </c>
      <c r="M581" s="4">
        <f t="shared" si="49"/>
        <v>579</v>
      </c>
    </row>
    <row r="582" spans="2:13" ht="25.5" x14ac:dyDescent="0.2">
      <c r="B582" s="12" t="s">
        <v>1681</v>
      </c>
      <c r="C582" s="12" t="s">
        <v>1682</v>
      </c>
      <c r="D582" s="5" t="s">
        <v>2</v>
      </c>
      <c r="E582" s="5" t="s">
        <v>1683</v>
      </c>
      <c r="F582" s="5" t="s">
        <v>53</v>
      </c>
      <c r="G582" s="5">
        <v>31.62</v>
      </c>
      <c r="H582" s="6">
        <f t="shared" si="45"/>
        <v>3.1625553447185324E-2</v>
      </c>
      <c r="I582" s="6">
        <v>8.6499999999999994E-2</v>
      </c>
      <c r="J582" s="4">
        <f t="shared" si="46"/>
        <v>560</v>
      </c>
      <c r="K582" s="4">
        <f t="shared" si="47"/>
        <v>515</v>
      </c>
      <c r="L582" s="4">
        <f t="shared" si="48"/>
        <v>1075</v>
      </c>
      <c r="M582" s="4">
        <f t="shared" si="49"/>
        <v>580</v>
      </c>
    </row>
    <row r="583" spans="2:13" ht="25.5" x14ac:dyDescent="0.2">
      <c r="B583" s="12" t="s">
        <v>1783</v>
      </c>
      <c r="C583" s="12" t="s">
        <v>1784</v>
      </c>
      <c r="D583" s="5" t="s">
        <v>2</v>
      </c>
      <c r="E583" s="5" t="s">
        <v>1785</v>
      </c>
      <c r="F583" s="5" t="s">
        <v>87</v>
      </c>
      <c r="G583" s="5">
        <v>36.909999999999997</v>
      </c>
      <c r="H583" s="6">
        <f t="shared" si="45"/>
        <v>2.7092928745597402E-2</v>
      </c>
      <c r="I583" s="6">
        <v>9.4500000000000001E-2</v>
      </c>
      <c r="J583" s="4">
        <f t="shared" si="46"/>
        <v>594</v>
      </c>
      <c r="K583" s="4">
        <f t="shared" si="47"/>
        <v>481</v>
      </c>
      <c r="L583" s="4">
        <f t="shared" si="48"/>
        <v>1075</v>
      </c>
      <c r="M583" s="4">
        <f t="shared" si="49"/>
        <v>580</v>
      </c>
    </row>
    <row r="584" spans="2:13" x14ac:dyDescent="0.2">
      <c r="B584" s="12" t="s">
        <v>1606</v>
      </c>
      <c r="C584" s="12" t="s">
        <v>1607</v>
      </c>
      <c r="D584" s="5" t="s">
        <v>2</v>
      </c>
      <c r="E584" s="5" t="s">
        <v>1608</v>
      </c>
      <c r="F584" s="5" t="s">
        <v>4</v>
      </c>
      <c r="G584" s="5">
        <v>29.18</v>
      </c>
      <c r="H584" s="6">
        <f t="shared" si="45"/>
        <v>3.4270047978067167E-2</v>
      </c>
      <c r="I584" s="6">
        <v>7.8399999999999997E-2</v>
      </c>
      <c r="J584" s="4">
        <f t="shared" si="46"/>
        <v>535</v>
      </c>
      <c r="K584" s="4">
        <f t="shared" si="47"/>
        <v>544</v>
      </c>
      <c r="L584" s="4">
        <f t="shared" si="48"/>
        <v>1079</v>
      </c>
      <c r="M584" s="4">
        <f t="shared" si="49"/>
        <v>582</v>
      </c>
    </row>
    <row r="585" spans="2:13" x14ac:dyDescent="0.2">
      <c r="B585" s="12" t="s">
        <v>1687</v>
      </c>
      <c r="C585" s="12" t="s">
        <v>1688</v>
      </c>
      <c r="D585" s="5" t="s">
        <v>2</v>
      </c>
      <c r="E585" s="5" t="s">
        <v>1689</v>
      </c>
      <c r="F585" s="5" t="s">
        <v>28</v>
      </c>
      <c r="G585" s="5">
        <v>31.79</v>
      </c>
      <c r="H585" s="6">
        <f t="shared" si="45"/>
        <v>3.1456432840515886E-2</v>
      </c>
      <c r="I585" s="6">
        <v>8.5900000000000004E-2</v>
      </c>
      <c r="J585" s="4">
        <f t="shared" si="46"/>
        <v>562</v>
      </c>
      <c r="K585" s="4">
        <f t="shared" si="47"/>
        <v>519</v>
      </c>
      <c r="L585" s="4">
        <f t="shared" si="48"/>
        <v>1081</v>
      </c>
      <c r="M585" s="4">
        <f t="shared" si="49"/>
        <v>583</v>
      </c>
    </row>
    <row r="586" spans="2:13" x14ac:dyDescent="0.2">
      <c r="B586" s="12" t="s">
        <v>1462</v>
      </c>
      <c r="C586" s="12" t="s">
        <v>1463</v>
      </c>
      <c r="D586" s="5" t="s">
        <v>2</v>
      </c>
      <c r="E586" s="5" t="s">
        <v>1464</v>
      </c>
      <c r="F586" s="5" t="s">
        <v>91</v>
      </c>
      <c r="G586" s="5">
        <v>25.92</v>
      </c>
      <c r="H586" s="6">
        <f t="shared" si="45"/>
        <v>3.8580246913580245E-2</v>
      </c>
      <c r="I586" s="6">
        <v>6.4299999999999996E-2</v>
      </c>
      <c r="J586" s="4">
        <f t="shared" si="46"/>
        <v>487</v>
      </c>
      <c r="K586" s="4">
        <f t="shared" si="47"/>
        <v>596</v>
      </c>
      <c r="L586" s="4">
        <f t="shared" si="48"/>
        <v>1083</v>
      </c>
      <c r="M586" s="4">
        <f t="shared" si="49"/>
        <v>584</v>
      </c>
    </row>
    <row r="587" spans="2:13" x14ac:dyDescent="0.2">
      <c r="B587" s="12" t="s">
        <v>1525</v>
      </c>
      <c r="C587" s="12" t="s">
        <v>1526</v>
      </c>
      <c r="D587" s="5" t="s">
        <v>2</v>
      </c>
      <c r="E587" s="5" t="s">
        <v>1527</v>
      </c>
      <c r="F587" s="5" t="s">
        <v>4</v>
      </c>
      <c r="G587" s="5">
        <v>27.34</v>
      </c>
      <c r="H587" s="6">
        <f t="shared" si="45"/>
        <v>3.6576444769568395E-2</v>
      </c>
      <c r="I587" s="6">
        <v>6.9599999999999995E-2</v>
      </c>
      <c r="J587" s="4">
        <f t="shared" si="46"/>
        <v>508</v>
      </c>
      <c r="K587" s="4">
        <f t="shared" si="47"/>
        <v>577</v>
      </c>
      <c r="L587" s="4">
        <f t="shared" si="48"/>
        <v>1085</v>
      </c>
      <c r="M587" s="4">
        <f t="shared" si="49"/>
        <v>585</v>
      </c>
    </row>
    <row r="588" spans="2:13" x14ac:dyDescent="0.2">
      <c r="B588" s="12" t="s">
        <v>1624</v>
      </c>
      <c r="C588" s="12" t="s">
        <v>1625</v>
      </c>
      <c r="D588" s="5" t="s">
        <v>2</v>
      </c>
      <c r="E588" s="5" t="s">
        <v>1626</v>
      </c>
      <c r="F588" s="5" t="s">
        <v>28</v>
      </c>
      <c r="G588" s="5">
        <v>29.46</v>
      </c>
      <c r="H588" s="6">
        <f t="shared" si="45"/>
        <v>3.3944331296673458E-2</v>
      </c>
      <c r="I588" s="6">
        <v>7.8299999999999995E-2</v>
      </c>
      <c r="J588" s="4">
        <f t="shared" si="46"/>
        <v>541</v>
      </c>
      <c r="K588" s="4">
        <f t="shared" si="47"/>
        <v>545</v>
      </c>
      <c r="L588" s="4">
        <f t="shared" si="48"/>
        <v>1086</v>
      </c>
      <c r="M588" s="4">
        <f t="shared" si="49"/>
        <v>586</v>
      </c>
    </row>
    <row r="589" spans="2:13" ht="25.5" x14ac:dyDescent="0.2">
      <c r="B589" s="12" t="s">
        <v>1920</v>
      </c>
      <c r="C589" s="12" t="s">
        <v>1921</v>
      </c>
      <c r="D589" s="5" t="s">
        <v>2</v>
      </c>
      <c r="E589" s="5" t="s">
        <v>1922</v>
      </c>
      <c r="F589" s="5" t="s">
        <v>87</v>
      </c>
      <c r="G589" s="5">
        <v>45.72</v>
      </c>
      <c r="H589" s="6">
        <f t="shared" si="45"/>
        <v>2.1872265966754158E-2</v>
      </c>
      <c r="I589" s="6">
        <v>0.104</v>
      </c>
      <c r="J589" s="4">
        <f t="shared" si="46"/>
        <v>640</v>
      </c>
      <c r="K589" s="4">
        <f t="shared" si="47"/>
        <v>446</v>
      </c>
      <c r="L589" s="4">
        <f t="shared" si="48"/>
        <v>1086</v>
      </c>
      <c r="M589" s="4">
        <f t="shared" si="49"/>
        <v>586</v>
      </c>
    </row>
    <row r="590" spans="2:13" x14ac:dyDescent="0.2">
      <c r="B590" s="12" t="s">
        <v>1465</v>
      </c>
      <c r="C590" s="12" t="s">
        <v>1466</v>
      </c>
      <c r="D590" s="5" t="s">
        <v>2</v>
      </c>
      <c r="E590" s="5" t="s">
        <v>1467</v>
      </c>
      <c r="F590" s="5" t="s">
        <v>18</v>
      </c>
      <c r="G590" s="5">
        <v>25.96</v>
      </c>
      <c r="H590" s="6">
        <f t="shared" si="45"/>
        <v>3.8520801232665637E-2</v>
      </c>
      <c r="I590" s="6">
        <v>6.0999999999999999E-2</v>
      </c>
      <c r="J590" s="4">
        <f t="shared" si="46"/>
        <v>488</v>
      </c>
      <c r="K590" s="4">
        <f t="shared" si="47"/>
        <v>605</v>
      </c>
      <c r="L590" s="4">
        <f t="shared" si="48"/>
        <v>1093</v>
      </c>
      <c r="M590" s="4">
        <f t="shared" si="49"/>
        <v>588</v>
      </c>
    </row>
    <row r="591" spans="2:13" x14ac:dyDescent="0.2">
      <c r="B591" s="12" t="s">
        <v>1269</v>
      </c>
      <c r="C591" s="12" t="s">
        <v>1270</v>
      </c>
      <c r="D591" s="5" t="s">
        <v>2</v>
      </c>
      <c r="E591" s="5" t="s">
        <v>1271</v>
      </c>
      <c r="F591" s="5" t="s">
        <v>4</v>
      </c>
      <c r="G591" s="5">
        <v>22.36</v>
      </c>
      <c r="H591" s="6">
        <f t="shared" si="45"/>
        <v>4.4722719141323794E-2</v>
      </c>
      <c r="I591" s="6">
        <v>3.5000000000000003E-2</v>
      </c>
      <c r="J591" s="4">
        <f t="shared" si="46"/>
        <v>422</v>
      </c>
      <c r="K591" s="4">
        <f t="shared" si="47"/>
        <v>675</v>
      </c>
      <c r="L591" s="4">
        <f t="shared" si="48"/>
        <v>1097</v>
      </c>
      <c r="M591" s="4">
        <f t="shared" si="49"/>
        <v>589</v>
      </c>
    </row>
    <row r="592" spans="2:13" ht="25.5" x14ac:dyDescent="0.2">
      <c r="B592" s="12" t="s">
        <v>1594</v>
      </c>
      <c r="C592" s="12" t="s">
        <v>1595</v>
      </c>
      <c r="D592" s="5" t="s">
        <v>2</v>
      </c>
      <c r="E592" s="5" t="s">
        <v>1596</v>
      </c>
      <c r="F592" s="5" t="s">
        <v>53</v>
      </c>
      <c r="G592" s="5">
        <v>28.92</v>
      </c>
      <c r="H592" s="6">
        <f t="shared" si="45"/>
        <v>3.4578146611341627E-2</v>
      </c>
      <c r="I592" s="6">
        <v>7.1999999999999995E-2</v>
      </c>
      <c r="J592" s="4">
        <f t="shared" si="46"/>
        <v>531</v>
      </c>
      <c r="K592" s="4">
        <f t="shared" si="47"/>
        <v>566</v>
      </c>
      <c r="L592" s="4">
        <f t="shared" si="48"/>
        <v>1097</v>
      </c>
      <c r="M592" s="4">
        <f t="shared" si="49"/>
        <v>589</v>
      </c>
    </row>
    <row r="593" spans="2:13" ht="25.5" x14ac:dyDescent="0.2">
      <c r="B593" s="12" t="s">
        <v>1450</v>
      </c>
      <c r="C593" s="12" t="s">
        <v>1451</v>
      </c>
      <c r="D593" s="5" t="s">
        <v>2</v>
      </c>
      <c r="E593" s="5" t="s">
        <v>1452</v>
      </c>
      <c r="F593" s="5" t="s">
        <v>87</v>
      </c>
      <c r="G593" s="5">
        <v>25.6</v>
      </c>
      <c r="H593" s="6">
        <f t="shared" si="45"/>
        <v>3.90625E-2</v>
      </c>
      <c r="I593" s="6">
        <v>5.5399999999999998E-2</v>
      </c>
      <c r="J593" s="4">
        <f t="shared" si="46"/>
        <v>483</v>
      </c>
      <c r="K593" s="4">
        <f t="shared" si="47"/>
        <v>618</v>
      </c>
      <c r="L593" s="4">
        <f t="shared" si="48"/>
        <v>1101</v>
      </c>
      <c r="M593" s="4">
        <f t="shared" si="49"/>
        <v>591</v>
      </c>
    </row>
    <row r="594" spans="2:13" x14ac:dyDescent="0.2">
      <c r="B594" s="12" t="s">
        <v>1367</v>
      </c>
      <c r="C594" s="12" t="s">
        <v>1368</v>
      </c>
      <c r="D594" s="5" t="s">
        <v>2</v>
      </c>
      <c r="E594" s="5" t="s">
        <v>409</v>
      </c>
      <c r="F594" s="5" t="s">
        <v>28</v>
      </c>
      <c r="G594" s="5">
        <v>23.79</v>
      </c>
      <c r="H594" s="6">
        <f t="shared" si="45"/>
        <v>4.2034468263976464E-2</v>
      </c>
      <c r="I594" s="6">
        <v>4.5999999999999999E-2</v>
      </c>
      <c r="J594" s="4">
        <f t="shared" si="46"/>
        <v>455</v>
      </c>
      <c r="K594" s="4">
        <f t="shared" si="47"/>
        <v>648</v>
      </c>
      <c r="L594" s="4">
        <f t="shared" si="48"/>
        <v>1103</v>
      </c>
      <c r="M594" s="4">
        <f t="shared" si="49"/>
        <v>592</v>
      </c>
    </row>
    <row r="595" spans="2:13" ht="25.5" x14ac:dyDescent="0.2">
      <c r="B595" s="12" t="s">
        <v>2072</v>
      </c>
      <c r="C595" s="12" t="s">
        <v>2073</v>
      </c>
      <c r="D595" s="5" t="s">
        <v>2</v>
      </c>
      <c r="E595" s="5" t="s">
        <v>2074</v>
      </c>
      <c r="F595" s="5" t="s">
        <v>87</v>
      </c>
      <c r="G595" s="5">
        <v>89.86</v>
      </c>
      <c r="H595" s="6">
        <f t="shared" si="45"/>
        <v>1.1128421989761852E-2</v>
      </c>
      <c r="I595" s="6">
        <v>0.1125</v>
      </c>
      <c r="J595" s="4">
        <f t="shared" si="46"/>
        <v>691</v>
      </c>
      <c r="K595" s="4">
        <f t="shared" si="47"/>
        <v>412</v>
      </c>
      <c r="L595" s="4">
        <f t="shared" si="48"/>
        <v>1103</v>
      </c>
      <c r="M595" s="4">
        <f t="shared" si="49"/>
        <v>592</v>
      </c>
    </row>
    <row r="596" spans="2:13" x14ac:dyDescent="0.2">
      <c r="B596" s="12" t="s">
        <v>1489</v>
      </c>
      <c r="C596" s="12" t="s">
        <v>1490</v>
      </c>
      <c r="D596" s="5" t="s">
        <v>2</v>
      </c>
      <c r="E596" s="5" t="s">
        <v>1491</v>
      </c>
      <c r="F596" s="5" t="s">
        <v>28</v>
      </c>
      <c r="G596" s="5">
        <v>26.63</v>
      </c>
      <c r="H596" s="6">
        <f t="shared" si="45"/>
        <v>3.7551633496057078E-2</v>
      </c>
      <c r="I596" s="6">
        <v>5.7700000000000001E-2</v>
      </c>
      <c r="J596" s="4">
        <f t="shared" si="46"/>
        <v>496</v>
      </c>
      <c r="K596" s="4">
        <f t="shared" si="47"/>
        <v>611</v>
      </c>
      <c r="L596" s="4">
        <f t="shared" si="48"/>
        <v>1107</v>
      </c>
      <c r="M596" s="4">
        <f t="shared" si="49"/>
        <v>594</v>
      </c>
    </row>
    <row r="597" spans="2:13" ht="25.5" x14ac:dyDescent="0.2">
      <c r="B597" s="12" t="s">
        <v>1660</v>
      </c>
      <c r="C597" s="12" t="s">
        <v>1661</v>
      </c>
      <c r="D597" s="5" t="s">
        <v>2</v>
      </c>
      <c r="E597" s="5" t="s">
        <v>1662</v>
      </c>
      <c r="F597" s="5" t="s">
        <v>53</v>
      </c>
      <c r="G597" s="5">
        <v>31.06</v>
      </c>
      <c r="H597" s="6">
        <f t="shared" si="45"/>
        <v>3.2195750160978753E-2</v>
      </c>
      <c r="I597" s="6">
        <v>7.6899999999999996E-2</v>
      </c>
      <c r="J597" s="4">
        <f t="shared" si="46"/>
        <v>553</v>
      </c>
      <c r="K597" s="4">
        <f t="shared" si="47"/>
        <v>554</v>
      </c>
      <c r="L597" s="4">
        <f t="shared" si="48"/>
        <v>1107</v>
      </c>
      <c r="M597" s="4">
        <f t="shared" si="49"/>
        <v>594</v>
      </c>
    </row>
    <row r="598" spans="2:13" ht="25.5" x14ac:dyDescent="0.2">
      <c r="B598" s="12" t="s">
        <v>1609</v>
      </c>
      <c r="C598" s="12" t="s">
        <v>1610</v>
      </c>
      <c r="D598" s="5" t="s">
        <v>2</v>
      </c>
      <c r="E598" s="5" t="s">
        <v>1611</v>
      </c>
      <c r="F598" s="5" t="s">
        <v>122</v>
      </c>
      <c r="G598" s="5">
        <v>29.22</v>
      </c>
      <c r="H598" s="6">
        <f t="shared" si="45"/>
        <v>3.4223134839151265E-2</v>
      </c>
      <c r="I598" s="6">
        <v>7.0599999999999996E-2</v>
      </c>
      <c r="J598" s="4">
        <f t="shared" si="46"/>
        <v>536</v>
      </c>
      <c r="K598" s="4">
        <f t="shared" si="47"/>
        <v>572</v>
      </c>
      <c r="L598" s="4">
        <f t="shared" si="48"/>
        <v>1108</v>
      </c>
      <c r="M598" s="4">
        <f t="shared" si="49"/>
        <v>596</v>
      </c>
    </row>
    <row r="599" spans="2:13" x14ac:dyDescent="0.2">
      <c r="B599" s="12" t="s">
        <v>1804</v>
      </c>
      <c r="C599" s="12" t="s">
        <v>1805</v>
      </c>
      <c r="D599" s="5" t="s">
        <v>2</v>
      </c>
      <c r="E599" s="5" t="s">
        <v>1806</v>
      </c>
      <c r="F599" s="5"/>
      <c r="G599" s="5">
        <v>38.24</v>
      </c>
      <c r="H599" s="6">
        <f t="shared" si="45"/>
        <v>2.615062761506276E-2</v>
      </c>
      <c r="I599" s="6">
        <v>8.8800000000000004E-2</v>
      </c>
      <c r="J599" s="4">
        <f t="shared" si="46"/>
        <v>601</v>
      </c>
      <c r="K599" s="4">
        <f t="shared" si="47"/>
        <v>508</v>
      </c>
      <c r="L599" s="4">
        <f t="shared" si="48"/>
        <v>1109</v>
      </c>
      <c r="M599" s="4">
        <f t="shared" si="49"/>
        <v>597</v>
      </c>
    </row>
    <row r="600" spans="2:13" x14ac:dyDescent="0.2">
      <c r="B600" s="12" t="s">
        <v>1456</v>
      </c>
      <c r="C600" s="12" t="s">
        <v>1457</v>
      </c>
      <c r="D600" s="5" t="s">
        <v>2</v>
      </c>
      <c r="E600" s="5" t="s">
        <v>1458</v>
      </c>
      <c r="F600" s="5" t="s">
        <v>4</v>
      </c>
      <c r="G600" s="5">
        <v>25.66</v>
      </c>
      <c r="H600" s="6">
        <f t="shared" si="45"/>
        <v>3.8971161340607949E-2</v>
      </c>
      <c r="I600" s="6">
        <v>5.2999999999999999E-2</v>
      </c>
      <c r="J600" s="4">
        <f t="shared" si="46"/>
        <v>485</v>
      </c>
      <c r="K600" s="4">
        <f t="shared" si="47"/>
        <v>628</v>
      </c>
      <c r="L600" s="4">
        <f t="shared" si="48"/>
        <v>1113</v>
      </c>
      <c r="M600" s="4">
        <f t="shared" si="49"/>
        <v>598</v>
      </c>
    </row>
    <row r="601" spans="2:13" x14ac:dyDescent="0.2">
      <c r="B601" s="12" t="s">
        <v>1555</v>
      </c>
      <c r="C601" s="12" t="s">
        <v>1556</v>
      </c>
      <c r="D601" s="5" t="s">
        <v>2</v>
      </c>
      <c r="E601" s="5" t="s">
        <v>1557</v>
      </c>
      <c r="F601" s="5" t="s">
        <v>28</v>
      </c>
      <c r="G601" s="5">
        <v>28</v>
      </c>
      <c r="H601" s="6">
        <f t="shared" si="45"/>
        <v>3.5714285714285712E-2</v>
      </c>
      <c r="I601" s="6">
        <v>6.4100000000000004E-2</v>
      </c>
      <c r="J601" s="4">
        <f t="shared" si="46"/>
        <v>518</v>
      </c>
      <c r="K601" s="4">
        <f t="shared" si="47"/>
        <v>598</v>
      </c>
      <c r="L601" s="4">
        <f t="shared" si="48"/>
        <v>1116</v>
      </c>
      <c r="M601" s="4">
        <f t="shared" si="49"/>
        <v>599</v>
      </c>
    </row>
    <row r="602" spans="2:13" ht="25.5" x14ac:dyDescent="0.2">
      <c r="B602" s="12" t="s">
        <v>1929</v>
      </c>
      <c r="C602" s="12" t="s">
        <v>1930</v>
      </c>
      <c r="D602" s="5" t="s">
        <v>2</v>
      </c>
      <c r="E602" s="5" t="s">
        <v>1931</v>
      </c>
      <c r="F602" s="5" t="s">
        <v>87</v>
      </c>
      <c r="G602" s="5">
        <v>46.21</v>
      </c>
      <c r="H602" s="6">
        <f t="shared" si="45"/>
        <v>2.1640337589266392E-2</v>
      </c>
      <c r="I602" s="6">
        <v>9.4700000000000006E-2</v>
      </c>
      <c r="J602" s="4">
        <f t="shared" si="46"/>
        <v>643</v>
      </c>
      <c r="K602" s="4">
        <f t="shared" si="47"/>
        <v>477</v>
      </c>
      <c r="L602" s="4">
        <f t="shared" si="48"/>
        <v>1120</v>
      </c>
      <c r="M602" s="4">
        <f t="shared" si="49"/>
        <v>600</v>
      </c>
    </row>
    <row r="603" spans="2:13" ht="25.5" x14ac:dyDescent="0.2">
      <c r="B603" s="12" t="s">
        <v>1615</v>
      </c>
      <c r="C603" s="12" t="s">
        <v>1616</v>
      </c>
      <c r="D603" s="5" t="s">
        <v>2</v>
      </c>
      <c r="E603" s="5" t="s">
        <v>1617</v>
      </c>
      <c r="F603" s="5" t="s">
        <v>87</v>
      </c>
      <c r="G603" s="5">
        <v>29.33</v>
      </c>
      <c r="H603" s="6">
        <f t="shared" si="45"/>
        <v>3.4094783498124788E-2</v>
      </c>
      <c r="I603" s="6">
        <v>6.6500000000000004E-2</v>
      </c>
      <c r="J603" s="4">
        <f t="shared" si="46"/>
        <v>538</v>
      </c>
      <c r="K603" s="4">
        <f t="shared" si="47"/>
        <v>585</v>
      </c>
      <c r="L603" s="4">
        <f t="shared" si="48"/>
        <v>1123</v>
      </c>
      <c r="M603" s="4">
        <f t="shared" si="49"/>
        <v>601</v>
      </c>
    </row>
    <row r="604" spans="2:13" x14ac:dyDescent="0.2">
      <c r="B604" s="12" t="s">
        <v>1537</v>
      </c>
      <c r="C604" s="12" t="s">
        <v>1538</v>
      </c>
      <c r="D604" s="5" t="s">
        <v>2</v>
      </c>
      <c r="E604" s="5" t="s">
        <v>1539</v>
      </c>
      <c r="F604" s="5"/>
      <c r="G604" s="5">
        <v>27.51</v>
      </c>
      <c r="H604" s="6">
        <f t="shared" si="45"/>
        <v>3.635041802980734E-2</v>
      </c>
      <c r="I604" s="6">
        <v>5.6000000000000001E-2</v>
      </c>
      <c r="J604" s="4">
        <f t="shared" si="46"/>
        <v>512</v>
      </c>
      <c r="K604" s="4">
        <f t="shared" si="47"/>
        <v>614</v>
      </c>
      <c r="L604" s="4">
        <f t="shared" si="48"/>
        <v>1126</v>
      </c>
      <c r="M604" s="4">
        <f t="shared" si="49"/>
        <v>602</v>
      </c>
    </row>
    <row r="605" spans="2:13" ht="25.5" x14ac:dyDescent="0.2">
      <c r="B605" s="12" t="s">
        <v>1675</v>
      </c>
      <c r="C605" s="12" t="s">
        <v>1676</v>
      </c>
      <c r="D605" s="5" t="s">
        <v>2</v>
      </c>
      <c r="E605" s="5" t="s">
        <v>1677</v>
      </c>
      <c r="F605" s="5" t="s">
        <v>53</v>
      </c>
      <c r="G605" s="5">
        <v>31.43</v>
      </c>
      <c r="H605" s="6">
        <f t="shared" si="45"/>
        <v>3.1816735602927138E-2</v>
      </c>
      <c r="I605" s="6">
        <v>7.0900000000000005E-2</v>
      </c>
      <c r="J605" s="4">
        <f t="shared" si="46"/>
        <v>558</v>
      </c>
      <c r="K605" s="4">
        <f t="shared" si="47"/>
        <v>568</v>
      </c>
      <c r="L605" s="4">
        <f t="shared" si="48"/>
        <v>1126</v>
      </c>
      <c r="M605" s="4">
        <f t="shared" si="49"/>
        <v>602</v>
      </c>
    </row>
    <row r="606" spans="2:13" ht="25.5" x14ac:dyDescent="0.2">
      <c r="B606" s="12" t="s">
        <v>1875</v>
      </c>
      <c r="C606" s="12" t="s">
        <v>1876</v>
      </c>
      <c r="D606" s="5" t="s">
        <v>2</v>
      </c>
      <c r="E606" s="5" t="s">
        <v>1877</v>
      </c>
      <c r="F606" s="5" t="s">
        <v>87</v>
      </c>
      <c r="G606" s="5">
        <v>43.24</v>
      </c>
      <c r="H606" s="6">
        <f t="shared" si="45"/>
        <v>2.3126734505087881E-2</v>
      </c>
      <c r="I606" s="6">
        <v>0.09</v>
      </c>
      <c r="J606" s="4">
        <f t="shared" si="46"/>
        <v>625</v>
      </c>
      <c r="K606" s="4">
        <f t="shared" si="47"/>
        <v>501</v>
      </c>
      <c r="L606" s="4">
        <f t="shared" si="48"/>
        <v>1126</v>
      </c>
      <c r="M606" s="4">
        <f t="shared" si="49"/>
        <v>602</v>
      </c>
    </row>
    <row r="607" spans="2:13" x14ac:dyDescent="0.2">
      <c r="B607" s="12" t="s">
        <v>1600</v>
      </c>
      <c r="C607" s="12" t="s">
        <v>1601</v>
      </c>
      <c r="D607" s="5" t="s">
        <v>2</v>
      </c>
      <c r="E607" s="5" t="s">
        <v>1602</v>
      </c>
      <c r="F607" s="5"/>
      <c r="G607" s="5">
        <v>29.09</v>
      </c>
      <c r="H607" s="6">
        <f t="shared" si="45"/>
        <v>3.4376074252320386E-2</v>
      </c>
      <c r="I607" s="6">
        <v>6.4199999999999993E-2</v>
      </c>
      <c r="J607" s="4">
        <f t="shared" si="46"/>
        <v>533</v>
      </c>
      <c r="K607" s="4">
        <f t="shared" si="47"/>
        <v>597</v>
      </c>
      <c r="L607" s="4">
        <f t="shared" si="48"/>
        <v>1130</v>
      </c>
      <c r="M607" s="4">
        <f t="shared" si="49"/>
        <v>605</v>
      </c>
    </row>
    <row r="608" spans="2:13" x14ac:dyDescent="0.2">
      <c r="B608" s="12" t="s">
        <v>1690</v>
      </c>
      <c r="C608" s="12" t="s">
        <v>1691</v>
      </c>
      <c r="D608" s="5" t="s">
        <v>2</v>
      </c>
      <c r="E608" s="5" t="s">
        <v>1692</v>
      </c>
      <c r="F608" s="5"/>
      <c r="G608" s="5">
        <v>31.81</v>
      </c>
      <c r="H608" s="6">
        <f t="shared" si="45"/>
        <v>3.1436655139893119E-2</v>
      </c>
      <c r="I608" s="6">
        <v>7.1199999999999999E-2</v>
      </c>
      <c r="J608" s="4">
        <f t="shared" si="46"/>
        <v>563</v>
      </c>
      <c r="K608" s="4">
        <f t="shared" si="47"/>
        <v>567</v>
      </c>
      <c r="L608" s="4">
        <f t="shared" si="48"/>
        <v>1130</v>
      </c>
      <c r="M608" s="4">
        <f t="shared" si="49"/>
        <v>605</v>
      </c>
    </row>
    <row r="609" spans="2:13" x14ac:dyDescent="0.2">
      <c r="B609" s="12" t="s">
        <v>1684</v>
      </c>
      <c r="C609" s="12" t="s">
        <v>1685</v>
      </c>
      <c r="D609" s="5" t="s">
        <v>2</v>
      </c>
      <c r="E609" s="5" t="s">
        <v>1686</v>
      </c>
      <c r="F609" s="5"/>
      <c r="G609" s="5">
        <v>31.64</v>
      </c>
      <c r="H609" s="6">
        <f t="shared" si="45"/>
        <v>3.1605562579013903E-2</v>
      </c>
      <c r="I609" s="6">
        <v>7.0800000000000002E-2</v>
      </c>
      <c r="J609" s="4">
        <f t="shared" si="46"/>
        <v>561</v>
      </c>
      <c r="K609" s="4">
        <f t="shared" si="47"/>
        <v>570</v>
      </c>
      <c r="L609" s="4">
        <f t="shared" si="48"/>
        <v>1131</v>
      </c>
      <c r="M609" s="4">
        <f t="shared" si="49"/>
        <v>607</v>
      </c>
    </row>
    <row r="610" spans="2:13" ht="25.5" x14ac:dyDescent="0.2">
      <c r="B610" s="12" t="s">
        <v>1564</v>
      </c>
      <c r="C610" s="12" t="s">
        <v>1565</v>
      </c>
      <c r="D610" s="5" t="s">
        <v>2</v>
      </c>
      <c r="E610" s="5" t="s">
        <v>1566</v>
      </c>
      <c r="F610" s="5" t="s">
        <v>53</v>
      </c>
      <c r="G610" s="5">
        <v>28.42</v>
      </c>
      <c r="H610" s="6">
        <f t="shared" si="45"/>
        <v>3.5186488388458829E-2</v>
      </c>
      <c r="I610" s="6">
        <v>5.6599999999999998E-2</v>
      </c>
      <c r="J610" s="4">
        <f t="shared" si="46"/>
        <v>521</v>
      </c>
      <c r="K610" s="4">
        <f t="shared" si="47"/>
        <v>613</v>
      </c>
      <c r="L610" s="4">
        <f t="shared" si="48"/>
        <v>1134</v>
      </c>
      <c r="M610" s="4">
        <f t="shared" si="49"/>
        <v>608</v>
      </c>
    </row>
    <row r="611" spans="2:13" ht="25.5" x14ac:dyDescent="0.2">
      <c r="B611" s="12" t="s">
        <v>2054</v>
      </c>
      <c r="C611" s="12" t="s">
        <v>2055</v>
      </c>
      <c r="D611" s="5" t="s">
        <v>2</v>
      </c>
      <c r="E611" s="5" t="s">
        <v>2056</v>
      </c>
      <c r="F611" s="5" t="s">
        <v>87</v>
      </c>
      <c r="G611" s="5">
        <v>73.260000000000005</v>
      </c>
      <c r="H611" s="6">
        <f t="shared" si="45"/>
        <v>1.365001365001365E-2</v>
      </c>
      <c r="I611" s="6">
        <v>0.1022</v>
      </c>
      <c r="J611" s="4">
        <f t="shared" si="46"/>
        <v>685</v>
      </c>
      <c r="K611" s="4">
        <f t="shared" si="47"/>
        <v>452</v>
      </c>
      <c r="L611" s="4">
        <f t="shared" si="48"/>
        <v>1137</v>
      </c>
      <c r="M611" s="4">
        <f t="shared" si="49"/>
        <v>609</v>
      </c>
    </row>
    <row r="612" spans="2:13" x14ac:dyDescent="0.2">
      <c r="B612" s="12" t="s">
        <v>1813</v>
      </c>
      <c r="C612" s="12" t="s">
        <v>1814</v>
      </c>
      <c r="D612" s="5" t="s">
        <v>2</v>
      </c>
      <c r="E612" s="5" t="s">
        <v>1815</v>
      </c>
      <c r="F612" s="5" t="s">
        <v>4</v>
      </c>
      <c r="G612" s="5">
        <v>39.270000000000003</v>
      </c>
      <c r="H612" s="6">
        <f t="shared" si="45"/>
        <v>2.5464731347084286E-2</v>
      </c>
      <c r="I612" s="6">
        <v>8.1600000000000006E-2</v>
      </c>
      <c r="J612" s="4">
        <f t="shared" si="46"/>
        <v>604</v>
      </c>
      <c r="K612" s="4">
        <f t="shared" si="47"/>
        <v>535</v>
      </c>
      <c r="L612" s="4">
        <f t="shared" si="48"/>
        <v>1139</v>
      </c>
      <c r="M612" s="4">
        <f t="shared" si="49"/>
        <v>610</v>
      </c>
    </row>
    <row r="613" spans="2:13" x14ac:dyDescent="0.2">
      <c r="B613" s="12" t="s">
        <v>1822</v>
      </c>
      <c r="C613" s="12" t="s">
        <v>1823</v>
      </c>
      <c r="D613" s="5" t="s">
        <v>2</v>
      </c>
      <c r="E613" s="5" t="s">
        <v>1824</v>
      </c>
      <c r="F613" s="5" t="s">
        <v>28</v>
      </c>
      <c r="G613" s="5">
        <v>39.64</v>
      </c>
      <c r="H613" s="6">
        <f t="shared" si="45"/>
        <v>2.5227043390514632E-2</v>
      </c>
      <c r="I613" s="6">
        <v>8.2000000000000003E-2</v>
      </c>
      <c r="J613" s="4">
        <f t="shared" si="46"/>
        <v>607</v>
      </c>
      <c r="K613" s="4">
        <f t="shared" si="47"/>
        <v>533</v>
      </c>
      <c r="L613" s="4">
        <f t="shared" si="48"/>
        <v>1140</v>
      </c>
      <c r="M613" s="4">
        <f t="shared" si="49"/>
        <v>611</v>
      </c>
    </row>
    <row r="614" spans="2:13" x14ac:dyDescent="0.2">
      <c r="B614" s="12" t="s">
        <v>1510</v>
      </c>
      <c r="C614" s="12" t="s">
        <v>1511</v>
      </c>
      <c r="D614" s="5" t="s">
        <v>2</v>
      </c>
      <c r="E614" s="5" t="s">
        <v>1512</v>
      </c>
      <c r="F614" s="5" t="s">
        <v>91</v>
      </c>
      <c r="G614" s="5">
        <v>27.15</v>
      </c>
      <c r="H614" s="6">
        <f t="shared" si="45"/>
        <v>3.6832412523020261E-2</v>
      </c>
      <c r="I614" s="6">
        <v>4.7100000000000003E-2</v>
      </c>
      <c r="J614" s="4">
        <f t="shared" si="46"/>
        <v>503</v>
      </c>
      <c r="K614" s="4">
        <f t="shared" si="47"/>
        <v>644</v>
      </c>
      <c r="L614" s="4">
        <f t="shared" si="48"/>
        <v>1147</v>
      </c>
      <c r="M614" s="4">
        <f t="shared" si="49"/>
        <v>612</v>
      </c>
    </row>
    <row r="615" spans="2:13" x14ac:dyDescent="0.2">
      <c r="B615" s="12" t="s">
        <v>1570</v>
      </c>
      <c r="C615" s="12" t="s">
        <v>1571</v>
      </c>
      <c r="D615" s="5" t="s">
        <v>2</v>
      </c>
      <c r="E615" s="5" t="s">
        <v>1572</v>
      </c>
      <c r="F615" s="5" t="s">
        <v>28</v>
      </c>
      <c r="G615" s="5">
        <v>28.49</v>
      </c>
      <c r="H615" s="6">
        <f t="shared" si="45"/>
        <v>3.51000351000351E-2</v>
      </c>
      <c r="I615" s="6">
        <v>5.3699999999999998E-2</v>
      </c>
      <c r="J615" s="4">
        <f t="shared" si="46"/>
        <v>523</v>
      </c>
      <c r="K615" s="4">
        <f t="shared" si="47"/>
        <v>624</v>
      </c>
      <c r="L615" s="4">
        <f t="shared" si="48"/>
        <v>1147</v>
      </c>
      <c r="M615" s="4">
        <f t="shared" si="49"/>
        <v>612</v>
      </c>
    </row>
    <row r="616" spans="2:13" x14ac:dyDescent="0.2">
      <c r="B616" s="12" t="s">
        <v>1645</v>
      </c>
      <c r="C616" s="12" t="s">
        <v>1646</v>
      </c>
      <c r="D616" s="5" t="s">
        <v>2</v>
      </c>
      <c r="E616" s="5" t="s">
        <v>1647</v>
      </c>
      <c r="F616" s="5" t="s">
        <v>4</v>
      </c>
      <c r="G616" s="5">
        <v>30.68</v>
      </c>
      <c r="H616" s="6">
        <f t="shared" si="45"/>
        <v>3.259452411994785E-2</v>
      </c>
      <c r="I616" s="6">
        <v>6.2E-2</v>
      </c>
      <c r="J616" s="4">
        <f t="shared" si="46"/>
        <v>548</v>
      </c>
      <c r="K616" s="4">
        <f t="shared" si="47"/>
        <v>600</v>
      </c>
      <c r="L616" s="4">
        <f t="shared" si="48"/>
        <v>1148</v>
      </c>
      <c r="M616" s="4">
        <f t="shared" si="49"/>
        <v>614</v>
      </c>
    </row>
    <row r="617" spans="2:13" x14ac:dyDescent="0.2">
      <c r="B617" s="12" t="s">
        <v>2078</v>
      </c>
      <c r="C617" s="12" t="s">
        <v>2079</v>
      </c>
      <c r="D617" s="5" t="s">
        <v>2</v>
      </c>
      <c r="E617" s="5" t="s">
        <v>2080</v>
      </c>
      <c r="F617" s="5" t="s">
        <v>4</v>
      </c>
      <c r="G617" s="5">
        <v>92.31</v>
      </c>
      <c r="H617" s="6">
        <f t="shared" si="45"/>
        <v>1.0833062506770665E-2</v>
      </c>
      <c r="I617" s="6">
        <v>0.1014</v>
      </c>
      <c r="J617" s="4">
        <f t="shared" si="46"/>
        <v>693</v>
      </c>
      <c r="K617" s="4">
        <f t="shared" si="47"/>
        <v>458</v>
      </c>
      <c r="L617" s="4">
        <f t="shared" si="48"/>
        <v>1151</v>
      </c>
      <c r="M617" s="4">
        <f t="shared" si="49"/>
        <v>615</v>
      </c>
    </row>
    <row r="618" spans="2:13" x14ac:dyDescent="0.2">
      <c r="B618" s="12" t="s">
        <v>1477</v>
      </c>
      <c r="C618" s="12" t="s">
        <v>1478</v>
      </c>
      <c r="D618" s="5" t="s">
        <v>2</v>
      </c>
      <c r="E618" s="5" t="s">
        <v>1479</v>
      </c>
      <c r="F618" s="5" t="s">
        <v>28</v>
      </c>
      <c r="G618" s="5">
        <v>26.49</v>
      </c>
      <c r="H618" s="6">
        <f t="shared" si="45"/>
        <v>3.7750094375235937E-2</v>
      </c>
      <c r="I618" s="6">
        <v>4.07E-2</v>
      </c>
      <c r="J618" s="4">
        <f t="shared" si="46"/>
        <v>492</v>
      </c>
      <c r="K618" s="4">
        <f t="shared" si="47"/>
        <v>660</v>
      </c>
      <c r="L618" s="4">
        <f t="shared" si="48"/>
        <v>1152</v>
      </c>
      <c r="M618" s="4">
        <f t="shared" si="49"/>
        <v>616</v>
      </c>
    </row>
    <row r="619" spans="2:13" x14ac:dyDescent="0.2">
      <c r="B619" s="12" t="s">
        <v>1534</v>
      </c>
      <c r="C619" s="12" t="s">
        <v>1535</v>
      </c>
      <c r="D619" s="5" t="s">
        <v>2</v>
      </c>
      <c r="E619" s="5" t="s">
        <v>1536</v>
      </c>
      <c r="F619" s="5" t="s">
        <v>18</v>
      </c>
      <c r="G619" s="5">
        <v>27.5</v>
      </c>
      <c r="H619" s="6">
        <f t="shared" si="45"/>
        <v>3.6363636363636362E-2</v>
      </c>
      <c r="I619" s="6">
        <v>4.7300000000000002E-2</v>
      </c>
      <c r="J619" s="4">
        <f t="shared" si="46"/>
        <v>510</v>
      </c>
      <c r="K619" s="4">
        <f t="shared" si="47"/>
        <v>643</v>
      </c>
      <c r="L619" s="4">
        <f t="shared" si="48"/>
        <v>1153</v>
      </c>
      <c r="M619" s="4">
        <f t="shared" si="49"/>
        <v>617</v>
      </c>
    </row>
    <row r="620" spans="2:13" ht="25.5" x14ac:dyDescent="0.2">
      <c r="B620" s="12" t="s">
        <v>1696</v>
      </c>
      <c r="C620" s="12" t="s">
        <v>1697</v>
      </c>
      <c r="D620" s="5" t="s">
        <v>2</v>
      </c>
      <c r="E620" s="5" t="s">
        <v>1698</v>
      </c>
      <c r="F620" s="5" t="s">
        <v>87</v>
      </c>
      <c r="G620" s="5">
        <v>32.06</v>
      </c>
      <c r="H620" s="6">
        <f t="shared" si="45"/>
        <v>3.119151590767311E-2</v>
      </c>
      <c r="I620" s="6">
        <v>6.5100000000000005E-2</v>
      </c>
      <c r="J620" s="4">
        <f t="shared" si="46"/>
        <v>565</v>
      </c>
      <c r="K620" s="4">
        <f t="shared" si="47"/>
        <v>592</v>
      </c>
      <c r="L620" s="4">
        <f t="shared" si="48"/>
        <v>1157</v>
      </c>
      <c r="M620" s="4">
        <f t="shared" si="49"/>
        <v>618</v>
      </c>
    </row>
    <row r="621" spans="2:13" ht="25.5" x14ac:dyDescent="0.2">
      <c r="B621" s="12" t="s">
        <v>1513</v>
      </c>
      <c r="C621" s="12" t="s">
        <v>1514</v>
      </c>
      <c r="D621" s="5" t="s">
        <v>2</v>
      </c>
      <c r="E621" s="5" t="s">
        <v>1515</v>
      </c>
      <c r="F621" s="5" t="s">
        <v>122</v>
      </c>
      <c r="G621" s="5">
        <v>27.15</v>
      </c>
      <c r="H621" s="6">
        <f t="shared" si="45"/>
        <v>3.6832412523020261E-2</v>
      </c>
      <c r="I621" s="6">
        <v>4.07E-2</v>
      </c>
      <c r="J621" s="4">
        <f t="shared" si="46"/>
        <v>503</v>
      </c>
      <c r="K621" s="4">
        <f t="shared" si="47"/>
        <v>660</v>
      </c>
      <c r="L621" s="4">
        <f t="shared" si="48"/>
        <v>1163</v>
      </c>
      <c r="M621" s="4">
        <f t="shared" si="49"/>
        <v>619</v>
      </c>
    </row>
    <row r="622" spans="2:13" x14ac:dyDescent="0.2">
      <c r="B622" s="12" t="s">
        <v>1546</v>
      </c>
      <c r="C622" s="12" t="s">
        <v>1547</v>
      </c>
      <c r="D622" s="5" t="s">
        <v>2</v>
      </c>
      <c r="E622" s="5" t="s">
        <v>1548</v>
      </c>
      <c r="F622" s="5" t="s">
        <v>28</v>
      </c>
      <c r="G622" s="5">
        <v>27.82</v>
      </c>
      <c r="H622" s="6">
        <f t="shared" si="45"/>
        <v>3.5945363048166784E-2</v>
      </c>
      <c r="I622" s="6">
        <v>4.5400000000000003E-2</v>
      </c>
      <c r="J622" s="4">
        <f t="shared" si="46"/>
        <v>515</v>
      </c>
      <c r="K622" s="4">
        <f t="shared" si="47"/>
        <v>650</v>
      </c>
      <c r="L622" s="4">
        <f t="shared" si="48"/>
        <v>1165</v>
      </c>
      <c r="M622" s="4">
        <f t="shared" si="49"/>
        <v>620</v>
      </c>
    </row>
    <row r="623" spans="2:13" x14ac:dyDescent="0.2">
      <c r="B623" s="12" t="s">
        <v>2015</v>
      </c>
      <c r="C623" s="12" t="s">
        <v>2016</v>
      </c>
      <c r="D623" s="5" t="s">
        <v>2</v>
      </c>
      <c r="E623" s="5" t="s">
        <v>2017</v>
      </c>
      <c r="F623" s="5" t="s">
        <v>4</v>
      </c>
      <c r="G623" s="5">
        <v>61.23</v>
      </c>
      <c r="H623" s="6">
        <f t="shared" si="45"/>
        <v>1.6331863465621429E-2</v>
      </c>
      <c r="I623" s="6">
        <v>9.0800000000000006E-2</v>
      </c>
      <c r="J623" s="4">
        <f t="shared" si="46"/>
        <v>672</v>
      </c>
      <c r="K623" s="4">
        <f t="shared" si="47"/>
        <v>494</v>
      </c>
      <c r="L623" s="4">
        <f t="shared" si="48"/>
        <v>1166</v>
      </c>
      <c r="M623" s="4">
        <f t="shared" si="49"/>
        <v>621</v>
      </c>
    </row>
    <row r="624" spans="2:13" ht="25.5" x14ac:dyDescent="0.2">
      <c r="B624" s="12" t="s">
        <v>1621</v>
      </c>
      <c r="C624" s="12" t="s">
        <v>1622</v>
      </c>
      <c r="D624" s="5" t="s">
        <v>2</v>
      </c>
      <c r="E624" s="5" t="s">
        <v>1623</v>
      </c>
      <c r="F624" s="5" t="s">
        <v>53</v>
      </c>
      <c r="G624" s="5">
        <v>29.44</v>
      </c>
      <c r="H624" s="6">
        <f t="shared" si="45"/>
        <v>3.3967391304347824E-2</v>
      </c>
      <c r="I624" s="6">
        <v>5.1200000000000002E-2</v>
      </c>
      <c r="J624" s="4">
        <f t="shared" si="46"/>
        <v>540</v>
      </c>
      <c r="K624" s="4">
        <f t="shared" si="47"/>
        <v>631</v>
      </c>
      <c r="L624" s="4">
        <f t="shared" si="48"/>
        <v>1171</v>
      </c>
      <c r="M624" s="4">
        <f t="shared" si="49"/>
        <v>622</v>
      </c>
    </row>
    <row r="625" spans="2:13" x14ac:dyDescent="0.2">
      <c r="B625" s="12" t="s">
        <v>1654</v>
      </c>
      <c r="C625" s="12" t="s">
        <v>1655</v>
      </c>
      <c r="D625" s="5" t="s">
        <v>2</v>
      </c>
      <c r="E625" s="5" t="s">
        <v>1656</v>
      </c>
      <c r="F625" s="5" t="s">
        <v>28</v>
      </c>
      <c r="G625" s="5">
        <v>30.87</v>
      </c>
      <c r="H625" s="6">
        <f t="shared" si="45"/>
        <v>3.2393909944930355E-2</v>
      </c>
      <c r="I625" s="6">
        <v>5.11E-2</v>
      </c>
      <c r="J625" s="4">
        <f t="shared" si="46"/>
        <v>551</v>
      </c>
      <c r="K625" s="4">
        <f t="shared" si="47"/>
        <v>633</v>
      </c>
      <c r="L625" s="4">
        <f t="shared" si="48"/>
        <v>1184</v>
      </c>
      <c r="M625" s="4">
        <f t="shared" si="49"/>
        <v>623</v>
      </c>
    </row>
    <row r="626" spans="2:13" x14ac:dyDescent="0.2">
      <c r="B626" s="12" t="s">
        <v>1648</v>
      </c>
      <c r="C626" s="12" t="s">
        <v>1649</v>
      </c>
      <c r="D626" s="5" t="s">
        <v>2</v>
      </c>
      <c r="E626" s="5" t="s">
        <v>1650</v>
      </c>
      <c r="F626" s="5" t="s">
        <v>4</v>
      </c>
      <c r="G626" s="5">
        <v>30.72</v>
      </c>
      <c r="H626" s="6">
        <f t="shared" si="45"/>
        <v>3.2552083333333336E-2</v>
      </c>
      <c r="I626" s="6">
        <v>5.0200000000000002E-2</v>
      </c>
      <c r="J626" s="4">
        <f t="shared" si="46"/>
        <v>549</v>
      </c>
      <c r="K626" s="4">
        <f t="shared" si="47"/>
        <v>636</v>
      </c>
      <c r="L626" s="4">
        <f t="shared" si="48"/>
        <v>1185</v>
      </c>
      <c r="M626" s="4">
        <f t="shared" si="49"/>
        <v>624</v>
      </c>
    </row>
    <row r="627" spans="2:13" ht="25.5" x14ac:dyDescent="0.2">
      <c r="B627" s="12" t="s">
        <v>1807</v>
      </c>
      <c r="C627" s="12" t="s">
        <v>1808</v>
      </c>
      <c r="D627" s="5" t="s">
        <v>2</v>
      </c>
      <c r="E627" s="5" t="s">
        <v>1809</v>
      </c>
      <c r="F627" s="5" t="s">
        <v>87</v>
      </c>
      <c r="G627" s="5">
        <v>38.590000000000003</v>
      </c>
      <c r="H627" s="6">
        <f t="shared" si="45"/>
        <v>2.5913449080072554E-2</v>
      </c>
      <c r="I627" s="6">
        <v>6.6600000000000006E-2</v>
      </c>
      <c r="J627" s="4">
        <f t="shared" si="46"/>
        <v>602</v>
      </c>
      <c r="K627" s="4">
        <f t="shared" si="47"/>
        <v>584</v>
      </c>
      <c r="L627" s="4">
        <f t="shared" si="48"/>
        <v>1186</v>
      </c>
      <c r="M627" s="4">
        <f t="shared" si="49"/>
        <v>625</v>
      </c>
    </row>
    <row r="628" spans="2:13" x14ac:dyDescent="0.2">
      <c r="B628" s="12" t="s">
        <v>1843</v>
      </c>
      <c r="C628" s="12" t="s">
        <v>1844</v>
      </c>
      <c r="D628" s="5" t="s">
        <v>2</v>
      </c>
      <c r="E628" s="5" t="s">
        <v>1845</v>
      </c>
      <c r="F628" s="5" t="s">
        <v>4</v>
      </c>
      <c r="G628" s="5">
        <v>41.62</v>
      </c>
      <c r="H628" s="6">
        <f t="shared" si="45"/>
        <v>2.4026910139356081E-2</v>
      </c>
      <c r="I628" s="6">
        <v>6.8199999999999997E-2</v>
      </c>
      <c r="J628" s="4">
        <f t="shared" si="46"/>
        <v>614</v>
      </c>
      <c r="K628" s="4">
        <f t="shared" si="47"/>
        <v>581</v>
      </c>
      <c r="L628" s="4">
        <f t="shared" si="48"/>
        <v>1195</v>
      </c>
      <c r="M628" s="4">
        <f t="shared" si="49"/>
        <v>626</v>
      </c>
    </row>
    <row r="629" spans="2:13" x14ac:dyDescent="0.2">
      <c r="B629" s="12" t="s">
        <v>1777</v>
      </c>
      <c r="C629" s="12" t="s">
        <v>1778</v>
      </c>
      <c r="D629" s="5" t="s">
        <v>2</v>
      </c>
      <c r="E629" s="5" t="s">
        <v>1779</v>
      </c>
      <c r="F629" s="5" t="s">
        <v>28</v>
      </c>
      <c r="G629" s="5">
        <v>36.840000000000003</v>
      </c>
      <c r="H629" s="6">
        <f t="shared" si="45"/>
        <v>2.7144408251900107E-2</v>
      </c>
      <c r="I629" s="6">
        <v>5.8299999999999998E-2</v>
      </c>
      <c r="J629" s="4">
        <f t="shared" si="46"/>
        <v>592</v>
      </c>
      <c r="K629" s="4">
        <f t="shared" si="47"/>
        <v>610</v>
      </c>
      <c r="L629" s="4">
        <f t="shared" si="48"/>
        <v>1202</v>
      </c>
      <c r="M629" s="4">
        <f t="shared" si="49"/>
        <v>627</v>
      </c>
    </row>
    <row r="630" spans="2:13" x14ac:dyDescent="0.2">
      <c r="B630" s="12" t="s">
        <v>1582</v>
      </c>
      <c r="C630" s="12" t="s">
        <v>1583</v>
      </c>
      <c r="D630" s="5" t="s">
        <v>2</v>
      </c>
      <c r="E630" s="5" t="s">
        <v>1584</v>
      </c>
      <c r="F630" s="5" t="s">
        <v>91</v>
      </c>
      <c r="G630" s="5">
        <v>28.72</v>
      </c>
      <c r="H630" s="6">
        <f t="shared" si="45"/>
        <v>3.4818941504178275E-2</v>
      </c>
      <c r="I630" s="6">
        <v>3.44E-2</v>
      </c>
      <c r="J630" s="4">
        <f t="shared" si="46"/>
        <v>527</v>
      </c>
      <c r="K630" s="4">
        <f t="shared" si="47"/>
        <v>676</v>
      </c>
      <c r="L630" s="4">
        <f t="shared" si="48"/>
        <v>1203</v>
      </c>
      <c r="M630" s="4">
        <f t="shared" si="49"/>
        <v>628</v>
      </c>
    </row>
    <row r="631" spans="2:13" ht="25.5" x14ac:dyDescent="0.2">
      <c r="B631" s="12" t="s">
        <v>1988</v>
      </c>
      <c r="C631" s="12" t="s">
        <v>1989</v>
      </c>
      <c r="D631" s="5" t="s">
        <v>2</v>
      </c>
      <c r="E631" s="5" t="s">
        <v>1990</v>
      </c>
      <c r="F631" s="5" t="s">
        <v>87</v>
      </c>
      <c r="G631" s="5">
        <v>55.52</v>
      </c>
      <c r="H631" s="6">
        <f t="shared" si="45"/>
        <v>1.8011527377521614E-2</v>
      </c>
      <c r="I631" s="6">
        <v>7.9500000000000001E-2</v>
      </c>
      <c r="J631" s="4">
        <f t="shared" si="46"/>
        <v>663</v>
      </c>
      <c r="K631" s="4">
        <f t="shared" si="47"/>
        <v>541</v>
      </c>
      <c r="L631" s="4">
        <f t="shared" si="48"/>
        <v>1204</v>
      </c>
      <c r="M631" s="4">
        <f t="shared" si="49"/>
        <v>629</v>
      </c>
    </row>
    <row r="632" spans="2:13" ht="25.5" x14ac:dyDescent="0.2">
      <c r="B632" s="12" t="s">
        <v>1934</v>
      </c>
      <c r="C632" s="12" t="s">
        <v>1935</v>
      </c>
      <c r="D632" s="5" t="s">
        <v>2</v>
      </c>
      <c r="E632" s="5" t="s">
        <v>1936</v>
      </c>
      <c r="F632" s="5" t="s">
        <v>87</v>
      </c>
      <c r="G632" s="5">
        <v>46.57</v>
      </c>
      <c r="H632" s="6">
        <f t="shared" si="45"/>
        <v>2.1473051320592657E-2</v>
      </c>
      <c r="I632" s="6">
        <v>7.4999999999999997E-2</v>
      </c>
      <c r="J632" s="4">
        <f t="shared" si="46"/>
        <v>645</v>
      </c>
      <c r="K632" s="4">
        <f t="shared" si="47"/>
        <v>560</v>
      </c>
      <c r="L632" s="4">
        <f t="shared" si="48"/>
        <v>1205</v>
      </c>
      <c r="M632" s="4">
        <f t="shared" si="49"/>
        <v>630</v>
      </c>
    </row>
    <row r="633" spans="2:13" x14ac:dyDescent="0.2">
      <c r="B633" s="12" t="s">
        <v>1636</v>
      </c>
      <c r="C633" s="12" t="s">
        <v>1637</v>
      </c>
      <c r="D633" s="5" t="s">
        <v>2</v>
      </c>
      <c r="E633" s="5" t="s">
        <v>1638</v>
      </c>
      <c r="F633" s="5"/>
      <c r="G633" s="5">
        <v>30.33</v>
      </c>
      <c r="H633" s="6">
        <f t="shared" si="45"/>
        <v>3.2970656116056714E-2</v>
      </c>
      <c r="I633" s="6">
        <v>3.9600000000000003E-2</v>
      </c>
      <c r="J633" s="4">
        <f t="shared" si="46"/>
        <v>545</v>
      </c>
      <c r="K633" s="4">
        <f t="shared" si="47"/>
        <v>663</v>
      </c>
      <c r="L633" s="4">
        <f t="shared" si="48"/>
        <v>1208</v>
      </c>
      <c r="M633" s="4">
        <f t="shared" si="49"/>
        <v>631</v>
      </c>
    </row>
    <row r="634" spans="2:13" x14ac:dyDescent="0.2">
      <c r="B634" s="12" t="s">
        <v>1672</v>
      </c>
      <c r="C634" s="12" t="s">
        <v>1673</v>
      </c>
      <c r="D634" s="5" t="s">
        <v>2</v>
      </c>
      <c r="E634" s="5" t="s">
        <v>1674</v>
      </c>
      <c r="F634" s="5" t="s">
        <v>28</v>
      </c>
      <c r="G634" s="5">
        <v>31.42</v>
      </c>
      <c r="H634" s="6">
        <f t="shared" si="45"/>
        <v>3.1826861871419476E-2</v>
      </c>
      <c r="I634" s="6">
        <v>4.4900000000000002E-2</v>
      </c>
      <c r="J634" s="4">
        <f t="shared" si="46"/>
        <v>557</v>
      </c>
      <c r="K634" s="4">
        <f t="shared" si="47"/>
        <v>652</v>
      </c>
      <c r="L634" s="4">
        <f t="shared" si="48"/>
        <v>1209</v>
      </c>
      <c r="M634" s="4">
        <f t="shared" si="49"/>
        <v>632</v>
      </c>
    </row>
    <row r="635" spans="2:13" ht="25.5" x14ac:dyDescent="0.2">
      <c r="B635" s="12" t="s">
        <v>1846</v>
      </c>
      <c r="C635" s="12" t="s">
        <v>1847</v>
      </c>
      <c r="D635" s="5" t="s">
        <v>2</v>
      </c>
      <c r="E635" s="5" t="s">
        <v>1848</v>
      </c>
      <c r="F635" s="5" t="s">
        <v>53</v>
      </c>
      <c r="G635" s="5">
        <v>41.84</v>
      </c>
      <c r="H635" s="6">
        <f t="shared" si="45"/>
        <v>2.390057361376673E-2</v>
      </c>
      <c r="I635" s="6">
        <v>6.4699999999999994E-2</v>
      </c>
      <c r="J635" s="4">
        <f t="shared" si="46"/>
        <v>615</v>
      </c>
      <c r="K635" s="4">
        <f t="shared" si="47"/>
        <v>594</v>
      </c>
      <c r="L635" s="4">
        <f t="shared" si="48"/>
        <v>1209</v>
      </c>
      <c r="M635" s="4">
        <f t="shared" si="49"/>
        <v>632</v>
      </c>
    </row>
    <row r="636" spans="2:13" x14ac:dyDescent="0.2">
      <c r="B636" s="12" t="s">
        <v>1735</v>
      </c>
      <c r="C636" s="12" t="s">
        <v>1736</v>
      </c>
      <c r="D636" s="5" t="s">
        <v>2</v>
      </c>
      <c r="E636" s="5" t="s">
        <v>1737</v>
      </c>
      <c r="F636" s="5"/>
      <c r="G636" s="5">
        <v>34.19</v>
      </c>
      <c r="H636" s="6">
        <f t="shared" si="45"/>
        <v>2.9248318221702253E-2</v>
      </c>
      <c r="I636" s="6">
        <v>5.0599999999999999E-2</v>
      </c>
      <c r="J636" s="4">
        <f t="shared" si="46"/>
        <v>578</v>
      </c>
      <c r="K636" s="4">
        <f t="shared" si="47"/>
        <v>635</v>
      </c>
      <c r="L636" s="4">
        <f t="shared" si="48"/>
        <v>1213</v>
      </c>
      <c r="M636" s="4">
        <f t="shared" si="49"/>
        <v>634</v>
      </c>
    </row>
    <row r="637" spans="2:13" x14ac:dyDescent="0.2">
      <c r="B637" s="12" t="s">
        <v>1955</v>
      </c>
      <c r="C637" s="12" t="s">
        <v>1956</v>
      </c>
      <c r="D637" s="5" t="s">
        <v>2</v>
      </c>
      <c r="E637" s="5" t="s">
        <v>1957</v>
      </c>
      <c r="F637" s="5" t="s">
        <v>91</v>
      </c>
      <c r="G637" s="5">
        <v>49.32</v>
      </c>
      <c r="H637" s="6">
        <f t="shared" si="45"/>
        <v>2.02757502027575E-2</v>
      </c>
      <c r="I637" s="6">
        <v>7.0300000000000001E-2</v>
      </c>
      <c r="J637" s="4">
        <f t="shared" si="46"/>
        <v>652</v>
      </c>
      <c r="K637" s="4">
        <f t="shared" si="47"/>
        <v>574</v>
      </c>
      <c r="L637" s="4">
        <f t="shared" si="48"/>
        <v>1226</v>
      </c>
      <c r="M637" s="4">
        <f t="shared" si="49"/>
        <v>635</v>
      </c>
    </row>
    <row r="638" spans="2:13" ht="25.5" x14ac:dyDescent="0.2">
      <c r="B638" s="12" t="s">
        <v>2018</v>
      </c>
      <c r="C638" s="12" t="s">
        <v>2019</v>
      </c>
      <c r="D638" s="5" t="s">
        <v>2</v>
      </c>
      <c r="E638" s="5" t="s">
        <v>2020</v>
      </c>
      <c r="F638" s="5" t="s">
        <v>53</v>
      </c>
      <c r="G638" s="5">
        <v>62</v>
      </c>
      <c r="H638" s="6">
        <f t="shared" si="45"/>
        <v>1.6129032258064516E-2</v>
      </c>
      <c r="I638" s="6">
        <v>7.5800000000000006E-2</v>
      </c>
      <c r="J638" s="4">
        <f t="shared" si="46"/>
        <v>673</v>
      </c>
      <c r="K638" s="4">
        <f t="shared" si="47"/>
        <v>555</v>
      </c>
      <c r="L638" s="4">
        <f t="shared" si="48"/>
        <v>1228</v>
      </c>
      <c r="M638" s="4">
        <f t="shared" si="49"/>
        <v>636</v>
      </c>
    </row>
    <row r="639" spans="2:13" x14ac:dyDescent="0.2">
      <c r="B639" s="12" t="s">
        <v>1861</v>
      </c>
      <c r="C639" s="12" t="s">
        <v>1862</v>
      </c>
      <c r="D639" s="5" t="s">
        <v>2</v>
      </c>
      <c r="E639" s="5" t="s">
        <v>1863</v>
      </c>
      <c r="F639" s="5"/>
      <c r="G639" s="5">
        <v>42.16</v>
      </c>
      <c r="H639" s="6">
        <f t="shared" si="45"/>
        <v>2.3719165085388995E-2</v>
      </c>
      <c r="I639" s="6">
        <v>5.9700000000000003E-2</v>
      </c>
      <c r="J639" s="4">
        <f t="shared" si="46"/>
        <v>620</v>
      </c>
      <c r="K639" s="4">
        <f t="shared" si="47"/>
        <v>609</v>
      </c>
      <c r="L639" s="4">
        <f t="shared" si="48"/>
        <v>1229</v>
      </c>
      <c r="M639" s="4">
        <f t="shared" si="49"/>
        <v>637</v>
      </c>
    </row>
    <row r="640" spans="2:13" x14ac:dyDescent="0.2">
      <c r="B640" s="12" t="s">
        <v>1732</v>
      </c>
      <c r="C640" s="12" t="s">
        <v>1733</v>
      </c>
      <c r="D640" s="5" t="s">
        <v>2</v>
      </c>
      <c r="E640" s="5" t="s">
        <v>1734</v>
      </c>
      <c r="F640" s="5"/>
      <c r="G640" s="5">
        <v>33.56</v>
      </c>
      <c r="H640" s="6">
        <f t="shared" si="45"/>
        <v>2.9797377830750892E-2</v>
      </c>
      <c r="I640" s="6">
        <v>4.36E-2</v>
      </c>
      <c r="J640" s="4">
        <f t="shared" si="46"/>
        <v>577</v>
      </c>
      <c r="K640" s="4">
        <f t="shared" si="47"/>
        <v>655</v>
      </c>
      <c r="L640" s="4">
        <f t="shared" si="48"/>
        <v>1232</v>
      </c>
      <c r="M640" s="4">
        <f t="shared" si="49"/>
        <v>638</v>
      </c>
    </row>
    <row r="641" spans="2:13" x14ac:dyDescent="0.2">
      <c r="B641" s="12" t="s">
        <v>1878</v>
      </c>
      <c r="C641" s="12" t="s">
        <v>1879</v>
      </c>
      <c r="D641" s="5" t="s">
        <v>2</v>
      </c>
      <c r="E641" s="5" t="s">
        <v>1880</v>
      </c>
      <c r="F641" s="5" t="s">
        <v>28</v>
      </c>
      <c r="G641" s="5">
        <v>43.6</v>
      </c>
      <c r="H641" s="6">
        <f t="shared" si="45"/>
        <v>2.2935779816513759E-2</v>
      </c>
      <c r="I641" s="6">
        <v>6.08E-2</v>
      </c>
      <c r="J641" s="4">
        <f t="shared" si="46"/>
        <v>626</v>
      </c>
      <c r="K641" s="4">
        <f t="shared" si="47"/>
        <v>606</v>
      </c>
      <c r="L641" s="4">
        <f t="shared" si="48"/>
        <v>1232</v>
      </c>
      <c r="M641" s="4">
        <f t="shared" si="49"/>
        <v>638</v>
      </c>
    </row>
    <row r="642" spans="2:13" x14ac:dyDescent="0.2">
      <c r="B642" s="12" t="s">
        <v>1792</v>
      </c>
      <c r="C642" s="12" t="s">
        <v>1793</v>
      </c>
      <c r="D642" s="5" t="s">
        <v>2</v>
      </c>
      <c r="E642" s="5" t="s">
        <v>1794</v>
      </c>
      <c r="F642" s="5"/>
      <c r="G642" s="5">
        <v>37.770000000000003</v>
      </c>
      <c r="H642" s="6">
        <f t="shared" si="45"/>
        <v>2.6476039184537992E-2</v>
      </c>
      <c r="I642" s="6">
        <v>5.0200000000000002E-2</v>
      </c>
      <c r="J642" s="4">
        <f t="shared" si="46"/>
        <v>597</v>
      </c>
      <c r="K642" s="4">
        <f t="shared" si="47"/>
        <v>636</v>
      </c>
      <c r="L642" s="4">
        <f t="shared" si="48"/>
        <v>1233</v>
      </c>
      <c r="M642" s="4">
        <f t="shared" si="49"/>
        <v>640</v>
      </c>
    </row>
    <row r="643" spans="2:13" ht="25.5" x14ac:dyDescent="0.2">
      <c r="B643" s="12" t="s">
        <v>2027</v>
      </c>
      <c r="C643" s="12" t="s">
        <v>2028</v>
      </c>
      <c r="D643" s="5" t="s">
        <v>2</v>
      </c>
      <c r="E643" s="5" t="s">
        <v>2029</v>
      </c>
      <c r="F643" s="5" t="s">
        <v>53</v>
      </c>
      <c r="G643" s="5">
        <v>63.78</v>
      </c>
      <c r="H643" s="6">
        <f t="shared" ref="H643:H706" si="50">1/G643</f>
        <v>1.5678896205707119E-2</v>
      </c>
      <c r="I643" s="6">
        <v>7.4399999999999994E-2</v>
      </c>
      <c r="J643" s="4">
        <f t="shared" ref="J643:J706" si="51">+_xlfn.RANK.EQ(H643,H:H,0)</f>
        <v>676</v>
      </c>
      <c r="K643" s="4">
        <f t="shared" ref="K643:K706" si="52">+_xlfn.RANK.EQ(I643,I:I,0)</f>
        <v>561</v>
      </c>
      <c r="L643" s="4">
        <f t="shared" ref="L643:L706" si="53">+J643+K643</f>
        <v>1237</v>
      </c>
      <c r="M643" s="4">
        <f t="shared" ref="M643:M706" si="54">+_xlfn.RANK.EQ(L643,L:L,1)</f>
        <v>641</v>
      </c>
    </row>
    <row r="644" spans="2:13" x14ac:dyDescent="0.2">
      <c r="B644" s="12" t="s">
        <v>1762</v>
      </c>
      <c r="C644" s="12" t="s">
        <v>1763</v>
      </c>
      <c r="D644" s="5" t="s">
        <v>2</v>
      </c>
      <c r="E644" s="5" t="s">
        <v>1764</v>
      </c>
      <c r="F644" s="5"/>
      <c r="G644" s="5">
        <v>35.33</v>
      </c>
      <c r="H644" s="6">
        <f t="shared" si="50"/>
        <v>2.8304557033682426E-2</v>
      </c>
      <c r="I644" s="6">
        <v>4.53E-2</v>
      </c>
      <c r="J644" s="4">
        <f t="shared" si="51"/>
        <v>587</v>
      </c>
      <c r="K644" s="4">
        <f t="shared" si="52"/>
        <v>651</v>
      </c>
      <c r="L644" s="4">
        <f t="shared" si="53"/>
        <v>1238</v>
      </c>
      <c r="M644" s="4">
        <f t="shared" si="54"/>
        <v>642</v>
      </c>
    </row>
    <row r="645" spans="2:13" x14ac:dyDescent="0.2">
      <c r="B645" s="12" t="s">
        <v>1768</v>
      </c>
      <c r="C645" s="12" t="s">
        <v>1769</v>
      </c>
      <c r="D645" s="5" t="s">
        <v>2</v>
      </c>
      <c r="E645" s="5" t="s">
        <v>1770</v>
      </c>
      <c r="F645" s="5"/>
      <c r="G645" s="5">
        <v>35.56</v>
      </c>
      <c r="H645" s="6">
        <f t="shared" si="50"/>
        <v>2.8121484814398197E-2</v>
      </c>
      <c r="I645" s="6">
        <v>4.5699999999999998E-2</v>
      </c>
      <c r="J645" s="4">
        <f t="shared" si="51"/>
        <v>589</v>
      </c>
      <c r="K645" s="4">
        <f t="shared" si="52"/>
        <v>649</v>
      </c>
      <c r="L645" s="4">
        <f t="shared" si="53"/>
        <v>1238</v>
      </c>
      <c r="M645" s="4">
        <f t="shared" si="54"/>
        <v>642</v>
      </c>
    </row>
    <row r="646" spans="2:13" ht="25.5" x14ac:dyDescent="0.2">
      <c r="B646" s="12" t="s">
        <v>2075</v>
      </c>
      <c r="C646" s="12" t="s">
        <v>2076</v>
      </c>
      <c r="D646" s="5" t="s">
        <v>2</v>
      </c>
      <c r="E646" s="5" t="s">
        <v>2077</v>
      </c>
      <c r="F646" s="5" t="s">
        <v>87</v>
      </c>
      <c r="G646" s="5">
        <v>90.76</v>
      </c>
      <c r="H646" s="6">
        <f t="shared" si="50"/>
        <v>1.1018069634200087E-2</v>
      </c>
      <c r="I646" s="6">
        <v>7.8200000000000006E-2</v>
      </c>
      <c r="J646" s="4">
        <f t="shared" si="51"/>
        <v>692</v>
      </c>
      <c r="K646" s="4">
        <f t="shared" si="52"/>
        <v>546</v>
      </c>
      <c r="L646" s="4">
        <f t="shared" si="53"/>
        <v>1238</v>
      </c>
      <c r="M646" s="4">
        <f t="shared" si="54"/>
        <v>642</v>
      </c>
    </row>
    <row r="647" spans="2:13" x14ac:dyDescent="0.2">
      <c r="B647" s="12" t="s">
        <v>1708</v>
      </c>
      <c r="C647" s="12" t="s">
        <v>1709</v>
      </c>
      <c r="D647" s="5" t="s">
        <v>2</v>
      </c>
      <c r="E647" s="5" t="s">
        <v>1710</v>
      </c>
      <c r="F647" s="5" t="s">
        <v>4</v>
      </c>
      <c r="G647" s="5">
        <v>32.32</v>
      </c>
      <c r="H647" s="6">
        <f t="shared" si="50"/>
        <v>3.094059405940594E-2</v>
      </c>
      <c r="I647" s="6">
        <v>3.5999999999999997E-2</v>
      </c>
      <c r="J647" s="4">
        <f t="shared" si="51"/>
        <v>569</v>
      </c>
      <c r="K647" s="4">
        <f t="shared" si="52"/>
        <v>670</v>
      </c>
      <c r="L647" s="4">
        <f t="shared" si="53"/>
        <v>1239</v>
      </c>
      <c r="M647" s="4">
        <f t="shared" si="54"/>
        <v>645</v>
      </c>
    </row>
    <row r="648" spans="2:13" x14ac:dyDescent="0.2">
      <c r="B648" s="12" t="s">
        <v>1795</v>
      </c>
      <c r="C648" s="12" t="s">
        <v>1796</v>
      </c>
      <c r="D648" s="5" t="s">
        <v>2</v>
      </c>
      <c r="E648" s="5" t="s">
        <v>1797</v>
      </c>
      <c r="F648" s="5"/>
      <c r="G648" s="5">
        <v>37.86</v>
      </c>
      <c r="H648" s="6">
        <f t="shared" si="50"/>
        <v>2.6413100898045432E-2</v>
      </c>
      <c r="I648" s="6">
        <v>4.7E-2</v>
      </c>
      <c r="J648" s="4">
        <f t="shared" si="51"/>
        <v>598</v>
      </c>
      <c r="K648" s="4">
        <f t="shared" si="52"/>
        <v>645</v>
      </c>
      <c r="L648" s="4">
        <f t="shared" si="53"/>
        <v>1243</v>
      </c>
      <c r="M648" s="4">
        <f t="shared" si="54"/>
        <v>646</v>
      </c>
    </row>
    <row r="649" spans="2:13" x14ac:dyDescent="0.2">
      <c r="B649" s="12" t="s">
        <v>1825</v>
      </c>
      <c r="C649" s="12" t="s">
        <v>1826</v>
      </c>
      <c r="D649" s="5" t="s">
        <v>2</v>
      </c>
      <c r="E649" s="5" t="s">
        <v>1827</v>
      </c>
      <c r="F649" s="5" t="s">
        <v>4</v>
      </c>
      <c r="G649" s="5">
        <v>39.76</v>
      </c>
      <c r="H649" s="6">
        <f t="shared" si="50"/>
        <v>2.5150905432595575E-2</v>
      </c>
      <c r="I649" s="6">
        <v>4.9399999999999999E-2</v>
      </c>
      <c r="J649" s="4">
        <f t="shared" si="51"/>
        <v>608</v>
      </c>
      <c r="K649" s="4">
        <f t="shared" si="52"/>
        <v>639</v>
      </c>
      <c r="L649" s="4">
        <f t="shared" si="53"/>
        <v>1247</v>
      </c>
      <c r="M649" s="4">
        <f t="shared" si="54"/>
        <v>647</v>
      </c>
    </row>
    <row r="650" spans="2:13" x14ac:dyDescent="0.2">
      <c r="B650" s="12" t="s">
        <v>1756</v>
      </c>
      <c r="C650" s="12" t="s">
        <v>1757</v>
      </c>
      <c r="D650" s="5" t="s">
        <v>2</v>
      </c>
      <c r="E650" s="5" t="s">
        <v>1758</v>
      </c>
      <c r="F650" s="5"/>
      <c r="G650" s="5">
        <v>35.270000000000003</v>
      </c>
      <c r="H650" s="6">
        <f t="shared" si="50"/>
        <v>2.8352707683583781E-2</v>
      </c>
      <c r="I650" s="6">
        <v>3.9E-2</v>
      </c>
      <c r="J650" s="4">
        <f t="shared" si="51"/>
        <v>585</v>
      </c>
      <c r="K650" s="4">
        <f t="shared" si="52"/>
        <v>664</v>
      </c>
      <c r="L650" s="4">
        <f t="shared" si="53"/>
        <v>1249</v>
      </c>
      <c r="M650" s="4">
        <f t="shared" si="54"/>
        <v>648</v>
      </c>
    </row>
    <row r="651" spans="2:13" ht="25.5" x14ac:dyDescent="0.2">
      <c r="B651" s="12" t="s">
        <v>1864</v>
      </c>
      <c r="C651" s="12" t="s">
        <v>1865</v>
      </c>
      <c r="D651" s="5" t="s">
        <v>2</v>
      </c>
      <c r="E651" s="5" t="s">
        <v>1300</v>
      </c>
      <c r="F651" s="5" t="s">
        <v>53</v>
      </c>
      <c r="G651" s="5">
        <v>42.64</v>
      </c>
      <c r="H651" s="6">
        <f t="shared" si="50"/>
        <v>2.3452157598499061E-2</v>
      </c>
      <c r="I651" s="6">
        <v>5.2699999999999997E-2</v>
      </c>
      <c r="J651" s="4">
        <f t="shared" si="51"/>
        <v>621</v>
      </c>
      <c r="K651" s="4">
        <f t="shared" si="52"/>
        <v>629</v>
      </c>
      <c r="L651" s="4">
        <f t="shared" si="53"/>
        <v>1250</v>
      </c>
      <c r="M651" s="4">
        <f t="shared" si="54"/>
        <v>649</v>
      </c>
    </row>
    <row r="652" spans="2:13" ht="25.5" x14ac:dyDescent="0.2">
      <c r="B652" s="12" t="s">
        <v>1890</v>
      </c>
      <c r="C652" s="12" t="s">
        <v>1891</v>
      </c>
      <c r="D652" s="5" t="s">
        <v>2</v>
      </c>
      <c r="E652" s="5" t="s">
        <v>1892</v>
      </c>
      <c r="F652" s="5" t="s">
        <v>87</v>
      </c>
      <c r="G652" s="5">
        <v>43.71</v>
      </c>
      <c r="H652" s="6">
        <f t="shared" si="50"/>
        <v>2.2878059940517045E-2</v>
      </c>
      <c r="I652" s="6">
        <v>5.5100000000000003E-2</v>
      </c>
      <c r="J652" s="4">
        <f t="shared" si="51"/>
        <v>630</v>
      </c>
      <c r="K652" s="4">
        <f t="shared" si="52"/>
        <v>620</v>
      </c>
      <c r="L652" s="4">
        <f t="shared" si="53"/>
        <v>1250</v>
      </c>
      <c r="M652" s="4">
        <f t="shared" si="54"/>
        <v>649</v>
      </c>
    </row>
    <row r="653" spans="2:13" x14ac:dyDescent="0.2">
      <c r="B653" s="12" t="s">
        <v>1747</v>
      </c>
      <c r="C653" s="12" t="s">
        <v>1748</v>
      </c>
      <c r="D653" s="5" t="s">
        <v>2</v>
      </c>
      <c r="E653" s="5" t="s">
        <v>1749</v>
      </c>
      <c r="F653" s="5"/>
      <c r="G653" s="5">
        <v>34.64</v>
      </c>
      <c r="H653" s="6">
        <f t="shared" si="50"/>
        <v>2.8868360277136258E-2</v>
      </c>
      <c r="I653" s="6">
        <v>3.44E-2</v>
      </c>
      <c r="J653" s="4">
        <f t="shared" si="51"/>
        <v>582</v>
      </c>
      <c r="K653" s="4">
        <f t="shared" si="52"/>
        <v>676</v>
      </c>
      <c r="L653" s="4">
        <f t="shared" si="53"/>
        <v>1258</v>
      </c>
      <c r="M653" s="4">
        <f t="shared" si="54"/>
        <v>651</v>
      </c>
    </row>
    <row r="654" spans="2:13" x14ac:dyDescent="0.2">
      <c r="B654" s="12" t="s">
        <v>1816</v>
      </c>
      <c r="C654" s="12" t="s">
        <v>1817</v>
      </c>
      <c r="D654" s="5" t="s">
        <v>2</v>
      </c>
      <c r="E654" s="5" t="s">
        <v>1818</v>
      </c>
      <c r="F654" s="5"/>
      <c r="G654" s="5">
        <v>39.549999999999997</v>
      </c>
      <c r="H654" s="6">
        <f t="shared" si="50"/>
        <v>2.5284450063211127E-2</v>
      </c>
      <c r="I654" s="6">
        <v>4.2799999999999998E-2</v>
      </c>
      <c r="J654" s="4">
        <f t="shared" si="51"/>
        <v>605</v>
      </c>
      <c r="K654" s="4">
        <f t="shared" si="52"/>
        <v>656</v>
      </c>
      <c r="L654" s="4">
        <f t="shared" si="53"/>
        <v>1261</v>
      </c>
      <c r="M654" s="4">
        <f t="shared" si="54"/>
        <v>652</v>
      </c>
    </row>
    <row r="655" spans="2:13" ht="25.5" x14ac:dyDescent="0.2">
      <c r="B655" s="12" t="s">
        <v>1741</v>
      </c>
      <c r="C655" s="12" t="s">
        <v>1742</v>
      </c>
      <c r="D655" s="5" t="s">
        <v>2</v>
      </c>
      <c r="E655" s="5" t="s">
        <v>1743</v>
      </c>
      <c r="F655" s="5" t="s">
        <v>122</v>
      </c>
      <c r="G655" s="5">
        <v>34.25</v>
      </c>
      <c r="H655" s="6">
        <f t="shared" si="50"/>
        <v>2.9197080291970802E-2</v>
      </c>
      <c r="I655" s="6">
        <v>2.9700000000000001E-2</v>
      </c>
      <c r="J655" s="4">
        <f t="shared" si="51"/>
        <v>580</v>
      </c>
      <c r="K655" s="4">
        <f t="shared" si="52"/>
        <v>683</v>
      </c>
      <c r="L655" s="4">
        <f t="shared" si="53"/>
        <v>1263</v>
      </c>
      <c r="M655" s="4">
        <f t="shared" si="54"/>
        <v>653</v>
      </c>
    </row>
    <row r="656" spans="2:13" x14ac:dyDescent="0.2">
      <c r="B656" s="12" t="s">
        <v>1753</v>
      </c>
      <c r="C656" s="12" t="s">
        <v>1754</v>
      </c>
      <c r="D656" s="5" t="s">
        <v>2</v>
      </c>
      <c r="E656" s="5" t="s">
        <v>1755</v>
      </c>
      <c r="F656" s="5"/>
      <c r="G656" s="5">
        <v>34.89</v>
      </c>
      <c r="H656" s="6">
        <f t="shared" si="50"/>
        <v>2.8661507595299514E-2</v>
      </c>
      <c r="I656" s="6">
        <v>3.3000000000000002E-2</v>
      </c>
      <c r="J656" s="4">
        <f t="shared" si="51"/>
        <v>584</v>
      </c>
      <c r="K656" s="4">
        <f t="shared" si="52"/>
        <v>680</v>
      </c>
      <c r="L656" s="4">
        <f t="shared" si="53"/>
        <v>1264</v>
      </c>
      <c r="M656" s="4">
        <f t="shared" si="54"/>
        <v>654</v>
      </c>
    </row>
    <row r="657" spans="2:13" x14ac:dyDescent="0.2">
      <c r="B657" s="12" t="s">
        <v>1759</v>
      </c>
      <c r="C657" s="12" t="s">
        <v>1760</v>
      </c>
      <c r="D657" s="5" t="s">
        <v>2</v>
      </c>
      <c r="E657" s="5" t="s">
        <v>1761</v>
      </c>
      <c r="F657" s="5"/>
      <c r="G657" s="5">
        <v>35.299999999999997</v>
      </c>
      <c r="H657" s="6">
        <f t="shared" si="50"/>
        <v>2.8328611898017001E-2</v>
      </c>
      <c r="I657" s="6">
        <v>3.32E-2</v>
      </c>
      <c r="J657" s="4">
        <f t="shared" si="51"/>
        <v>586</v>
      </c>
      <c r="K657" s="4">
        <f t="shared" si="52"/>
        <v>679</v>
      </c>
      <c r="L657" s="4">
        <f t="shared" si="53"/>
        <v>1265</v>
      </c>
      <c r="M657" s="4">
        <f t="shared" si="54"/>
        <v>655</v>
      </c>
    </row>
    <row r="658" spans="2:13" ht="25.5" x14ac:dyDescent="0.2">
      <c r="B658" s="12" t="s">
        <v>1872</v>
      </c>
      <c r="C658" s="12" t="s">
        <v>1873</v>
      </c>
      <c r="D658" s="5" t="s">
        <v>2</v>
      </c>
      <c r="E658" s="5" t="s">
        <v>1874</v>
      </c>
      <c r="F658" s="5" t="s">
        <v>87</v>
      </c>
      <c r="G658" s="5">
        <v>43.08</v>
      </c>
      <c r="H658" s="6">
        <f t="shared" si="50"/>
        <v>2.3212627669452184E-2</v>
      </c>
      <c r="I658" s="6">
        <v>4.7E-2</v>
      </c>
      <c r="J658" s="4">
        <f t="shared" si="51"/>
        <v>624</v>
      </c>
      <c r="K658" s="4">
        <f t="shared" si="52"/>
        <v>645</v>
      </c>
      <c r="L658" s="4">
        <f t="shared" si="53"/>
        <v>1269</v>
      </c>
      <c r="M658" s="4">
        <f t="shared" si="54"/>
        <v>656</v>
      </c>
    </row>
    <row r="659" spans="2:13" x14ac:dyDescent="0.2">
      <c r="B659" s="12" t="s">
        <v>1932</v>
      </c>
      <c r="C659" s="12" t="s">
        <v>1933</v>
      </c>
      <c r="D659" s="5" t="s">
        <v>2</v>
      </c>
      <c r="E659" s="5" t="s">
        <v>1587</v>
      </c>
      <c r="F659" s="5"/>
      <c r="G659" s="5">
        <v>46.21</v>
      </c>
      <c r="H659" s="6">
        <f t="shared" si="50"/>
        <v>2.1640337589266392E-2</v>
      </c>
      <c r="I659" s="6">
        <v>5.33E-2</v>
      </c>
      <c r="J659" s="4">
        <f t="shared" si="51"/>
        <v>643</v>
      </c>
      <c r="K659" s="4">
        <f t="shared" si="52"/>
        <v>626</v>
      </c>
      <c r="L659" s="4">
        <f t="shared" si="53"/>
        <v>1269</v>
      </c>
      <c r="M659" s="4">
        <f t="shared" si="54"/>
        <v>656</v>
      </c>
    </row>
    <row r="660" spans="2:13" ht="25.5" x14ac:dyDescent="0.2">
      <c r="B660" s="12" t="s">
        <v>2060</v>
      </c>
      <c r="C660" s="12" t="s">
        <v>2061</v>
      </c>
      <c r="D660" s="5" t="s">
        <v>2</v>
      </c>
      <c r="E660" s="5" t="s">
        <v>2062</v>
      </c>
      <c r="F660" s="5" t="s">
        <v>87</v>
      </c>
      <c r="G660" s="5">
        <v>77.59</v>
      </c>
      <c r="H660" s="6">
        <f t="shared" si="50"/>
        <v>1.2888258796236628E-2</v>
      </c>
      <c r="I660" s="6">
        <v>6.8000000000000005E-2</v>
      </c>
      <c r="J660" s="4">
        <f t="shared" si="51"/>
        <v>687</v>
      </c>
      <c r="K660" s="4">
        <f t="shared" si="52"/>
        <v>582</v>
      </c>
      <c r="L660" s="4">
        <f t="shared" si="53"/>
        <v>1269</v>
      </c>
      <c r="M660" s="4">
        <f t="shared" si="54"/>
        <v>656</v>
      </c>
    </row>
    <row r="661" spans="2:13" x14ac:dyDescent="0.2">
      <c r="B661" s="12" t="s">
        <v>1831</v>
      </c>
      <c r="C661" s="12" t="s">
        <v>1832</v>
      </c>
      <c r="D661" s="5" t="s">
        <v>2</v>
      </c>
      <c r="E661" s="5" t="s">
        <v>1833</v>
      </c>
      <c r="F661" s="5"/>
      <c r="G661" s="5">
        <v>40.1</v>
      </c>
      <c r="H661" s="6">
        <f t="shared" si="50"/>
        <v>2.4937655860349125E-2</v>
      </c>
      <c r="I661" s="6">
        <v>3.8199999999999998E-2</v>
      </c>
      <c r="J661" s="4">
        <f t="shared" si="51"/>
        <v>610</v>
      </c>
      <c r="K661" s="4">
        <f t="shared" si="52"/>
        <v>666</v>
      </c>
      <c r="L661" s="4">
        <f t="shared" si="53"/>
        <v>1276</v>
      </c>
      <c r="M661" s="4">
        <f t="shared" si="54"/>
        <v>659</v>
      </c>
    </row>
    <row r="662" spans="2:13" x14ac:dyDescent="0.2">
      <c r="B662" s="12" t="s">
        <v>1765</v>
      </c>
      <c r="C662" s="12" t="s">
        <v>1766</v>
      </c>
      <c r="D662" s="5" t="s">
        <v>2</v>
      </c>
      <c r="E662" s="5" t="s">
        <v>1767</v>
      </c>
      <c r="F662" s="5" t="s">
        <v>4</v>
      </c>
      <c r="G662" s="5">
        <v>35.36</v>
      </c>
      <c r="H662" s="6">
        <f t="shared" si="50"/>
        <v>2.828054298642534E-2</v>
      </c>
      <c r="I662" s="6">
        <v>2.7400000000000001E-2</v>
      </c>
      <c r="J662" s="4">
        <f t="shared" si="51"/>
        <v>588</v>
      </c>
      <c r="K662" s="4">
        <f t="shared" si="52"/>
        <v>690</v>
      </c>
      <c r="L662" s="4">
        <f t="shared" si="53"/>
        <v>1278</v>
      </c>
      <c r="M662" s="4">
        <f t="shared" si="54"/>
        <v>660</v>
      </c>
    </row>
    <row r="663" spans="2:13" x14ac:dyDescent="0.2">
      <c r="B663" s="12" t="s">
        <v>1810</v>
      </c>
      <c r="C663" s="12" t="s">
        <v>1811</v>
      </c>
      <c r="D663" s="5" t="s">
        <v>2</v>
      </c>
      <c r="E663" s="5" t="s">
        <v>1812</v>
      </c>
      <c r="F663" s="5"/>
      <c r="G663" s="5">
        <v>38.909999999999997</v>
      </c>
      <c r="H663" s="6">
        <f t="shared" si="50"/>
        <v>2.5700334104343359E-2</v>
      </c>
      <c r="I663" s="6">
        <v>3.0099999999999998E-2</v>
      </c>
      <c r="J663" s="4">
        <f t="shared" si="51"/>
        <v>603</v>
      </c>
      <c r="K663" s="4">
        <f t="shared" si="52"/>
        <v>682</v>
      </c>
      <c r="L663" s="4">
        <f t="shared" si="53"/>
        <v>1285</v>
      </c>
      <c r="M663" s="4">
        <f t="shared" si="54"/>
        <v>661</v>
      </c>
    </row>
    <row r="664" spans="2:13" x14ac:dyDescent="0.2">
      <c r="B664" s="12" t="s">
        <v>1855</v>
      </c>
      <c r="C664" s="12" t="s">
        <v>1856</v>
      </c>
      <c r="D664" s="5" t="s">
        <v>2</v>
      </c>
      <c r="E664" s="5" t="s">
        <v>1857</v>
      </c>
      <c r="F664" s="5"/>
      <c r="G664" s="5">
        <v>42.03</v>
      </c>
      <c r="H664" s="6">
        <f t="shared" si="50"/>
        <v>2.3792529145848201E-2</v>
      </c>
      <c r="I664" s="6">
        <v>3.73E-2</v>
      </c>
      <c r="J664" s="4">
        <f t="shared" si="51"/>
        <v>618</v>
      </c>
      <c r="K664" s="4">
        <f t="shared" si="52"/>
        <v>668</v>
      </c>
      <c r="L664" s="4">
        <f t="shared" si="53"/>
        <v>1286</v>
      </c>
      <c r="M664" s="4">
        <f t="shared" si="54"/>
        <v>662</v>
      </c>
    </row>
    <row r="665" spans="2:13" ht="25.5" x14ac:dyDescent="0.2">
      <c r="B665" s="12" t="s">
        <v>2095</v>
      </c>
      <c r="C665" s="12" t="s">
        <v>2096</v>
      </c>
      <c r="D665" s="5" t="s">
        <v>2</v>
      </c>
      <c r="E665" s="5" t="s">
        <v>2097</v>
      </c>
      <c r="F665" s="5" t="s">
        <v>87</v>
      </c>
      <c r="G665" s="5">
        <v>125.69</v>
      </c>
      <c r="H665" s="6">
        <f t="shared" si="50"/>
        <v>7.9560824250139231E-3</v>
      </c>
      <c r="I665" s="6">
        <v>6.5500000000000003E-2</v>
      </c>
      <c r="J665" s="4">
        <f t="shared" si="51"/>
        <v>699</v>
      </c>
      <c r="K665" s="4">
        <f t="shared" si="52"/>
        <v>589</v>
      </c>
      <c r="L665" s="4">
        <f t="shared" si="53"/>
        <v>1288</v>
      </c>
      <c r="M665" s="4">
        <f t="shared" si="54"/>
        <v>663</v>
      </c>
    </row>
    <row r="666" spans="2:13" ht="25.5" x14ac:dyDescent="0.2">
      <c r="B666" s="12" t="s">
        <v>1849</v>
      </c>
      <c r="C666" s="12" t="s">
        <v>1850</v>
      </c>
      <c r="D666" s="5" t="s">
        <v>2</v>
      </c>
      <c r="E666" s="5" t="s">
        <v>1851</v>
      </c>
      <c r="F666" s="5" t="s">
        <v>53</v>
      </c>
      <c r="G666" s="5">
        <v>41.86</v>
      </c>
      <c r="H666" s="6">
        <f t="shared" si="50"/>
        <v>2.3889154323936932E-2</v>
      </c>
      <c r="I666" s="6">
        <v>3.5200000000000002E-2</v>
      </c>
      <c r="J666" s="4">
        <f t="shared" si="51"/>
        <v>616</v>
      </c>
      <c r="K666" s="4">
        <f t="shared" si="52"/>
        <v>673</v>
      </c>
      <c r="L666" s="4">
        <f t="shared" si="53"/>
        <v>1289</v>
      </c>
      <c r="M666" s="4">
        <f t="shared" si="54"/>
        <v>664</v>
      </c>
    </row>
    <row r="667" spans="2:13" x14ac:dyDescent="0.2">
      <c r="B667" s="12" t="s">
        <v>1866</v>
      </c>
      <c r="C667" s="12" t="s">
        <v>1867</v>
      </c>
      <c r="D667" s="5" t="s">
        <v>2</v>
      </c>
      <c r="E667" s="5" t="s">
        <v>1868</v>
      </c>
      <c r="F667" s="5"/>
      <c r="G667" s="5">
        <v>42.82</v>
      </c>
      <c r="H667" s="6">
        <f t="shared" si="50"/>
        <v>2.3353573096683792E-2</v>
      </c>
      <c r="I667" s="6">
        <v>3.5999999999999997E-2</v>
      </c>
      <c r="J667" s="4">
        <f t="shared" si="51"/>
        <v>622</v>
      </c>
      <c r="K667" s="4">
        <f t="shared" si="52"/>
        <v>670</v>
      </c>
      <c r="L667" s="4">
        <f t="shared" si="53"/>
        <v>1292</v>
      </c>
      <c r="M667" s="4">
        <f t="shared" si="54"/>
        <v>665</v>
      </c>
    </row>
    <row r="668" spans="2:13" x14ac:dyDescent="0.2">
      <c r="B668" s="12" t="s">
        <v>1899</v>
      </c>
      <c r="C668" s="12" t="s">
        <v>1900</v>
      </c>
      <c r="D668" s="5" t="s">
        <v>2</v>
      </c>
      <c r="E668" s="5" t="s">
        <v>1901</v>
      </c>
      <c r="F668" s="5" t="s">
        <v>18</v>
      </c>
      <c r="G668" s="5">
        <v>44.04</v>
      </c>
      <c r="H668" s="6">
        <f t="shared" si="50"/>
        <v>2.2706630336058128E-2</v>
      </c>
      <c r="I668" s="6">
        <v>4.1099999999999998E-2</v>
      </c>
      <c r="J668" s="4">
        <f t="shared" si="51"/>
        <v>633</v>
      </c>
      <c r="K668" s="4">
        <f t="shared" si="52"/>
        <v>659</v>
      </c>
      <c r="L668" s="4">
        <f t="shared" si="53"/>
        <v>1292</v>
      </c>
      <c r="M668" s="4">
        <f t="shared" si="54"/>
        <v>665</v>
      </c>
    </row>
    <row r="669" spans="2:13" ht="25.5" x14ac:dyDescent="0.2">
      <c r="B669" s="12" t="s">
        <v>2134</v>
      </c>
      <c r="C669" s="12" t="s">
        <v>2135</v>
      </c>
      <c r="D669" s="5" t="s">
        <v>2</v>
      </c>
      <c r="E669" s="5" t="s">
        <v>2136</v>
      </c>
      <c r="F669" s="5" t="s">
        <v>87</v>
      </c>
      <c r="G669" s="5">
        <v>218.92</v>
      </c>
      <c r="H669" s="6">
        <f t="shared" si="50"/>
        <v>4.5678786771423353E-3</v>
      </c>
      <c r="I669" s="6">
        <v>6.8500000000000005E-2</v>
      </c>
      <c r="J669" s="4">
        <f t="shared" si="51"/>
        <v>712</v>
      </c>
      <c r="K669" s="4">
        <f t="shared" si="52"/>
        <v>580</v>
      </c>
      <c r="L669" s="4">
        <f t="shared" si="53"/>
        <v>1292</v>
      </c>
      <c r="M669" s="4">
        <f t="shared" si="54"/>
        <v>665</v>
      </c>
    </row>
    <row r="670" spans="2:13" ht="25.5" x14ac:dyDescent="0.2">
      <c r="B670" s="12" t="s">
        <v>1798</v>
      </c>
      <c r="C670" s="12" t="s">
        <v>1799</v>
      </c>
      <c r="D670" s="5" t="s">
        <v>2</v>
      </c>
      <c r="E670" s="5" t="s">
        <v>1800</v>
      </c>
      <c r="F670" s="5" t="s">
        <v>87</v>
      </c>
      <c r="G670" s="5">
        <v>37.97</v>
      </c>
      <c r="H670" s="6">
        <f t="shared" si="50"/>
        <v>2.6336581511719779E-2</v>
      </c>
      <c r="I670" s="6">
        <v>2.6100000000000002E-2</v>
      </c>
      <c r="J670" s="4">
        <f t="shared" si="51"/>
        <v>599</v>
      </c>
      <c r="K670" s="4">
        <f t="shared" si="52"/>
        <v>694</v>
      </c>
      <c r="L670" s="4">
        <f t="shared" si="53"/>
        <v>1293</v>
      </c>
      <c r="M670" s="4">
        <f t="shared" si="54"/>
        <v>668</v>
      </c>
    </row>
    <row r="671" spans="2:13" x14ac:dyDescent="0.2">
      <c r="B671" s="12" t="s">
        <v>1902</v>
      </c>
      <c r="C671" s="12" t="s">
        <v>1903</v>
      </c>
      <c r="D671" s="5" t="s">
        <v>2</v>
      </c>
      <c r="E671" s="5" t="s">
        <v>1904</v>
      </c>
      <c r="F671" s="5"/>
      <c r="G671" s="5">
        <v>44.07</v>
      </c>
      <c r="H671" s="6">
        <f t="shared" si="50"/>
        <v>2.2691173133651009E-2</v>
      </c>
      <c r="I671" s="6">
        <v>3.7499999999999999E-2</v>
      </c>
      <c r="J671" s="4">
        <f t="shared" si="51"/>
        <v>634</v>
      </c>
      <c r="K671" s="4">
        <f t="shared" si="52"/>
        <v>667</v>
      </c>
      <c r="L671" s="4">
        <f t="shared" si="53"/>
        <v>1301</v>
      </c>
      <c r="M671" s="4">
        <f t="shared" si="54"/>
        <v>669</v>
      </c>
    </row>
    <row r="672" spans="2:13" ht="25.5" x14ac:dyDescent="0.2">
      <c r="B672" s="12" t="s">
        <v>2066</v>
      </c>
      <c r="C672" s="12" t="s">
        <v>2067</v>
      </c>
      <c r="D672" s="5" t="s">
        <v>2</v>
      </c>
      <c r="E672" s="5" t="s">
        <v>2068</v>
      </c>
      <c r="F672" s="5" t="s">
        <v>87</v>
      </c>
      <c r="G672" s="5">
        <v>83.97</v>
      </c>
      <c r="H672" s="6">
        <f t="shared" si="50"/>
        <v>1.1909015124449208E-2</v>
      </c>
      <c r="I672" s="6">
        <v>5.7299999999999997E-2</v>
      </c>
      <c r="J672" s="4">
        <f t="shared" si="51"/>
        <v>689</v>
      </c>
      <c r="K672" s="4">
        <f t="shared" si="52"/>
        <v>612</v>
      </c>
      <c r="L672" s="4">
        <f t="shared" si="53"/>
        <v>1301</v>
      </c>
      <c r="M672" s="4">
        <f t="shared" si="54"/>
        <v>669</v>
      </c>
    </row>
    <row r="673" spans="2:13" x14ac:dyDescent="0.2">
      <c r="B673" s="12" t="s">
        <v>1917</v>
      </c>
      <c r="C673" s="12" t="s">
        <v>1918</v>
      </c>
      <c r="D673" s="5" t="s">
        <v>2</v>
      </c>
      <c r="E673" s="5" t="s">
        <v>1919</v>
      </c>
      <c r="F673" s="5"/>
      <c r="G673" s="5">
        <v>45.49</v>
      </c>
      <c r="H673" s="6">
        <f t="shared" si="50"/>
        <v>2.1982853374367992E-2</v>
      </c>
      <c r="I673" s="6">
        <v>3.85E-2</v>
      </c>
      <c r="J673" s="4">
        <f t="shared" si="51"/>
        <v>639</v>
      </c>
      <c r="K673" s="4">
        <f t="shared" si="52"/>
        <v>665</v>
      </c>
      <c r="L673" s="4">
        <f t="shared" si="53"/>
        <v>1304</v>
      </c>
      <c r="M673" s="4">
        <f t="shared" si="54"/>
        <v>671</v>
      </c>
    </row>
    <row r="674" spans="2:13" x14ac:dyDescent="0.2">
      <c r="B674" s="12" t="s">
        <v>2098</v>
      </c>
      <c r="C674" s="12" t="s">
        <v>2099</v>
      </c>
      <c r="D674" s="5" t="s">
        <v>2</v>
      </c>
      <c r="E674" s="5" t="s">
        <v>2100</v>
      </c>
      <c r="F674" s="5" t="s">
        <v>28</v>
      </c>
      <c r="G674" s="5">
        <v>131.18</v>
      </c>
      <c r="H674" s="6">
        <f t="shared" si="50"/>
        <v>7.6231132794633326E-3</v>
      </c>
      <c r="I674" s="6">
        <v>6.1499999999999999E-2</v>
      </c>
      <c r="J674" s="4">
        <f t="shared" si="51"/>
        <v>700</v>
      </c>
      <c r="K674" s="4">
        <f t="shared" si="52"/>
        <v>604</v>
      </c>
      <c r="L674" s="4">
        <f t="shared" si="53"/>
        <v>1304</v>
      </c>
      <c r="M674" s="4">
        <f t="shared" si="54"/>
        <v>671</v>
      </c>
    </row>
    <row r="675" spans="2:13" ht="25.5" x14ac:dyDescent="0.2">
      <c r="B675" s="12" t="s">
        <v>2137</v>
      </c>
      <c r="C675" s="12" t="s">
        <v>2138</v>
      </c>
      <c r="D675" s="5" t="s">
        <v>2</v>
      </c>
      <c r="E675" s="5" t="s">
        <v>2139</v>
      </c>
      <c r="F675" s="5" t="s">
        <v>122</v>
      </c>
      <c r="G675" s="5">
        <v>224.15</v>
      </c>
      <c r="H675" s="6">
        <f t="shared" si="50"/>
        <v>4.461298237787196E-3</v>
      </c>
      <c r="I675" s="6">
        <v>6.5000000000000002E-2</v>
      </c>
      <c r="J675" s="4">
        <f t="shared" si="51"/>
        <v>713</v>
      </c>
      <c r="K675" s="4">
        <f t="shared" si="52"/>
        <v>593</v>
      </c>
      <c r="L675" s="4">
        <f t="shared" si="53"/>
        <v>1306</v>
      </c>
      <c r="M675" s="4">
        <f t="shared" si="54"/>
        <v>673</v>
      </c>
    </row>
    <row r="676" spans="2:13" ht="25.5" x14ac:dyDescent="0.2">
      <c r="B676" s="12" t="s">
        <v>1961</v>
      </c>
      <c r="C676" s="12" t="s">
        <v>1962</v>
      </c>
      <c r="D676" s="5" t="s">
        <v>2</v>
      </c>
      <c r="E676" s="5" t="s">
        <v>1963</v>
      </c>
      <c r="F676" s="5" t="s">
        <v>53</v>
      </c>
      <c r="G676" s="5">
        <v>51.37</v>
      </c>
      <c r="H676" s="6">
        <f t="shared" si="50"/>
        <v>1.9466614755693987E-2</v>
      </c>
      <c r="I676" s="6">
        <v>4.4400000000000002E-2</v>
      </c>
      <c r="J676" s="4">
        <f t="shared" si="51"/>
        <v>654</v>
      </c>
      <c r="K676" s="4">
        <f t="shared" si="52"/>
        <v>653</v>
      </c>
      <c r="L676" s="4">
        <f t="shared" si="53"/>
        <v>1307</v>
      </c>
      <c r="M676" s="4">
        <f t="shared" si="54"/>
        <v>674</v>
      </c>
    </row>
    <row r="677" spans="2:13" x14ac:dyDescent="0.2">
      <c r="B677" s="12" t="s">
        <v>2003</v>
      </c>
      <c r="C677" s="12" t="s">
        <v>2004</v>
      </c>
      <c r="D677" s="5" t="s">
        <v>2</v>
      </c>
      <c r="E677" s="5" t="s">
        <v>2005</v>
      </c>
      <c r="F677" s="5" t="s">
        <v>28</v>
      </c>
      <c r="G677" s="5">
        <v>59.16</v>
      </c>
      <c r="H677" s="6">
        <f t="shared" si="50"/>
        <v>1.6903313049357674E-2</v>
      </c>
      <c r="I677" s="6">
        <v>4.7399999999999998E-2</v>
      </c>
      <c r="J677" s="4">
        <f t="shared" si="51"/>
        <v>668</v>
      </c>
      <c r="K677" s="4">
        <f t="shared" si="52"/>
        <v>642</v>
      </c>
      <c r="L677" s="4">
        <f t="shared" si="53"/>
        <v>1310</v>
      </c>
      <c r="M677" s="4">
        <f t="shared" si="54"/>
        <v>675</v>
      </c>
    </row>
    <row r="678" spans="2:13" x14ac:dyDescent="0.2">
      <c r="B678" s="12" t="s">
        <v>1926</v>
      </c>
      <c r="C678" s="12" t="s">
        <v>1927</v>
      </c>
      <c r="D678" s="5" t="s">
        <v>2</v>
      </c>
      <c r="E678" s="5" t="s">
        <v>1928</v>
      </c>
      <c r="F678" s="5"/>
      <c r="G678" s="5">
        <v>46</v>
      </c>
      <c r="H678" s="6">
        <f t="shared" si="50"/>
        <v>2.1739130434782608E-2</v>
      </c>
      <c r="I678" s="6">
        <v>3.6400000000000002E-2</v>
      </c>
      <c r="J678" s="4">
        <f t="shared" si="51"/>
        <v>642</v>
      </c>
      <c r="K678" s="4">
        <f t="shared" si="52"/>
        <v>669</v>
      </c>
      <c r="L678" s="4">
        <f t="shared" si="53"/>
        <v>1311</v>
      </c>
      <c r="M678" s="4">
        <f t="shared" si="54"/>
        <v>676</v>
      </c>
    </row>
    <row r="679" spans="2:13" ht="25.5" x14ac:dyDescent="0.2">
      <c r="B679" s="12" t="s">
        <v>1869</v>
      </c>
      <c r="C679" s="12" t="s">
        <v>1870</v>
      </c>
      <c r="D679" s="5" t="s">
        <v>2</v>
      </c>
      <c r="E679" s="5" t="s">
        <v>1871</v>
      </c>
      <c r="F679" s="5" t="s">
        <v>53</v>
      </c>
      <c r="G679" s="5">
        <v>43.02</v>
      </c>
      <c r="H679" s="6">
        <f t="shared" si="50"/>
        <v>2.3245002324500229E-2</v>
      </c>
      <c r="I679" s="6">
        <v>2.75E-2</v>
      </c>
      <c r="J679" s="4">
        <f t="shared" si="51"/>
        <v>623</v>
      </c>
      <c r="K679" s="4">
        <f t="shared" si="52"/>
        <v>689</v>
      </c>
      <c r="L679" s="4">
        <f t="shared" si="53"/>
        <v>1312</v>
      </c>
      <c r="M679" s="4">
        <f t="shared" si="54"/>
        <v>677</v>
      </c>
    </row>
    <row r="680" spans="2:13" ht="25.5" x14ac:dyDescent="0.2">
      <c r="B680" s="12" t="s">
        <v>2092</v>
      </c>
      <c r="C680" s="12" t="s">
        <v>2093</v>
      </c>
      <c r="D680" s="5" t="s">
        <v>2</v>
      </c>
      <c r="E680" s="5" t="s">
        <v>2094</v>
      </c>
      <c r="F680" s="5" t="s">
        <v>87</v>
      </c>
      <c r="G680" s="5">
        <v>123.96</v>
      </c>
      <c r="H680" s="6">
        <f t="shared" si="50"/>
        <v>8.0671184252984838E-3</v>
      </c>
      <c r="I680" s="6">
        <v>5.4800000000000001E-2</v>
      </c>
      <c r="J680" s="4">
        <f t="shared" si="51"/>
        <v>698</v>
      </c>
      <c r="K680" s="4">
        <f t="shared" si="52"/>
        <v>622</v>
      </c>
      <c r="L680" s="4">
        <f t="shared" si="53"/>
        <v>1320</v>
      </c>
      <c r="M680" s="4">
        <f t="shared" si="54"/>
        <v>678</v>
      </c>
    </row>
    <row r="681" spans="2:13" x14ac:dyDescent="0.2">
      <c r="B681" s="12" t="s">
        <v>1914</v>
      </c>
      <c r="C681" s="12" t="s">
        <v>1915</v>
      </c>
      <c r="D681" s="5" t="s">
        <v>2</v>
      </c>
      <c r="E681" s="5" t="s">
        <v>1916</v>
      </c>
      <c r="F681" s="5" t="s">
        <v>28</v>
      </c>
      <c r="G681" s="5">
        <v>45.04</v>
      </c>
      <c r="H681" s="6">
        <f t="shared" si="50"/>
        <v>2.2202486678507993E-2</v>
      </c>
      <c r="I681" s="6">
        <v>2.92E-2</v>
      </c>
      <c r="J681" s="4">
        <f t="shared" si="51"/>
        <v>638</v>
      </c>
      <c r="K681" s="4">
        <f t="shared" si="52"/>
        <v>684</v>
      </c>
      <c r="L681" s="4">
        <f t="shared" si="53"/>
        <v>1322</v>
      </c>
      <c r="M681" s="4">
        <f t="shared" si="54"/>
        <v>679</v>
      </c>
    </row>
    <row r="682" spans="2:13" x14ac:dyDescent="0.2">
      <c r="B682" s="12" t="s">
        <v>1905</v>
      </c>
      <c r="C682" s="12" t="s">
        <v>1906</v>
      </c>
      <c r="D682" s="5" t="s">
        <v>2</v>
      </c>
      <c r="E682" s="5" t="s">
        <v>1907</v>
      </c>
      <c r="F682" s="5" t="s">
        <v>28</v>
      </c>
      <c r="G682" s="5">
        <v>44.64</v>
      </c>
      <c r="H682" s="6">
        <f t="shared" si="50"/>
        <v>2.2401433691756272E-2</v>
      </c>
      <c r="I682" s="6">
        <v>2.1700000000000001E-2</v>
      </c>
      <c r="J682" s="4">
        <f t="shared" si="51"/>
        <v>635</v>
      </c>
      <c r="K682" s="4">
        <f t="shared" si="52"/>
        <v>698</v>
      </c>
      <c r="L682" s="4">
        <f t="shared" si="53"/>
        <v>1333</v>
      </c>
      <c r="M682" s="4">
        <f t="shared" si="54"/>
        <v>680</v>
      </c>
    </row>
    <row r="683" spans="2:13" x14ac:dyDescent="0.2">
      <c r="B683" s="12" t="s">
        <v>1911</v>
      </c>
      <c r="C683" s="12" t="s">
        <v>1912</v>
      </c>
      <c r="D683" s="5" t="s">
        <v>2</v>
      </c>
      <c r="E683" s="5" t="s">
        <v>1913</v>
      </c>
      <c r="F683" s="5" t="s">
        <v>28</v>
      </c>
      <c r="G683" s="5">
        <v>45.01</v>
      </c>
      <c r="H683" s="6">
        <f t="shared" si="50"/>
        <v>2.2217285047767165E-2</v>
      </c>
      <c r="I683" s="6">
        <v>2.2499999999999999E-2</v>
      </c>
      <c r="J683" s="4">
        <f t="shared" si="51"/>
        <v>637</v>
      </c>
      <c r="K683" s="4">
        <f t="shared" si="52"/>
        <v>697</v>
      </c>
      <c r="L683" s="4">
        <f t="shared" si="53"/>
        <v>1334</v>
      </c>
      <c r="M683" s="4">
        <f t="shared" si="54"/>
        <v>681</v>
      </c>
    </row>
    <row r="684" spans="2:13" x14ac:dyDescent="0.2">
      <c r="B684" s="12" t="s">
        <v>1949</v>
      </c>
      <c r="C684" s="12" t="s">
        <v>1950</v>
      </c>
      <c r="D684" s="5" t="s">
        <v>2</v>
      </c>
      <c r="E684" s="5" t="s">
        <v>1951</v>
      </c>
      <c r="F684" s="5"/>
      <c r="G684" s="5">
        <v>48.7</v>
      </c>
      <c r="H684" s="6">
        <f t="shared" si="50"/>
        <v>2.0533880903490759E-2</v>
      </c>
      <c r="I684" s="6">
        <v>2.64E-2</v>
      </c>
      <c r="J684" s="4">
        <f t="shared" si="51"/>
        <v>650</v>
      </c>
      <c r="K684" s="4">
        <f t="shared" si="52"/>
        <v>692</v>
      </c>
      <c r="L684" s="4">
        <f t="shared" si="53"/>
        <v>1342</v>
      </c>
      <c r="M684" s="4">
        <f t="shared" si="54"/>
        <v>682</v>
      </c>
    </row>
    <row r="685" spans="2:13" x14ac:dyDescent="0.2">
      <c r="B685" s="12" t="s">
        <v>2009</v>
      </c>
      <c r="C685" s="12" t="s">
        <v>2010</v>
      </c>
      <c r="D685" s="5" t="s">
        <v>2</v>
      </c>
      <c r="E685" s="5" t="s">
        <v>2011</v>
      </c>
      <c r="F685" s="5" t="s">
        <v>4</v>
      </c>
      <c r="G685" s="5">
        <v>60.88</v>
      </c>
      <c r="H685" s="6">
        <f t="shared" si="50"/>
        <v>1.6425755584756899E-2</v>
      </c>
      <c r="I685" s="6">
        <v>3.5200000000000002E-2</v>
      </c>
      <c r="J685" s="4">
        <f t="shared" si="51"/>
        <v>670</v>
      </c>
      <c r="K685" s="4">
        <f t="shared" si="52"/>
        <v>673</v>
      </c>
      <c r="L685" s="4">
        <f t="shared" si="53"/>
        <v>1343</v>
      </c>
      <c r="M685" s="4">
        <f t="shared" si="54"/>
        <v>683</v>
      </c>
    </row>
    <row r="686" spans="2:13" x14ac:dyDescent="0.2">
      <c r="B686" s="12" t="s">
        <v>1967</v>
      </c>
      <c r="C686" s="12" t="s">
        <v>1968</v>
      </c>
      <c r="D686" s="5" t="s">
        <v>2</v>
      </c>
      <c r="E686" s="5" t="s">
        <v>1969</v>
      </c>
      <c r="F686" s="5"/>
      <c r="G686" s="5">
        <v>52.12</v>
      </c>
      <c r="H686" s="6">
        <f t="shared" si="50"/>
        <v>1.9186492709132773E-2</v>
      </c>
      <c r="I686" s="6">
        <v>2.7400000000000001E-2</v>
      </c>
      <c r="J686" s="4">
        <f t="shared" si="51"/>
        <v>656</v>
      </c>
      <c r="K686" s="4">
        <f t="shared" si="52"/>
        <v>690</v>
      </c>
      <c r="L686" s="4">
        <f t="shared" si="53"/>
        <v>1346</v>
      </c>
      <c r="M686" s="4">
        <f t="shared" si="54"/>
        <v>684</v>
      </c>
    </row>
    <row r="687" spans="2:13" x14ac:dyDescent="0.2">
      <c r="B687" s="12" t="s">
        <v>2063</v>
      </c>
      <c r="C687" s="12" t="s">
        <v>2064</v>
      </c>
      <c r="D687" s="5" t="s">
        <v>2</v>
      </c>
      <c r="E687" s="5" t="s">
        <v>2065</v>
      </c>
      <c r="F687" s="5" t="s">
        <v>28</v>
      </c>
      <c r="G687" s="5">
        <v>78.58</v>
      </c>
      <c r="H687" s="6">
        <f t="shared" si="50"/>
        <v>1.2725884448969204E-2</v>
      </c>
      <c r="I687" s="6">
        <v>4.1399999999999999E-2</v>
      </c>
      <c r="J687" s="4">
        <f t="shared" si="51"/>
        <v>688</v>
      </c>
      <c r="K687" s="4">
        <f t="shared" si="52"/>
        <v>658</v>
      </c>
      <c r="L687" s="4">
        <f t="shared" si="53"/>
        <v>1346</v>
      </c>
      <c r="M687" s="4">
        <f t="shared" si="54"/>
        <v>684</v>
      </c>
    </row>
    <row r="688" spans="2:13" x14ac:dyDescent="0.2">
      <c r="B688" s="12" t="s">
        <v>1979</v>
      </c>
      <c r="C688" s="12" t="s">
        <v>1980</v>
      </c>
      <c r="D688" s="5" t="s">
        <v>2</v>
      </c>
      <c r="E688" s="5" t="s">
        <v>1981</v>
      </c>
      <c r="F688" s="5"/>
      <c r="G688" s="5">
        <v>53.84</v>
      </c>
      <c r="H688" s="6">
        <f t="shared" si="50"/>
        <v>1.8573551263001486E-2</v>
      </c>
      <c r="I688" s="6">
        <v>2.8400000000000002E-2</v>
      </c>
      <c r="J688" s="4">
        <f t="shared" si="51"/>
        <v>660</v>
      </c>
      <c r="K688" s="4">
        <f t="shared" si="52"/>
        <v>687</v>
      </c>
      <c r="L688" s="4">
        <f t="shared" si="53"/>
        <v>1347</v>
      </c>
      <c r="M688" s="4">
        <f t="shared" si="54"/>
        <v>686</v>
      </c>
    </row>
    <row r="689" spans="2:13" x14ac:dyDescent="0.2">
      <c r="B689" s="12" t="s">
        <v>2104</v>
      </c>
      <c r="C689" s="12" t="s">
        <v>2105</v>
      </c>
      <c r="D689" s="5" t="s">
        <v>2</v>
      </c>
      <c r="E689" s="5" t="s">
        <v>2106</v>
      </c>
      <c r="F689" s="5" t="s">
        <v>4</v>
      </c>
      <c r="G689" s="5">
        <v>150.32</v>
      </c>
      <c r="H689" s="6">
        <f t="shared" si="50"/>
        <v>6.6524747205960622E-3</v>
      </c>
      <c r="I689" s="6">
        <v>4.6199999999999998E-2</v>
      </c>
      <c r="J689" s="4">
        <f t="shared" si="51"/>
        <v>702</v>
      </c>
      <c r="K689" s="4">
        <f t="shared" si="52"/>
        <v>647</v>
      </c>
      <c r="L689" s="4">
        <f t="shared" si="53"/>
        <v>1349</v>
      </c>
      <c r="M689" s="4">
        <f t="shared" si="54"/>
        <v>687</v>
      </c>
    </row>
    <row r="690" spans="2:13" x14ac:dyDescent="0.2">
      <c r="B690" s="12" t="s">
        <v>1976</v>
      </c>
      <c r="C690" s="12" t="s">
        <v>1977</v>
      </c>
      <c r="D690" s="5" t="s">
        <v>2</v>
      </c>
      <c r="E690" s="5" t="s">
        <v>1978</v>
      </c>
      <c r="F690" s="5"/>
      <c r="G690" s="5">
        <v>52.92</v>
      </c>
      <c r="H690" s="6">
        <f t="shared" si="50"/>
        <v>1.889644746787604E-2</v>
      </c>
      <c r="I690" s="6">
        <v>2.6200000000000001E-2</v>
      </c>
      <c r="J690" s="4">
        <f t="shared" si="51"/>
        <v>659</v>
      </c>
      <c r="K690" s="4">
        <f t="shared" si="52"/>
        <v>693</v>
      </c>
      <c r="L690" s="4">
        <f t="shared" si="53"/>
        <v>1352</v>
      </c>
      <c r="M690" s="4">
        <f t="shared" si="54"/>
        <v>688</v>
      </c>
    </row>
    <row r="691" spans="2:13" x14ac:dyDescent="0.2">
      <c r="B691" s="12" t="s">
        <v>1958</v>
      </c>
      <c r="C691" s="12" t="s">
        <v>1959</v>
      </c>
      <c r="D691" s="5" t="s">
        <v>2</v>
      </c>
      <c r="E691" s="5" t="s">
        <v>1960</v>
      </c>
      <c r="F691" s="5" t="s">
        <v>18</v>
      </c>
      <c r="G691" s="5">
        <v>50.16</v>
      </c>
      <c r="H691" s="6">
        <f t="shared" si="50"/>
        <v>1.9936204146730464E-2</v>
      </c>
      <c r="I691" s="6">
        <v>2.0199999999999999E-2</v>
      </c>
      <c r="J691" s="4">
        <f t="shared" si="51"/>
        <v>653</v>
      </c>
      <c r="K691" s="4">
        <f t="shared" si="52"/>
        <v>701</v>
      </c>
      <c r="L691" s="4">
        <f t="shared" si="53"/>
        <v>1354</v>
      </c>
      <c r="M691" s="4">
        <f t="shared" si="54"/>
        <v>689</v>
      </c>
    </row>
    <row r="692" spans="2:13" x14ac:dyDescent="0.2">
      <c r="B692" s="12" t="s">
        <v>2006</v>
      </c>
      <c r="C692" s="12" t="s">
        <v>2007</v>
      </c>
      <c r="D692" s="5" t="s">
        <v>2</v>
      </c>
      <c r="E692" s="5" t="s">
        <v>2008</v>
      </c>
      <c r="F692" s="5"/>
      <c r="G692" s="5">
        <v>60.36</v>
      </c>
      <c r="H692" s="6">
        <f t="shared" si="50"/>
        <v>1.656726308813784E-2</v>
      </c>
      <c r="I692" s="6">
        <v>2.87E-2</v>
      </c>
      <c r="J692" s="4">
        <f t="shared" si="51"/>
        <v>669</v>
      </c>
      <c r="K692" s="4">
        <f t="shared" si="52"/>
        <v>686</v>
      </c>
      <c r="L692" s="4">
        <f t="shared" si="53"/>
        <v>1355</v>
      </c>
      <c r="M692" s="4">
        <f t="shared" si="54"/>
        <v>690</v>
      </c>
    </row>
    <row r="693" spans="2:13" x14ac:dyDescent="0.2">
      <c r="B693" s="12" t="s">
        <v>1952</v>
      </c>
      <c r="C693" s="12" t="s">
        <v>1953</v>
      </c>
      <c r="D693" s="5" t="s">
        <v>2</v>
      </c>
      <c r="E693" s="5" t="s">
        <v>1954</v>
      </c>
      <c r="F693" s="5" t="s">
        <v>4</v>
      </c>
      <c r="G693" s="5">
        <v>48.73</v>
      </c>
      <c r="H693" s="6">
        <f t="shared" si="50"/>
        <v>2.0521239482864766E-2</v>
      </c>
      <c r="I693" s="6">
        <v>1.7299999999999999E-2</v>
      </c>
      <c r="J693" s="4">
        <f t="shared" si="51"/>
        <v>651</v>
      </c>
      <c r="K693" s="4">
        <f t="shared" si="52"/>
        <v>706</v>
      </c>
      <c r="L693" s="4">
        <f t="shared" si="53"/>
        <v>1357</v>
      </c>
      <c r="M693" s="4">
        <f t="shared" si="54"/>
        <v>691</v>
      </c>
    </row>
    <row r="694" spans="2:13" x14ac:dyDescent="0.2">
      <c r="B694" s="12" t="s">
        <v>1970</v>
      </c>
      <c r="C694" s="12" t="s">
        <v>1971</v>
      </c>
      <c r="D694" s="5" t="s">
        <v>2</v>
      </c>
      <c r="E694" s="5" t="s">
        <v>1972</v>
      </c>
      <c r="F694" s="5"/>
      <c r="G694" s="5">
        <v>52.57</v>
      </c>
      <c r="H694" s="6">
        <f t="shared" si="50"/>
        <v>1.9022256039566292E-2</v>
      </c>
      <c r="I694" s="6">
        <v>2.0500000000000001E-2</v>
      </c>
      <c r="J694" s="4">
        <f t="shared" si="51"/>
        <v>657</v>
      </c>
      <c r="K694" s="4">
        <f t="shared" si="52"/>
        <v>700</v>
      </c>
      <c r="L694" s="4">
        <f t="shared" si="53"/>
        <v>1357</v>
      </c>
      <c r="M694" s="4">
        <f t="shared" si="54"/>
        <v>691</v>
      </c>
    </row>
    <row r="695" spans="2:13" x14ac:dyDescent="0.2">
      <c r="B695" s="12" t="s">
        <v>1946</v>
      </c>
      <c r="C695" s="12" t="s">
        <v>1947</v>
      </c>
      <c r="D695" s="5" t="s">
        <v>2</v>
      </c>
      <c r="E695" s="5" t="s">
        <v>1948</v>
      </c>
      <c r="F695" s="5" t="s">
        <v>28</v>
      </c>
      <c r="G695" s="5">
        <v>48.12</v>
      </c>
      <c r="H695" s="6">
        <f t="shared" si="50"/>
        <v>2.0781379883624274E-2</v>
      </c>
      <c r="I695" s="6">
        <v>1.38E-2</v>
      </c>
      <c r="J695" s="4">
        <f t="shared" si="51"/>
        <v>649</v>
      </c>
      <c r="K695" s="4">
        <f t="shared" si="52"/>
        <v>712</v>
      </c>
      <c r="L695" s="4">
        <f t="shared" si="53"/>
        <v>1361</v>
      </c>
      <c r="M695" s="4">
        <f t="shared" si="54"/>
        <v>693</v>
      </c>
    </row>
    <row r="696" spans="2:13" x14ac:dyDescent="0.2">
      <c r="B696" s="12" t="s">
        <v>2116</v>
      </c>
      <c r="C696" s="12" t="s">
        <v>2117</v>
      </c>
      <c r="D696" s="5" t="s">
        <v>2</v>
      </c>
      <c r="E696" s="5" t="s">
        <v>2118</v>
      </c>
      <c r="F696" s="5" t="s">
        <v>4</v>
      </c>
      <c r="G696" s="5">
        <v>172.5</v>
      </c>
      <c r="H696" s="6">
        <f t="shared" si="50"/>
        <v>5.7971014492753624E-3</v>
      </c>
      <c r="I696" s="6">
        <v>4.2000000000000003E-2</v>
      </c>
      <c r="J696" s="4">
        <f t="shared" si="51"/>
        <v>706</v>
      </c>
      <c r="K696" s="4">
        <f t="shared" si="52"/>
        <v>657</v>
      </c>
      <c r="L696" s="4">
        <f t="shared" si="53"/>
        <v>1363</v>
      </c>
      <c r="M696" s="4">
        <f t="shared" si="54"/>
        <v>694</v>
      </c>
    </row>
    <row r="697" spans="2:13" ht="25.5" x14ac:dyDescent="0.2">
      <c r="B697" s="12" t="s">
        <v>2012</v>
      </c>
      <c r="C697" s="12" t="s">
        <v>2013</v>
      </c>
      <c r="D697" s="5" t="s">
        <v>2</v>
      </c>
      <c r="E697" s="5" t="s">
        <v>2014</v>
      </c>
      <c r="F697" s="5" t="s">
        <v>53</v>
      </c>
      <c r="G697" s="5">
        <v>61.05</v>
      </c>
      <c r="H697" s="6">
        <f t="shared" si="50"/>
        <v>1.638001638001638E-2</v>
      </c>
      <c r="I697" s="6">
        <v>2.1700000000000001E-2</v>
      </c>
      <c r="J697" s="4">
        <f t="shared" si="51"/>
        <v>671</v>
      </c>
      <c r="K697" s="4">
        <f t="shared" si="52"/>
        <v>698</v>
      </c>
      <c r="L697" s="4">
        <f t="shared" si="53"/>
        <v>1369</v>
      </c>
      <c r="M697" s="4">
        <f t="shared" si="54"/>
        <v>695</v>
      </c>
    </row>
    <row r="698" spans="2:13" ht="25.5" x14ac:dyDescent="0.2">
      <c r="B698" s="12" t="s">
        <v>2125</v>
      </c>
      <c r="C698" s="12" t="s">
        <v>2126</v>
      </c>
      <c r="D698" s="5" t="s">
        <v>2</v>
      </c>
      <c r="E698" s="5" t="s">
        <v>2127</v>
      </c>
      <c r="F698" s="5" t="s">
        <v>87</v>
      </c>
      <c r="G698" s="5">
        <v>195.2</v>
      </c>
      <c r="H698" s="6">
        <f t="shared" si="50"/>
        <v>5.1229508196721316E-3</v>
      </c>
      <c r="I698" s="6">
        <v>4.0300000000000002E-2</v>
      </c>
      <c r="J698" s="4">
        <f t="shared" si="51"/>
        <v>709</v>
      </c>
      <c r="K698" s="4">
        <f t="shared" si="52"/>
        <v>662</v>
      </c>
      <c r="L698" s="4">
        <f t="shared" si="53"/>
        <v>1371</v>
      </c>
      <c r="M698" s="4">
        <f t="shared" si="54"/>
        <v>696</v>
      </c>
    </row>
    <row r="699" spans="2:13" x14ac:dyDescent="0.2">
      <c r="B699" s="12" t="s">
        <v>1991</v>
      </c>
      <c r="C699" s="12" t="s">
        <v>1992</v>
      </c>
      <c r="D699" s="5" t="s">
        <v>2</v>
      </c>
      <c r="E699" s="5" t="s">
        <v>1993</v>
      </c>
      <c r="F699" s="5" t="s">
        <v>91</v>
      </c>
      <c r="G699" s="5">
        <v>55.78</v>
      </c>
      <c r="H699" s="6">
        <f t="shared" si="50"/>
        <v>1.7927572606669058E-2</v>
      </c>
      <c r="I699" s="6">
        <v>1.6400000000000001E-2</v>
      </c>
      <c r="J699" s="4">
        <f t="shared" si="51"/>
        <v>664</v>
      </c>
      <c r="K699" s="4">
        <f t="shared" si="52"/>
        <v>708</v>
      </c>
      <c r="L699" s="4">
        <f t="shared" si="53"/>
        <v>1372</v>
      </c>
      <c r="M699" s="4">
        <f t="shared" si="54"/>
        <v>697</v>
      </c>
    </row>
    <row r="700" spans="2:13" x14ac:dyDescent="0.2">
      <c r="B700" s="12" t="s">
        <v>2030</v>
      </c>
      <c r="C700" s="12" t="s">
        <v>2031</v>
      </c>
      <c r="D700" s="5" t="s">
        <v>2</v>
      </c>
      <c r="E700" s="5" t="s">
        <v>2032</v>
      </c>
      <c r="F700" s="5"/>
      <c r="G700" s="5">
        <v>64.849999999999994</v>
      </c>
      <c r="H700" s="6">
        <f t="shared" si="50"/>
        <v>1.5420200462606014E-2</v>
      </c>
      <c r="I700" s="6">
        <v>2.4899999999999999E-2</v>
      </c>
      <c r="J700" s="4">
        <f t="shared" si="51"/>
        <v>677</v>
      </c>
      <c r="K700" s="4">
        <f t="shared" si="52"/>
        <v>695</v>
      </c>
      <c r="L700" s="4">
        <f t="shared" si="53"/>
        <v>1372</v>
      </c>
      <c r="M700" s="4">
        <f t="shared" si="54"/>
        <v>697</v>
      </c>
    </row>
    <row r="701" spans="2:13" x14ac:dyDescent="0.2">
      <c r="B701" s="12" t="s">
        <v>2090</v>
      </c>
      <c r="C701" s="12" t="s">
        <v>2091</v>
      </c>
      <c r="D701" s="5" t="s">
        <v>2</v>
      </c>
      <c r="E701" s="5" t="s">
        <v>775</v>
      </c>
      <c r="F701" s="5" t="s">
        <v>4</v>
      </c>
      <c r="G701" s="5">
        <v>115.65</v>
      </c>
      <c r="H701" s="6">
        <f t="shared" si="50"/>
        <v>8.6467790747946378E-3</v>
      </c>
      <c r="I701" s="6">
        <v>3.4099999999999998E-2</v>
      </c>
      <c r="J701" s="4">
        <f t="shared" si="51"/>
        <v>697</v>
      </c>
      <c r="K701" s="4">
        <f t="shared" si="52"/>
        <v>678</v>
      </c>
      <c r="L701" s="4">
        <f t="shared" si="53"/>
        <v>1375</v>
      </c>
      <c r="M701" s="4">
        <f t="shared" si="54"/>
        <v>699</v>
      </c>
    </row>
    <row r="702" spans="2:13" x14ac:dyDescent="0.2">
      <c r="B702" s="12" t="s">
        <v>2084</v>
      </c>
      <c r="C702" s="12" t="s">
        <v>2085</v>
      </c>
      <c r="D702" s="5" t="s">
        <v>2</v>
      </c>
      <c r="E702" s="5" t="s">
        <v>2086</v>
      </c>
      <c r="F702" s="5"/>
      <c r="G702" s="5">
        <v>96.46</v>
      </c>
      <c r="H702" s="6">
        <f t="shared" si="50"/>
        <v>1.0366991499066971E-2</v>
      </c>
      <c r="I702" s="6">
        <v>3.2199999999999999E-2</v>
      </c>
      <c r="J702" s="4">
        <f t="shared" si="51"/>
        <v>695</v>
      </c>
      <c r="K702" s="4">
        <f t="shared" si="52"/>
        <v>681</v>
      </c>
      <c r="L702" s="4">
        <f t="shared" si="53"/>
        <v>1376</v>
      </c>
      <c r="M702" s="4">
        <f t="shared" si="54"/>
        <v>700</v>
      </c>
    </row>
    <row r="703" spans="2:13" ht="25.5" x14ac:dyDescent="0.2">
      <c r="B703" s="12" t="s">
        <v>2057</v>
      </c>
      <c r="C703" s="12" t="s">
        <v>2058</v>
      </c>
      <c r="D703" s="5" t="s">
        <v>2</v>
      </c>
      <c r="E703" s="5" t="s">
        <v>2059</v>
      </c>
      <c r="F703" s="5" t="s">
        <v>122</v>
      </c>
      <c r="G703" s="5">
        <v>74.31</v>
      </c>
      <c r="H703" s="6">
        <f t="shared" si="50"/>
        <v>1.3457139012245996E-2</v>
      </c>
      <c r="I703" s="6">
        <v>2.3300000000000001E-2</v>
      </c>
      <c r="J703" s="4">
        <f t="shared" si="51"/>
        <v>686</v>
      </c>
      <c r="K703" s="4">
        <f t="shared" si="52"/>
        <v>696</v>
      </c>
      <c r="L703" s="4">
        <f t="shared" si="53"/>
        <v>1382</v>
      </c>
      <c r="M703" s="4">
        <f t="shared" si="54"/>
        <v>701</v>
      </c>
    </row>
    <row r="704" spans="2:13" x14ac:dyDescent="0.2">
      <c r="B704" s="12" t="s">
        <v>2036</v>
      </c>
      <c r="C704" s="12" t="s">
        <v>2037</v>
      </c>
      <c r="D704" s="5" t="s">
        <v>2</v>
      </c>
      <c r="E704" s="5" t="s">
        <v>2038</v>
      </c>
      <c r="F704" s="5"/>
      <c r="G704" s="5">
        <v>66.05</v>
      </c>
      <c r="H704" s="6">
        <f t="shared" si="50"/>
        <v>1.514004542013626E-2</v>
      </c>
      <c r="I704" s="6">
        <v>1.8100000000000002E-2</v>
      </c>
      <c r="J704" s="4">
        <f t="shared" si="51"/>
        <v>679</v>
      </c>
      <c r="K704" s="4">
        <f t="shared" si="52"/>
        <v>704</v>
      </c>
      <c r="L704" s="4">
        <f t="shared" si="53"/>
        <v>1383</v>
      </c>
      <c r="M704" s="4">
        <f t="shared" si="54"/>
        <v>702</v>
      </c>
    </row>
    <row r="705" spans="2:13" x14ac:dyDescent="0.2">
      <c r="B705" s="12" t="s">
        <v>2039</v>
      </c>
      <c r="C705" s="12" t="s">
        <v>2040</v>
      </c>
      <c r="D705" s="5" t="s">
        <v>2</v>
      </c>
      <c r="E705" s="5" t="s">
        <v>2041</v>
      </c>
      <c r="F705" s="5" t="s">
        <v>28</v>
      </c>
      <c r="G705" s="5">
        <v>67.25</v>
      </c>
      <c r="H705" s="6">
        <f t="shared" si="50"/>
        <v>1.4869888475836431E-2</v>
      </c>
      <c r="I705" s="6">
        <v>1.8700000000000001E-2</v>
      </c>
      <c r="J705" s="4">
        <f t="shared" si="51"/>
        <v>680</v>
      </c>
      <c r="K705" s="4">
        <f t="shared" si="52"/>
        <v>703</v>
      </c>
      <c r="L705" s="4">
        <f t="shared" si="53"/>
        <v>1383</v>
      </c>
      <c r="M705" s="4">
        <f t="shared" si="54"/>
        <v>702</v>
      </c>
    </row>
    <row r="706" spans="2:13" ht="25.5" x14ac:dyDescent="0.2">
      <c r="B706" s="12" t="s">
        <v>2149</v>
      </c>
      <c r="C706" s="12" t="s">
        <v>2150</v>
      </c>
      <c r="D706" s="5" t="s">
        <v>2</v>
      </c>
      <c r="E706" s="5" t="s">
        <v>2151</v>
      </c>
      <c r="F706" s="5" t="s">
        <v>87</v>
      </c>
      <c r="G706" s="5">
        <v>349.99</v>
      </c>
      <c r="H706" s="6">
        <f t="shared" si="50"/>
        <v>2.8572244921283465E-3</v>
      </c>
      <c r="I706" s="6">
        <v>3.5700000000000003E-2</v>
      </c>
      <c r="J706" s="4">
        <f t="shared" si="51"/>
        <v>717</v>
      </c>
      <c r="K706" s="4">
        <f t="shared" si="52"/>
        <v>672</v>
      </c>
      <c r="L706" s="4">
        <f t="shared" si="53"/>
        <v>1389</v>
      </c>
      <c r="M706" s="4">
        <f t="shared" si="54"/>
        <v>704</v>
      </c>
    </row>
    <row r="707" spans="2:13" ht="25.5" x14ac:dyDescent="0.2">
      <c r="B707" s="12" t="s">
        <v>2128</v>
      </c>
      <c r="C707" s="12" t="s">
        <v>2129</v>
      </c>
      <c r="D707" s="5" t="s">
        <v>2</v>
      </c>
      <c r="E707" s="5" t="s">
        <v>2130</v>
      </c>
      <c r="F707" s="5" t="s">
        <v>87</v>
      </c>
      <c r="G707" s="5">
        <v>201.77</v>
      </c>
      <c r="H707" s="6">
        <f t="shared" ref="H707:H724" si="55">1/G707</f>
        <v>4.9561381771323779E-3</v>
      </c>
      <c r="I707" s="6">
        <v>2.92E-2</v>
      </c>
      <c r="J707" s="4">
        <f t="shared" ref="J707:J724" si="56">+_xlfn.RANK.EQ(H707,H:H,0)</f>
        <v>710</v>
      </c>
      <c r="K707" s="4">
        <f t="shared" ref="K707:K724" si="57">+_xlfn.RANK.EQ(I707,I:I,0)</f>
        <v>684</v>
      </c>
      <c r="L707" s="4">
        <f t="shared" ref="L707:L724" si="58">+J707+K707</f>
        <v>1394</v>
      </c>
      <c r="M707" s="4">
        <f t="shared" ref="M707:M724" si="59">+_xlfn.RANK.EQ(L707,L:L,1)</f>
        <v>705</v>
      </c>
    </row>
    <row r="708" spans="2:13" x14ac:dyDescent="0.2">
      <c r="B708" s="12" t="s">
        <v>2069</v>
      </c>
      <c r="C708" s="12" t="s">
        <v>2070</v>
      </c>
      <c r="D708" s="5" t="s">
        <v>2</v>
      </c>
      <c r="E708" s="5" t="s">
        <v>2071</v>
      </c>
      <c r="F708" s="5"/>
      <c r="G708" s="5">
        <v>87.56</v>
      </c>
      <c r="H708" s="6">
        <f t="shared" si="55"/>
        <v>1.1420740063956145E-2</v>
      </c>
      <c r="I708" s="6">
        <v>1.7999999999999999E-2</v>
      </c>
      <c r="J708" s="4">
        <f t="shared" si="56"/>
        <v>690</v>
      </c>
      <c r="K708" s="4">
        <f t="shared" si="57"/>
        <v>705</v>
      </c>
      <c r="L708" s="4">
        <f t="shared" si="58"/>
        <v>1395</v>
      </c>
      <c r="M708" s="4">
        <f t="shared" si="59"/>
        <v>706</v>
      </c>
    </row>
    <row r="709" spans="2:13" x14ac:dyDescent="0.2">
      <c r="B709" s="12" t="s">
        <v>2122</v>
      </c>
      <c r="C709" s="12" t="s">
        <v>2123</v>
      </c>
      <c r="D709" s="5" t="s">
        <v>2</v>
      </c>
      <c r="E709" s="5" t="s">
        <v>2124</v>
      </c>
      <c r="F709" s="5" t="s">
        <v>28</v>
      </c>
      <c r="G709" s="5">
        <v>192.44</v>
      </c>
      <c r="H709" s="6">
        <f t="shared" si="55"/>
        <v>5.1964248596965291E-3</v>
      </c>
      <c r="I709" s="6">
        <v>2.7699999999999999E-2</v>
      </c>
      <c r="J709" s="4">
        <f t="shared" si="56"/>
        <v>708</v>
      </c>
      <c r="K709" s="4">
        <f t="shared" si="57"/>
        <v>688</v>
      </c>
      <c r="L709" s="4">
        <f t="shared" si="58"/>
        <v>1396</v>
      </c>
      <c r="M709" s="4">
        <f t="shared" si="59"/>
        <v>707</v>
      </c>
    </row>
    <row r="710" spans="2:13" x14ac:dyDescent="0.2">
      <c r="B710" s="12" t="s">
        <v>2081</v>
      </c>
      <c r="C710" s="12" t="s">
        <v>2082</v>
      </c>
      <c r="D710" s="5" t="s">
        <v>2</v>
      </c>
      <c r="E710" s="5" t="s">
        <v>2083</v>
      </c>
      <c r="F710" s="5"/>
      <c r="G710" s="5">
        <v>92.6</v>
      </c>
      <c r="H710" s="6">
        <f t="shared" si="55"/>
        <v>1.0799136069114472E-2</v>
      </c>
      <c r="I710" s="6">
        <v>1.67E-2</v>
      </c>
      <c r="J710" s="4">
        <f t="shared" si="56"/>
        <v>694</v>
      </c>
      <c r="K710" s="4">
        <f t="shared" si="57"/>
        <v>707</v>
      </c>
      <c r="L710" s="4">
        <f t="shared" si="58"/>
        <v>1401</v>
      </c>
      <c r="M710" s="4">
        <f t="shared" si="59"/>
        <v>708</v>
      </c>
    </row>
    <row r="711" spans="2:13" x14ac:dyDescent="0.2">
      <c r="B711" s="12" t="s">
        <v>2107</v>
      </c>
      <c r="C711" s="12" t="s">
        <v>2108</v>
      </c>
      <c r="D711" s="5" t="s">
        <v>2</v>
      </c>
      <c r="E711" s="5" t="s">
        <v>2109</v>
      </c>
      <c r="F711" s="5" t="s">
        <v>4</v>
      </c>
      <c r="G711" s="5">
        <v>154.41</v>
      </c>
      <c r="H711" s="6">
        <f t="shared" si="55"/>
        <v>6.4762644906417978E-3</v>
      </c>
      <c r="I711" s="6">
        <v>0.02</v>
      </c>
      <c r="J711" s="4">
        <f t="shared" si="56"/>
        <v>703</v>
      </c>
      <c r="K711" s="4">
        <f t="shared" si="57"/>
        <v>702</v>
      </c>
      <c r="L711" s="4">
        <f t="shared" si="58"/>
        <v>1405</v>
      </c>
      <c r="M711" s="4">
        <f t="shared" si="59"/>
        <v>709</v>
      </c>
    </row>
    <row r="712" spans="2:13" x14ac:dyDescent="0.2">
      <c r="B712" s="12" t="s">
        <v>2087</v>
      </c>
      <c r="C712" s="12" t="s">
        <v>2088</v>
      </c>
      <c r="D712" s="5" t="s">
        <v>2</v>
      </c>
      <c r="E712" s="5" t="s">
        <v>2089</v>
      </c>
      <c r="F712" s="5" t="s">
        <v>4</v>
      </c>
      <c r="G712" s="5">
        <v>101.8</v>
      </c>
      <c r="H712" s="6">
        <f t="shared" si="55"/>
        <v>9.823182711198428E-3</v>
      </c>
      <c r="I712" s="6">
        <v>1.32E-2</v>
      </c>
      <c r="J712" s="4">
        <f t="shared" si="56"/>
        <v>696</v>
      </c>
      <c r="K712" s="4">
        <f t="shared" si="57"/>
        <v>714</v>
      </c>
      <c r="L712" s="4">
        <f t="shared" si="58"/>
        <v>1410</v>
      </c>
      <c r="M712" s="4">
        <f t="shared" si="59"/>
        <v>710</v>
      </c>
    </row>
    <row r="713" spans="2:13" ht="25.5" x14ac:dyDescent="0.2">
      <c r="B713" s="12" t="s">
        <v>2101</v>
      </c>
      <c r="C713" s="12" t="s">
        <v>2102</v>
      </c>
      <c r="D713" s="5" t="s">
        <v>2</v>
      </c>
      <c r="E713" s="5" t="s">
        <v>2103</v>
      </c>
      <c r="F713" s="5" t="s">
        <v>87</v>
      </c>
      <c r="G713" s="5">
        <v>150.04</v>
      </c>
      <c r="H713" s="6">
        <f t="shared" si="55"/>
        <v>6.664889362836577E-3</v>
      </c>
      <c r="I713" s="6">
        <v>1.5900000000000001E-2</v>
      </c>
      <c r="J713" s="4">
        <f t="shared" si="56"/>
        <v>701</v>
      </c>
      <c r="K713" s="4">
        <f t="shared" si="57"/>
        <v>710</v>
      </c>
      <c r="L713" s="4">
        <f t="shared" si="58"/>
        <v>1411</v>
      </c>
      <c r="M713" s="4">
        <f t="shared" si="59"/>
        <v>711</v>
      </c>
    </row>
    <row r="714" spans="2:13" x14ac:dyDescent="0.2">
      <c r="B714" s="12" t="s">
        <v>2110</v>
      </c>
      <c r="C714" s="12" t="s">
        <v>2111</v>
      </c>
      <c r="D714" s="5" t="s">
        <v>2</v>
      </c>
      <c r="E714" s="5" t="s">
        <v>2112</v>
      </c>
      <c r="F714" s="5" t="s">
        <v>4</v>
      </c>
      <c r="G714" s="5">
        <v>156.59</v>
      </c>
      <c r="H714" s="6">
        <f t="shared" si="55"/>
        <v>6.3861038380484065E-3</v>
      </c>
      <c r="I714" s="6">
        <v>1.6199999999999999E-2</v>
      </c>
      <c r="J714" s="4">
        <f t="shared" si="56"/>
        <v>704</v>
      </c>
      <c r="K714" s="4">
        <f t="shared" si="57"/>
        <v>709</v>
      </c>
      <c r="L714" s="4">
        <f t="shared" si="58"/>
        <v>1413</v>
      </c>
      <c r="M714" s="4">
        <f t="shared" si="59"/>
        <v>712</v>
      </c>
    </row>
    <row r="715" spans="2:13" ht="25.5" x14ac:dyDescent="0.2">
      <c r="B715" s="12" t="s">
        <v>2119</v>
      </c>
      <c r="C715" s="12" t="s">
        <v>2120</v>
      </c>
      <c r="D715" s="5" t="s">
        <v>2</v>
      </c>
      <c r="E715" s="5" t="s">
        <v>2121</v>
      </c>
      <c r="F715" s="5" t="s">
        <v>87</v>
      </c>
      <c r="G715" s="5">
        <v>176.65</v>
      </c>
      <c r="H715" s="6">
        <f t="shared" si="55"/>
        <v>5.6609114067364841E-3</v>
      </c>
      <c r="I715" s="6">
        <v>1.3599999999999999E-2</v>
      </c>
      <c r="J715" s="4">
        <f t="shared" si="56"/>
        <v>707</v>
      </c>
      <c r="K715" s="4">
        <f t="shared" si="57"/>
        <v>713</v>
      </c>
      <c r="L715" s="4">
        <f t="shared" si="58"/>
        <v>1420</v>
      </c>
      <c r="M715" s="4">
        <f t="shared" si="59"/>
        <v>713</v>
      </c>
    </row>
    <row r="716" spans="2:13" x14ac:dyDescent="0.2">
      <c r="B716" s="12" t="s">
        <v>2131</v>
      </c>
      <c r="C716" s="12" t="s">
        <v>2132</v>
      </c>
      <c r="D716" s="5" t="s">
        <v>2</v>
      </c>
      <c r="E716" s="5" t="s">
        <v>2133</v>
      </c>
      <c r="F716" s="5"/>
      <c r="G716" s="5">
        <v>205.88</v>
      </c>
      <c r="H716" s="6">
        <f t="shared" si="55"/>
        <v>4.8571983679813486E-3</v>
      </c>
      <c r="I716" s="6">
        <v>4.5999999999999999E-3</v>
      </c>
      <c r="J716" s="4">
        <f t="shared" si="56"/>
        <v>711</v>
      </c>
      <c r="K716" s="4">
        <f t="shared" si="57"/>
        <v>718</v>
      </c>
      <c r="L716" s="4">
        <f t="shared" si="58"/>
        <v>1429</v>
      </c>
      <c r="M716" s="4">
        <f t="shared" si="59"/>
        <v>714</v>
      </c>
    </row>
    <row r="717" spans="2:13" x14ac:dyDescent="0.2">
      <c r="B717" s="12" t="s">
        <v>2152</v>
      </c>
      <c r="C717" s="12" t="s">
        <v>2153</v>
      </c>
      <c r="D717" s="5" t="s">
        <v>2</v>
      </c>
      <c r="E717" s="5" t="s">
        <v>2154</v>
      </c>
      <c r="F717" s="5" t="s">
        <v>28</v>
      </c>
      <c r="G717" s="5">
        <v>417.18</v>
      </c>
      <c r="H717" s="6">
        <f t="shared" si="55"/>
        <v>2.3970468382952205E-3</v>
      </c>
      <c r="I717" s="6">
        <v>1.4500000000000001E-2</v>
      </c>
      <c r="J717" s="4">
        <f t="shared" si="56"/>
        <v>718</v>
      </c>
      <c r="K717" s="4">
        <f t="shared" si="57"/>
        <v>711</v>
      </c>
      <c r="L717" s="4">
        <f t="shared" si="58"/>
        <v>1429</v>
      </c>
      <c r="M717" s="4">
        <f t="shared" si="59"/>
        <v>714</v>
      </c>
    </row>
    <row r="718" spans="2:13" ht="25.5" x14ac:dyDescent="0.2">
      <c r="B718" s="12" t="s">
        <v>2140</v>
      </c>
      <c r="C718" s="12" t="s">
        <v>2141</v>
      </c>
      <c r="D718" s="5" t="s">
        <v>2</v>
      </c>
      <c r="E718" s="5" t="s">
        <v>2142</v>
      </c>
      <c r="F718" s="5" t="s">
        <v>122</v>
      </c>
      <c r="G718" s="5">
        <v>237.31</v>
      </c>
      <c r="H718" s="6">
        <f t="shared" si="55"/>
        <v>4.2138974337364628E-3</v>
      </c>
      <c r="I718" s="6">
        <v>4.1999999999999997E-3</v>
      </c>
      <c r="J718" s="4">
        <f t="shared" si="56"/>
        <v>714</v>
      </c>
      <c r="K718" s="4">
        <f t="shared" si="57"/>
        <v>719</v>
      </c>
      <c r="L718" s="4">
        <f t="shared" si="58"/>
        <v>1433</v>
      </c>
      <c r="M718" s="4">
        <f t="shared" si="59"/>
        <v>716</v>
      </c>
    </row>
    <row r="719" spans="2:13" ht="25.5" x14ac:dyDescent="0.2">
      <c r="B719" s="12" t="s">
        <v>2146</v>
      </c>
      <c r="C719" s="12" t="s">
        <v>2147</v>
      </c>
      <c r="D719" s="5" t="s">
        <v>2</v>
      </c>
      <c r="E719" s="5" t="s">
        <v>2148</v>
      </c>
      <c r="F719" s="5" t="s">
        <v>87</v>
      </c>
      <c r="G719" s="5">
        <v>348.49</v>
      </c>
      <c r="H719" s="6">
        <f t="shared" si="55"/>
        <v>2.8695227983586329E-3</v>
      </c>
      <c r="I719" s="6">
        <v>5.7999999999999996E-3</v>
      </c>
      <c r="J719" s="4">
        <f t="shared" si="56"/>
        <v>716</v>
      </c>
      <c r="K719" s="4">
        <f t="shared" si="57"/>
        <v>717</v>
      </c>
      <c r="L719" s="4">
        <f t="shared" si="58"/>
        <v>1433</v>
      </c>
      <c r="M719" s="4">
        <f t="shared" si="59"/>
        <v>716</v>
      </c>
    </row>
    <row r="720" spans="2:13" ht="25.5" x14ac:dyDescent="0.2">
      <c r="B720" s="12" t="s">
        <v>2155</v>
      </c>
      <c r="C720" s="12" t="s">
        <v>2156</v>
      </c>
      <c r="D720" s="5" t="s">
        <v>2</v>
      </c>
      <c r="E720" s="5" t="s">
        <v>2157</v>
      </c>
      <c r="F720" s="5" t="s">
        <v>53</v>
      </c>
      <c r="G720" s="5">
        <v>720.38</v>
      </c>
      <c r="H720" s="6">
        <f t="shared" si="55"/>
        <v>1.3881562508675977E-3</v>
      </c>
      <c r="I720" s="6">
        <v>1.23E-2</v>
      </c>
      <c r="J720" s="4">
        <f t="shared" si="56"/>
        <v>719</v>
      </c>
      <c r="K720" s="4">
        <f t="shared" si="57"/>
        <v>715</v>
      </c>
      <c r="L720" s="4">
        <f t="shared" si="58"/>
        <v>1434</v>
      </c>
      <c r="M720" s="4">
        <f t="shared" si="59"/>
        <v>718</v>
      </c>
    </row>
    <row r="721" spans="2:13" ht="25.5" x14ac:dyDescent="0.2">
      <c r="B721" s="12" t="s">
        <v>2143</v>
      </c>
      <c r="C721" s="12" t="s">
        <v>2144</v>
      </c>
      <c r="D721" s="5" t="s">
        <v>2</v>
      </c>
      <c r="E721" s="5" t="s">
        <v>2145</v>
      </c>
      <c r="F721" s="5" t="s">
        <v>53</v>
      </c>
      <c r="G721" s="5">
        <v>313.14999999999998</v>
      </c>
      <c r="H721" s="6">
        <f t="shared" si="55"/>
        <v>3.1933578157432542E-3</v>
      </c>
      <c r="I721" s="6">
        <v>3.5999999999999999E-3</v>
      </c>
      <c r="J721" s="4">
        <f t="shared" si="56"/>
        <v>715</v>
      </c>
      <c r="K721" s="4">
        <f t="shared" si="57"/>
        <v>720</v>
      </c>
      <c r="L721" s="4">
        <f t="shared" si="58"/>
        <v>1435</v>
      </c>
      <c r="M721" s="4">
        <f t="shared" si="59"/>
        <v>719</v>
      </c>
    </row>
    <row r="722" spans="2:13" ht="25.5" x14ac:dyDescent="0.2">
      <c r="B722" s="12" t="s">
        <v>2158</v>
      </c>
      <c r="C722" s="12" t="s">
        <v>2159</v>
      </c>
      <c r="D722" s="5" t="s">
        <v>2</v>
      </c>
      <c r="E722" s="5" t="s">
        <v>2160</v>
      </c>
      <c r="F722" s="5" t="s">
        <v>87</v>
      </c>
      <c r="G722" s="5">
        <v>988.27</v>
      </c>
      <c r="H722" s="6">
        <f t="shared" si="55"/>
        <v>1.011869226021229E-3</v>
      </c>
      <c r="I722" s="6">
        <v>1.04E-2</v>
      </c>
      <c r="J722" s="4">
        <f t="shared" si="56"/>
        <v>720</v>
      </c>
      <c r="K722" s="4">
        <f t="shared" si="57"/>
        <v>716</v>
      </c>
      <c r="L722" s="4">
        <f t="shared" si="58"/>
        <v>1436</v>
      </c>
      <c r="M722" s="4">
        <f t="shared" si="59"/>
        <v>720</v>
      </c>
    </row>
    <row r="723" spans="2:13" ht="25.5" x14ac:dyDescent="0.2">
      <c r="B723" s="12" t="s">
        <v>2161</v>
      </c>
      <c r="C723" s="12" t="s">
        <v>2162</v>
      </c>
      <c r="D723" s="5" t="s">
        <v>2</v>
      </c>
      <c r="E723" s="5" t="s">
        <v>2163</v>
      </c>
      <c r="F723" s="5" t="s">
        <v>122</v>
      </c>
      <c r="G723" s="5">
        <v>2065.83</v>
      </c>
      <c r="H723" s="6">
        <f t="shared" si="55"/>
        <v>4.8406693677601739E-4</v>
      </c>
      <c r="I723" s="6">
        <v>1.2999999999999999E-3</v>
      </c>
      <c r="J723" s="4">
        <f t="shared" si="56"/>
        <v>721</v>
      </c>
      <c r="K723" s="4">
        <f t="shared" si="57"/>
        <v>722</v>
      </c>
      <c r="L723" s="4">
        <f t="shared" si="58"/>
        <v>1443</v>
      </c>
      <c r="M723" s="4">
        <f t="shared" si="59"/>
        <v>721</v>
      </c>
    </row>
    <row r="724" spans="2:13" ht="25.5" x14ac:dyDescent="0.2">
      <c r="B724" s="12" t="s">
        <v>2164</v>
      </c>
      <c r="C724" s="12" t="s">
        <v>2165</v>
      </c>
      <c r="D724" s="5" t="s">
        <v>2</v>
      </c>
      <c r="E724" s="5" t="s">
        <v>2166</v>
      </c>
      <c r="F724" s="5" t="s">
        <v>87</v>
      </c>
      <c r="G724" s="5">
        <v>4538.8100000000004</v>
      </c>
      <c r="H724" s="6">
        <f t="shared" si="55"/>
        <v>2.203220667972442E-4</v>
      </c>
      <c r="I724" s="6">
        <v>1.6000000000000001E-3</v>
      </c>
      <c r="J724" s="4">
        <f t="shared" si="56"/>
        <v>722</v>
      </c>
      <c r="K724" s="4">
        <f t="shared" si="57"/>
        <v>721</v>
      </c>
      <c r="L724" s="4">
        <f t="shared" si="58"/>
        <v>1443</v>
      </c>
      <c r="M724" s="4">
        <f t="shared" si="59"/>
        <v>721</v>
      </c>
    </row>
  </sheetData>
  <autoFilter ref="B2:AF2" xr:uid="{5493C874-1C83-E249-B51F-9ABB888FA74F}">
    <sortState xmlns:xlrd2="http://schemas.microsoft.com/office/spreadsheetml/2017/richdata2" ref="B3:AF724">
      <sortCondition ref="M2"/>
    </sortState>
  </autoFilter>
  <hyperlinks>
    <hyperlink ref="A1" location="Inicio!A1" display="Inicio" xr:uid="{589175FF-95A7-4A5D-88CA-BE90E13356E8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059EC-2515-FF41-B966-FC42C111076B}">
  <sheetPr>
    <tabColor rgb="FFFF0000"/>
  </sheetPr>
  <dimension ref="A1:O1048574"/>
  <sheetViews>
    <sheetView showGridLines="0" zoomScale="120" zoomScaleNormal="120" zoomScaleSheetLayoutView="100" workbookViewId="0"/>
  </sheetViews>
  <sheetFormatPr defaultColWidth="9" defaultRowHeight="15" x14ac:dyDescent="0.25"/>
  <cols>
    <col min="2" max="2" width="7.85546875" bestFit="1" customWidth="1"/>
    <col min="3" max="3" width="7.85546875" customWidth="1"/>
    <col min="4" max="4" width="37.85546875" customWidth="1"/>
    <col min="5" max="5" width="11" customWidth="1"/>
    <col min="6" max="6" width="15.85546875" customWidth="1"/>
    <col min="7" max="7" width="32.5703125" customWidth="1"/>
    <col min="8" max="9" width="10.42578125" bestFit="1" customWidth="1"/>
    <col min="10" max="10" width="14.85546875" style="5" customWidth="1"/>
    <col min="11" max="11" width="11.28515625" bestFit="1" customWidth="1"/>
    <col min="12" max="12" width="6.140625" bestFit="1" customWidth="1"/>
    <col min="13" max="13" width="6.85546875" bestFit="1" customWidth="1"/>
    <col min="14" max="14" width="6.7109375" bestFit="1" customWidth="1"/>
    <col min="15" max="15" width="16.7109375" style="5" customWidth="1"/>
  </cols>
  <sheetData>
    <row r="1" spans="1:15" x14ac:dyDescent="0.25">
      <c r="A1" s="879" t="s">
        <v>2821</v>
      </c>
    </row>
    <row r="2" spans="1:15" x14ac:dyDescent="0.25">
      <c r="B2" s="1" t="s">
        <v>2167</v>
      </c>
      <c r="C2" s="950"/>
      <c r="D2" s="1" t="s">
        <v>2168</v>
      </c>
      <c r="E2" s="1" t="s">
        <v>2169</v>
      </c>
      <c r="F2" s="1" t="s">
        <v>2170</v>
      </c>
      <c r="G2" s="1" t="s">
        <v>2171</v>
      </c>
      <c r="H2" s="1" t="s">
        <v>2172</v>
      </c>
      <c r="I2" s="2" t="s">
        <v>2174</v>
      </c>
      <c r="J2" s="2" t="s">
        <v>2173</v>
      </c>
      <c r="K2" s="7" t="s">
        <v>2179</v>
      </c>
      <c r="L2" s="9" t="s">
        <v>2181</v>
      </c>
      <c r="M2" s="9" t="s">
        <v>2182</v>
      </c>
      <c r="N2" s="9" t="s">
        <v>2184</v>
      </c>
      <c r="O2" s="9" t="s">
        <v>2185</v>
      </c>
    </row>
    <row r="3" spans="1:15" x14ac:dyDescent="0.25">
      <c r="B3" s="22" t="s">
        <v>19</v>
      </c>
      <c r="C3" s="22"/>
      <c r="D3" s="22" t="s">
        <v>20</v>
      </c>
      <c r="E3" s="796" t="s">
        <v>2</v>
      </c>
      <c r="F3" s="796" t="s">
        <v>21</v>
      </c>
      <c r="G3" s="796" t="s">
        <v>8</v>
      </c>
      <c r="H3" s="796">
        <v>3.39</v>
      </c>
      <c r="I3" s="797">
        <f t="shared" ref="I3:I22" si="0">1/H3</f>
        <v>0.29498525073746312</v>
      </c>
      <c r="J3" s="797">
        <v>0.55289999999999995</v>
      </c>
      <c r="K3" s="796">
        <v>173.38</v>
      </c>
      <c r="L3" s="797">
        <f>100%/20</f>
        <v>0.05</v>
      </c>
      <c r="M3" s="798">
        <f t="shared" ref="M3:M22" si="1">+L3*$H$26</f>
        <v>1000</v>
      </c>
      <c r="N3" s="796">
        <f>ROUNDDOWN(M3/K3,)</f>
        <v>5</v>
      </c>
      <c r="O3" s="798">
        <f>+N3*K3</f>
        <v>866.9</v>
      </c>
    </row>
    <row r="4" spans="1:15" x14ac:dyDescent="0.25">
      <c r="B4" s="22" t="s">
        <v>9</v>
      </c>
      <c r="C4" s="22"/>
      <c r="D4" s="22" t="s">
        <v>10</v>
      </c>
      <c r="E4" s="796" t="s">
        <v>2</v>
      </c>
      <c r="F4" s="796" t="s">
        <v>11</v>
      </c>
      <c r="G4" s="796" t="s">
        <v>8</v>
      </c>
      <c r="H4" s="796">
        <v>2.08</v>
      </c>
      <c r="I4" s="797">
        <f t="shared" si="0"/>
        <v>0.48076923076923073</v>
      </c>
      <c r="J4" s="797">
        <v>0.49270000000000003</v>
      </c>
      <c r="K4" s="796">
        <v>6.5</v>
      </c>
      <c r="L4" s="797">
        <f t="shared" ref="L4:L22" si="2">100%/20</f>
        <v>0.05</v>
      </c>
      <c r="M4" s="798">
        <f t="shared" si="1"/>
        <v>1000</v>
      </c>
      <c r="N4" s="796">
        <f t="shared" ref="N4:N22" si="3">ROUNDDOWN(M4/K4,)</f>
        <v>153</v>
      </c>
      <c r="O4" s="798">
        <f t="shared" ref="O4:O22" si="4">+N4*K4</f>
        <v>994.5</v>
      </c>
    </row>
    <row r="5" spans="1:15" x14ac:dyDescent="0.25">
      <c r="B5" s="22" t="s">
        <v>25</v>
      </c>
      <c r="C5" s="22"/>
      <c r="D5" s="22" t="s">
        <v>26</v>
      </c>
      <c r="E5" s="796" t="s">
        <v>2</v>
      </c>
      <c r="F5" s="796" t="s">
        <v>27</v>
      </c>
      <c r="G5" s="796" t="s">
        <v>28</v>
      </c>
      <c r="H5" s="796">
        <v>3.96</v>
      </c>
      <c r="I5" s="797">
        <f t="shared" si="0"/>
        <v>0.25252525252525254</v>
      </c>
      <c r="J5" s="797">
        <v>0.45019999999999999</v>
      </c>
      <c r="K5" s="796">
        <v>57.98</v>
      </c>
      <c r="L5" s="797">
        <f t="shared" si="2"/>
        <v>0.05</v>
      </c>
      <c r="M5" s="798">
        <f t="shared" si="1"/>
        <v>1000</v>
      </c>
      <c r="N5" s="796">
        <f t="shared" si="3"/>
        <v>17</v>
      </c>
      <c r="O5" s="798">
        <f t="shared" si="4"/>
        <v>985.66</v>
      </c>
    </row>
    <row r="6" spans="1:15" x14ac:dyDescent="0.25">
      <c r="B6" s="22" t="s">
        <v>38</v>
      </c>
      <c r="C6" s="22"/>
      <c r="D6" s="22" t="s">
        <v>39</v>
      </c>
      <c r="E6" s="796" t="s">
        <v>2</v>
      </c>
      <c r="F6" s="796" t="s">
        <v>40</v>
      </c>
      <c r="G6" s="796" t="s">
        <v>8</v>
      </c>
      <c r="H6" s="796">
        <v>4.79</v>
      </c>
      <c r="I6" s="797">
        <f t="shared" si="0"/>
        <v>0.20876826722338204</v>
      </c>
      <c r="J6" s="797">
        <v>0.44640000000000002</v>
      </c>
      <c r="K6" s="796">
        <v>36.01</v>
      </c>
      <c r="L6" s="797">
        <f t="shared" si="2"/>
        <v>0.05</v>
      </c>
      <c r="M6" s="798">
        <f t="shared" si="1"/>
        <v>1000</v>
      </c>
      <c r="N6" s="796">
        <f t="shared" si="3"/>
        <v>27</v>
      </c>
      <c r="O6" s="798">
        <f t="shared" si="4"/>
        <v>972.27</v>
      </c>
    </row>
    <row r="7" spans="1:15" x14ac:dyDescent="0.25">
      <c r="B7" s="22" t="s">
        <v>69</v>
      </c>
      <c r="C7" s="22"/>
      <c r="D7" s="22" t="s">
        <v>70</v>
      </c>
      <c r="E7" s="796" t="s">
        <v>2</v>
      </c>
      <c r="F7" s="796" t="s">
        <v>71</v>
      </c>
      <c r="G7" s="796" t="s">
        <v>8</v>
      </c>
      <c r="H7" s="796">
        <v>5.94</v>
      </c>
      <c r="I7" s="797">
        <f t="shared" si="0"/>
        <v>0.16835016835016833</v>
      </c>
      <c r="J7" s="797">
        <v>0.44419999999999998</v>
      </c>
      <c r="K7" s="796">
        <v>54.4</v>
      </c>
      <c r="L7" s="797">
        <f t="shared" si="2"/>
        <v>0.05</v>
      </c>
      <c r="M7" s="798">
        <f t="shared" si="1"/>
        <v>1000</v>
      </c>
      <c r="N7" s="796">
        <f t="shared" si="3"/>
        <v>18</v>
      </c>
      <c r="O7" s="798">
        <f t="shared" si="4"/>
        <v>979.19999999999993</v>
      </c>
    </row>
    <row r="8" spans="1:15" x14ac:dyDescent="0.25">
      <c r="B8" s="22" t="s">
        <v>81</v>
      </c>
      <c r="C8" s="22"/>
      <c r="D8" s="22" t="s">
        <v>82</v>
      </c>
      <c r="E8" s="796" t="s">
        <v>2</v>
      </c>
      <c r="F8" s="796" t="s">
        <v>83</v>
      </c>
      <c r="G8" s="796" t="s">
        <v>53</v>
      </c>
      <c r="H8" s="796">
        <v>6.27</v>
      </c>
      <c r="I8" s="797">
        <f t="shared" si="0"/>
        <v>0.15948963317384371</v>
      </c>
      <c r="J8" s="797">
        <v>0.4002</v>
      </c>
      <c r="K8" s="796">
        <v>394.63</v>
      </c>
      <c r="L8" s="797">
        <f t="shared" si="2"/>
        <v>0.05</v>
      </c>
      <c r="M8" s="798">
        <f t="shared" si="1"/>
        <v>1000</v>
      </c>
      <c r="N8" s="796">
        <f t="shared" si="3"/>
        <v>2</v>
      </c>
      <c r="O8" s="798">
        <f t="shared" si="4"/>
        <v>789.26</v>
      </c>
    </row>
    <row r="9" spans="1:15" x14ac:dyDescent="0.25">
      <c r="B9" s="22" t="s">
        <v>144</v>
      </c>
      <c r="C9" s="22"/>
      <c r="D9" s="22" t="s">
        <v>145</v>
      </c>
      <c r="E9" s="796" t="s">
        <v>2</v>
      </c>
      <c r="F9" s="796" t="s">
        <v>146</v>
      </c>
      <c r="G9" s="796" t="s">
        <v>91</v>
      </c>
      <c r="H9" s="796">
        <v>7.98</v>
      </c>
      <c r="I9" s="797">
        <f t="shared" si="0"/>
        <v>0.12531328320802004</v>
      </c>
      <c r="J9" s="797">
        <v>0.50560000000000005</v>
      </c>
      <c r="K9" s="796">
        <v>42.44</v>
      </c>
      <c r="L9" s="797">
        <f t="shared" si="2"/>
        <v>0.05</v>
      </c>
      <c r="M9" s="798">
        <f t="shared" si="1"/>
        <v>1000</v>
      </c>
      <c r="N9" s="796">
        <f t="shared" si="3"/>
        <v>23</v>
      </c>
      <c r="O9" s="798">
        <f t="shared" si="4"/>
        <v>976.11999999999989</v>
      </c>
    </row>
    <row r="10" spans="1:15" x14ac:dyDescent="0.25">
      <c r="B10" s="22" t="s">
        <v>32</v>
      </c>
      <c r="C10" s="22"/>
      <c r="D10" s="22" t="s">
        <v>33</v>
      </c>
      <c r="E10" s="796" t="s">
        <v>2</v>
      </c>
      <c r="F10" s="796" t="s">
        <v>34</v>
      </c>
      <c r="G10" s="796" t="s">
        <v>8</v>
      </c>
      <c r="H10" s="796">
        <v>4.55</v>
      </c>
      <c r="I10" s="797">
        <f t="shared" si="0"/>
        <v>0.21978021978021978</v>
      </c>
      <c r="J10" s="797">
        <v>0.33750000000000002</v>
      </c>
      <c r="K10" s="796">
        <v>30.48</v>
      </c>
      <c r="L10" s="797">
        <f t="shared" si="2"/>
        <v>0.05</v>
      </c>
      <c r="M10" s="798">
        <f t="shared" si="1"/>
        <v>1000</v>
      </c>
      <c r="N10" s="796">
        <f t="shared" si="3"/>
        <v>32</v>
      </c>
      <c r="O10" s="798">
        <f t="shared" si="4"/>
        <v>975.36</v>
      </c>
    </row>
    <row r="11" spans="1:15" x14ac:dyDescent="0.25">
      <c r="B11" s="22" t="s">
        <v>22</v>
      </c>
      <c r="C11" s="22"/>
      <c r="D11" s="22" t="s">
        <v>23</v>
      </c>
      <c r="E11" s="796" t="s">
        <v>2</v>
      </c>
      <c r="F11" s="796" t="s">
        <v>24</v>
      </c>
      <c r="G11" s="796" t="s">
        <v>8</v>
      </c>
      <c r="H11" s="796">
        <v>3.4</v>
      </c>
      <c r="I11" s="797">
        <f t="shared" si="0"/>
        <v>0.29411764705882354</v>
      </c>
      <c r="J11" s="797">
        <v>0.3301</v>
      </c>
      <c r="K11" s="796">
        <v>133.6</v>
      </c>
      <c r="L11" s="797">
        <f t="shared" si="2"/>
        <v>0.05</v>
      </c>
      <c r="M11" s="798">
        <f t="shared" si="1"/>
        <v>1000</v>
      </c>
      <c r="N11" s="796">
        <f t="shared" si="3"/>
        <v>7</v>
      </c>
      <c r="O11" s="798">
        <f t="shared" si="4"/>
        <v>935.19999999999993</v>
      </c>
    </row>
    <row r="12" spans="1:15" x14ac:dyDescent="0.25">
      <c r="B12" s="22" t="s">
        <v>92</v>
      </c>
      <c r="C12" s="22"/>
      <c r="D12" s="22" t="s">
        <v>93</v>
      </c>
      <c r="E12" s="796" t="s">
        <v>2</v>
      </c>
      <c r="F12" s="796" t="s">
        <v>94</v>
      </c>
      <c r="G12" s="796" t="s">
        <v>28</v>
      </c>
      <c r="H12" s="796">
        <v>6.5</v>
      </c>
      <c r="I12" s="797">
        <f t="shared" si="0"/>
        <v>0.15384615384615385</v>
      </c>
      <c r="J12" s="797">
        <v>0.37640000000000001</v>
      </c>
      <c r="K12" s="796">
        <v>159.49</v>
      </c>
      <c r="L12" s="797">
        <f t="shared" si="2"/>
        <v>0.05</v>
      </c>
      <c r="M12" s="798">
        <f t="shared" si="1"/>
        <v>1000</v>
      </c>
      <c r="N12" s="796">
        <f t="shared" si="3"/>
        <v>6</v>
      </c>
      <c r="O12" s="798">
        <f t="shared" si="4"/>
        <v>956.94</v>
      </c>
    </row>
    <row r="13" spans="1:15" x14ac:dyDescent="0.25">
      <c r="B13" s="22" t="s">
        <v>171</v>
      </c>
      <c r="C13" s="22"/>
      <c r="D13" s="22" t="s">
        <v>172</v>
      </c>
      <c r="E13" s="796" t="s">
        <v>2</v>
      </c>
      <c r="F13" s="796" t="s">
        <v>173</v>
      </c>
      <c r="G13" s="796" t="s">
        <v>87</v>
      </c>
      <c r="H13" s="796">
        <v>8.5399999999999991</v>
      </c>
      <c r="I13" s="797">
        <f t="shared" si="0"/>
        <v>0.117096018735363</v>
      </c>
      <c r="J13" s="797">
        <v>0.50180000000000002</v>
      </c>
      <c r="K13" s="796">
        <v>30.28</v>
      </c>
      <c r="L13" s="797">
        <f t="shared" si="2"/>
        <v>0.05</v>
      </c>
      <c r="M13" s="798">
        <f t="shared" si="1"/>
        <v>1000</v>
      </c>
      <c r="N13" s="796">
        <f t="shared" si="3"/>
        <v>33</v>
      </c>
      <c r="O13" s="798">
        <f t="shared" si="4"/>
        <v>999.24</v>
      </c>
    </row>
    <row r="14" spans="1:15" x14ac:dyDescent="0.25">
      <c r="B14" s="22" t="s">
        <v>12</v>
      </c>
      <c r="C14" s="22"/>
      <c r="D14" s="22" t="s">
        <v>13</v>
      </c>
      <c r="E14" s="796" t="s">
        <v>2</v>
      </c>
      <c r="F14" s="796" t="s">
        <v>14</v>
      </c>
      <c r="G14" s="796" t="s">
        <v>8</v>
      </c>
      <c r="H14" s="796">
        <v>2.89</v>
      </c>
      <c r="I14" s="797">
        <f t="shared" si="0"/>
        <v>0.34602076124567471</v>
      </c>
      <c r="J14" s="797">
        <v>0.31390000000000001</v>
      </c>
      <c r="K14" s="796">
        <v>76.92</v>
      </c>
      <c r="L14" s="797">
        <f t="shared" si="2"/>
        <v>0.05</v>
      </c>
      <c r="M14" s="798">
        <f t="shared" si="1"/>
        <v>1000</v>
      </c>
      <c r="N14" s="796">
        <f t="shared" si="3"/>
        <v>13</v>
      </c>
      <c r="O14" s="798">
        <f t="shared" si="4"/>
        <v>999.96</v>
      </c>
    </row>
    <row r="15" spans="1:15" x14ac:dyDescent="0.25">
      <c r="B15" s="22" t="s">
        <v>5</v>
      </c>
      <c r="C15" s="22"/>
      <c r="D15" s="22" t="s">
        <v>6</v>
      </c>
      <c r="E15" s="796" t="s">
        <v>2</v>
      </c>
      <c r="F15" s="796" t="s">
        <v>7</v>
      </c>
      <c r="G15" s="796" t="s">
        <v>8</v>
      </c>
      <c r="H15" s="796">
        <v>1.82</v>
      </c>
      <c r="I15" s="797">
        <f t="shared" si="0"/>
        <v>0.54945054945054939</v>
      </c>
      <c r="J15" s="797">
        <v>0.29620000000000002</v>
      </c>
      <c r="K15" s="796">
        <v>46.88</v>
      </c>
      <c r="L15" s="797">
        <f t="shared" si="2"/>
        <v>0.05</v>
      </c>
      <c r="M15" s="798">
        <f t="shared" si="1"/>
        <v>1000</v>
      </c>
      <c r="N15" s="796">
        <f t="shared" si="3"/>
        <v>21</v>
      </c>
      <c r="O15" s="798">
        <f t="shared" si="4"/>
        <v>984.48</v>
      </c>
    </row>
    <row r="16" spans="1:15" x14ac:dyDescent="0.25">
      <c r="B16" s="22" t="s">
        <v>75</v>
      </c>
      <c r="C16" s="22"/>
      <c r="D16" s="22" t="s">
        <v>76</v>
      </c>
      <c r="E16" s="796" t="s">
        <v>2</v>
      </c>
      <c r="F16" s="796" t="s">
        <v>77</v>
      </c>
      <c r="G16" s="796" t="s">
        <v>53</v>
      </c>
      <c r="H16" s="796">
        <v>6.02</v>
      </c>
      <c r="I16" s="797">
        <f t="shared" si="0"/>
        <v>0.16611295681063123</v>
      </c>
      <c r="J16" s="797">
        <v>0.28129999999999999</v>
      </c>
      <c r="K16" s="796">
        <v>102.94</v>
      </c>
      <c r="L16" s="797">
        <f t="shared" si="2"/>
        <v>0.05</v>
      </c>
      <c r="M16" s="798">
        <f t="shared" si="1"/>
        <v>1000</v>
      </c>
      <c r="N16" s="796">
        <f t="shared" si="3"/>
        <v>9</v>
      </c>
      <c r="O16" s="798">
        <f t="shared" si="4"/>
        <v>926.46</v>
      </c>
    </row>
    <row r="17" spans="2:15" x14ac:dyDescent="0.25">
      <c r="B17" s="22" t="s">
        <v>35</v>
      </c>
      <c r="C17" s="22"/>
      <c r="D17" s="22" t="s">
        <v>36</v>
      </c>
      <c r="E17" s="796" t="s">
        <v>2</v>
      </c>
      <c r="F17" s="796" t="s">
        <v>37</v>
      </c>
      <c r="G17" s="796" t="s">
        <v>8</v>
      </c>
      <c r="H17" s="796">
        <v>4.76</v>
      </c>
      <c r="I17" s="797">
        <f t="shared" si="0"/>
        <v>0.21008403361344538</v>
      </c>
      <c r="J17" s="797">
        <v>0.26340000000000002</v>
      </c>
      <c r="K17" s="796">
        <v>167.15</v>
      </c>
      <c r="L17" s="797">
        <f t="shared" si="2"/>
        <v>0.05</v>
      </c>
      <c r="M17" s="798">
        <f t="shared" si="1"/>
        <v>1000</v>
      </c>
      <c r="N17" s="796">
        <f t="shared" si="3"/>
        <v>5</v>
      </c>
      <c r="O17" s="798">
        <f t="shared" si="4"/>
        <v>835.75</v>
      </c>
    </row>
    <row r="18" spans="2:15" x14ac:dyDescent="0.25">
      <c r="B18" s="22" t="s">
        <v>63</v>
      </c>
      <c r="C18" s="22"/>
      <c r="D18" s="22" t="s">
        <v>64</v>
      </c>
      <c r="E18" s="796" t="s">
        <v>2</v>
      </c>
      <c r="F18" s="796" t="s">
        <v>65</v>
      </c>
      <c r="G18" s="796" t="s">
        <v>28</v>
      </c>
      <c r="H18" s="796">
        <v>5.82</v>
      </c>
      <c r="I18" s="797">
        <f t="shared" si="0"/>
        <v>0.1718213058419244</v>
      </c>
      <c r="J18" s="797">
        <v>0.26579999999999998</v>
      </c>
      <c r="K18" s="796">
        <v>121.14</v>
      </c>
      <c r="L18" s="797">
        <f t="shared" si="2"/>
        <v>0.05</v>
      </c>
      <c r="M18" s="798">
        <f t="shared" si="1"/>
        <v>1000</v>
      </c>
      <c r="N18" s="796">
        <f t="shared" si="3"/>
        <v>8</v>
      </c>
      <c r="O18" s="798">
        <f t="shared" si="4"/>
        <v>969.12</v>
      </c>
    </row>
    <row r="19" spans="2:15" x14ac:dyDescent="0.25">
      <c r="B19" s="22" t="s">
        <v>279</v>
      </c>
      <c r="C19" s="22"/>
      <c r="D19" s="22" t="s">
        <v>280</v>
      </c>
      <c r="E19" s="796" t="s">
        <v>2</v>
      </c>
      <c r="F19" s="796" t="s">
        <v>281</v>
      </c>
      <c r="G19" s="796" t="s">
        <v>53</v>
      </c>
      <c r="H19" s="796">
        <v>10.45</v>
      </c>
      <c r="I19" s="797">
        <f t="shared" si="0"/>
        <v>9.569377990430622E-2</v>
      </c>
      <c r="J19" s="797">
        <v>0.39879999999999999</v>
      </c>
      <c r="K19" s="796">
        <v>203.21</v>
      </c>
      <c r="L19" s="797">
        <f t="shared" si="2"/>
        <v>0.05</v>
      </c>
      <c r="M19" s="798">
        <f t="shared" si="1"/>
        <v>1000</v>
      </c>
      <c r="N19" s="796">
        <f t="shared" si="3"/>
        <v>4</v>
      </c>
      <c r="O19" s="798">
        <f t="shared" si="4"/>
        <v>812.84</v>
      </c>
    </row>
    <row r="20" spans="2:15" x14ac:dyDescent="0.25">
      <c r="B20" s="22" t="s">
        <v>303</v>
      </c>
      <c r="C20" s="22"/>
      <c r="D20" s="22" t="s">
        <v>304</v>
      </c>
      <c r="E20" s="796" t="s">
        <v>2</v>
      </c>
      <c r="F20" s="796" t="s">
        <v>305</v>
      </c>
      <c r="G20" s="796" t="s">
        <v>53</v>
      </c>
      <c r="H20" s="796">
        <v>10.92</v>
      </c>
      <c r="I20" s="797">
        <f t="shared" si="0"/>
        <v>9.1575091575091569E-2</v>
      </c>
      <c r="J20" s="797">
        <v>0.41060000000000002</v>
      </c>
      <c r="K20" s="796">
        <v>47.28</v>
      </c>
      <c r="L20" s="797">
        <f t="shared" si="2"/>
        <v>0.05</v>
      </c>
      <c r="M20" s="798">
        <f t="shared" si="1"/>
        <v>1000</v>
      </c>
      <c r="N20" s="796">
        <f t="shared" si="3"/>
        <v>21</v>
      </c>
      <c r="O20" s="798">
        <f t="shared" si="4"/>
        <v>992.88</v>
      </c>
    </row>
    <row r="21" spans="2:15" x14ac:dyDescent="0.25">
      <c r="B21" s="22" t="s">
        <v>60</v>
      </c>
      <c r="C21" s="22"/>
      <c r="D21" s="22" t="s">
        <v>61</v>
      </c>
      <c r="E21" s="796" t="s">
        <v>2</v>
      </c>
      <c r="F21" s="796" t="s">
        <v>62</v>
      </c>
      <c r="G21" s="796" t="s">
        <v>18</v>
      </c>
      <c r="H21" s="796">
        <v>5.74</v>
      </c>
      <c r="I21" s="797">
        <f t="shared" si="0"/>
        <v>0.17421602787456444</v>
      </c>
      <c r="J21" s="797">
        <v>0.2626</v>
      </c>
      <c r="K21" s="796">
        <v>123.32</v>
      </c>
      <c r="L21" s="797">
        <f t="shared" si="2"/>
        <v>0.05</v>
      </c>
      <c r="M21" s="798">
        <f t="shared" si="1"/>
        <v>1000</v>
      </c>
      <c r="N21" s="796">
        <f t="shared" si="3"/>
        <v>8</v>
      </c>
      <c r="O21" s="798">
        <f t="shared" si="4"/>
        <v>986.56</v>
      </c>
    </row>
    <row r="22" spans="2:15" x14ac:dyDescent="0.25">
      <c r="B22" s="22" t="s">
        <v>104</v>
      </c>
      <c r="C22" s="22"/>
      <c r="D22" s="22" t="s">
        <v>105</v>
      </c>
      <c r="E22" s="796" t="s">
        <v>2</v>
      </c>
      <c r="F22" s="796" t="s">
        <v>106</v>
      </c>
      <c r="G22" s="796" t="s">
        <v>8</v>
      </c>
      <c r="H22" s="796">
        <v>6.86</v>
      </c>
      <c r="I22" s="797">
        <f t="shared" si="0"/>
        <v>0.14577259475218657</v>
      </c>
      <c r="J22" s="797">
        <v>0.26669999999999999</v>
      </c>
      <c r="K22" s="796">
        <v>122.53</v>
      </c>
      <c r="L22" s="797">
        <f t="shared" si="2"/>
        <v>0.05</v>
      </c>
      <c r="M22" s="798">
        <f t="shared" si="1"/>
        <v>1000</v>
      </c>
      <c r="N22" s="796">
        <f t="shared" si="3"/>
        <v>8</v>
      </c>
      <c r="O22" s="798">
        <f t="shared" si="4"/>
        <v>980.24</v>
      </c>
    </row>
    <row r="23" spans="2:15" x14ac:dyDescent="0.25">
      <c r="B23" s="22"/>
      <c r="C23" s="22"/>
      <c r="D23" s="22"/>
      <c r="E23" s="22"/>
      <c r="F23" s="22"/>
      <c r="G23" s="22"/>
      <c r="H23" s="22"/>
      <c r="I23" s="22"/>
      <c r="J23" s="796"/>
      <c r="K23" s="22"/>
      <c r="L23" s="22"/>
      <c r="M23" s="22"/>
      <c r="N23" s="22"/>
      <c r="O23" s="799">
        <f>+SUM(O3:O22)</f>
        <v>18918.940000000002</v>
      </c>
    </row>
    <row r="24" spans="2:15" x14ac:dyDescent="0.25">
      <c r="B24" s="22"/>
      <c r="C24" s="22"/>
      <c r="D24" s="22"/>
      <c r="E24" s="22"/>
      <c r="F24" s="22"/>
      <c r="I24" s="22"/>
      <c r="J24" s="796"/>
      <c r="K24" s="22"/>
      <c r="L24" s="22"/>
      <c r="M24" s="22"/>
      <c r="N24" s="22"/>
      <c r="O24" s="796"/>
    </row>
    <row r="26" spans="2:15" x14ac:dyDescent="0.25">
      <c r="G26" s="796" t="s">
        <v>2180</v>
      </c>
      <c r="H26" s="796">
        <v>20000</v>
      </c>
      <c r="I26" s="5"/>
    </row>
    <row r="27" spans="2:15" x14ac:dyDescent="0.25">
      <c r="D27" t="s">
        <v>2183</v>
      </c>
    </row>
    <row r="28" spans="2:15" s="5" customFormat="1" ht="12.75" x14ac:dyDescent="0.2">
      <c r="B28" s="5" t="s">
        <v>225</v>
      </c>
      <c r="D28" s="5" t="s">
        <v>226</v>
      </c>
      <c r="E28" s="5" t="s">
        <v>2</v>
      </c>
      <c r="F28" s="5" t="s">
        <v>227</v>
      </c>
      <c r="G28" s="5" t="s">
        <v>53</v>
      </c>
      <c r="H28" s="5">
        <v>9.5</v>
      </c>
      <c r="I28" s="5">
        <f>1/H28</f>
        <v>0.10526315789473684</v>
      </c>
      <c r="J28" s="5">
        <v>0.39319999999999999</v>
      </c>
    </row>
    <row r="29" spans="2:15" x14ac:dyDescent="0.25">
      <c r="B29" s="15" t="s">
        <v>246</v>
      </c>
      <c r="C29" s="15"/>
      <c r="D29" s="15" t="s">
        <v>247</v>
      </c>
      <c r="E29" s="5" t="s">
        <v>2</v>
      </c>
      <c r="F29" s="5" t="s">
        <v>248</v>
      </c>
      <c r="G29" s="5" t="s">
        <v>91</v>
      </c>
      <c r="H29" s="5">
        <v>9.8800000000000008</v>
      </c>
      <c r="I29" s="6">
        <f>1/H29</f>
        <v>0.10121457489878542</v>
      </c>
      <c r="J29" s="5">
        <v>0.34250000000000003</v>
      </c>
      <c r="K29" s="4"/>
      <c r="L29" s="4"/>
    </row>
    <row r="30" spans="2:15" x14ac:dyDescent="0.25">
      <c r="M30" s="6"/>
    </row>
    <row r="31" spans="2:15" x14ac:dyDescent="0.25">
      <c r="M31" s="6"/>
    </row>
    <row r="32" spans="2:15" x14ac:dyDescent="0.25">
      <c r="M32" s="6"/>
    </row>
    <row r="33" spans="7:15" x14ac:dyDescent="0.25">
      <c r="G33" t="s">
        <v>3887</v>
      </c>
      <c r="H33" s="803" t="s">
        <v>2186</v>
      </c>
      <c r="I33" s="803" t="s">
        <v>2181</v>
      </c>
      <c r="J33" s="803" t="s">
        <v>2187</v>
      </c>
      <c r="M33" s="6"/>
    </row>
    <row r="34" spans="7:15" x14ac:dyDescent="0.25">
      <c r="G34" s="805" t="s">
        <v>8</v>
      </c>
      <c r="H34" s="800">
        <f>+SUMIF(G3:G22,G34,O3:O22)</f>
        <v>9523.8599999999988</v>
      </c>
      <c r="I34" s="801">
        <f t="shared" ref="I34:I39" si="5">+H34/$H$40</f>
        <v>0.50340346763613608</v>
      </c>
      <c r="J34" s="802">
        <f t="shared" ref="J34:J39" si="6">+COUNTIF($G$3:$G$22,G34)</f>
        <v>10</v>
      </c>
      <c r="M34" s="6"/>
    </row>
    <row r="35" spans="7:15" x14ac:dyDescent="0.25">
      <c r="G35" s="805" t="s">
        <v>53</v>
      </c>
      <c r="H35" s="800">
        <f>+SUMIF(G3:G22,G35,O3:O22)</f>
        <v>3521.44</v>
      </c>
      <c r="I35" s="801">
        <f t="shared" si="5"/>
        <v>0.18613304973745887</v>
      </c>
      <c r="J35" s="802">
        <f t="shared" si="6"/>
        <v>4</v>
      </c>
      <c r="M35" s="6"/>
    </row>
    <row r="36" spans="7:15" x14ac:dyDescent="0.25">
      <c r="G36" s="805" t="s">
        <v>28</v>
      </c>
      <c r="H36" s="800">
        <f>+SUMIF(G3:G22,G36,O3:O22)</f>
        <v>2911.72</v>
      </c>
      <c r="I36" s="801">
        <f t="shared" si="5"/>
        <v>0.15390502850582538</v>
      </c>
      <c r="J36" s="802">
        <f t="shared" si="6"/>
        <v>3</v>
      </c>
      <c r="K36" s="804"/>
      <c r="L36" s="5"/>
      <c r="M36" s="6"/>
    </row>
    <row r="37" spans="7:15" x14ac:dyDescent="0.25">
      <c r="G37" s="805" t="s">
        <v>87</v>
      </c>
      <c r="H37" s="800">
        <f>+SUMIF(G3:G22,G37,O3:O22)</f>
        <v>999.24</v>
      </c>
      <c r="I37" s="801">
        <f t="shared" si="5"/>
        <v>5.2816912575440279E-2</v>
      </c>
      <c r="J37" s="802">
        <f t="shared" si="6"/>
        <v>1</v>
      </c>
      <c r="M37" s="6"/>
    </row>
    <row r="38" spans="7:15" x14ac:dyDescent="0.25">
      <c r="G38" s="805" t="s">
        <v>18</v>
      </c>
      <c r="H38" s="800">
        <f>+SUMIF(G3:G22,G38,O3:O22)</f>
        <v>986.56</v>
      </c>
      <c r="I38" s="801">
        <f t="shared" si="5"/>
        <v>5.2146684750836995E-2</v>
      </c>
      <c r="J38" s="802">
        <f t="shared" si="6"/>
        <v>1</v>
      </c>
      <c r="K38" s="804"/>
      <c r="M38" s="6"/>
    </row>
    <row r="39" spans="7:15" x14ac:dyDescent="0.25">
      <c r="G39" s="805" t="s">
        <v>91</v>
      </c>
      <c r="H39" s="800">
        <f>+SUMIF(G3:G22,G39,O3:O22)</f>
        <v>976.11999999999989</v>
      </c>
      <c r="I39" s="801">
        <f t="shared" si="5"/>
        <v>5.1594856794302424E-2</v>
      </c>
      <c r="J39" s="802">
        <f t="shared" si="6"/>
        <v>1</v>
      </c>
      <c r="M39" s="6"/>
    </row>
    <row r="40" spans="7:15" x14ac:dyDescent="0.25">
      <c r="H40" s="806">
        <f>+SUM(H34:H39)</f>
        <v>18918.939999999999</v>
      </c>
      <c r="I40" s="807">
        <f>+SUM(I34:I39)</f>
        <v>1</v>
      </c>
      <c r="J40" s="805">
        <f>SUM(J34:J39)</f>
        <v>20</v>
      </c>
      <c r="M40" s="6"/>
    </row>
    <row r="41" spans="7:15" x14ac:dyDescent="0.25">
      <c r="J41" s="804"/>
      <c r="M41" s="6"/>
    </row>
    <row r="42" spans="7:15" x14ac:dyDescent="0.25">
      <c r="I42" s="804"/>
      <c r="J42" s="804"/>
      <c r="M42" s="6"/>
    </row>
    <row r="43" spans="7:15" x14ac:dyDescent="0.25">
      <c r="J43" s="804"/>
      <c r="M43" s="6"/>
    </row>
    <row r="44" spans="7:15" x14ac:dyDescent="0.25">
      <c r="M44" s="6"/>
      <c r="O44"/>
    </row>
    <row r="45" spans="7:15" x14ac:dyDescent="0.25">
      <c r="M45" s="6"/>
    </row>
    <row r="46" spans="7:15" x14ac:dyDescent="0.25">
      <c r="M46" s="6"/>
    </row>
    <row r="47" spans="7:15" x14ac:dyDescent="0.25">
      <c r="M47" s="6"/>
    </row>
    <row r="48" spans="7:15" x14ac:dyDescent="0.25">
      <c r="M48" s="6"/>
    </row>
    <row r="49" spans="13:13" x14ac:dyDescent="0.25">
      <c r="M49" s="6"/>
    </row>
    <row r="50" spans="13:13" x14ac:dyDescent="0.25">
      <c r="M50" s="6"/>
    </row>
    <row r="65" spans="15:15" x14ac:dyDescent="0.25">
      <c r="O65" s="9"/>
    </row>
    <row r="86" spans="15:15" x14ac:dyDescent="0.25">
      <c r="O86" s="9"/>
    </row>
    <row r="107" spans="15:15" x14ac:dyDescent="0.25">
      <c r="O107" s="9"/>
    </row>
    <row r="128" spans="15:15" x14ac:dyDescent="0.25">
      <c r="O128" s="9"/>
    </row>
    <row r="149" spans="15:15" x14ac:dyDescent="0.25">
      <c r="O149" s="9"/>
    </row>
    <row r="170" spans="15:15" x14ac:dyDescent="0.25">
      <c r="O170" s="9"/>
    </row>
    <row r="191" spans="15:15" x14ac:dyDescent="0.25">
      <c r="O191" s="9"/>
    </row>
    <row r="212" spans="15:15" x14ac:dyDescent="0.25">
      <c r="O212" s="9"/>
    </row>
    <row r="233" spans="15:15" x14ac:dyDescent="0.25">
      <c r="O233" s="9"/>
    </row>
    <row r="254" spans="15:15" x14ac:dyDescent="0.25">
      <c r="O254" s="9"/>
    </row>
    <row r="275" spans="15:15" x14ac:dyDescent="0.25">
      <c r="O275" s="9"/>
    </row>
    <row r="296" spans="15:15" x14ac:dyDescent="0.25">
      <c r="O296" s="9"/>
    </row>
    <row r="317" spans="15:15" x14ac:dyDescent="0.25">
      <c r="O317" s="9"/>
    </row>
    <row r="338" spans="15:15" x14ac:dyDescent="0.25">
      <c r="O338" s="9"/>
    </row>
    <row r="359" spans="15:15" x14ac:dyDescent="0.25">
      <c r="O359" s="9"/>
    </row>
    <row r="380" spans="15:15" x14ac:dyDescent="0.25">
      <c r="O380" s="9"/>
    </row>
    <row r="401" spans="15:15" x14ac:dyDescent="0.25">
      <c r="O401" s="9"/>
    </row>
    <row r="422" spans="15:15" x14ac:dyDescent="0.25">
      <c r="O422" s="9"/>
    </row>
    <row r="443" spans="15:15" x14ac:dyDescent="0.25">
      <c r="O443" s="9"/>
    </row>
    <row r="464" spans="15:15" x14ac:dyDescent="0.25">
      <c r="O464" s="9"/>
    </row>
    <row r="485" spans="15:15" x14ac:dyDescent="0.25">
      <c r="O485" s="9"/>
    </row>
    <row r="506" spans="15:15" x14ac:dyDescent="0.25">
      <c r="O506" s="9"/>
    </row>
    <row r="527" spans="15:15" x14ac:dyDescent="0.25">
      <c r="O527" s="9"/>
    </row>
    <row r="548" spans="15:15" x14ac:dyDescent="0.25">
      <c r="O548" s="9"/>
    </row>
    <row r="569" spans="15:15" x14ac:dyDescent="0.25">
      <c r="O569" s="9"/>
    </row>
    <row r="590" spans="15:15" x14ac:dyDescent="0.25">
      <c r="O590" s="9"/>
    </row>
    <row r="611" spans="15:15" x14ac:dyDescent="0.25">
      <c r="O611" s="9"/>
    </row>
    <row r="632" spans="15:15" x14ac:dyDescent="0.25">
      <c r="O632" s="9"/>
    </row>
    <row r="653" spans="15:15" x14ac:dyDescent="0.25">
      <c r="O653" s="9"/>
    </row>
    <row r="674" spans="15:15" x14ac:dyDescent="0.25">
      <c r="O674" s="9"/>
    </row>
    <row r="695" spans="15:15" x14ac:dyDescent="0.25">
      <c r="O695" s="9"/>
    </row>
    <row r="716" spans="15:15" x14ac:dyDescent="0.25">
      <c r="O716" s="9"/>
    </row>
    <row r="737" spans="15:15" x14ac:dyDescent="0.25">
      <c r="O737" s="9"/>
    </row>
    <row r="758" spans="15:15" x14ac:dyDescent="0.25">
      <c r="O758" s="9"/>
    </row>
    <row r="779" spans="15:15" x14ac:dyDescent="0.25">
      <c r="O779" s="9"/>
    </row>
    <row r="800" spans="15:15" x14ac:dyDescent="0.25">
      <c r="O800" s="9"/>
    </row>
    <row r="821" spans="15:15" x14ac:dyDescent="0.25">
      <c r="O821" s="9"/>
    </row>
    <row r="842" spans="15:15" x14ac:dyDescent="0.25">
      <c r="O842" s="9"/>
    </row>
    <row r="863" spans="15:15" x14ac:dyDescent="0.25">
      <c r="O863" s="9"/>
    </row>
    <row r="884" spans="15:15" x14ac:dyDescent="0.25">
      <c r="O884" s="9"/>
    </row>
    <row r="905" spans="15:15" x14ac:dyDescent="0.25">
      <c r="O905" s="9"/>
    </row>
    <row r="926" spans="15:15" x14ac:dyDescent="0.25">
      <c r="O926" s="9"/>
    </row>
    <row r="947" spans="15:15" x14ac:dyDescent="0.25">
      <c r="O947" s="9"/>
    </row>
    <row r="968" spans="15:15" x14ac:dyDescent="0.25">
      <c r="O968" s="9"/>
    </row>
    <row r="989" spans="15:15" x14ac:dyDescent="0.25">
      <c r="O989" s="9"/>
    </row>
    <row r="1010" spans="15:15" x14ac:dyDescent="0.25">
      <c r="O1010" s="9"/>
    </row>
    <row r="1031" spans="15:15" x14ac:dyDescent="0.25">
      <c r="O1031" s="9"/>
    </row>
    <row r="1052" spans="15:15" x14ac:dyDescent="0.25">
      <c r="O1052" s="9"/>
    </row>
    <row r="1073" spans="15:15" x14ac:dyDescent="0.25">
      <c r="O1073" s="9"/>
    </row>
    <row r="1094" spans="15:15" x14ac:dyDescent="0.25">
      <c r="O1094" s="9"/>
    </row>
    <row r="1115" spans="15:15" x14ac:dyDescent="0.25">
      <c r="O1115" s="9"/>
    </row>
    <row r="1136" spans="15:15" x14ac:dyDescent="0.25">
      <c r="O1136" s="9"/>
    </row>
    <row r="1157" spans="15:15" x14ac:dyDescent="0.25">
      <c r="O1157" s="9"/>
    </row>
    <row r="1178" spans="15:15" x14ac:dyDescent="0.25">
      <c r="O1178" s="9"/>
    </row>
    <row r="1199" spans="15:15" x14ac:dyDescent="0.25">
      <c r="O1199" s="9"/>
    </row>
    <row r="1220" spans="15:15" x14ac:dyDescent="0.25">
      <c r="O1220" s="9"/>
    </row>
    <row r="1241" spans="15:15" x14ac:dyDescent="0.25">
      <c r="O1241" s="9"/>
    </row>
    <row r="1262" spans="15:15" x14ac:dyDescent="0.25">
      <c r="O1262" s="9"/>
    </row>
    <row r="1283" spans="15:15" x14ac:dyDescent="0.25">
      <c r="O1283" s="9"/>
    </row>
    <row r="1304" spans="15:15" x14ac:dyDescent="0.25">
      <c r="O1304" s="9"/>
    </row>
    <row r="1325" spans="15:15" x14ac:dyDescent="0.25">
      <c r="O1325" s="9"/>
    </row>
    <row r="1346" spans="15:15" x14ac:dyDescent="0.25">
      <c r="O1346" s="9"/>
    </row>
    <row r="1367" spans="15:15" x14ac:dyDescent="0.25">
      <c r="O1367" s="9"/>
    </row>
    <row r="1388" spans="15:15" x14ac:dyDescent="0.25">
      <c r="O1388" s="9"/>
    </row>
    <row r="1409" spans="15:15" x14ac:dyDescent="0.25">
      <c r="O1409" s="9"/>
    </row>
    <row r="1430" spans="15:15" x14ac:dyDescent="0.25">
      <c r="O1430" s="9"/>
    </row>
    <row r="1451" spans="15:15" x14ac:dyDescent="0.25">
      <c r="O1451" s="9"/>
    </row>
    <row r="1472" spans="15:15" x14ac:dyDescent="0.25">
      <c r="O1472" s="9"/>
    </row>
    <row r="1493" spans="15:15" x14ac:dyDescent="0.25">
      <c r="O1493" s="9"/>
    </row>
    <row r="1514" spans="15:15" x14ac:dyDescent="0.25">
      <c r="O1514" s="9"/>
    </row>
    <row r="1535" spans="15:15" x14ac:dyDescent="0.25">
      <c r="O1535" s="9"/>
    </row>
    <row r="1556" spans="15:15" x14ac:dyDescent="0.25">
      <c r="O1556" s="9"/>
    </row>
    <row r="1577" spans="15:15" x14ac:dyDescent="0.25">
      <c r="O1577" s="9"/>
    </row>
    <row r="1598" spans="15:15" x14ac:dyDescent="0.25">
      <c r="O1598" s="9"/>
    </row>
    <row r="1619" spans="15:15" x14ac:dyDescent="0.25">
      <c r="O1619" s="9"/>
    </row>
    <row r="1640" spans="15:15" x14ac:dyDescent="0.25">
      <c r="O1640" s="9"/>
    </row>
    <row r="1661" spans="15:15" x14ac:dyDescent="0.25">
      <c r="O1661" s="9"/>
    </row>
    <row r="1682" spans="15:15" x14ac:dyDescent="0.25">
      <c r="O1682" s="9"/>
    </row>
    <row r="1703" spans="15:15" x14ac:dyDescent="0.25">
      <c r="O1703" s="9"/>
    </row>
    <row r="1724" spans="15:15" x14ac:dyDescent="0.25">
      <c r="O1724" s="9"/>
    </row>
    <row r="1745" spans="15:15" x14ac:dyDescent="0.25">
      <c r="O1745" s="9"/>
    </row>
    <row r="1766" spans="15:15" x14ac:dyDescent="0.25">
      <c r="O1766" s="9"/>
    </row>
    <row r="1787" spans="15:15" x14ac:dyDescent="0.25">
      <c r="O1787" s="9"/>
    </row>
    <row r="1808" spans="15:15" x14ac:dyDescent="0.25">
      <c r="O1808" s="9"/>
    </row>
    <row r="1829" spans="15:15" x14ac:dyDescent="0.25">
      <c r="O1829" s="9"/>
    </row>
    <row r="1850" spans="15:15" x14ac:dyDescent="0.25">
      <c r="O1850" s="9"/>
    </row>
    <row r="1871" spans="15:15" x14ac:dyDescent="0.25">
      <c r="O1871" s="9"/>
    </row>
    <row r="1892" spans="15:15" x14ac:dyDescent="0.25">
      <c r="O1892" s="9"/>
    </row>
    <row r="1913" spans="15:15" x14ac:dyDescent="0.25">
      <c r="O1913" s="9"/>
    </row>
    <row r="1934" spans="15:15" x14ac:dyDescent="0.25">
      <c r="O1934" s="9"/>
    </row>
    <row r="1955" spans="15:15" x14ac:dyDescent="0.25">
      <c r="O1955" s="9"/>
    </row>
    <row r="1976" spans="15:15" x14ac:dyDescent="0.25">
      <c r="O1976" s="9"/>
    </row>
    <row r="1997" spans="15:15" x14ac:dyDescent="0.25">
      <c r="O1997" s="9"/>
    </row>
    <row r="2018" spans="15:15" x14ac:dyDescent="0.25">
      <c r="O2018" s="9"/>
    </row>
    <row r="2039" spans="15:15" x14ac:dyDescent="0.25">
      <c r="O2039" s="9"/>
    </row>
    <row r="2060" spans="15:15" x14ac:dyDescent="0.25">
      <c r="O2060" s="9"/>
    </row>
    <row r="2081" spans="15:15" x14ac:dyDescent="0.25">
      <c r="O2081" s="9"/>
    </row>
    <row r="2102" spans="15:15" x14ac:dyDescent="0.25">
      <c r="O2102" s="9"/>
    </row>
    <row r="2123" spans="15:15" x14ac:dyDescent="0.25">
      <c r="O2123" s="9"/>
    </row>
    <row r="2144" spans="15:15" x14ac:dyDescent="0.25">
      <c r="O2144" s="9"/>
    </row>
    <row r="2165" spans="15:15" x14ac:dyDescent="0.25">
      <c r="O2165" s="9"/>
    </row>
    <row r="2186" spans="15:15" x14ac:dyDescent="0.25">
      <c r="O2186" s="9"/>
    </row>
    <row r="2207" spans="15:15" x14ac:dyDescent="0.25">
      <c r="O2207" s="9"/>
    </row>
    <row r="2228" spans="15:15" x14ac:dyDescent="0.25">
      <c r="O2228" s="9"/>
    </row>
    <row r="2249" spans="15:15" x14ac:dyDescent="0.25">
      <c r="O2249" s="9"/>
    </row>
    <row r="2270" spans="15:15" x14ac:dyDescent="0.25">
      <c r="O2270" s="9"/>
    </row>
    <row r="2291" spans="15:15" x14ac:dyDescent="0.25">
      <c r="O2291" s="9"/>
    </row>
    <row r="2312" spans="15:15" x14ac:dyDescent="0.25">
      <c r="O2312" s="9"/>
    </row>
    <row r="2333" spans="15:15" x14ac:dyDescent="0.25">
      <c r="O2333" s="9"/>
    </row>
    <row r="2354" spans="15:15" x14ac:dyDescent="0.25">
      <c r="O2354" s="9"/>
    </row>
    <row r="2375" spans="15:15" x14ac:dyDescent="0.25">
      <c r="O2375" s="9"/>
    </row>
    <row r="2396" spans="15:15" x14ac:dyDescent="0.25">
      <c r="O2396" s="9"/>
    </row>
    <row r="2417" spans="15:15" x14ac:dyDescent="0.25">
      <c r="O2417" s="9"/>
    </row>
    <row r="2438" spans="15:15" x14ac:dyDescent="0.25">
      <c r="O2438" s="9"/>
    </row>
    <row r="2459" spans="15:15" x14ac:dyDescent="0.25">
      <c r="O2459" s="9"/>
    </row>
    <row r="2480" spans="15:15" x14ac:dyDescent="0.25">
      <c r="O2480" s="9"/>
    </row>
    <row r="2501" spans="15:15" x14ac:dyDescent="0.25">
      <c r="O2501" s="9"/>
    </row>
    <row r="2522" spans="15:15" x14ac:dyDescent="0.25">
      <c r="O2522" s="9"/>
    </row>
    <row r="2543" spans="15:15" x14ac:dyDescent="0.25">
      <c r="O2543" s="9"/>
    </row>
    <row r="2564" spans="15:15" x14ac:dyDescent="0.25">
      <c r="O2564" s="9"/>
    </row>
    <row r="2585" spans="15:15" x14ac:dyDescent="0.25">
      <c r="O2585" s="9"/>
    </row>
    <row r="2606" spans="15:15" x14ac:dyDescent="0.25">
      <c r="O2606" s="9"/>
    </row>
    <row r="2627" spans="15:15" x14ac:dyDescent="0.25">
      <c r="O2627" s="9"/>
    </row>
    <row r="2648" spans="15:15" x14ac:dyDescent="0.25">
      <c r="O2648" s="9"/>
    </row>
    <row r="2669" spans="15:15" x14ac:dyDescent="0.25">
      <c r="O2669" s="9"/>
    </row>
    <row r="2690" spans="15:15" x14ac:dyDescent="0.25">
      <c r="O2690" s="9"/>
    </row>
    <row r="2711" spans="15:15" x14ac:dyDescent="0.25">
      <c r="O2711" s="9"/>
    </row>
    <row r="2732" spans="15:15" x14ac:dyDescent="0.25">
      <c r="O2732" s="9"/>
    </row>
    <row r="2753" spans="15:15" x14ac:dyDescent="0.25">
      <c r="O2753" s="9"/>
    </row>
    <row r="2774" spans="15:15" x14ac:dyDescent="0.25">
      <c r="O2774" s="9"/>
    </row>
    <row r="2795" spans="15:15" x14ac:dyDescent="0.25">
      <c r="O2795" s="9"/>
    </row>
    <row r="2816" spans="15:15" x14ac:dyDescent="0.25">
      <c r="O2816" s="9"/>
    </row>
    <row r="2837" spans="15:15" x14ac:dyDescent="0.25">
      <c r="O2837" s="9"/>
    </row>
    <row r="2858" spans="15:15" x14ac:dyDescent="0.25">
      <c r="O2858" s="9"/>
    </row>
    <row r="2879" spans="15:15" x14ac:dyDescent="0.25">
      <c r="O2879" s="9"/>
    </row>
    <row r="2900" spans="15:15" x14ac:dyDescent="0.25">
      <c r="O2900" s="9"/>
    </row>
    <row r="2921" spans="15:15" x14ac:dyDescent="0.25">
      <c r="O2921" s="9"/>
    </row>
    <row r="2942" spans="15:15" x14ac:dyDescent="0.25">
      <c r="O2942" s="9"/>
    </row>
    <row r="2963" spans="15:15" x14ac:dyDescent="0.25">
      <c r="O2963" s="9"/>
    </row>
    <row r="2984" spans="15:15" x14ac:dyDescent="0.25">
      <c r="O2984" s="9"/>
    </row>
    <row r="3005" spans="15:15" x14ac:dyDescent="0.25">
      <c r="O3005" s="9"/>
    </row>
    <row r="3026" spans="15:15" x14ac:dyDescent="0.25">
      <c r="O3026" s="9"/>
    </row>
    <row r="3047" spans="15:15" x14ac:dyDescent="0.25">
      <c r="O3047" s="9"/>
    </row>
    <row r="3068" spans="15:15" x14ac:dyDescent="0.25">
      <c r="O3068" s="9"/>
    </row>
    <row r="3089" spans="15:15" x14ac:dyDescent="0.25">
      <c r="O3089" s="9"/>
    </row>
    <row r="3110" spans="15:15" x14ac:dyDescent="0.25">
      <c r="O3110" s="9"/>
    </row>
    <row r="3131" spans="15:15" x14ac:dyDescent="0.25">
      <c r="O3131" s="9"/>
    </row>
    <row r="3152" spans="15:15" x14ac:dyDescent="0.25">
      <c r="O3152" s="9"/>
    </row>
    <row r="3173" spans="15:15" x14ac:dyDescent="0.25">
      <c r="O3173" s="9"/>
    </row>
    <row r="3194" spans="15:15" x14ac:dyDescent="0.25">
      <c r="O3194" s="9"/>
    </row>
    <row r="3215" spans="15:15" x14ac:dyDescent="0.25">
      <c r="O3215" s="9"/>
    </row>
    <row r="3236" spans="15:15" x14ac:dyDescent="0.25">
      <c r="O3236" s="9"/>
    </row>
    <row r="3257" spans="15:15" x14ac:dyDescent="0.25">
      <c r="O3257" s="9"/>
    </row>
    <row r="3278" spans="15:15" x14ac:dyDescent="0.25">
      <c r="O3278" s="9"/>
    </row>
    <row r="3299" spans="15:15" x14ac:dyDescent="0.25">
      <c r="O3299" s="9"/>
    </row>
    <row r="3320" spans="15:15" x14ac:dyDescent="0.25">
      <c r="O3320" s="9"/>
    </row>
    <row r="3341" spans="15:15" x14ac:dyDescent="0.25">
      <c r="O3341" s="9"/>
    </row>
    <row r="3362" spans="15:15" x14ac:dyDescent="0.25">
      <c r="O3362" s="9"/>
    </row>
    <row r="3383" spans="15:15" x14ac:dyDescent="0.25">
      <c r="O3383" s="9"/>
    </row>
    <row r="3404" spans="15:15" x14ac:dyDescent="0.25">
      <c r="O3404" s="9"/>
    </row>
    <row r="3425" spans="15:15" x14ac:dyDescent="0.25">
      <c r="O3425" s="9"/>
    </row>
    <row r="3446" spans="15:15" x14ac:dyDescent="0.25">
      <c r="O3446" s="9"/>
    </row>
    <row r="3467" spans="15:15" x14ac:dyDescent="0.25">
      <c r="O3467" s="9"/>
    </row>
    <row r="3488" spans="15:15" x14ac:dyDescent="0.25">
      <c r="O3488" s="9"/>
    </row>
    <row r="3509" spans="15:15" x14ac:dyDescent="0.25">
      <c r="O3509" s="9"/>
    </row>
    <row r="3530" spans="15:15" x14ac:dyDescent="0.25">
      <c r="O3530" s="9"/>
    </row>
    <row r="3551" spans="15:15" x14ac:dyDescent="0.25">
      <c r="O3551" s="9"/>
    </row>
    <row r="3572" spans="15:15" x14ac:dyDescent="0.25">
      <c r="O3572" s="9"/>
    </row>
    <row r="3593" spans="15:15" x14ac:dyDescent="0.25">
      <c r="O3593" s="9"/>
    </row>
    <row r="3614" spans="15:15" x14ac:dyDescent="0.25">
      <c r="O3614" s="9"/>
    </row>
    <row r="3635" spans="15:15" x14ac:dyDescent="0.25">
      <c r="O3635" s="9"/>
    </row>
    <row r="3656" spans="15:15" x14ac:dyDescent="0.25">
      <c r="O3656" s="9"/>
    </row>
    <row r="3677" spans="15:15" x14ac:dyDescent="0.25">
      <c r="O3677" s="9"/>
    </row>
    <row r="3698" spans="15:15" x14ac:dyDescent="0.25">
      <c r="O3698" s="9"/>
    </row>
    <row r="3719" spans="15:15" x14ac:dyDescent="0.25">
      <c r="O3719" s="9"/>
    </row>
    <row r="3740" spans="15:15" x14ac:dyDescent="0.25">
      <c r="O3740" s="9"/>
    </row>
    <row r="3761" spans="15:15" x14ac:dyDescent="0.25">
      <c r="O3761" s="9"/>
    </row>
    <row r="3782" spans="15:15" x14ac:dyDescent="0.25">
      <c r="O3782" s="9"/>
    </row>
    <row r="3803" spans="15:15" x14ac:dyDescent="0.25">
      <c r="O3803" s="9"/>
    </row>
    <row r="3824" spans="15:15" x14ac:dyDescent="0.25">
      <c r="O3824" s="9"/>
    </row>
    <row r="3845" spans="15:15" x14ac:dyDescent="0.25">
      <c r="O3845" s="9"/>
    </row>
    <row r="3866" spans="15:15" x14ac:dyDescent="0.25">
      <c r="O3866" s="9"/>
    </row>
    <row r="3887" spans="15:15" x14ac:dyDescent="0.25">
      <c r="O3887" s="9"/>
    </row>
    <row r="3908" spans="15:15" x14ac:dyDescent="0.25">
      <c r="O3908" s="9"/>
    </row>
    <row r="3929" spans="15:15" x14ac:dyDescent="0.25">
      <c r="O3929" s="9"/>
    </row>
    <row r="3950" spans="15:15" x14ac:dyDescent="0.25">
      <c r="O3950" s="9"/>
    </row>
    <row r="3971" spans="15:15" x14ac:dyDescent="0.25">
      <c r="O3971" s="9"/>
    </row>
    <row r="3992" spans="15:15" x14ac:dyDescent="0.25">
      <c r="O3992" s="9"/>
    </row>
    <row r="4013" spans="15:15" x14ac:dyDescent="0.25">
      <c r="O4013" s="9"/>
    </row>
    <row r="4034" spans="15:15" x14ac:dyDescent="0.25">
      <c r="O4034" s="9"/>
    </row>
    <row r="4055" spans="15:15" x14ac:dyDescent="0.25">
      <c r="O4055" s="9"/>
    </row>
    <row r="4076" spans="15:15" x14ac:dyDescent="0.25">
      <c r="O4076" s="9"/>
    </row>
    <row r="4097" spans="15:15" x14ac:dyDescent="0.25">
      <c r="O4097" s="9"/>
    </row>
    <row r="4118" spans="15:15" x14ac:dyDescent="0.25">
      <c r="O4118" s="9"/>
    </row>
    <row r="4139" spans="15:15" x14ac:dyDescent="0.25">
      <c r="O4139" s="9"/>
    </row>
    <row r="4160" spans="15:15" x14ac:dyDescent="0.25">
      <c r="O4160" s="9"/>
    </row>
    <row r="4181" spans="15:15" x14ac:dyDescent="0.25">
      <c r="O4181" s="9"/>
    </row>
    <row r="4202" spans="15:15" x14ac:dyDescent="0.25">
      <c r="O4202" s="9"/>
    </row>
    <row r="4223" spans="15:15" x14ac:dyDescent="0.25">
      <c r="O4223" s="9"/>
    </row>
    <row r="4244" spans="15:15" x14ac:dyDescent="0.25">
      <c r="O4244" s="9"/>
    </row>
    <row r="4265" spans="15:15" x14ac:dyDescent="0.25">
      <c r="O4265" s="9"/>
    </row>
    <row r="4286" spans="15:15" x14ac:dyDescent="0.25">
      <c r="O4286" s="9"/>
    </row>
    <row r="4307" spans="15:15" x14ac:dyDescent="0.25">
      <c r="O4307" s="9"/>
    </row>
    <row r="4328" spans="15:15" x14ac:dyDescent="0.25">
      <c r="O4328" s="9"/>
    </row>
    <row r="4349" spans="15:15" x14ac:dyDescent="0.25">
      <c r="O4349" s="9"/>
    </row>
    <row r="4370" spans="15:15" x14ac:dyDescent="0.25">
      <c r="O4370" s="9"/>
    </row>
    <row r="4391" spans="15:15" x14ac:dyDescent="0.25">
      <c r="O4391" s="9"/>
    </row>
    <row r="4412" spans="15:15" x14ac:dyDescent="0.25">
      <c r="O4412" s="9"/>
    </row>
    <row r="4433" spans="15:15" x14ac:dyDescent="0.25">
      <c r="O4433" s="9"/>
    </row>
    <row r="4454" spans="15:15" x14ac:dyDescent="0.25">
      <c r="O4454" s="9"/>
    </row>
    <row r="4475" spans="15:15" x14ac:dyDescent="0.25">
      <c r="O4475" s="9"/>
    </row>
    <row r="4496" spans="15:15" x14ac:dyDescent="0.25">
      <c r="O4496" s="9"/>
    </row>
    <row r="4517" spans="15:15" x14ac:dyDescent="0.25">
      <c r="O4517" s="9"/>
    </row>
    <row r="4538" spans="15:15" x14ac:dyDescent="0.25">
      <c r="O4538" s="9"/>
    </row>
    <row r="4559" spans="15:15" x14ac:dyDescent="0.25">
      <c r="O4559" s="9"/>
    </row>
    <row r="4580" spans="15:15" x14ac:dyDescent="0.25">
      <c r="O4580" s="9"/>
    </row>
    <row r="4601" spans="15:15" x14ac:dyDescent="0.25">
      <c r="O4601" s="9"/>
    </row>
    <row r="4622" spans="15:15" x14ac:dyDescent="0.25">
      <c r="O4622" s="9"/>
    </row>
    <row r="4643" spans="15:15" x14ac:dyDescent="0.25">
      <c r="O4643" s="9"/>
    </row>
    <row r="4664" spans="15:15" x14ac:dyDescent="0.25">
      <c r="O4664" s="9"/>
    </row>
    <row r="4685" spans="15:15" x14ac:dyDescent="0.25">
      <c r="O4685" s="9"/>
    </row>
    <row r="4706" spans="15:15" x14ac:dyDescent="0.25">
      <c r="O4706" s="9"/>
    </row>
    <row r="4727" spans="15:15" x14ac:dyDescent="0.25">
      <c r="O4727" s="9"/>
    </row>
    <row r="4748" spans="15:15" x14ac:dyDescent="0.25">
      <c r="O4748" s="9"/>
    </row>
    <row r="4769" spans="15:15" x14ac:dyDescent="0.25">
      <c r="O4769" s="9"/>
    </row>
    <row r="4790" spans="15:15" x14ac:dyDescent="0.25">
      <c r="O4790" s="9"/>
    </row>
    <row r="4811" spans="15:15" x14ac:dyDescent="0.25">
      <c r="O4811" s="9"/>
    </row>
    <row r="4832" spans="15:15" x14ac:dyDescent="0.25">
      <c r="O4832" s="9"/>
    </row>
    <row r="4853" spans="15:15" x14ac:dyDescent="0.25">
      <c r="O4853" s="9"/>
    </row>
    <row r="4874" spans="15:15" x14ac:dyDescent="0.25">
      <c r="O4874" s="9"/>
    </row>
    <row r="4895" spans="15:15" x14ac:dyDescent="0.25">
      <c r="O4895" s="9"/>
    </row>
    <row r="4916" spans="15:15" x14ac:dyDescent="0.25">
      <c r="O4916" s="9"/>
    </row>
    <row r="4937" spans="15:15" x14ac:dyDescent="0.25">
      <c r="O4937" s="9"/>
    </row>
    <row r="4958" spans="15:15" x14ac:dyDescent="0.25">
      <c r="O4958" s="9"/>
    </row>
    <row r="4979" spans="15:15" x14ac:dyDescent="0.25">
      <c r="O4979" s="9"/>
    </row>
    <row r="5000" spans="15:15" x14ac:dyDescent="0.25">
      <c r="O5000" s="9"/>
    </row>
    <row r="5021" spans="15:15" x14ac:dyDescent="0.25">
      <c r="O5021" s="9"/>
    </row>
    <row r="5042" spans="15:15" x14ac:dyDescent="0.25">
      <c r="O5042" s="9"/>
    </row>
    <row r="5063" spans="15:15" x14ac:dyDescent="0.25">
      <c r="O5063" s="9"/>
    </row>
    <row r="5084" spans="15:15" x14ac:dyDescent="0.25">
      <c r="O5084" s="9"/>
    </row>
    <row r="5105" spans="15:15" x14ac:dyDescent="0.25">
      <c r="O5105" s="9"/>
    </row>
    <row r="5126" spans="15:15" x14ac:dyDescent="0.25">
      <c r="O5126" s="9"/>
    </row>
    <row r="5147" spans="15:15" x14ac:dyDescent="0.25">
      <c r="O5147" s="9"/>
    </row>
    <row r="5168" spans="15:15" x14ac:dyDescent="0.25">
      <c r="O5168" s="9"/>
    </row>
    <row r="5189" spans="15:15" x14ac:dyDescent="0.25">
      <c r="O5189" s="9"/>
    </row>
    <row r="5210" spans="15:15" x14ac:dyDescent="0.25">
      <c r="O5210" s="9"/>
    </row>
    <row r="5231" spans="15:15" x14ac:dyDescent="0.25">
      <c r="O5231" s="9"/>
    </row>
    <row r="5252" spans="15:15" x14ac:dyDescent="0.25">
      <c r="O5252" s="9"/>
    </row>
    <row r="5273" spans="15:15" x14ac:dyDescent="0.25">
      <c r="O5273" s="9"/>
    </row>
    <row r="5294" spans="15:15" x14ac:dyDescent="0.25">
      <c r="O5294" s="9"/>
    </row>
    <row r="5315" spans="15:15" x14ac:dyDescent="0.25">
      <c r="O5315" s="9"/>
    </row>
    <row r="5336" spans="15:15" x14ac:dyDescent="0.25">
      <c r="O5336" s="9"/>
    </row>
    <row r="5357" spans="15:15" x14ac:dyDescent="0.25">
      <c r="O5357" s="9"/>
    </row>
    <row r="5378" spans="15:15" x14ac:dyDescent="0.25">
      <c r="O5378" s="9"/>
    </row>
    <row r="5399" spans="15:15" x14ac:dyDescent="0.25">
      <c r="O5399" s="9"/>
    </row>
    <row r="5420" spans="15:15" x14ac:dyDescent="0.25">
      <c r="O5420" s="9"/>
    </row>
    <row r="5441" spans="15:15" x14ac:dyDescent="0.25">
      <c r="O5441" s="9"/>
    </row>
    <row r="5462" spans="15:15" x14ac:dyDescent="0.25">
      <c r="O5462" s="9"/>
    </row>
    <row r="5483" spans="15:15" x14ac:dyDescent="0.25">
      <c r="O5483" s="9"/>
    </row>
    <row r="5504" spans="15:15" x14ac:dyDescent="0.25">
      <c r="O5504" s="9"/>
    </row>
    <row r="5525" spans="15:15" x14ac:dyDescent="0.25">
      <c r="O5525" s="9"/>
    </row>
    <row r="5546" spans="15:15" x14ac:dyDescent="0.25">
      <c r="O5546" s="9"/>
    </row>
    <row r="5567" spans="15:15" x14ac:dyDescent="0.25">
      <c r="O5567" s="9"/>
    </row>
    <row r="5588" spans="15:15" x14ac:dyDescent="0.25">
      <c r="O5588" s="9"/>
    </row>
    <row r="5609" spans="15:15" x14ac:dyDescent="0.25">
      <c r="O5609" s="9"/>
    </row>
    <row r="5630" spans="15:15" x14ac:dyDescent="0.25">
      <c r="O5630" s="9"/>
    </row>
    <row r="5651" spans="15:15" x14ac:dyDescent="0.25">
      <c r="O5651" s="9"/>
    </row>
    <row r="5672" spans="15:15" x14ac:dyDescent="0.25">
      <c r="O5672" s="9"/>
    </row>
    <row r="5693" spans="15:15" x14ac:dyDescent="0.25">
      <c r="O5693" s="9"/>
    </row>
    <row r="5714" spans="15:15" x14ac:dyDescent="0.25">
      <c r="O5714" s="9"/>
    </row>
    <row r="5735" spans="15:15" x14ac:dyDescent="0.25">
      <c r="O5735" s="9"/>
    </row>
    <row r="5756" spans="15:15" x14ac:dyDescent="0.25">
      <c r="O5756" s="9"/>
    </row>
    <row r="5777" spans="15:15" x14ac:dyDescent="0.25">
      <c r="O5777" s="9"/>
    </row>
    <row r="5798" spans="15:15" x14ac:dyDescent="0.25">
      <c r="O5798" s="9"/>
    </row>
    <row r="5819" spans="15:15" x14ac:dyDescent="0.25">
      <c r="O5819" s="9"/>
    </row>
    <row r="5840" spans="15:15" x14ac:dyDescent="0.25">
      <c r="O5840" s="9"/>
    </row>
    <row r="5861" spans="15:15" x14ac:dyDescent="0.25">
      <c r="O5861" s="9"/>
    </row>
    <row r="5882" spans="15:15" x14ac:dyDescent="0.25">
      <c r="O5882" s="9"/>
    </row>
    <row r="5903" spans="15:15" x14ac:dyDescent="0.25">
      <c r="O5903" s="9"/>
    </row>
    <row r="5924" spans="15:15" x14ac:dyDescent="0.25">
      <c r="O5924" s="9"/>
    </row>
    <row r="5945" spans="15:15" x14ac:dyDescent="0.25">
      <c r="O5945" s="9"/>
    </row>
    <row r="5966" spans="15:15" x14ac:dyDescent="0.25">
      <c r="O5966" s="9"/>
    </row>
    <row r="5987" spans="15:15" x14ac:dyDescent="0.25">
      <c r="O5987" s="9"/>
    </row>
    <row r="6008" spans="15:15" x14ac:dyDescent="0.25">
      <c r="O6008" s="9"/>
    </row>
    <row r="6029" spans="15:15" x14ac:dyDescent="0.25">
      <c r="O6029" s="9"/>
    </row>
    <row r="6050" spans="15:15" x14ac:dyDescent="0.25">
      <c r="O6050" s="9"/>
    </row>
    <row r="6071" spans="15:15" x14ac:dyDescent="0.25">
      <c r="O6071" s="9"/>
    </row>
    <row r="6092" spans="15:15" x14ac:dyDescent="0.25">
      <c r="O6092" s="9"/>
    </row>
    <row r="6113" spans="15:15" x14ac:dyDescent="0.25">
      <c r="O6113" s="9"/>
    </row>
    <row r="6134" spans="15:15" x14ac:dyDescent="0.25">
      <c r="O6134" s="9"/>
    </row>
    <row r="6155" spans="15:15" x14ac:dyDescent="0.25">
      <c r="O6155" s="9"/>
    </row>
    <row r="6176" spans="15:15" x14ac:dyDescent="0.25">
      <c r="O6176" s="9"/>
    </row>
    <row r="6197" spans="15:15" x14ac:dyDescent="0.25">
      <c r="O6197" s="9"/>
    </row>
    <row r="6218" spans="15:15" x14ac:dyDescent="0.25">
      <c r="O6218" s="9"/>
    </row>
    <row r="6239" spans="15:15" x14ac:dyDescent="0.25">
      <c r="O6239" s="9"/>
    </row>
    <row r="6260" spans="15:15" x14ac:dyDescent="0.25">
      <c r="O6260" s="9"/>
    </row>
    <row r="6281" spans="15:15" x14ac:dyDescent="0.25">
      <c r="O6281" s="9"/>
    </row>
    <row r="6302" spans="15:15" x14ac:dyDescent="0.25">
      <c r="O6302" s="9"/>
    </row>
    <row r="6323" spans="15:15" x14ac:dyDescent="0.25">
      <c r="O6323" s="9"/>
    </row>
    <row r="6344" spans="15:15" x14ac:dyDescent="0.25">
      <c r="O6344" s="9"/>
    </row>
    <row r="6365" spans="15:15" x14ac:dyDescent="0.25">
      <c r="O6365" s="9"/>
    </row>
    <row r="6386" spans="15:15" x14ac:dyDescent="0.25">
      <c r="O6386" s="9"/>
    </row>
    <row r="6407" spans="15:15" x14ac:dyDescent="0.25">
      <c r="O6407" s="9"/>
    </row>
    <row r="6428" spans="15:15" x14ac:dyDescent="0.25">
      <c r="O6428" s="9"/>
    </row>
    <row r="6449" spans="15:15" x14ac:dyDescent="0.25">
      <c r="O6449" s="9"/>
    </row>
    <row r="6470" spans="15:15" x14ac:dyDescent="0.25">
      <c r="O6470" s="9"/>
    </row>
    <row r="6491" spans="15:15" x14ac:dyDescent="0.25">
      <c r="O6491" s="9"/>
    </row>
    <row r="6512" spans="15:15" x14ac:dyDescent="0.25">
      <c r="O6512" s="9"/>
    </row>
    <row r="6533" spans="15:15" x14ac:dyDescent="0.25">
      <c r="O6533" s="9"/>
    </row>
    <row r="6554" spans="15:15" x14ac:dyDescent="0.25">
      <c r="O6554" s="9"/>
    </row>
    <row r="6575" spans="15:15" x14ac:dyDescent="0.25">
      <c r="O6575" s="9"/>
    </row>
    <row r="6596" spans="15:15" x14ac:dyDescent="0.25">
      <c r="O6596" s="9"/>
    </row>
    <row r="6617" spans="15:15" x14ac:dyDescent="0.25">
      <c r="O6617" s="9"/>
    </row>
    <row r="6638" spans="15:15" x14ac:dyDescent="0.25">
      <c r="O6638" s="9"/>
    </row>
    <row r="6659" spans="15:15" x14ac:dyDescent="0.25">
      <c r="O6659" s="9"/>
    </row>
    <row r="6680" spans="15:15" x14ac:dyDescent="0.25">
      <c r="O6680" s="9"/>
    </row>
    <row r="6701" spans="15:15" x14ac:dyDescent="0.25">
      <c r="O6701" s="9"/>
    </row>
    <row r="6722" spans="15:15" x14ac:dyDescent="0.25">
      <c r="O6722" s="9"/>
    </row>
    <row r="6743" spans="15:15" x14ac:dyDescent="0.25">
      <c r="O6743" s="9"/>
    </row>
    <row r="6764" spans="15:15" x14ac:dyDescent="0.25">
      <c r="O6764" s="9"/>
    </row>
    <row r="6785" spans="15:15" x14ac:dyDescent="0.25">
      <c r="O6785" s="9"/>
    </row>
    <row r="6806" spans="15:15" x14ac:dyDescent="0.25">
      <c r="O6806" s="9"/>
    </row>
    <row r="6827" spans="15:15" x14ac:dyDescent="0.25">
      <c r="O6827" s="9"/>
    </row>
    <row r="6848" spans="15:15" x14ac:dyDescent="0.25">
      <c r="O6848" s="9"/>
    </row>
    <row r="6869" spans="15:15" x14ac:dyDescent="0.25">
      <c r="O6869" s="9"/>
    </row>
    <row r="6890" spans="15:15" x14ac:dyDescent="0.25">
      <c r="O6890" s="9"/>
    </row>
    <row r="6911" spans="15:15" x14ac:dyDescent="0.25">
      <c r="O6911" s="9"/>
    </row>
    <row r="6932" spans="15:15" x14ac:dyDescent="0.25">
      <c r="O6932" s="9"/>
    </row>
    <row r="6953" spans="15:15" x14ac:dyDescent="0.25">
      <c r="O6953" s="9"/>
    </row>
    <row r="6974" spans="15:15" x14ac:dyDescent="0.25">
      <c r="O6974" s="9"/>
    </row>
    <row r="6995" spans="15:15" x14ac:dyDescent="0.25">
      <c r="O6995" s="9"/>
    </row>
    <row r="7016" spans="15:15" x14ac:dyDescent="0.25">
      <c r="O7016" s="9"/>
    </row>
    <row r="7037" spans="15:15" x14ac:dyDescent="0.25">
      <c r="O7037" s="9"/>
    </row>
    <row r="7058" spans="15:15" x14ac:dyDescent="0.25">
      <c r="O7058" s="9"/>
    </row>
    <row r="7079" spans="15:15" x14ac:dyDescent="0.25">
      <c r="O7079" s="9"/>
    </row>
    <row r="7100" spans="15:15" x14ac:dyDescent="0.25">
      <c r="O7100" s="9"/>
    </row>
    <row r="7121" spans="15:15" x14ac:dyDescent="0.25">
      <c r="O7121" s="9"/>
    </row>
    <row r="7142" spans="15:15" x14ac:dyDescent="0.25">
      <c r="O7142" s="9"/>
    </row>
    <row r="7163" spans="15:15" x14ac:dyDescent="0.25">
      <c r="O7163" s="9"/>
    </row>
    <row r="7184" spans="15:15" x14ac:dyDescent="0.25">
      <c r="O7184" s="9"/>
    </row>
    <row r="7205" spans="15:15" x14ac:dyDescent="0.25">
      <c r="O7205" s="9"/>
    </row>
    <row r="7226" spans="15:15" x14ac:dyDescent="0.25">
      <c r="O7226" s="9"/>
    </row>
    <row r="7247" spans="15:15" x14ac:dyDescent="0.25">
      <c r="O7247" s="9"/>
    </row>
    <row r="7268" spans="15:15" x14ac:dyDescent="0.25">
      <c r="O7268" s="9"/>
    </row>
    <row r="7289" spans="15:15" x14ac:dyDescent="0.25">
      <c r="O7289" s="9"/>
    </row>
    <row r="7310" spans="15:15" x14ac:dyDescent="0.25">
      <c r="O7310" s="9"/>
    </row>
    <row r="7331" spans="15:15" x14ac:dyDescent="0.25">
      <c r="O7331" s="9"/>
    </row>
    <row r="7352" spans="15:15" x14ac:dyDescent="0.25">
      <c r="O7352" s="9"/>
    </row>
    <row r="7373" spans="15:15" x14ac:dyDescent="0.25">
      <c r="O7373" s="9"/>
    </row>
    <row r="7394" spans="15:15" x14ac:dyDescent="0.25">
      <c r="O7394" s="9"/>
    </row>
    <row r="7415" spans="15:15" x14ac:dyDescent="0.25">
      <c r="O7415" s="9"/>
    </row>
    <row r="7436" spans="15:15" x14ac:dyDescent="0.25">
      <c r="O7436" s="9"/>
    </row>
    <row r="7457" spans="15:15" x14ac:dyDescent="0.25">
      <c r="O7457" s="9"/>
    </row>
    <row r="7478" spans="15:15" x14ac:dyDescent="0.25">
      <c r="O7478" s="9"/>
    </row>
    <row r="7499" spans="15:15" x14ac:dyDescent="0.25">
      <c r="O7499" s="9"/>
    </row>
    <row r="7520" spans="15:15" x14ac:dyDescent="0.25">
      <c r="O7520" s="9"/>
    </row>
    <row r="7541" spans="15:15" x14ac:dyDescent="0.25">
      <c r="O7541" s="9"/>
    </row>
    <row r="7562" spans="15:15" x14ac:dyDescent="0.25">
      <c r="O7562" s="9"/>
    </row>
    <row r="7583" spans="15:15" x14ac:dyDescent="0.25">
      <c r="O7583" s="9"/>
    </row>
    <row r="7604" spans="15:15" x14ac:dyDescent="0.25">
      <c r="O7604" s="9"/>
    </row>
    <row r="7625" spans="15:15" x14ac:dyDescent="0.25">
      <c r="O7625" s="9"/>
    </row>
    <row r="7646" spans="15:15" x14ac:dyDescent="0.25">
      <c r="O7646" s="9"/>
    </row>
    <row r="7667" spans="15:15" x14ac:dyDescent="0.25">
      <c r="O7667" s="9"/>
    </row>
    <row r="7688" spans="15:15" x14ac:dyDescent="0.25">
      <c r="O7688" s="9"/>
    </row>
    <row r="7709" spans="15:15" x14ac:dyDescent="0.25">
      <c r="O7709" s="9"/>
    </row>
    <row r="7730" spans="15:15" x14ac:dyDescent="0.25">
      <c r="O7730" s="9"/>
    </row>
    <row r="7751" spans="15:15" x14ac:dyDescent="0.25">
      <c r="O7751" s="9"/>
    </row>
    <row r="7772" spans="15:15" x14ac:dyDescent="0.25">
      <c r="O7772" s="9"/>
    </row>
    <row r="7793" spans="15:15" x14ac:dyDescent="0.25">
      <c r="O7793" s="9"/>
    </row>
    <row r="7814" spans="15:15" x14ac:dyDescent="0.25">
      <c r="O7814" s="9"/>
    </row>
    <row r="7835" spans="15:15" x14ac:dyDescent="0.25">
      <c r="O7835" s="9"/>
    </row>
    <row r="7856" spans="15:15" x14ac:dyDescent="0.25">
      <c r="O7856" s="9"/>
    </row>
    <row r="7877" spans="15:15" x14ac:dyDescent="0.25">
      <c r="O7877" s="9"/>
    </row>
    <row r="7898" spans="15:15" x14ac:dyDescent="0.25">
      <c r="O7898" s="9"/>
    </row>
    <row r="7919" spans="15:15" x14ac:dyDescent="0.25">
      <c r="O7919" s="9"/>
    </row>
    <row r="7940" spans="15:15" x14ac:dyDescent="0.25">
      <c r="O7940" s="9"/>
    </row>
    <row r="7961" spans="15:15" x14ac:dyDescent="0.25">
      <c r="O7961" s="9"/>
    </row>
    <row r="7982" spans="15:15" x14ac:dyDescent="0.25">
      <c r="O7982" s="9"/>
    </row>
    <row r="8003" spans="15:15" x14ac:dyDescent="0.25">
      <c r="O8003" s="9"/>
    </row>
    <row r="8024" spans="15:15" x14ac:dyDescent="0.25">
      <c r="O8024" s="9"/>
    </row>
    <row r="8045" spans="15:15" x14ac:dyDescent="0.25">
      <c r="O8045" s="9"/>
    </row>
    <row r="8066" spans="15:15" x14ac:dyDescent="0.25">
      <c r="O8066" s="9"/>
    </row>
    <row r="8087" spans="15:15" x14ac:dyDescent="0.25">
      <c r="O8087" s="9"/>
    </row>
    <row r="8108" spans="15:15" x14ac:dyDescent="0.25">
      <c r="O8108" s="9"/>
    </row>
    <row r="8129" spans="15:15" x14ac:dyDescent="0.25">
      <c r="O8129" s="9"/>
    </row>
    <row r="8150" spans="15:15" x14ac:dyDescent="0.25">
      <c r="O8150" s="9"/>
    </row>
    <row r="8171" spans="15:15" x14ac:dyDescent="0.25">
      <c r="O8171" s="9"/>
    </row>
    <row r="8192" spans="15:15" x14ac:dyDescent="0.25">
      <c r="O8192" s="9"/>
    </row>
    <row r="8213" spans="15:15" x14ac:dyDescent="0.25">
      <c r="O8213" s="9"/>
    </row>
    <row r="8234" spans="15:15" x14ac:dyDescent="0.25">
      <c r="O8234" s="9"/>
    </row>
    <row r="8255" spans="15:15" x14ac:dyDescent="0.25">
      <c r="O8255" s="9"/>
    </row>
    <row r="8276" spans="15:15" x14ac:dyDescent="0.25">
      <c r="O8276" s="9"/>
    </row>
    <row r="8297" spans="15:15" x14ac:dyDescent="0.25">
      <c r="O8297" s="9"/>
    </row>
    <row r="8318" spans="15:15" x14ac:dyDescent="0.25">
      <c r="O8318" s="9"/>
    </row>
    <row r="8339" spans="15:15" x14ac:dyDescent="0.25">
      <c r="O8339" s="9"/>
    </row>
    <row r="8360" spans="15:15" x14ac:dyDescent="0.25">
      <c r="O8360" s="9"/>
    </row>
    <row r="8381" spans="15:15" x14ac:dyDescent="0.25">
      <c r="O8381" s="9"/>
    </row>
    <row r="8402" spans="15:15" x14ac:dyDescent="0.25">
      <c r="O8402" s="9"/>
    </row>
    <row r="8423" spans="15:15" x14ac:dyDescent="0.25">
      <c r="O8423" s="9"/>
    </row>
    <row r="8444" spans="15:15" x14ac:dyDescent="0.25">
      <c r="O8444" s="9"/>
    </row>
    <row r="8465" spans="15:15" x14ac:dyDescent="0.25">
      <c r="O8465" s="9"/>
    </row>
    <row r="8486" spans="15:15" x14ac:dyDescent="0.25">
      <c r="O8486" s="9"/>
    </row>
    <row r="8507" spans="15:15" x14ac:dyDescent="0.25">
      <c r="O8507" s="9"/>
    </row>
    <row r="8528" spans="15:15" x14ac:dyDescent="0.25">
      <c r="O8528" s="9"/>
    </row>
    <row r="8549" spans="15:15" x14ac:dyDescent="0.25">
      <c r="O8549" s="9"/>
    </row>
    <row r="8570" spans="15:15" x14ac:dyDescent="0.25">
      <c r="O8570" s="9"/>
    </row>
    <row r="8591" spans="15:15" x14ac:dyDescent="0.25">
      <c r="O8591" s="9"/>
    </row>
    <row r="8612" spans="15:15" x14ac:dyDescent="0.25">
      <c r="O8612" s="9"/>
    </row>
    <row r="8633" spans="15:15" x14ac:dyDescent="0.25">
      <c r="O8633" s="9"/>
    </row>
    <row r="8654" spans="15:15" x14ac:dyDescent="0.25">
      <c r="O8654" s="9"/>
    </row>
    <row r="8675" spans="15:15" x14ac:dyDescent="0.25">
      <c r="O8675" s="9"/>
    </row>
    <row r="8696" spans="15:15" x14ac:dyDescent="0.25">
      <c r="O8696" s="9"/>
    </row>
    <row r="8717" spans="15:15" x14ac:dyDescent="0.25">
      <c r="O8717" s="9"/>
    </row>
    <row r="8738" spans="15:15" x14ac:dyDescent="0.25">
      <c r="O8738" s="9"/>
    </row>
    <row r="8759" spans="15:15" x14ac:dyDescent="0.25">
      <c r="O8759" s="9"/>
    </row>
    <row r="8780" spans="15:15" x14ac:dyDescent="0.25">
      <c r="O8780" s="9"/>
    </row>
    <row r="8801" spans="15:15" x14ac:dyDescent="0.25">
      <c r="O8801" s="9"/>
    </row>
    <row r="8822" spans="15:15" x14ac:dyDescent="0.25">
      <c r="O8822" s="9"/>
    </row>
    <row r="8843" spans="15:15" x14ac:dyDescent="0.25">
      <c r="O8843" s="9"/>
    </row>
    <row r="8864" spans="15:15" x14ac:dyDescent="0.25">
      <c r="O8864" s="9"/>
    </row>
    <row r="8885" spans="15:15" x14ac:dyDescent="0.25">
      <c r="O8885" s="9"/>
    </row>
    <row r="8906" spans="15:15" x14ac:dyDescent="0.25">
      <c r="O8906" s="9"/>
    </row>
    <row r="8927" spans="15:15" x14ac:dyDescent="0.25">
      <c r="O8927" s="9"/>
    </row>
    <row r="8948" spans="15:15" x14ac:dyDescent="0.25">
      <c r="O8948" s="9"/>
    </row>
    <row r="8969" spans="15:15" x14ac:dyDescent="0.25">
      <c r="O8969" s="9"/>
    </row>
    <row r="8990" spans="15:15" x14ac:dyDescent="0.25">
      <c r="O8990" s="9"/>
    </row>
    <row r="9011" spans="15:15" x14ac:dyDescent="0.25">
      <c r="O9011" s="9"/>
    </row>
    <row r="9032" spans="15:15" x14ac:dyDescent="0.25">
      <c r="O9032" s="9"/>
    </row>
    <row r="9053" spans="15:15" x14ac:dyDescent="0.25">
      <c r="O9053" s="9"/>
    </row>
    <row r="9074" spans="15:15" x14ac:dyDescent="0.25">
      <c r="O9074" s="9"/>
    </row>
    <row r="9095" spans="15:15" x14ac:dyDescent="0.25">
      <c r="O9095" s="9"/>
    </row>
    <row r="9116" spans="15:15" x14ac:dyDescent="0.25">
      <c r="O9116" s="9"/>
    </row>
    <row r="9137" spans="15:15" x14ac:dyDescent="0.25">
      <c r="O9137" s="9"/>
    </row>
    <row r="9158" spans="15:15" x14ac:dyDescent="0.25">
      <c r="O9158" s="9"/>
    </row>
    <row r="9179" spans="15:15" x14ac:dyDescent="0.25">
      <c r="O9179" s="9"/>
    </row>
    <row r="9200" spans="15:15" x14ac:dyDescent="0.25">
      <c r="O9200" s="9"/>
    </row>
    <row r="9221" spans="15:15" x14ac:dyDescent="0.25">
      <c r="O9221" s="9"/>
    </row>
    <row r="9242" spans="15:15" x14ac:dyDescent="0.25">
      <c r="O9242" s="9"/>
    </row>
    <row r="9263" spans="15:15" x14ac:dyDescent="0.25">
      <c r="O9263" s="9"/>
    </row>
    <row r="9284" spans="15:15" x14ac:dyDescent="0.25">
      <c r="O9284" s="9"/>
    </row>
    <row r="9305" spans="15:15" x14ac:dyDescent="0.25">
      <c r="O9305" s="9"/>
    </row>
    <row r="9326" spans="15:15" x14ac:dyDescent="0.25">
      <c r="O9326" s="9"/>
    </row>
    <row r="9347" spans="15:15" x14ac:dyDescent="0.25">
      <c r="O9347" s="9"/>
    </row>
    <row r="9368" spans="15:15" x14ac:dyDescent="0.25">
      <c r="O9368" s="9"/>
    </row>
    <row r="9389" spans="15:15" x14ac:dyDescent="0.25">
      <c r="O9389" s="9"/>
    </row>
    <row r="9410" spans="15:15" x14ac:dyDescent="0.25">
      <c r="O9410" s="9"/>
    </row>
    <row r="9431" spans="15:15" x14ac:dyDescent="0.25">
      <c r="O9431" s="9"/>
    </row>
    <row r="9452" spans="15:15" x14ac:dyDescent="0.25">
      <c r="O9452" s="9"/>
    </row>
    <row r="9473" spans="15:15" x14ac:dyDescent="0.25">
      <c r="O9473" s="9"/>
    </row>
    <row r="9494" spans="15:15" x14ac:dyDescent="0.25">
      <c r="O9494" s="9"/>
    </row>
    <row r="9515" spans="15:15" x14ac:dyDescent="0.25">
      <c r="O9515" s="9"/>
    </row>
    <row r="9536" spans="15:15" x14ac:dyDescent="0.25">
      <c r="O9536" s="9"/>
    </row>
    <row r="9557" spans="15:15" x14ac:dyDescent="0.25">
      <c r="O9557" s="9"/>
    </row>
    <row r="9578" spans="15:15" x14ac:dyDescent="0.25">
      <c r="O9578" s="9"/>
    </row>
    <row r="9599" spans="15:15" x14ac:dyDescent="0.25">
      <c r="O9599" s="9"/>
    </row>
    <row r="9620" spans="15:15" x14ac:dyDescent="0.25">
      <c r="O9620" s="9"/>
    </row>
    <row r="9641" spans="15:15" x14ac:dyDescent="0.25">
      <c r="O9641" s="9"/>
    </row>
    <row r="9662" spans="15:15" x14ac:dyDescent="0.25">
      <c r="O9662" s="9"/>
    </row>
    <row r="9683" spans="15:15" x14ac:dyDescent="0.25">
      <c r="O9683" s="9"/>
    </row>
    <row r="9704" spans="15:15" x14ac:dyDescent="0.25">
      <c r="O9704" s="9"/>
    </row>
    <row r="9725" spans="15:15" x14ac:dyDescent="0.25">
      <c r="O9725" s="9"/>
    </row>
    <row r="9746" spans="15:15" x14ac:dyDescent="0.25">
      <c r="O9746" s="9"/>
    </row>
    <row r="9767" spans="15:15" x14ac:dyDescent="0.25">
      <c r="O9767" s="9"/>
    </row>
    <row r="9788" spans="15:15" x14ac:dyDescent="0.25">
      <c r="O9788" s="9"/>
    </row>
    <row r="9809" spans="15:15" x14ac:dyDescent="0.25">
      <c r="O9809" s="9"/>
    </row>
    <row r="9830" spans="15:15" x14ac:dyDescent="0.25">
      <c r="O9830" s="9"/>
    </row>
    <row r="9851" spans="15:15" x14ac:dyDescent="0.25">
      <c r="O9851" s="9"/>
    </row>
    <row r="9872" spans="15:15" x14ac:dyDescent="0.25">
      <c r="O9872" s="9"/>
    </row>
    <row r="9893" spans="15:15" x14ac:dyDescent="0.25">
      <c r="O9893" s="9"/>
    </row>
    <row r="9914" spans="15:15" x14ac:dyDescent="0.25">
      <c r="O9914" s="9"/>
    </row>
    <row r="9935" spans="15:15" x14ac:dyDescent="0.25">
      <c r="O9935" s="9"/>
    </row>
    <row r="9956" spans="15:15" x14ac:dyDescent="0.25">
      <c r="O9956" s="9"/>
    </row>
    <row r="9977" spans="15:15" x14ac:dyDescent="0.25">
      <c r="O9977" s="9"/>
    </row>
    <row r="9998" spans="15:15" x14ac:dyDescent="0.25">
      <c r="O9998" s="9"/>
    </row>
    <row r="10019" spans="15:15" x14ac:dyDescent="0.25">
      <c r="O10019" s="9"/>
    </row>
    <row r="10040" spans="15:15" x14ac:dyDescent="0.25">
      <c r="O10040" s="9"/>
    </row>
    <row r="10061" spans="15:15" x14ac:dyDescent="0.25">
      <c r="O10061" s="9"/>
    </row>
    <row r="10082" spans="15:15" x14ac:dyDescent="0.25">
      <c r="O10082" s="9"/>
    </row>
    <row r="10103" spans="15:15" x14ac:dyDescent="0.25">
      <c r="O10103" s="9"/>
    </row>
    <row r="10124" spans="15:15" x14ac:dyDescent="0.25">
      <c r="O10124" s="9"/>
    </row>
    <row r="10145" spans="15:15" x14ac:dyDescent="0.25">
      <c r="O10145" s="9"/>
    </row>
    <row r="10166" spans="15:15" x14ac:dyDescent="0.25">
      <c r="O10166" s="9"/>
    </row>
    <row r="10187" spans="15:15" x14ac:dyDescent="0.25">
      <c r="O10187" s="9"/>
    </row>
    <row r="10208" spans="15:15" x14ac:dyDescent="0.25">
      <c r="O10208" s="9"/>
    </row>
    <row r="10229" spans="15:15" x14ac:dyDescent="0.25">
      <c r="O10229" s="9"/>
    </row>
    <row r="10250" spans="15:15" x14ac:dyDescent="0.25">
      <c r="O10250" s="9"/>
    </row>
    <row r="10271" spans="15:15" x14ac:dyDescent="0.25">
      <c r="O10271" s="9"/>
    </row>
    <row r="10292" spans="15:15" x14ac:dyDescent="0.25">
      <c r="O10292" s="9"/>
    </row>
    <row r="10313" spans="15:15" x14ac:dyDescent="0.25">
      <c r="O10313" s="9"/>
    </row>
    <row r="10334" spans="15:15" x14ac:dyDescent="0.25">
      <c r="O10334" s="9"/>
    </row>
    <row r="10355" spans="15:15" x14ac:dyDescent="0.25">
      <c r="O10355" s="9"/>
    </row>
    <row r="10376" spans="15:15" x14ac:dyDescent="0.25">
      <c r="O10376" s="9"/>
    </row>
    <row r="10397" spans="15:15" x14ac:dyDescent="0.25">
      <c r="O10397" s="9"/>
    </row>
    <row r="10418" spans="15:15" x14ac:dyDescent="0.25">
      <c r="O10418" s="9"/>
    </row>
    <row r="10439" spans="15:15" x14ac:dyDescent="0.25">
      <c r="O10439" s="9"/>
    </row>
    <row r="10460" spans="15:15" x14ac:dyDescent="0.25">
      <c r="O10460" s="9"/>
    </row>
    <row r="10481" spans="15:15" x14ac:dyDescent="0.25">
      <c r="O10481" s="9"/>
    </row>
    <row r="10502" spans="15:15" x14ac:dyDescent="0.25">
      <c r="O10502" s="9"/>
    </row>
    <row r="10523" spans="15:15" x14ac:dyDescent="0.25">
      <c r="O10523" s="9"/>
    </row>
    <row r="10544" spans="15:15" x14ac:dyDescent="0.25">
      <c r="O10544" s="9"/>
    </row>
    <row r="10565" spans="15:15" x14ac:dyDescent="0.25">
      <c r="O10565" s="9"/>
    </row>
    <row r="10586" spans="15:15" x14ac:dyDescent="0.25">
      <c r="O10586" s="9"/>
    </row>
    <row r="10607" spans="15:15" x14ac:dyDescent="0.25">
      <c r="O10607" s="9"/>
    </row>
    <row r="10628" spans="15:15" x14ac:dyDescent="0.25">
      <c r="O10628" s="9"/>
    </row>
    <row r="10649" spans="15:15" x14ac:dyDescent="0.25">
      <c r="O10649" s="9"/>
    </row>
    <row r="10670" spans="15:15" x14ac:dyDescent="0.25">
      <c r="O10670" s="9"/>
    </row>
    <row r="10691" spans="15:15" x14ac:dyDescent="0.25">
      <c r="O10691" s="9"/>
    </row>
    <row r="10712" spans="15:15" x14ac:dyDescent="0.25">
      <c r="O10712" s="9"/>
    </row>
    <row r="10733" spans="15:15" x14ac:dyDescent="0.25">
      <c r="O10733" s="9"/>
    </row>
    <row r="10754" spans="15:15" x14ac:dyDescent="0.25">
      <c r="O10754" s="9"/>
    </row>
    <row r="10775" spans="15:15" x14ac:dyDescent="0.25">
      <c r="O10775" s="9"/>
    </row>
    <row r="10796" spans="15:15" x14ac:dyDescent="0.25">
      <c r="O10796" s="9"/>
    </row>
    <row r="10817" spans="15:15" x14ac:dyDescent="0.25">
      <c r="O10817" s="9"/>
    </row>
    <row r="10838" spans="15:15" x14ac:dyDescent="0.25">
      <c r="O10838" s="9"/>
    </row>
    <row r="10859" spans="15:15" x14ac:dyDescent="0.25">
      <c r="O10859" s="9"/>
    </row>
    <row r="10880" spans="15:15" x14ac:dyDescent="0.25">
      <c r="O10880" s="9"/>
    </row>
    <row r="10901" spans="15:15" x14ac:dyDescent="0.25">
      <c r="O10901" s="9"/>
    </row>
    <row r="10922" spans="15:15" x14ac:dyDescent="0.25">
      <c r="O10922" s="9"/>
    </row>
    <row r="10943" spans="15:15" x14ac:dyDescent="0.25">
      <c r="O10943" s="9"/>
    </row>
    <row r="10964" spans="15:15" x14ac:dyDescent="0.25">
      <c r="O10964" s="9"/>
    </row>
    <row r="10985" spans="15:15" x14ac:dyDescent="0.25">
      <c r="O10985" s="9"/>
    </row>
    <row r="11006" spans="15:15" x14ac:dyDescent="0.25">
      <c r="O11006" s="9"/>
    </row>
    <row r="11027" spans="15:15" x14ac:dyDescent="0.25">
      <c r="O11027" s="9"/>
    </row>
    <row r="11048" spans="15:15" x14ac:dyDescent="0.25">
      <c r="O11048" s="9"/>
    </row>
    <row r="11069" spans="15:15" x14ac:dyDescent="0.25">
      <c r="O11069" s="9"/>
    </row>
    <row r="11090" spans="15:15" x14ac:dyDescent="0.25">
      <c r="O11090" s="9"/>
    </row>
    <row r="11111" spans="15:15" x14ac:dyDescent="0.25">
      <c r="O11111" s="9"/>
    </row>
    <row r="11132" spans="15:15" x14ac:dyDescent="0.25">
      <c r="O11132" s="9"/>
    </row>
    <row r="11153" spans="15:15" x14ac:dyDescent="0.25">
      <c r="O11153" s="9"/>
    </row>
    <row r="11174" spans="15:15" x14ac:dyDescent="0.25">
      <c r="O11174" s="9"/>
    </row>
    <row r="11195" spans="15:15" x14ac:dyDescent="0.25">
      <c r="O11195" s="9"/>
    </row>
    <row r="11216" spans="15:15" x14ac:dyDescent="0.25">
      <c r="O11216" s="9"/>
    </row>
    <row r="11237" spans="15:15" x14ac:dyDescent="0.25">
      <c r="O11237" s="9"/>
    </row>
    <row r="11258" spans="15:15" x14ac:dyDescent="0.25">
      <c r="O11258" s="9"/>
    </row>
    <row r="11279" spans="15:15" x14ac:dyDescent="0.25">
      <c r="O11279" s="9"/>
    </row>
    <row r="11300" spans="15:15" x14ac:dyDescent="0.25">
      <c r="O11300" s="9"/>
    </row>
    <row r="11321" spans="15:15" x14ac:dyDescent="0.25">
      <c r="O11321" s="9"/>
    </row>
    <row r="11342" spans="15:15" x14ac:dyDescent="0.25">
      <c r="O11342" s="9"/>
    </row>
    <row r="11363" spans="15:15" x14ac:dyDescent="0.25">
      <c r="O11363" s="9"/>
    </row>
    <row r="11384" spans="15:15" x14ac:dyDescent="0.25">
      <c r="O11384" s="9"/>
    </row>
    <row r="11405" spans="15:15" x14ac:dyDescent="0.25">
      <c r="O11405" s="9"/>
    </row>
    <row r="11426" spans="15:15" x14ac:dyDescent="0.25">
      <c r="O11426" s="9"/>
    </row>
    <row r="11447" spans="15:15" x14ac:dyDescent="0.25">
      <c r="O11447" s="9"/>
    </row>
    <row r="11468" spans="15:15" x14ac:dyDescent="0.25">
      <c r="O11468" s="9"/>
    </row>
    <row r="11489" spans="15:15" x14ac:dyDescent="0.25">
      <c r="O11489" s="9"/>
    </row>
    <row r="11510" spans="15:15" x14ac:dyDescent="0.25">
      <c r="O11510" s="9"/>
    </row>
    <row r="11531" spans="15:15" x14ac:dyDescent="0.25">
      <c r="O11531" s="9"/>
    </row>
    <row r="11552" spans="15:15" x14ac:dyDescent="0.25">
      <c r="O11552" s="9"/>
    </row>
    <row r="11573" spans="15:15" x14ac:dyDescent="0.25">
      <c r="O11573" s="9"/>
    </row>
    <row r="11594" spans="15:15" x14ac:dyDescent="0.25">
      <c r="O11594" s="9"/>
    </row>
    <row r="11615" spans="15:15" x14ac:dyDescent="0.25">
      <c r="O11615" s="9"/>
    </row>
    <row r="11636" spans="15:15" x14ac:dyDescent="0.25">
      <c r="O11636" s="9"/>
    </row>
    <row r="11657" spans="15:15" x14ac:dyDescent="0.25">
      <c r="O11657" s="9"/>
    </row>
    <row r="11678" spans="15:15" x14ac:dyDescent="0.25">
      <c r="O11678" s="9"/>
    </row>
    <row r="11699" spans="15:15" x14ac:dyDescent="0.25">
      <c r="O11699" s="9"/>
    </row>
    <row r="11720" spans="15:15" x14ac:dyDescent="0.25">
      <c r="O11720" s="9"/>
    </row>
    <row r="11741" spans="15:15" x14ac:dyDescent="0.25">
      <c r="O11741" s="9"/>
    </row>
    <row r="11762" spans="15:15" x14ac:dyDescent="0.25">
      <c r="O11762" s="9"/>
    </row>
    <row r="11783" spans="15:15" x14ac:dyDescent="0.25">
      <c r="O11783" s="9"/>
    </row>
    <row r="11804" spans="15:15" x14ac:dyDescent="0.25">
      <c r="O11804" s="9"/>
    </row>
    <row r="11825" spans="15:15" x14ac:dyDescent="0.25">
      <c r="O11825" s="9"/>
    </row>
    <row r="11846" spans="15:15" x14ac:dyDescent="0.25">
      <c r="O11846" s="9"/>
    </row>
    <row r="11867" spans="15:15" x14ac:dyDescent="0.25">
      <c r="O11867" s="9"/>
    </row>
    <row r="11888" spans="15:15" x14ac:dyDescent="0.25">
      <c r="O11888" s="9"/>
    </row>
    <row r="11909" spans="15:15" x14ac:dyDescent="0.25">
      <c r="O11909" s="9"/>
    </row>
    <row r="11930" spans="15:15" x14ac:dyDescent="0.25">
      <c r="O11930" s="9"/>
    </row>
    <row r="11951" spans="15:15" x14ac:dyDescent="0.25">
      <c r="O11951" s="9"/>
    </row>
    <row r="11972" spans="15:15" x14ac:dyDescent="0.25">
      <c r="O11972" s="9"/>
    </row>
    <row r="11993" spans="15:15" x14ac:dyDescent="0.25">
      <c r="O11993" s="9"/>
    </row>
    <row r="12014" spans="15:15" x14ac:dyDescent="0.25">
      <c r="O12014" s="9"/>
    </row>
    <row r="12035" spans="15:15" x14ac:dyDescent="0.25">
      <c r="O12035" s="9"/>
    </row>
    <row r="12056" spans="15:15" x14ac:dyDescent="0.25">
      <c r="O12056" s="9"/>
    </row>
    <row r="12077" spans="15:15" x14ac:dyDescent="0.25">
      <c r="O12077" s="9"/>
    </row>
    <row r="12098" spans="15:15" x14ac:dyDescent="0.25">
      <c r="O12098" s="9"/>
    </row>
    <row r="12119" spans="15:15" x14ac:dyDescent="0.25">
      <c r="O12119" s="9"/>
    </row>
    <row r="12140" spans="15:15" x14ac:dyDescent="0.25">
      <c r="O12140" s="9"/>
    </row>
    <row r="12161" spans="15:15" x14ac:dyDescent="0.25">
      <c r="O12161" s="9"/>
    </row>
    <row r="12182" spans="15:15" x14ac:dyDescent="0.25">
      <c r="O12182" s="9"/>
    </row>
    <row r="12203" spans="15:15" x14ac:dyDescent="0.25">
      <c r="O12203" s="9"/>
    </row>
    <row r="12224" spans="15:15" x14ac:dyDescent="0.25">
      <c r="O12224" s="9"/>
    </row>
    <row r="12245" spans="15:15" x14ac:dyDescent="0.25">
      <c r="O12245" s="9"/>
    </row>
    <row r="12266" spans="15:15" x14ac:dyDescent="0.25">
      <c r="O12266" s="9"/>
    </row>
    <row r="12287" spans="15:15" x14ac:dyDescent="0.25">
      <c r="O12287" s="9"/>
    </row>
    <row r="12308" spans="15:15" x14ac:dyDescent="0.25">
      <c r="O12308" s="9"/>
    </row>
    <row r="12329" spans="15:15" x14ac:dyDescent="0.25">
      <c r="O12329" s="9"/>
    </row>
    <row r="12350" spans="15:15" x14ac:dyDescent="0.25">
      <c r="O12350" s="9"/>
    </row>
    <row r="12371" spans="15:15" x14ac:dyDescent="0.25">
      <c r="O12371" s="9"/>
    </row>
    <row r="12392" spans="15:15" x14ac:dyDescent="0.25">
      <c r="O12392" s="9"/>
    </row>
    <row r="12413" spans="15:15" x14ac:dyDescent="0.25">
      <c r="O12413" s="9"/>
    </row>
    <row r="12434" spans="15:15" x14ac:dyDescent="0.25">
      <c r="O12434" s="9"/>
    </row>
    <row r="12455" spans="15:15" x14ac:dyDescent="0.25">
      <c r="O12455" s="9"/>
    </row>
    <row r="12476" spans="15:15" x14ac:dyDescent="0.25">
      <c r="O12476" s="9"/>
    </row>
    <row r="12497" spans="15:15" x14ac:dyDescent="0.25">
      <c r="O12497" s="9"/>
    </row>
    <row r="12518" spans="15:15" x14ac:dyDescent="0.25">
      <c r="O12518" s="9"/>
    </row>
    <row r="12539" spans="15:15" x14ac:dyDescent="0.25">
      <c r="O12539" s="9"/>
    </row>
    <row r="12560" spans="15:15" x14ac:dyDescent="0.25">
      <c r="O12560" s="9"/>
    </row>
    <row r="12581" spans="15:15" x14ac:dyDescent="0.25">
      <c r="O12581" s="9"/>
    </row>
    <row r="12602" spans="15:15" x14ac:dyDescent="0.25">
      <c r="O12602" s="9"/>
    </row>
    <row r="12623" spans="15:15" x14ac:dyDescent="0.25">
      <c r="O12623" s="9"/>
    </row>
    <row r="12644" spans="15:15" x14ac:dyDescent="0.25">
      <c r="O12644" s="9"/>
    </row>
    <row r="12665" spans="15:15" x14ac:dyDescent="0.25">
      <c r="O12665" s="9"/>
    </row>
    <row r="12686" spans="15:15" x14ac:dyDescent="0.25">
      <c r="O12686" s="9"/>
    </row>
    <row r="12707" spans="15:15" x14ac:dyDescent="0.25">
      <c r="O12707" s="9"/>
    </row>
    <row r="12728" spans="15:15" x14ac:dyDescent="0.25">
      <c r="O12728" s="9"/>
    </row>
    <row r="12749" spans="15:15" x14ac:dyDescent="0.25">
      <c r="O12749" s="9"/>
    </row>
    <row r="12770" spans="15:15" x14ac:dyDescent="0.25">
      <c r="O12770" s="9"/>
    </row>
    <row r="12791" spans="15:15" x14ac:dyDescent="0.25">
      <c r="O12791" s="9"/>
    </row>
    <row r="12812" spans="15:15" x14ac:dyDescent="0.25">
      <c r="O12812" s="9"/>
    </row>
    <row r="12833" spans="15:15" x14ac:dyDescent="0.25">
      <c r="O12833" s="9"/>
    </row>
    <row r="12854" spans="15:15" x14ac:dyDescent="0.25">
      <c r="O12854" s="9"/>
    </row>
    <row r="12875" spans="15:15" x14ac:dyDescent="0.25">
      <c r="O12875" s="9"/>
    </row>
    <row r="12896" spans="15:15" x14ac:dyDescent="0.25">
      <c r="O12896" s="9"/>
    </row>
    <row r="12917" spans="15:15" x14ac:dyDescent="0.25">
      <c r="O12917" s="9"/>
    </row>
    <row r="12938" spans="15:15" x14ac:dyDescent="0.25">
      <c r="O12938" s="9"/>
    </row>
    <row r="12959" spans="15:15" x14ac:dyDescent="0.25">
      <c r="O12959" s="9"/>
    </row>
    <row r="12980" spans="15:15" x14ac:dyDescent="0.25">
      <c r="O12980" s="9"/>
    </row>
    <row r="13001" spans="15:15" x14ac:dyDescent="0.25">
      <c r="O13001" s="9"/>
    </row>
    <row r="13022" spans="15:15" x14ac:dyDescent="0.25">
      <c r="O13022" s="9"/>
    </row>
    <row r="13043" spans="15:15" x14ac:dyDescent="0.25">
      <c r="O13043" s="9"/>
    </row>
    <row r="13064" spans="15:15" x14ac:dyDescent="0.25">
      <c r="O13064" s="9"/>
    </row>
    <row r="13085" spans="15:15" x14ac:dyDescent="0.25">
      <c r="O13085" s="9"/>
    </row>
    <row r="13106" spans="15:15" x14ac:dyDescent="0.25">
      <c r="O13106" s="9"/>
    </row>
    <row r="13127" spans="15:15" x14ac:dyDescent="0.25">
      <c r="O13127" s="9"/>
    </row>
    <row r="13148" spans="15:15" x14ac:dyDescent="0.25">
      <c r="O13148" s="9"/>
    </row>
    <row r="13169" spans="15:15" x14ac:dyDescent="0.25">
      <c r="O13169" s="9"/>
    </row>
    <row r="13190" spans="15:15" x14ac:dyDescent="0.25">
      <c r="O13190" s="9"/>
    </row>
    <row r="13211" spans="15:15" x14ac:dyDescent="0.25">
      <c r="O13211" s="9"/>
    </row>
    <row r="13232" spans="15:15" x14ac:dyDescent="0.25">
      <c r="O13232" s="9"/>
    </row>
    <row r="13253" spans="15:15" x14ac:dyDescent="0.25">
      <c r="O13253" s="9"/>
    </row>
    <row r="13274" spans="15:15" x14ac:dyDescent="0.25">
      <c r="O13274" s="9"/>
    </row>
    <row r="13295" spans="15:15" x14ac:dyDescent="0.25">
      <c r="O13295" s="9"/>
    </row>
    <row r="13316" spans="15:15" x14ac:dyDescent="0.25">
      <c r="O13316" s="9"/>
    </row>
    <row r="13337" spans="15:15" x14ac:dyDescent="0.25">
      <c r="O13337" s="9"/>
    </row>
    <row r="13358" spans="15:15" x14ac:dyDescent="0.25">
      <c r="O13358" s="9"/>
    </row>
    <row r="13379" spans="15:15" x14ac:dyDescent="0.25">
      <c r="O13379" s="9"/>
    </row>
    <row r="13400" spans="15:15" x14ac:dyDescent="0.25">
      <c r="O13400" s="9"/>
    </row>
    <row r="13421" spans="15:15" x14ac:dyDescent="0.25">
      <c r="O13421" s="9"/>
    </row>
    <row r="13442" spans="15:15" x14ac:dyDescent="0.25">
      <c r="O13442" s="9"/>
    </row>
    <row r="13463" spans="15:15" x14ac:dyDescent="0.25">
      <c r="O13463" s="9"/>
    </row>
    <row r="13484" spans="15:15" x14ac:dyDescent="0.25">
      <c r="O13484" s="9"/>
    </row>
    <row r="13505" spans="15:15" x14ac:dyDescent="0.25">
      <c r="O13505" s="9"/>
    </row>
    <row r="13526" spans="15:15" x14ac:dyDescent="0.25">
      <c r="O13526" s="9"/>
    </row>
    <row r="13547" spans="15:15" x14ac:dyDescent="0.25">
      <c r="O13547" s="9"/>
    </row>
    <row r="13568" spans="15:15" x14ac:dyDescent="0.25">
      <c r="O13568" s="9"/>
    </row>
    <row r="13589" spans="15:15" x14ac:dyDescent="0.25">
      <c r="O13589" s="9"/>
    </row>
    <row r="13610" spans="15:15" x14ac:dyDescent="0.25">
      <c r="O13610" s="9"/>
    </row>
    <row r="13631" spans="15:15" x14ac:dyDescent="0.25">
      <c r="O13631" s="9"/>
    </row>
    <row r="13652" spans="15:15" x14ac:dyDescent="0.25">
      <c r="O13652" s="9"/>
    </row>
    <row r="13673" spans="15:15" x14ac:dyDescent="0.25">
      <c r="O13673" s="9"/>
    </row>
    <row r="13694" spans="15:15" x14ac:dyDescent="0.25">
      <c r="O13694" s="9"/>
    </row>
    <row r="13715" spans="15:15" x14ac:dyDescent="0.25">
      <c r="O13715" s="9"/>
    </row>
    <row r="13736" spans="15:15" x14ac:dyDescent="0.25">
      <c r="O13736" s="9"/>
    </row>
    <row r="13757" spans="15:15" x14ac:dyDescent="0.25">
      <c r="O13757" s="9"/>
    </row>
    <row r="13778" spans="15:15" x14ac:dyDescent="0.25">
      <c r="O13778" s="9"/>
    </row>
    <row r="13799" spans="15:15" x14ac:dyDescent="0.25">
      <c r="O13799" s="9"/>
    </row>
    <row r="13820" spans="15:15" x14ac:dyDescent="0.25">
      <c r="O13820" s="9"/>
    </row>
    <row r="13841" spans="15:15" x14ac:dyDescent="0.25">
      <c r="O13841" s="9"/>
    </row>
    <row r="13862" spans="15:15" x14ac:dyDescent="0.25">
      <c r="O13862" s="9"/>
    </row>
    <row r="13883" spans="15:15" x14ac:dyDescent="0.25">
      <c r="O13883" s="9"/>
    </row>
    <row r="13904" spans="15:15" x14ac:dyDescent="0.25">
      <c r="O13904" s="9"/>
    </row>
    <row r="13925" spans="15:15" x14ac:dyDescent="0.25">
      <c r="O13925" s="9"/>
    </row>
    <row r="13946" spans="15:15" x14ac:dyDescent="0.25">
      <c r="O13946" s="9"/>
    </row>
    <row r="13967" spans="15:15" x14ac:dyDescent="0.25">
      <c r="O13967" s="9"/>
    </row>
    <row r="13988" spans="15:15" x14ac:dyDescent="0.25">
      <c r="O13988" s="9"/>
    </row>
    <row r="14009" spans="15:15" x14ac:dyDescent="0.25">
      <c r="O14009" s="9"/>
    </row>
    <row r="14030" spans="15:15" x14ac:dyDescent="0.25">
      <c r="O14030" s="9"/>
    </row>
    <row r="14051" spans="15:15" x14ac:dyDescent="0.25">
      <c r="O14051" s="9"/>
    </row>
    <row r="14072" spans="15:15" x14ac:dyDescent="0.25">
      <c r="O14072" s="9"/>
    </row>
    <row r="14093" spans="15:15" x14ac:dyDescent="0.25">
      <c r="O14093" s="9"/>
    </row>
    <row r="14114" spans="15:15" x14ac:dyDescent="0.25">
      <c r="O14114" s="9"/>
    </row>
    <row r="14135" spans="15:15" x14ac:dyDescent="0.25">
      <c r="O14135" s="9"/>
    </row>
    <row r="14156" spans="15:15" x14ac:dyDescent="0.25">
      <c r="O14156" s="9"/>
    </row>
    <row r="14177" spans="15:15" x14ac:dyDescent="0.25">
      <c r="O14177" s="9"/>
    </row>
    <row r="14198" spans="15:15" x14ac:dyDescent="0.25">
      <c r="O14198" s="9"/>
    </row>
    <row r="14219" spans="15:15" x14ac:dyDescent="0.25">
      <c r="O14219" s="9"/>
    </row>
    <row r="14240" spans="15:15" x14ac:dyDescent="0.25">
      <c r="O14240" s="9"/>
    </row>
    <row r="14261" spans="15:15" x14ac:dyDescent="0.25">
      <c r="O14261" s="9"/>
    </row>
    <row r="14282" spans="15:15" x14ac:dyDescent="0.25">
      <c r="O14282" s="9"/>
    </row>
    <row r="14303" spans="15:15" x14ac:dyDescent="0.25">
      <c r="O14303" s="9"/>
    </row>
    <row r="14324" spans="15:15" x14ac:dyDescent="0.25">
      <c r="O14324" s="9"/>
    </row>
    <row r="14345" spans="15:15" x14ac:dyDescent="0.25">
      <c r="O14345" s="9"/>
    </row>
    <row r="14366" spans="15:15" x14ac:dyDescent="0.25">
      <c r="O14366" s="9"/>
    </row>
    <row r="14387" spans="15:15" x14ac:dyDescent="0.25">
      <c r="O14387" s="9"/>
    </row>
    <row r="14408" spans="15:15" x14ac:dyDescent="0.25">
      <c r="O14408" s="9"/>
    </row>
    <row r="14429" spans="15:15" x14ac:dyDescent="0.25">
      <c r="O14429" s="9"/>
    </row>
    <row r="14450" spans="15:15" x14ac:dyDescent="0.25">
      <c r="O14450" s="9"/>
    </row>
    <row r="14471" spans="15:15" x14ac:dyDescent="0.25">
      <c r="O14471" s="9"/>
    </row>
    <row r="14492" spans="15:15" x14ac:dyDescent="0.25">
      <c r="O14492" s="9"/>
    </row>
    <row r="14513" spans="15:15" x14ac:dyDescent="0.25">
      <c r="O14513" s="9"/>
    </row>
    <row r="14534" spans="15:15" x14ac:dyDescent="0.25">
      <c r="O14534" s="9"/>
    </row>
    <row r="14555" spans="15:15" x14ac:dyDescent="0.25">
      <c r="O14555" s="9"/>
    </row>
    <row r="14576" spans="15:15" x14ac:dyDescent="0.25">
      <c r="O14576" s="9"/>
    </row>
    <row r="14597" spans="15:15" x14ac:dyDescent="0.25">
      <c r="O14597" s="9"/>
    </row>
    <row r="14618" spans="15:15" x14ac:dyDescent="0.25">
      <c r="O14618" s="9"/>
    </row>
    <row r="14639" spans="15:15" x14ac:dyDescent="0.25">
      <c r="O14639" s="9"/>
    </row>
    <row r="14660" spans="15:15" x14ac:dyDescent="0.25">
      <c r="O14660" s="9"/>
    </row>
    <row r="14681" spans="15:15" x14ac:dyDescent="0.25">
      <c r="O14681" s="9"/>
    </row>
    <row r="14702" spans="15:15" x14ac:dyDescent="0.25">
      <c r="O14702" s="9"/>
    </row>
    <row r="14723" spans="15:15" x14ac:dyDescent="0.25">
      <c r="O14723" s="9"/>
    </row>
    <row r="14744" spans="15:15" x14ac:dyDescent="0.25">
      <c r="O14744" s="9"/>
    </row>
    <row r="14765" spans="15:15" x14ac:dyDescent="0.25">
      <c r="O14765" s="9"/>
    </row>
    <row r="14786" spans="15:15" x14ac:dyDescent="0.25">
      <c r="O14786" s="9"/>
    </row>
    <row r="14807" spans="15:15" x14ac:dyDescent="0.25">
      <c r="O14807" s="9"/>
    </row>
    <row r="14828" spans="15:15" x14ac:dyDescent="0.25">
      <c r="O14828" s="9"/>
    </row>
    <row r="14849" spans="15:15" x14ac:dyDescent="0.25">
      <c r="O14849" s="9"/>
    </row>
    <row r="14870" spans="15:15" x14ac:dyDescent="0.25">
      <c r="O14870" s="9"/>
    </row>
    <row r="14891" spans="15:15" x14ac:dyDescent="0.25">
      <c r="O14891" s="9"/>
    </row>
    <row r="14912" spans="15:15" x14ac:dyDescent="0.25">
      <c r="O14912" s="9"/>
    </row>
    <row r="14933" spans="15:15" x14ac:dyDescent="0.25">
      <c r="O14933" s="9"/>
    </row>
    <row r="14954" spans="15:15" x14ac:dyDescent="0.25">
      <c r="O14954" s="9"/>
    </row>
    <row r="14975" spans="15:15" x14ac:dyDescent="0.25">
      <c r="O14975" s="9"/>
    </row>
    <row r="14996" spans="15:15" x14ac:dyDescent="0.25">
      <c r="O14996" s="9"/>
    </row>
    <row r="15017" spans="15:15" x14ac:dyDescent="0.25">
      <c r="O15017" s="9"/>
    </row>
    <row r="15038" spans="15:15" x14ac:dyDescent="0.25">
      <c r="O15038" s="9"/>
    </row>
    <row r="15059" spans="15:15" x14ac:dyDescent="0.25">
      <c r="O15059" s="9"/>
    </row>
    <row r="15080" spans="15:15" x14ac:dyDescent="0.25">
      <c r="O15080" s="9"/>
    </row>
    <row r="15101" spans="15:15" x14ac:dyDescent="0.25">
      <c r="O15101" s="9"/>
    </row>
    <row r="15122" spans="15:15" x14ac:dyDescent="0.25">
      <c r="O15122" s="9"/>
    </row>
    <row r="15143" spans="15:15" x14ac:dyDescent="0.25">
      <c r="O15143" s="9"/>
    </row>
    <row r="15164" spans="15:15" x14ac:dyDescent="0.25">
      <c r="O15164" s="9"/>
    </row>
    <row r="15185" spans="15:15" x14ac:dyDescent="0.25">
      <c r="O15185" s="9"/>
    </row>
    <row r="15206" spans="15:15" x14ac:dyDescent="0.25">
      <c r="O15206" s="9"/>
    </row>
    <row r="15227" spans="15:15" x14ac:dyDescent="0.25">
      <c r="O15227" s="9"/>
    </row>
    <row r="15248" spans="15:15" x14ac:dyDescent="0.25">
      <c r="O15248" s="9"/>
    </row>
    <row r="15269" spans="15:15" x14ac:dyDescent="0.25">
      <c r="O15269" s="9"/>
    </row>
    <row r="15290" spans="15:15" x14ac:dyDescent="0.25">
      <c r="O15290" s="9"/>
    </row>
    <row r="15311" spans="15:15" x14ac:dyDescent="0.25">
      <c r="O15311" s="9"/>
    </row>
    <row r="15332" spans="15:15" x14ac:dyDescent="0.25">
      <c r="O15332" s="9"/>
    </row>
    <row r="15353" spans="15:15" x14ac:dyDescent="0.25">
      <c r="O15353" s="9"/>
    </row>
    <row r="15374" spans="15:15" x14ac:dyDescent="0.25">
      <c r="O15374" s="9"/>
    </row>
    <row r="15395" spans="15:15" x14ac:dyDescent="0.25">
      <c r="O15395" s="9"/>
    </row>
    <row r="15416" spans="15:15" x14ac:dyDescent="0.25">
      <c r="O15416" s="9"/>
    </row>
    <row r="15437" spans="15:15" x14ac:dyDescent="0.25">
      <c r="O15437" s="9"/>
    </row>
    <row r="15458" spans="15:15" x14ac:dyDescent="0.25">
      <c r="O15458" s="9"/>
    </row>
    <row r="15479" spans="15:15" x14ac:dyDescent="0.25">
      <c r="O15479" s="9"/>
    </row>
    <row r="15500" spans="15:15" x14ac:dyDescent="0.25">
      <c r="O15500" s="9"/>
    </row>
    <row r="15521" spans="15:15" x14ac:dyDescent="0.25">
      <c r="O15521" s="9"/>
    </row>
    <row r="15542" spans="15:15" x14ac:dyDescent="0.25">
      <c r="O15542" s="9"/>
    </row>
    <row r="15563" spans="15:15" x14ac:dyDescent="0.25">
      <c r="O15563" s="9"/>
    </row>
    <row r="15584" spans="15:15" x14ac:dyDescent="0.25">
      <c r="O15584" s="9"/>
    </row>
    <row r="15605" spans="15:15" x14ac:dyDescent="0.25">
      <c r="O15605" s="9"/>
    </row>
    <row r="15626" spans="15:15" x14ac:dyDescent="0.25">
      <c r="O15626" s="9"/>
    </row>
    <row r="15647" spans="15:15" x14ac:dyDescent="0.25">
      <c r="O15647" s="9"/>
    </row>
    <row r="15668" spans="15:15" x14ac:dyDescent="0.25">
      <c r="O15668" s="9"/>
    </row>
    <row r="15689" spans="15:15" x14ac:dyDescent="0.25">
      <c r="O15689" s="9"/>
    </row>
    <row r="15710" spans="15:15" x14ac:dyDescent="0.25">
      <c r="O15710" s="9"/>
    </row>
    <row r="15731" spans="15:15" x14ac:dyDescent="0.25">
      <c r="O15731" s="9"/>
    </row>
    <row r="15752" spans="15:15" x14ac:dyDescent="0.25">
      <c r="O15752" s="9"/>
    </row>
    <row r="15773" spans="15:15" x14ac:dyDescent="0.25">
      <c r="O15773" s="9"/>
    </row>
    <row r="15794" spans="15:15" x14ac:dyDescent="0.25">
      <c r="O15794" s="9"/>
    </row>
    <row r="15815" spans="15:15" x14ac:dyDescent="0.25">
      <c r="O15815" s="9"/>
    </row>
    <row r="15836" spans="15:15" x14ac:dyDescent="0.25">
      <c r="O15836" s="9"/>
    </row>
    <row r="15857" spans="15:15" x14ac:dyDescent="0.25">
      <c r="O15857" s="9"/>
    </row>
    <row r="15878" spans="15:15" x14ac:dyDescent="0.25">
      <c r="O15878" s="9"/>
    </row>
    <row r="15899" spans="15:15" x14ac:dyDescent="0.25">
      <c r="O15899" s="9"/>
    </row>
    <row r="15920" spans="15:15" x14ac:dyDescent="0.25">
      <c r="O15920" s="9"/>
    </row>
    <row r="15941" spans="15:15" x14ac:dyDescent="0.25">
      <c r="O15941" s="9"/>
    </row>
    <row r="15962" spans="15:15" x14ac:dyDescent="0.25">
      <c r="O15962" s="9"/>
    </row>
    <row r="15983" spans="15:15" x14ac:dyDescent="0.25">
      <c r="O15983" s="9"/>
    </row>
    <row r="16004" spans="15:15" x14ac:dyDescent="0.25">
      <c r="O16004" s="9"/>
    </row>
    <row r="16025" spans="15:15" x14ac:dyDescent="0.25">
      <c r="O16025" s="9"/>
    </row>
    <row r="16046" spans="15:15" x14ac:dyDescent="0.25">
      <c r="O16046" s="9"/>
    </row>
    <row r="16067" spans="15:15" x14ac:dyDescent="0.25">
      <c r="O16067" s="9"/>
    </row>
    <row r="16088" spans="15:15" x14ac:dyDescent="0.25">
      <c r="O16088" s="9"/>
    </row>
    <row r="16109" spans="15:15" x14ac:dyDescent="0.25">
      <c r="O16109" s="9"/>
    </row>
    <row r="16130" spans="15:15" x14ac:dyDescent="0.25">
      <c r="O16130" s="9"/>
    </row>
    <row r="16151" spans="15:15" x14ac:dyDescent="0.25">
      <c r="O16151" s="9"/>
    </row>
    <row r="16172" spans="15:15" x14ac:dyDescent="0.25">
      <c r="O16172" s="9"/>
    </row>
    <row r="16193" spans="15:15" x14ac:dyDescent="0.25">
      <c r="O16193" s="9"/>
    </row>
    <row r="16214" spans="15:15" x14ac:dyDescent="0.25">
      <c r="O16214" s="9"/>
    </row>
    <row r="16235" spans="15:15" x14ac:dyDescent="0.25">
      <c r="O16235" s="9"/>
    </row>
    <row r="16256" spans="15:15" x14ac:dyDescent="0.25">
      <c r="O16256" s="9"/>
    </row>
    <row r="16277" spans="15:15" x14ac:dyDescent="0.25">
      <c r="O16277" s="9"/>
    </row>
    <row r="16298" spans="15:15" x14ac:dyDescent="0.25">
      <c r="O16298" s="9"/>
    </row>
    <row r="16319" spans="15:15" x14ac:dyDescent="0.25">
      <c r="O16319" s="9"/>
    </row>
    <row r="16340" spans="15:15" x14ac:dyDescent="0.25">
      <c r="O16340" s="9"/>
    </row>
    <row r="16361" spans="15:15" x14ac:dyDescent="0.25">
      <c r="O16361" s="9"/>
    </row>
    <row r="16382" spans="15:15" x14ac:dyDescent="0.25">
      <c r="O16382" s="9"/>
    </row>
    <row r="16403" spans="15:15" x14ac:dyDescent="0.25">
      <c r="O16403" s="9"/>
    </row>
    <row r="16424" spans="15:15" x14ac:dyDescent="0.25">
      <c r="O16424" s="9"/>
    </row>
    <row r="16445" spans="15:15" x14ac:dyDescent="0.25">
      <c r="O16445" s="9"/>
    </row>
    <row r="16466" spans="15:15" x14ac:dyDescent="0.25">
      <c r="O16466" s="9"/>
    </row>
    <row r="16487" spans="15:15" x14ac:dyDescent="0.25">
      <c r="O16487" s="9"/>
    </row>
    <row r="16508" spans="15:15" x14ac:dyDescent="0.25">
      <c r="O16508" s="9"/>
    </row>
    <row r="16529" spans="15:15" x14ac:dyDescent="0.25">
      <c r="O16529" s="9"/>
    </row>
    <row r="16550" spans="15:15" x14ac:dyDescent="0.25">
      <c r="O16550" s="9"/>
    </row>
    <row r="16571" spans="15:15" x14ac:dyDescent="0.25">
      <c r="O16571" s="9"/>
    </row>
    <row r="16592" spans="15:15" x14ac:dyDescent="0.25">
      <c r="O16592" s="9"/>
    </row>
    <row r="16613" spans="15:15" x14ac:dyDescent="0.25">
      <c r="O16613" s="9"/>
    </row>
    <row r="16634" spans="15:15" x14ac:dyDescent="0.25">
      <c r="O16634" s="9"/>
    </row>
    <row r="16655" spans="15:15" x14ac:dyDescent="0.25">
      <c r="O16655" s="9"/>
    </row>
    <row r="16676" spans="15:15" x14ac:dyDescent="0.25">
      <c r="O16676" s="9"/>
    </row>
    <row r="16697" spans="15:15" x14ac:dyDescent="0.25">
      <c r="O16697" s="9"/>
    </row>
    <row r="16718" spans="15:15" x14ac:dyDescent="0.25">
      <c r="O16718" s="9"/>
    </row>
    <row r="16739" spans="15:15" x14ac:dyDescent="0.25">
      <c r="O16739" s="9"/>
    </row>
    <row r="16760" spans="15:15" x14ac:dyDescent="0.25">
      <c r="O16760" s="9"/>
    </row>
    <row r="16781" spans="15:15" x14ac:dyDescent="0.25">
      <c r="O16781" s="9"/>
    </row>
    <row r="16802" spans="15:15" x14ac:dyDescent="0.25">
      <c r="O16802" s="9"/>
    </row>
    <row r="16823" spans="15:15" x14ac:dyDescent="0.25">
      <c r="O16823" s="9"/>
    </row>
    <row r="16844" spans="15:15" x14ac:dyDescent="0.25">
      <c r="O16844" s="9"/>
    </row>
    <row r="16865" spans="15:15" x14ac:dyDescent="0.25">
      <c r="O16865" s="9"/>
    </row>
    <row r="16886" spans="15:15" x14ac:dyDescent="0.25">
      <c r="O16886" s="9"/>
    </row>
    <row r="16907" spans="15:15" x14ac:dyDescent="0.25">
      <c r="O16907" s="9"/>
    </row>
    <row r="16928" spans="15:15" x14ac:dyDescent="0.25">
      <c r="O16928" s="9"/>
    </row>
    <row r="16949" spans="15:15" x14ac:dyDescent="0.25">
      <c r="O16949" s="9"/>
    </row>
    <row r="16970" spans="15:15" x14ac:dyDescent="0.25">
      <c r="O16970" s="9"/>
    </row>
    <row r="16991" spans="15:15" x14ac:dyDescent="0.25">
      <c r="O16991" s="9"/>
    </row>
    <row r="17012" spans="15:15" x14ac:dyDescent="0.25">
      <c r="O17012" s="9"/>
    </row>
    <row r="17033" spans="15:15" x14ac:dyDescent="0.25">
      <c r="O17033" s="9"/>
    </row>
    <row r="17054" spans="15:15" x14ac:dyDescent="0.25">
      <c r="O17054" s="9"/>
    </row>
    <row r="17075" spans="15:15" x14ac:dyDescent="0.25">
      <c r="O17075" s="9"/>
    </row>
    <row r="17096" spans="15:15" x14ac:dyDescent="0.25">
      <c r="O17096" s="9"/>
    </row>
    <row r="17117" spans="15:15" x14ac:dyDescent="0.25">
      <c r="O17117" s="9"/>
    </row>
    <row r="17138" spans="15:15" x14ac:dyDescent="0.25">
      <c r="O17138" s="9"/>
    </row>
    <row r="17159" spans="15:15" x14ac:dyDescent="0.25">
      <c r="O17159" s="9"/>
    </row>
    <row r="17180" spans="15:15" x14ac:dyDescent="0.25">
      <c r="O17180" s="9"/>
    </row>
    <row r="17201" spans="15:15" x14ac:dyDescent="0.25">
      <c r="O17201" s="9"/>
    </row>
    <row r="17222" spans="15:15" x14ac:dyDescent="0.25">
      <c r="O17222" s="9"/>
    </row>
    <row r="17243" spans="15:15" x14ac:dyDescent="0.25">
      <c r="O17243" s="9"/>
    </row>
    <row r="17264" spans="15:15" x14ac:dyDescent="0.25">
      <c r="O17264" s="9"/>
    </row>
    <row r="17285" spans="15:15" x14ac:dyDescent="0.25">
      <c r="O17285" s="9"/>
    </row>
    <row r="17306" spans="15:15" x14ac:dyDescent="0.25">
      <c r="O17306" s="9"/>
    </row>
    <row r="17327" spans="15:15" x14ac:dyDescent="0.25">
      <c r="O17327" s="9"/>
    </row>
    <row r="17348" spans="15:15" x14ac:dyDescent="0.25">
      <c r="O17348" s="9"/>
    </row>
    <row r="17369" spans="15:15" x14ac:dyDescent="0.25">
      <c r="O17369" s="9"/>
    </row>
    <row r="17390" spans="15:15" x14ac:dyDescent="0.25">
      <c r="O17390" s="9"/>
    </row>
    <row r="17411" spans="15:15" x14ac:dyDescent="0.25">
      <c r="O17411" s="9"/>
    </row>
    <row r="17432" spans="15:15" x14ac:dyDescent="0.25">
      <c r="O17432" s="9"/>
    </row>
    <row r="17453" spans="15:15" x14ac:dyDescent="0.25">
      <c r="O17453" s="9"/>
    </row>
    <row r="17474" spans="15:15" x14ac:dyDescent="0.25">
      <c r="O17474" s="9"/>
    </row>
    <row r="17495" spans="15:15" x14ac:dyDescent="0.25">
      <c r="O17495" s="9"/>
    </row>
    <row r="17516" spans="15:15" x14ac:dyDescent="0.25">
      <c r="O17516" s="9"/>
    </row>
    <row r="17537" spans="15:15" x14ac:dyDescent="0.25">
      <c r="O17537" s="9"/>
    </row>
    <row r="17558" spans="15:15" x14ac:dyDescent="0.25">
      <c r="O17558" s="9"/>
    </row>
    <row r="17579" spans="15:15" x14ac:dyDescent="0.25">
      <c r="O17579" s="9"/>
    </row>
    <row r="17600" spans="15:15" x14ac:dyDescent="0.25">
      <c r="O17600" s="9"/>
    </row>
    <row r="17621" spans="15:15" x14ac:dyDescent="0.25">
      <c r="O17621" s="9"/>
    </row>
    <row r="17642" spans="15:15" x14ac:dyDescent="0.25">
      <c r="O17642" s="9"/>
    </row>
    <row r="17663" spans="15:15" x14ac:dyDescent="0.25">
      <c r="O17663" s="9"/>
    </row>
    <row r="17684" spans="15:15" x14ac:dyDescent="0.25">
      <c r="O17684" s="9"/>
    </row>
    <row r="17705" spans="15:15" x14ac:dyDescent="0.25">
      <c r="O17705" s="9"/>
    </row>
    <row r="17726" spans="15:15" x14ac:dyDescent="0.25">
      <c r="O17726" s="9"/>
    </row>
    <row r="17747" spans="15:15" x14ac:dyDescent="0.25">
      <c r="O17747" s="9"/>
    </row>
    <row r="17768" spans="15:15" x14ac:dyDescent="0.25">
      <c r="O17768" s="9"/>
    </row>
    <row r="17789" spans="15:15" x14ac:dyDescent="0.25">
      <c r="O17789" s="9"/>
    </row>
    <row r="17810" spans="15:15" x14ac:dyDescent="0.25">
      <c r="O17810" s="9"/>
    </row>
    <row r="17831" spans="15:15" x14ac:dyDescent="0.25">
      <c r="O17831" s="9"/>
    </row>
    <row r="17852" spans="15:15" x14ac:dyDescent="0.25">
      <c r="O17852" s="9"/>
    </row>
    <row r="17873" spans="15:15" x14ac:dyDescent="0.25">
      <c r="O17873" s="9"/>
    </row>
    <row r="17894" spans="15:15" x14ac:dyDescent="0.25">
      <c r="O17894" s="9"/>
    </row>
    <row r="17915" spans="15:15" x14ac:dyDescent="0.25">
      <c r="O17915" s="9"/>
    </row>
    <row r="17936" spans="15:15" x14ac:dyDescent="0.25">
      <c r="O17936" s="9"/>
    </row>
    <row r="17957" spans="15:15" x14ac:dyDescent="0.25">
      <c r="O17957" s="9"/>
    </row>
    <row r="17978" spans="15:15" x14ac:dyDescent="0.25">
      <c r="O17978" s="9"/>
    </row>
    <row r="17999" spans="15:15" x14ac:dyDescent="0.25">
      <c r="O17999" s="9"/>
    </row>
    <row r="18020" spans="15:15" x14ac:dyDescent="0.25">
      <c r="O18020" s="9"/>
    </row>
    <row r="18041" spans="15:15" x14ac:dyDescent="0.25">
      <c r="O18041" s="9"/>
    </row>
    <row r="18062" spans="15:15" x14ac:dyDescent="0.25">
      <c r="O18062" s="9"/>
    </row>
    <row r="18083" spans="15:15" x14ac:dyDescent="0.25">
      <c r="O18083" s="9"/>
    </row>
    <row r="18104" spans="15:15" x14ac:dyDescent="0.25">
      <c r="O18104" s="9"/>
    </row>
    <row r="18125" spans="15:15" x14ac:dyDescent="0.25">
      <c r="O18125" s="9"/>
    </row>
    <row r="18146" spans="15:15" x14ac:dyDescent="0.25">
      <c r="O18146" s="9"/>
    </row>
    <row r="18167" spans="15:15" x14ac:dyDescent="0.25">
      <c r="O18167" s="9"/>
    </row>
    <row r="18188" spans="15:15" x14ac:dyDescent="0.25">
      <c r="O18188" s="9"/>
    </row>
    <row r="18209" spans="15:15" x14ac:dyDescent="0.25">
      <c r="O18209" s="9"/>
    </row>
    <row r="18230" spans="15:15" x14ac:dyDescent="0.25">
      <c r="O18230" s="9"/>
    </row>
    <row r="18251" spans="15:15" x14ac:dyDescent="0.25">
      <c r="O18251" s="9"/>
    </row>
    <row r="18272" spans="15:15" x14ac:dyDescent="0.25">
      <c r="O18272" s="9"/>
    </row>
    <row r="18293" spans="15:15" x14ac:dyDescent="0.25">
      <c r="O18293" s="9"/>
    </row>
    <row r="18314" spans="15:15" x14ac:dyDescent="0.25">
      <c r="O18314" s="9"/>
    </row>
    <row r="18335" spans="15:15" x14ac:dyDescent="0.25">
      <c r="O18335" s="9"/>
    </row>
    <row r="18356" spans="15:15" x14ac:dyDescent="0.25">
      <c r="O18356" s="9"/>
    </row>
    <row r="18377" spans="15:15" x14ac:dyDescent="0.25">
      <c r="O18377" s="9"/>
    </row>
    <row r="18398" spans="15:15" x14ac:dyDescent="0.25">
      <c r="O18398" s="9"/>
    </row>
    <row r="18419" spans="15:15" x14ac:dyDescent="0.25">
      <c r="O18419" s="9"/>
    </row>
    <row r="18440" spans="15:15" x14ac:dyDescent="0.25">
      <c r="O18440" s="9"/>
    </row>
    <row r="18461" spans="15:15" x14ac:dyDescent="0.25">
      <c r="O18461" s="9"/>
    </row>
    <row r="18482" spans="15:15" x14ac:dyDescent="0.25">
      <c r="O18482" s="9"/>
    </row>
    <row r="18503" spans="15:15" x14ac:dyDescent="0.25">
      <c r="O18503" s="9"/>
    </row>
    <row r="18524" spans="15:15" x14ac:dyDescent="0.25">
      <c r="O18524" s="9"/>
    </row>
    <row r="18545" spans="15:15" x14ac:dyDescent="0.25">
      <c r="O18545" s="9"/>
    </row>
    <row r="18566" spans="15:15" x14ac:dyDescent="0.25">
      <c r="O18566" s="9"/>
    </row>
    <row r="18587" spans="15:15" x14ac:dyDescent="0.25">
      <c r="O18587" s="9"/>
    </row>
    <row r="18608" spans="15:15" x14ac:dyDescent="0.25">
      <c r="O18608" s="9"/>
    </row>
    <row r="18629" spans="15:15" x14ac:dyDescent="0.25">
      <c r="O18629" s="9"/>
    </row>
    <row r="18650" spans="15:15" x14ac:dyDescent="0.25">
      <c r="O18650" s="9"/>
    </row>
    <row r="18671" spans="15:15" x14ac:dyDescent="0.25">
      <c r="O18671" s="9"/>
    </row>
    <row r="18692" spans="15:15" x14ac:dyDescent="0.25">
      <c r="O18692" s="9"/>
    </row>
    <row r="18713" spans="15:15" x14ac:dyDescent="0.25">
      <c r="O18713" s="9"/>
    </row>
    <row r="18734" spans="15:15" x14ac:dyDescent="0.25">
      <c r="O18734" s="9"/>
    </row>
    <row r="18755" spans="15:15" x14ac:dyDescent="0.25">
      <c r="O18755" s="9"/>
    </row>
    <row r="18776" spans="15:15" x14ac:dyDescent="0.25">
      <c r="O18776" s="9"/>
    </row>
    <row r="18797" spans="15:15" x14ac:dyDescent="0.25">
      <c r="O18797" s="9"/>
    </row>
    <row r="18818" spans="15:15" x14ac:dyDescent="0.25">
      <c r="O18818" s="9"/>
    </row>
    <row r="18839" spans="15:15" x14ac:dyDescent="0.25">
      <c r="O18839" s="9"/>
    </row>
    <row r="18860" spans="15:15" x14ac:dyDescent="0.25">
      <c r="O18860" s="9"/>
    </row>
    <row r="18881" spans="15:15" x14ac:dyDescent="0.25">
      <c r="O18881" s="9"/>
    </row>
    <row r="18902" spans="15:15" x14ac:dyDescent="0.25">
      <c r="O18902" s="9"/>
    </row>
    <row r="18923" spans="15:15" x14ac:dyDescent="0.25">
      <c r="O18923" s="9"/>
    </row>
    <row r="18944" spans="15:15" x14ac:dyDescent="0.25">
      <c r="O18944" s="9"/>
    </row>
    <row r="18965" spans="15:15" x14ac:dyDescent="0.25">
      <c r="O18965" s="9"/>
    </row>
    <row r="18986" spans="15:15" x14ac:dyDescent="0.25">
      <c r="O18986" s="9"/>
    </row>
    <row r="19007" spans="15:15" x14ac:dyDescent="0.25">
      <c r="O19007" s="9"/>
    </row>
    <row r="19028" spans="15:15" x14ac:dyDescent="0.25">
      <c r="O19028" s="9"/>
    </row>
    <row r="19049" spans="15:15" x14ac:dyDescent="0.25">
      <c r="O19049" s="9"/>
    </row>
    <row r="19070" spans="15:15" x14ac:dyDescent="0.25">
      <c r="O19070" s="9"/>
    </row>
    <row r="19091" spans="15:15" x14ac:dyDescent="0.25">
      <c r="O19091" s="9"/>
    </row>
    <row r="19112" spans="15:15" x14ac:dyDescent="0.25">
      <c r="O19112" s="9"/>
    </row>
    <row r="19133" spans="15:15" x14ac:dyDescent="0.25">
      <c r="O19133" s="9"/>
    </row>
    <row r="19154" spans="15:15" x14ac:dyDescent="0.25">
      <c r="O19154" s="9"/>
    </row>
    <row r="19175" spans="15:15" x14ac:dyDescent="0.25">
      <c r="O19175" s="9"/>
    </row>
    <row r="19196" spans="15:15" x14ac:dyDescent="0.25">
      <c r="O19196" s="9"/>
    </row>
    <row r="19217" spans="15:15" x14ac:dyDescent="0.25">
      <c r="O19217" s="9"/>
    </row>
    <row r="19238" spans="15:15" x14ac:dyDescent="0.25">
      <c r="O19238" s="9"/>
    </row>
    <row r="19259" spans="15:15" x14ac:dyDescent="0.25">
      <c r="O19259" s="9"/>
    </row>
    <row r="19280" spans="15:15" x14ac:dyDescent="0.25">
      <c r="O19280" s="9"/>
    </row>
    <row r="19301" spans="15:15" x14ac:dyDescent="0.25">
      <c r="O19301" s="9"/>
    </row>
    <row r="19322" spans="15:15" x14ac:dyDescent="0.25">
      <c r="O19322" s="9"/>
    </row>
    <row r="19343" spans="15:15" x14ac:dyDescent="0.25">
      <c r="O19343" s="9"/>
    </row>
    <row r="19364" spans="15:15" x14ac:dyDescent="0.25">
      <c r="O19364" s="9"/>
    </row>
    <row r="19385" spans="15:15" x14ac:dyDescent="0.25">
      <c r="O19385" s="9"/>
    </row>
    <row r="19406" spans="15:15" x14ac:dyDescent="0.25">
      <c r="O19406" s="9"/>
    </row>
    <row r="19427" spans="15:15" x14ac:dyDescent="0.25">
      <c r="O19427" s="9"/>
    </row>
    <row r="19448" spans="15:15" x14ac:dyDescent="0.25">
      <c r="O19448" s="9"/>
    </row>
    <row r="19469" spans="15:15" x14ac:dyDescent="0.25">
      <c r="O19469" s="9"/>
    </row>
    <row r="19490" spans="15:15" x14ac:dyDescent="0.25">
      <c r="O19490" s="9"/>
    </row>
    <row r="19511" spans="15:15" x14ac:dyDescent="0.25">
      <c r="O19511" s="9"/>
    </row>
    <row r="19532" spans="15:15" x14ac:dyDescent="0.25">
      <c r="O19532" s="9"/>
    </row>
    <row r="19553" spans="15:15" x14ac:dyDescent="0.25">
      <c r="O19553" s="9"/>
    </row>
    <row r="19574" spans="15:15" x14ac:dyDescent="0.25">
      <c r="O19574" s="9"/>
    </row>
    <row r="19595" spans="15:15" x14ac:dyDescent="0.25">
      <c r="O19595" s="9"/>
    </row>
    <row r="19616" spans="15:15" x14ac:dyDescent="0.25">
      <c r="O19616" s="9"/>
    </row>
    <row r="19637" spans="15:15" x14ac:dyDescent="0.25">
      <c r="O19637" s="9"/>
    </row>
    <row r="19658" spans="15:15" x14ac:dyDescent="0.25">
      <c r="O19658" s="9"/>
    </row>
    <row r="19679" spans="15:15" x14ac:dyDescent="0.25">
      <c r="O19679" s="9"/>
    </row>
    <row r="19700" spans="15:15" x14ac:dyDescent="0.25">
      <c r="O19700" s="9"/>
    </row>
    <row r="19721" spans="15:15" x14ac:dyDescent="0.25">
      <c r="O19721" s="9"/>
    </row>
    <row r="19742" spans="15:15" x14ac:dyDescent="0.25">
      <c r="O19742" s="9"/>
    </row>
    <row r="19763" spans="15:15" x14ac:dyDescent="0.25">
      <c r="O19763" s="9"/>
    </row>
    <row r="19784" spans="15:15" x14ac:dyDescent="0.25">
      <c r="O19784" s="9"/>
    </row>
    <row r="19805" spans="15:15" x14ac:dyDescent="0.25">
      <c r="O19805" s="9"/>
    </row>
    <row r="19826" spans="15:15" x14ac:dyDescent="0.25">
      <c r="O19826" s="9"/>
    </row>
    <row r="19847" spans="15:15" x14ac:dyDescent="0.25">
      <c r="O19847" s="9"/>
    </row>
    <row r="19868" spans="15:15" x14ac:dyDescent="0.25">
      <c r="O19868" s="9"/>
    </row>
    <row r="19889" spans="15:15" x14ac:dyDescent="0.25">
      <c r="O19889" s="9"/>
    </row>
    <row r="19910" spans="15:15" x14ac:dyDescent="0.25">
      <c r="O19910" s="9"/>
    </row>
    <row r="19931" spans="15:15" x14ac:dyDescent="0.25">
      <c r="O19931" s="9"/>
    </row>
    <row r="19952" spans="15:15" x14ac:dyDescent="0.25">
      <c r="O19952" s="9"/>
    </row>
    <row r="19973" spans="15:15" x14ac:dyDescent="0.25">
      <c r="O19973" s="9"/>
    </row>
    <row r="19994" spans="15:15" x14ac:dyDescent="0.25">
      <c r="O19994" s="9"/>
    </row>
    <row r="20015" spans="15:15" x14ac:dyDescent="0.25">
      <c r="O20015" s="9"/>
    </row>
    <row r="20036" spans="15:15" x14ac:dyDescent="0.25">
      <c r="O20036" s="9"/>
    </row>
    <row r="20057" spans="15:15" x14ac:dyDescent="0.25">
      <c r="O20057" s="9"/>
    </row>
    <row r="20078" spans="15:15" x14ac:dyDescent="0.25">
      <c r="O20078" s="9"/>
    </row>
    <row r="20099" spans="15:15" x14ac:dyDescent="0.25">
      <c r="O20099" s="9"/>
    </row>
    <row r="20120" spans="15:15" x14ac:dyDescent="0.25">
      <c r="O20120" s="9"/>
    </row>
    <row r="20141" spans="15:15" x14ac:dyDescent="0.25">
      <c r="O20141" s="9"/>
    </row>
    <row r="20162" spans="15:15" x14ac:dyDescent="0.25">
      <c r="O20162" s="9"/>
    </row>
    <row r="20183" spans="15:15" x14ac:dyDescent="0.25">
      <c r="O20183" s="9"/>
    </row>
    <row r="20204" spans="15:15" x14ac:dyDescent="0.25">
      <c r="O20204" s="9"/>
    </row>
    <row r="20225" spans="15:15" x14ac:dyDescent="0.25">
      <c r="O20225" s="9"/>
    </row>
    <row r="20246" spans="15:15" x14ac:dyDescent="0.25">
      <c r="O20246" s="9"/>
    </row>
    <row r="20267" spans="15:15" x14ac:dyDescent="0.25">
      <c r="O20267" s="9"/>
    </row>
    <row r="20288" spans="15:15" x14ac:dyDescent="0.25">
      <c r="O20288" s="9"/>
    </row>
    <row r="20309" spans="15:15" x14ac:dyDescent="0.25">
      <c r="O20309" s="9"/>
    </row>
    <row r="20330" spans="15:15" x14ac:dyDescent="0.25">
      <c r="O20330" s="9"/>
    </row>
    <row r="20351" spans="15:15" x14ac:dyDescent="0.25">
      <c r="O20351" s="9"/>
    </row>
    <row r="20372" spans="15:15" x14ac:dyDescent="0.25">
      <c r="O20372" s="9"/>
    </row>
    <row r="20393" spans="15:15" x14ac:dyDescent="0.25">
      <c r="O20393" s="9"/>
    </row>
    <row r="20414" spans="15:15" x14ac:dyDescent="0.25">
      <c r="O20414" s="9"/>
    </row>
    <row r="20435" spans="15:15" x14ac:dyDescent="0.25">
      <c r="O20435" s="9"/>
    </row>
    <row r="20456" spans="15:15" x14ac:dyDescent="0.25">
      <c r="O20456" s="9"/>
    </row>
    <row r="20477" spans="15:15" x14ac:dyDescent="0.25">
      <c r="O20477" s="9"/>
    </row>
    <row r="20498" spans="15:15" x14ac:dyDescent="0.25">
      <c r="O20498" s="9"/>
    </row>
    <row r="20519" spans="15:15" x14ac:dyDescent="0.25">
      <c r="O20519" s="9"/>
    </row>
    <row r="20540" spans="15:15" x14ac:dyDescent="0.25">
      <c r="O20540" s="9"/>
    </row>
    <row r="20561" spans="15:15" x14ac:dyDescent="0.25">
      <c r="O20561" s="9"/>
    </row>
    <row r="20582" spans="15:15" x14ac:dyDescent="0.25">
      <c r="O20582" s="9"/>
    </row>
    <row r="20603" spans="15:15" x14ac:dyDescent="0.25">
      <c r="O20603" s="9"/>
    </row>
    <row r="20624" spans="15:15" x14ac:dyDescent="0.25">
      <c r="O20624" s="9"/>
    </row>
    <row r="20645" spans="15:15" x14ac:dyDescent="0.25">
      <c r="O20645" s="9"/>
    </row>
    <row r="20666" spans="15:15" x14ac:dyDescent="0.25">
      <c r="O20666" s="9"/>
    </row>
    <row r="20687" spans="15:15" x14ac:dyDescent="0.25">
      <c r="O20687" s="9"/>
    </row>
    <row r="20708" spans="15:15" x14ac:dyDescent="0.25">
      <c r="O20708" s="9"/>
    </row>
    <row r="20729" spans="15:15" x14ac:dyDescent="0.25">
      <c r="O20729" s="9"/>
    </row>
    <row r="20750" spans="15:15" x14ac:dyDescent="0.25">
      <c r="O20750" s="9"/>
    </row>
    <row r="20771" spans="15:15" x14ac:dyDescent="0.25">
      <c r="O20771" s="9"/>
    </row>
    <row r="20792" spans="15:15" x14ac:dyDescent="0.25">
      <c r="O20792" s="9"/>
    </row>
    <row r="20813" spans="15:15" x14ac:dyDescent="0.25">
      <c r="O20813" s="9"/>
    </row>
    <row r="20834" spans="15:15" x14ac:dyDescent="0.25">
      <c r="O20834" s="9"/>
    </row>
    <row r="20855" spans="15:15" x14ac:dyDescent="0.25">
      <c r="O20855" s="9"/>
    </row>
    <row r="20876" spans="15:15" x14ac:dyDescent="0.25">
      <c r="O20876" s="9"/>
    </row>
    <row r="20897" spans="15:15" x14ac:dyDescent="0.25">
      <c r="O20897" s="9"/>
    </row>
    <row r="20918" spans="15:15" x14ac:dyDescent="0.25">
      <c r="O20918" s="9"/>
    </row>
    <row r="20939" spans="15:15" x14ac:dyDescent="0.25">
      <c r="O20939" s="9"/>
    </row>
    <row r="20960" spans="15:15" x14ac:dyDescent="0.25">
      <c r="O20960" s="9"/>
    </row>
    <row r="20981" spans="15:15" x14ac:dyDescent="0.25">
      <c r="O20981" s="9"/>
    </row>
    <row r="21002" spans="15:15" x14ac:dyDescent="0.25">
      <c r="O21002" s="9"/>
    </row>
    <row r="21023" spans="15:15" x14ac:dyDescent="0.25">
      <c r="O21023" s="9"/>
    </row>
    <row r="21044" spans="15:15" x14ac:dyDescent="0.25">
      <c r="O21044" s="9"/>
    </row>
    <row r="21065" spans="15:15" x14ac:dyDescent="0.25">
      <c r="O21065" s="9"/>
    </row>
    <row r="21086" spans="15:15" x14ac:dyDescent="0.25">
      <c r="O21086" s="9"/>
    </row>
    <row r="21107" spans="15:15" x14ac:dyDescent="0.25">
      <c r="O21107" s="9"/>
    </row>
    <row r="21128" spans="15:15" x14ac:dyDescent="0.25">
      <c r="O21128" s="9"/>
    </row>
    <row r="21149" spans="15:15" x14ac:dyDescent="0.25">
      <c r="O21149" s="9"/>
    </row>
    <row r="21170" spans="15:15" x14ac:dyDescent="0.25">
      <c r="O21170" s="9"/>
    </row>
    <row r="21191" spans="15:15" x14ac:dyDescent="0.25">
      <c r="O21191" s="9"/>
    </row>
    <row r="21212" spans="15:15" x14ac:dyDescent="0.25">
      <c r="O21212" s="9"/>
    </row>
    <row r="21233" spans="15:15" x14ac:dyDescent="0.25">
      <c r="O21233" s="9"/>
    </row>
    <row r="21254" spans="15:15" x14ac:dyDescent="0.25">
      <c r="O21254" s="9"/>
    </row>
    <row r="21275" spans="15:15" x14ac:dyDescent="0.25">
      <c r="O21275" s="9"/>
    </row>
    <row r="21296" spans="15:15" x14ac:dyDescent="0.25">
      <c r="O21296" s="9"/>
    </row>
    <row r="21317" spans="15:15" x14ac:dyDescent="0.25">
      <c r="O21317" s="9"/>
    </row>
    <row r="21338" spans="15:15" x14ac:dyDescent="0.25">
      <c r="O21338" s="9"/>
    </row>
    <row r="21359" spans="15:15" x14ac:dyDescent="0.25">
      <c r="O21359" s="9"/>
    </row>
    <row r="21380" spans="15:15" x14ac:dyDescent="0.25">
      <c r="O21380" s="9"/>
    </row>
    <row r="21401" spans="15:15" x14ac:dyDescent="0.25">
      <c r="O21401" s="9"/>
    </row>
    <row r="21422" spans="15:15" x14ac:dyDescent="0.25">
      <c r="O21422" s="9"/>
    </row>
    <row r="21443" spans="15:15" x14ac:dyDescent="0.25">
      <c r="O21443" s="9"/>
    </row>
    <row r="21464" spans="15:15" x14ac:dyDescent="0.25">
      <c r="O21464" s="9"/>
    </row>
    <row r="21485" spans="15:15" x14ac:dyDescent="0.25">
      <c r="O21485" s="9"/>
    </row>
    <row r="21506" spans="15:15" x14ac:dyDescent="0.25">
      <c r="O21506" s="9"/>
    </row>
    <row r="21527" spans="15:15" x14ac:dyDescent="0.25">
      <c r="O21527" s="9"/>
    </row>
    <row r="21548" spans="15:15" x14ac:dyDescent="0.25">
      <c r="O21548" s="9"/>
    </row>
    <row r="21569" spans="15:15" x14ac:dyDescent="0.25">
      <c r="O21569" s="9"/>
    </row>
    <row r="21590" spans="15:15" x14ac:dyDescent="0.25">
      <c r="O21590" s="9"/>
    </row>
    <row r="21611" spans="15:15" x14ac:dyDescent="0.25">
      <c r="O21611" s="9"/>
    </row>
    <row r="21632" spans="15:15" x14ac:dyDescent="0.25">
      <c r="O21632" s="9"/>
    </row>
    <row r="21653" spans="15:15" x14ac:dyDescent="0.25">
      <c r="O21653" s="9"/>
    </row>
    <row r="21674" spans="15:15" x14ac:dyDescent="0.25">
      <c r="O21674" s="9"/>
    </row>
    <row r="21695" spans="15:15" x14ac:dyDescent="0.25">
      <c r="O21695" s="9"/>
    </row>
    <row r="21716" spans="15:15" x14ac:dyDescent="0.25">
      <c r="O21716" s="9"/>
    </row>
    <row r="21737" spans="15:15" x14ac:dyDescent="0.25">
      <c r="O21737" s="9"/>
    </row>
    <row r="21758" spans="15:15" x14ac:dyDescent="0.25">
      <c r="O21758" s="9"/>
    </row>
    <row r="21779" spans="15:15" x14ac:dyDescent="0.25">
      <c r="O21779" s="9"/>
    </row>
    <row r="21800" spans="15:15" x14ac:dyDescent="0.25">
      <c r="O21800" s="9"/>
    </row>
    <row r="21821" spans="15:15" x14ac:dyDescent="0.25">
      <c r="O21821" s="9"/>
    </row>
    <row r="21842" spans="15:15" x14ac:dyDescent="0.25">
      <c r="O21842" s="9"/>
    </row>
    <row r="21863" spans="15:15" x14ac:dyDescent="0.25">
      <c r="O21863" s="9"/>
    </row>
    <row r="21884" spans="15:15" x14ac:dyDescent="0.25">
      <c r="O21884" s="9"/>
    </row>
    <row r="21905" spans="15:15" x14ac:dyDescent="0.25">
      <c r="O21905" s="9"/>
    </row>
    <row r="21926" spans="15:15" x14ac:dyDescent="0.25">
      <c r="O21926" s="9"/>
    </row>
    <row r="21947" spans="15:15" x14ac:dyDescent="0.25">
      <c r="O21947" s="9"/>
    </row>
    <row r="21968" spans="15:15" x14ac:dyDescent="0.25">
      <c r="O21968" s="9"/>
    </row>
    <row r="21989" spans="15:15" x14ac:dyDescent="0.25">
      <c r="O21989" s="9"/>
    </row>
    <row r="22010" spans="15:15" x14ac:dyDescent="0.25">
      <c r="O22010" s="9"/>
    </row>
    <row r="22031" spans="15:15" x14ac:dyDescent="0.25">
      <c r="O22031" s="9"/>
    </row>
    <row r="22052" spans="15:15" x14ac:dyDescent="0.25">
      <c r="O22052" s="9"/>
    </row>
    <row r="22073" spans="15:15" x14ac:dyDescent="0.25">
      <c r="O22073" s="9"/>
    </row>
    <row r="22094" spans="15:15" x14ac:dyDescent="0.25">
      <c r="O22094" s="9"/>
    </row>
    <row r="22115" spans="15:15" x14ac:dyDescent="0.25">
      <c r="O22115" s="9"/>
    </row>
    <row r="22136" spans="15:15" x14ac:dyDescent="0.25">
      <c r="O22136" s="9"/>
    </row>
    <row r="22157" spans="15:15" x14ac:dyDescent="0.25">
      <c r="O22157" s="9"/>
    </row>
    <row r="22178" spans="15:15" x14ac:dyDescent="0.25">
      <c r="O22178" s="9"/>
    </row>
    <row r="22199" spans="15:15" x14ac:dyDescent="0.25">
      <c r="O22199" s="9"/>
    </row>
    <row r="22220" spans="15:15" x14ac:dyDescent="0.25">
      <c r="O22220" s="9"/>
    </row>
    <row r="22241" spans="15:15" x14ac:dyDescent="0.25">
      <c r="O22241" s="9"/>
    </row>
    <row r="22262" spans="15:15" x14ac:dyDescent="0.25">
      <c r="O22262" s="9"/>
    </row>
    <row r="22283" spans="15:15" x14ac:dyDescent="0.25">
      <c r="O22283" s="9"/>
    </row>
    <row r="22304" spans="15:15" x14ac:dyDescent="0.25">
      <c r="O22304" s="9"/>
    </row>
    <row r="22325" spans="15:15" x14ac:dyDescent="0.25">
      <c r="O22325" s="9"/>
    </row>
    <row r="22346" spans="15:15" x14ac:dyDescent="0.25">
      <c r="O22346" s="9"/>
    </row>
    <row r="22367" spans="15:15" x14ac:dyDescent="0.25">
      <c r="O22367" s="9"/>
    </row>
    <row r="22388" spans="15:15" x14ac:dyDescent="0.25">
      <c r="O22388" s="9"/>
    </row>
    <row r="22409" spans="15:15" x14ac:dyDescent="0.25">
      <c r="O22409" s="9"/>
    </row>
    <row r="22430" spans="15:15" x14ac:dyDescent="0.25">
      <c r="O22430" s="9"/>
    </row>
    <row r="22451" spans="15:15" x14ac:dyDescent="0.25">
      <c r="O22451" s="9"/>
    </row>
    <row r="22472" spans="15:15" x14ac:dyDescent="0.25">
      <c r="O22472" s="9"/>
    </row>
    <row r="22493" spans="15:15" x14ac:dyDescent="0.25">
      <c r="O22493" s="9"/>
    </row>
    <row r="22514" spans="15:15" x14ac:dyDescent="0.25">
      <c r="O22514" s="9"/>
    </row>
    <row r="22535" spans="15:15" x14ac:dyDescent="0.25">
      <c r="O22535" s="9"/>
    </row>
    <row r="22556" spans="15:15" x14ac:dyDescent="0.25">
      <c r="O22556" s="9"/>
    </row>
    <row r="22577" spans="15:15" x14ac:dyDescent="0.25">
      <c r="O22577" s="9"/>
    </row>
    <row r="22598" spans="15:15" x14ac:dyDescent="0.25">
      <c r="O22598" s="9"/>
    </row>
    <row r="22619" spans="15:15" x14ac:dyDescent="0.25">
      <c r="O22619" s="9"/>
    </row>
    <row r="22640" spans="15:15" x14ac:dyDescent="0.25">
      <c r="O22640" s="9"/>
    </row>
    <row r="22661" spans="15:15" x14ac:dyDescent="0.25">
      <c r="O22661" s="9"/>
    </row>
    <row r="22682" spans="15:15" x14ac:dyDescent="0.25">
      <c r="O22682" s="9"/>
    </row>
    <row r="22703" spans="15:15" x14ac:dyDescent="0.25">
      <c r="O22703" s="9"/>
    </row>
    <row r="22724" spans="15:15" x14ac:dyDescent="0.25">
      <c r="O22724" s="9"/>
    </row>
    <row r="22745" spans="15:15" x14ac:dyDescent="0.25">
      <c r="O22745" s="9"/>
    </row>
    <row r="22766" spans="15:15" x14ac:dyDescent="0.25">
      <c r="O22766" s="9"/>
    </row>
    <row r="22787" spans="15:15" x14ac:dyDescent="0.25">
      <c r="O22787" s="9"/>
    </row>
    <row r="22808" spans="15:15" x14ac:dyDescent="0.25">
      <c r="O22808" s="9"/>
    </row>
    <row r="22829" spans="15:15" x14ac:dyDescent="0.25">
      <c r="O22829" s="9"/>
    </row>
    <row r="22850" spans="15:15" x14ac:dyDescent="0.25">
      <c r="O22850" s="9"/>
    </row>
    <row r="22871" spans="15:15" x14ac:dyDescent="0.25">
      <c r="O22871" s="9"/>
    </row>
    <row r="22892" spans="15:15" x14ac:dyDescent="0.25">
      <c r="O22892" s="9"/>
    </row>
    <row r="22913" spans="15:15" x14ac:dyDescent="0.25">
      <c r="O22913" s="9"/>
    </row>
    <row r="22934" spans="15:15" x14ac:dyDescent="0.25">
      <c r="O22934" s="9"/>
    </row>
    <row r="22955" spans="15:15" x14ac:dyDescent="0.25">
      <c r="O22955" s="9"/>
    </row>
    <row r="22976" spans="15:15" x14ac:dyDescent="0.25">
      <c r="O22976" s="9"/>
    </row>
    <row r="22997" spans="15:15" x14ac:dyDescent="0.25">
      <c r="O22997" s="9"/>
    </row>
    <row r="23018" spans="15:15" x14ac:dyDescent="0.25">
      <c r="O23018" s="9"/>
    </row>
    <row r="23039" spans="15:15" x14ac:dyDescent="0.25">
      <c r="O23039" s="9"/>
    </row>
    <row r="23060" spans="15:15" x14ac:dyDescent="0.25">
      <c r="O23060" s="9"/>
    </row>
    <row r="23081" spans="15:15" x14ac:dyDescent="0.25">
      <c r="O23081" s="9"/>
    </row>
    <row r="23102" spans="15:15" x14ac:dyDescent="0.25">
      <c r="O23102" s="9"/>
    </row>
    <row r="23123" spans="15:15" x14ac:dyDescent="0.25">
      <c r="O23123" s="9"/>
    </row>
    <row r="23144" spans="15:15" x14ac:dyDescent="0.25">
      <c r="O23144" s="9"/>
    </row>
    <row r="23165" spans="15:15" x14ac:dyDescent="0.25">
      <c r="O23165" s="9"/>
    </row>
    <row r="23186" spans="15:15" x14ac:dyDescent="0.25">
      <c r="O23186" s="9"/>
    </row>
    <row r="23207" spans="15:15" x14ac:dyDescent="0.25">
      <c r="O23207" s="9"/>
    </row>
    <row r="23228" spans="15:15" x14ac:dyDescent="0.25">
      <c r="O23228" s="9"/>
    </row>
    <row r="23249" spans="15:15" x14ac:dyDescent="0.25">
      <c r="O23249" s="9"/>
    </row>
    <row r="23270" spans="15:15" x14ac:dyDescent="0.25">
      <c r="O23270" s="9"/>
    </row>
    <row r="23291" spans="15:15" x14ac:dyDescent="0.25">
      <c r="O23291" s="9"/>
    </row>
    <row r="23312" spans="15:15" x14ac:dyDescent="0.25">
      <c r="O23312" s="9"/>
    </row>
    <row r="23333" spans="15:15" x14ac:dyDescent="0.25">
      <c r="O23333" s="9"/>
    </row>
    <row r="23354" spans="15:15" x14ac:dyDescent="0.25">
      <c r="O23354" s="9"/>
    </row>
    <row r="23375" spans="15:15" x14ac:dyDescent="0.25">
      <c r="O23375" s="9"/>
    </row>
    <row r="23396" spans="15:15" x14ac:dyDescent="0.25">
      <c r="O23396" s="9"/>
    </row>
    <row r="23417" spans="15:15" x14ac:dyDescent="0.25">
      <c r="O23417" s="9"/>
    </row>
    <row r="23438" spans="15:15" x14ac:dyDescent="0.25">
      <c r="O23438" s="9"/>
    </row>
    <row r="23459" spans="15:15" x14ac:dyDescent="0.25">
      <c r="O23459" s="9"/>
    </row>
    <row r="23480" spans="15:15" x14ac:dyDescent="0.25">
      <c r="O23480" s="9"/>
    </row>
    <row r="23501" spans="15:15" x14ac:dyDescent="0.25">
      <c r="O23501" s="9"/>
    </row>
    <row r="23522" spans="15:15" x14ac:dyDescent="0.25">
      <c r="O23522" s="9"/>
    </row>
    <row r="23543" spans="15:15" x14ac:dyDescent="0.25">
      <c r="O23543" s="9"/>
    </row>
    <row r="23564" spans="15:15" x14ac:dyDescent="0.25">
      <c r="O23564" s="9"/>
    </row>
    <row r="23585" spans="15:15" x14ac:dyDescent="0.25">
      <c r="O23585" s="9"/>
    </row>
    <row r="23606" spans="15:15" x14ac:dyDescent="0.25">
      <c r="O23606" s="9"/>
    </row>
    <row r="23627" spans="15:15" x14ac:dyDescent="0.25">
      <c r="O23627" s="9"/>
    </row>
    <row r="23648" spans="15:15" x14ac:dyDescent="0.25">
      <c r="O23648" s="9"/>
    </row>
    <row r="23669" spans="15:15" x14ac:dyDescent="0.25">
      <c r="O23669" s="9"/>
    </row>
    <row r="23690" spans="15:15" x14ac:dyDescent="0.25">
      <c r="O23690" s="9"/>
    </row>
    <row r="23711" spans="15:15" x14ac:dyDescent="0.25">
      <c r="O23711" s="9"/>
    </row>
    <row r="23732" spans="15:15" x14ac:dyDescent="0.25">
      <c r="O23732" s="9"/>
    </row>
    <row r="23753" spans="15:15" x14ac:dyDescent="0.25">
      <c r="O23753" s="9"/>
    </row>
    <row r="23774" spans="15:15" x14ac:dyDescent="0.25">
      <c r="O23774" s="9"/>
    </row>
    <row r="23795" spans="15:15" x14ac:dyDescent="0.25">
      <c r="O23795" s="9"/>
    </row>
    <row r="23816" spans="15:15" x14ac:dyDescent="0.25">
      <c r="O23816" s="9"/>
    </row>
    <row r="23837" spans="15:15" x14ac:dyDescent="0.25">
      <c r="O23837" s="9"/>
    </row>
    <row r="23858" spans="15:15" x14ac:dyDescent="0.25">
      <c r="O23858" s="9"/>
    </row>
    <row r="23879" spans="15:15" x14ac:dyDescent="0.25">
      <c r="O23879" s="9"/>
    </row>
    <row r="23900" spans="15:15" x14ac:dyDescent="0.25">
      <c r="O23900" s="9"/>
    </row>
    <row r="23921" spans="15:15" x14ac:dyDescent="0.25">
      <c r="O23921" s="9"/>
    </row>
    <row r="23942" spans="15:15" x14ac:dyDescent="0.25">
      <c r="O23942" s="9"/>
    </row>
    <row r="23963" spans="15:15" x14ac:dyDescent="0.25">
      <c r="O23963" s="9"/>
    </row>
    <row r="23984" spans="15:15" x14ac:dyDescent="0.25">
      <c r="O23984" s="9"/>
    </row>
    <row r="24005" spans="15:15" x14ac:dyDescent="0.25">
      <c r="O24005" s="9"/>
    </row>
    <row r="24026" spans="15:15" x14ac:dyDescent="0.25">
      <c r="O24026" s="9"/>
    </row>
    <row r="24047" spans="15:15" x14ac:dyDescent="0.25">
      <c r="O24047" s="9"/>
    </row>
    <row r="24068" spans="15:15" x14ac:dyDescent="0.25">
      <c r="O24068" s="9"/>
    </row>
    <row r="24089" spans="15:15" x14ac:dyDescent="0.25">
      <c r="O24089" s="9"/>
    </row>
    <row r="24110" spans="15:15" x14ac:dyDescent="0.25">
      <c r="O24110" s="9"/>
    </row>
    <row r="24131" spans="15:15" x14ac:dyDescent="0.25">
      <c r="O24131" s="9"/>
    </row>
    <row r="24152" spans="15:15" x14ac:dyDescent="0.25">
      <c r="O24152" s="9"/>
    </row>
    <row r="24173" spans="15:15" x14ac:dyDescent="0.25">
      <c r="O24173" s="9"/>
    </row>
    <row r="24194" spans="15:15" x14ac:dyDescent="0.25">
      <c r="O24194" s="9"/>
    </row>
    <row r="24215" spans="15:15" x14ac:dyDescent="0.25">
      <c r="O24215" s="9"/>
    </row>
    <row r="24236" spans="15:15" x14ac:dyDescent="0.25">
      <c r="O24236" s="9"/>
    </row>
    <row r="24257" spans="15:15" x14ac:dyDescent="0.25">
      <c r="O24257" s="9"/>
    </row>
    <row r="24278" spans="15:15" x14ac:dyDescent="0.25">
      <c r="O24278" s="9"/>
    </row>
    <row r="24299" spans="15:15" x14ac:dyDescent="0.25">
      <c r="O24299" s="9"/>
    </row>
    <row r="24320" spans="15:15" x14ac:dyDescent="0.25">
      <c r="O24320" s="9"/>
    </row>
    <row r="24341" spans="15:15" x14ac:dyDescent="0.25">
      <c r="O24341" s="9"/>
    </row>
    <row r="24362" spans="15:15" x14ac:dyDescent="0.25">
      <c r="O24362" s="9"/>
    </row>
    <row r="24383" spans="15:15" x14ac:dyDescent="0.25">
      <c r="O24383" s="9"/>
    </row>
    <row r="24404" spans="15:15" x14ac:dyDescent="0.25">
      <c r="O24404" s="9"/>
    </row>
    <row r="24425" spans="15:15" x14ac:dyDescent="0.25">
      <c r="O24425" s="9"/>
    </row>
    <row r="24446" spans="15:15" x14ac:dyDescent="0.25">
      <c r="O24446" s="9"/>
    </row>
    <row r="24467" spans="15:15" x14ac:dyDescent="0.25">
      <c r="O24467" s="9"/>
    </row>
    <row r="24488" spans="15:15" x14ac:dyDescent="0.25">
      <c r="O24488" s="9"/>
    </row>
    <row r="24509" spans="15:15" x14ac:dyDescent="0.25">
      <c r="O24509" s="9"/>
    </row>
    <row r="24530" spans="15:15" x14ac:dyDescent="0.25">
      <c r="O24530" s="9"/>
    </row>
    <row r="24551" spans="15:15" x14ac:dyDescent="0.25">
      <c r="O24551" s="9"/>
    </row>
    <row r="24572" spans="15:15" x14ac:dyDescent="0.25">
      <c r="O24572" s="9"/>
    </row>
    <row r="24593" spans="15:15" x14ac:dyDescent="0.25">
      <c r="O24593" s="9"/>
    </row>
    <row r="24614" spans="15:15" x14ac:dyDescent="0.25">
      <c r="O24614" s="9"/>
    </row>
    <row r="24635" spans="15:15" x14ac:dyDescent="0.25">
      <c r="O24635" s="9"/>
    </row>
    <row r="24656" spans="15:15" x14ac:dyDescent="0.25">
      <c r="O24656" s="9"/>
    </row>
    <row r="24677" spans="15:15" x14ac:dyDescent="0.25">
      <c r="O24677" s="9"/>
    </row>
    <row r="24698" spans="15:15" x14ac:dyDescent="0.25">
      <c r="O24698" s="9"/>
    </row>
    <row r="24719" spans="15:15" x14ac:dyDescent="0.25">
      <c r="O24719" s="9"/>
    </row>
    <row r="24740" spans="15:15" x14ac:dyDescent="0.25">
      <c r="O24740" s="9"/>
    </row>
    <row r="24761" spans="15:15" x14ac:dyDescent="0.25">
      <c r="O24761" s="9"/>
    </row>
    <row r="24782" spans="15:15" x14ac:dyDescent="0.25">
      <c r="O24782" s="9"/>
    </row>
    <row r="24803" spans="15:15" x14ac:dyDescent="0.25">
      <c r="O24803" s="9"/>
    </row>
    <row r="24824" spans="15:15" x14ac:dyDescent="0.25">
      <c r="O24824" s="9"/>
    </row>
    <row r="24845" spans="15:15" x14ac:dyDescent="0.25">
      <c r="O24845" s="9"/>
    </row>
    <row r="24866" spans="15:15" x14ac:dyDescent="0.25">
      <c r="O24866" s="9"/>
    </row>
    <row r="24887" spans="15:15" x14ac:dyDescent="0.25">
      <c r="O24887" s="9"/>
    </row>
    <row r="24908" spans="15:15" x14ac:dyDescent="0.25">
      <c r="O24908" s="9"/>
    </row>
    <row r="24929" spans="15:15" x14ac:dyDescent="0.25">
      <c r="O24929" s="9"/>
    </row>
    <row r="24950" spans="15:15" x14ac:dyDescent="0.25">
      <c r="O24950" s="9"/>
    </row>
    <row r="24971" spans="15:15" x14ac:dyDescent="0.25">
      <c r="O24971" s="9"/>
    </row>
    <row r="24992" spans="15:15" x14ac:dyDescent="0.25">
      <c r="O24992" s="9"/>
    </row>
    <row r="25013" spans="15:15" x14ac:dyDescent="0.25">
      <c r="O25013" s="9"/>
    </row>
    <row r="25034" spans="15:15" x14ac:dyDescent="0.25">
      <c r="O25034" s="9"/>
    </row>
    <row r="25055" spans="15:15" x14ac:dyDescent="0.25">
      <c r="O25055" s="9"/>
    </row>
    <row r="25076" spans="15:15" x14ac:dyDescent="0.25">
      <c r="O25076" s="9"/>
    </row>
    <row r="25097" spans="15:15" x14ac:dyDescent="0.25">
      <c r="O25097" s="9"/>
    </row>
    <row r="25118" spans="15:15" x14ac:dyDescent="0.25">
      <c r="O25118" s="9"/>
    </row>
    <row r="25139" spans="15:15" x14ac:dyDescent="0.25">
      <c r="O25139" s="9"/>
    </row>
    <row r="25160" spans="15:15" x14ac:dyDescent="0.25">
      <c r="O25160" s="9"/>
    </row>
    <row r="25181" spans="15:15" x14ac:dyDescent="0.25">
      <c r="O25181" s="9"/>
    </row>
    <row r="25202" spans="15:15" x14ac:dyDescent="0.25">
      <c r="O25202" s="9"/>
    </row>
    <row r="25223" spans="15:15" x14ac:dyDescent="0.25">
      <c r="O25223" s="9"/>
    </row>
    <row r="25244" spans="15:15" x14ac:dyDescent="0.25">
      <c r="O25244" s="9"/>
    </row>
    <row r="25265" spans="15:15" x14ac:dyDescent="0.25">
      <c r="O25265" s="9"/>
    </row>
    <row r="25286" spans="15:15" x14ac:dyDescent="0.25">
      <c r="O25286" s="9"/>
    </row>
    <row r="25307" spans="15:15" x14ac:dyDescent="0.25">
      <c r="O25307" s="9"/>
    </row>
    <row r="25328" spans="15:15" x14ac:dyDescent="0.25">
      <c r="O25328" s="9"/>
    </row>
    <row r="25349" spans="15:15" x14ac:dyDescent="0.25">
      <c r="O25349" s="9"/>
    </row>
    <row r="25370" spans="15:15" x14ac:dyDescent="0.25">
      <c r="O25370" s="9"/>
    </row>
    <row r="25391" spans="15:15" x14ac:dyDescent="0.25">
      <c r="O25391" s="9"/>
    </row>
    <row r="25412" spans="15:15" x14ac:dyDescent="0.25">
      <c r="O25412" s="9"/>
    </row>
    <row r="25433" spans="15:15" x14ac:dyDescent="0.25">
      <c r="O25433" s="9"/>
    </row>
    <row r="25454" spans="15:15" x14ac:dyDescent="0.25">
      <c r="O25454" s="9"/>
    </row>
    <row r="25475" spans="15:15" x14ac:dyDescent="0.25">
      <c r="O25475" s="9"/>
    </row>
    <row r="25496" spans="15:15" x14ac:dyDescent="0.25">
      <c r="O25496" s="9"/>
    </row>
    <row r="25517" spans="15:15" x14ac:dyDescent="0.25">
      <c r="O25517" s="9"/>
    </row>
    <row r="25538" spans="15:15" x14ac:dyDescent="0.25">
      <c r="O25538" s="9"/>
    </row>
    <row r="25559" spans="15:15" x14ac:dyDescent="0.25">
      <c r="O25559" s="9"/>
    </row>
    <row r="25580" spans="15:15" x14ac:dyDescent="0.25">
      <c r="O25580" s="9"/>
    </row>
    <row r="25601" spans="15:15" x14ac:dyDescent="0.25">
      <c r="O25601" s="9"/>
    </row>
    <row r="25622" spans="15:15" x14ac:dyDescent="0.25">
      <c r="O25622" s="9"/>
    </row>
    <row r="25643" spans="15:15" x14ac:dyDescent="0.25">
      <c r="O25643" s="9"/>
    </row>
    <row r="25664" spans="15:15" x14ac:dyDescent="0.25">
      <c r="O25664" s="9"/>
    </row>
    <row r="25685" spans="15:15" x14ac:dyDescent="0.25">
      <c r="O25685" s="9"/>
    </row>
    <row r="25706" spans="15:15" x14ac:dyDescent="0.25">
      <c r="O25706" s="9"/>
    </row>
    <row r="25727" spans="15:15" x14ac:dyDescent="0.25">
      <c r="O25727" s="9"/>
    </row>
    <row r="25748" spans="15:15" x14ac:dyDescent="0.25">
      <c r="O25748" s="9"/>
    </row>
    <row r="25769" spans="15:15" x14ac:dyDescent="0.25">
      <c r="O25769" s="9"/>
    </row>
    <row r="25790" spans="15:15" x14ac:dyDescent="0.25">
      <c r="O25790" s="9"/>
    </row>
    <row r="25811" spans="15:15" x14ac:dyDescent="0.25">
      <c r="O25811" s="9"/>
    </row>
    <row r="25832" spans="15:15" x14ac:dyDescent="0.25">
      <c r="O25832" s="9"/>
    </row>
    <row r="25853" spans="15:15" x14ac:dyDescent="0.25">
      <c r="O25853" s="9"/>
    </row>
    <row r="25874" spans="15:15" x14ac:dyDescent="0.25">
      <c r="O25874" s="9"/>
    </row>
    <row r="25895" spans="15:15" x14ac:dyDescent="0.25">
      <c r="O25895" s="9"/>
    </row>
    <row r="25916" spans="15:15" x14ac:dyDescent="0.25">
      <c r="O25916" s="9"/>
    </row>
    <row r="25937" spans="15:15" x14ac:dyDescent="0.25">
      <c r="O25937" s="9"/>
    </row>
    <row r="25958" spans="15:15" x14ac:dyDescent="0.25">
      <c r="O25958" s="9"/>
    </row>
    <row r="25979" spans="15:15" x14ac:dyDescent="0.25">
      <c r="O25979" s="9"/>
    </row>
    <row r="26000" spans="15:15" x14ac:dyDescent="0.25">
      <c r="O26000" s="9"/>
    </row>
    <row r="26021" spans="15:15" x14ac:dyDescent="0.25">
      <c r="O26021" s="9"/>
    </row>
    <row r="26042" spans="15:15" x14ac:dyDescent="0.25">
      <c r="O26042" s="9"/>
    </row>
    <row r="26063" spans="15:15" x14ac:dyDescent="0.25">
      <c r="O26063" s="9"/>
    </row>
    <row r="26084" spans="15:15" x14ac:dyDescent="0.25">
      <c r="O26084" s="9"/>
    </row>
    <row r="26105" spans="15:15" x14ac:dyDescent="0.25">
      <c r="O26105" s="9"/>
    </row>
    <row r="26126" spans="15:15" x14ac:dyDescent="0.25">
      <c r="O26126" s="9"/>
    </row>
    <row r="26147" spans="15:15" x14ac:dyDescent="0.25">
      <c r="O26147" s="9"/>
    </row>
    <row r="26168" spans="15:15" x14ac:dyDescent="0.25">
      <c r="O26168" s="9"/>
    </row>
    <row r="26189" spans="15:15" x14ac:dyDescent="0.25">
      <c r="O26189" s="9"/>
    </row>
    <row r="26210" spans="15:15" x14ac:dyDescent="0.25">
      <c r="O26210" s="9"/>
    </row>
    <row r="26231" spans="15:15" x14ac:dyDescent="0.25">
      <c r="O26231" s="9"/>
    </row>
    <row r="26252" spans="15:15" x14ac:dyDescent="0.25">
      <c r="O26252" s="9"/>
    </row>
    <row r="26273" spans="15:15" x14ac:dyDescent="0.25">
      <c r="O26273" s="9"/>
    </row>
    <row r="26294" spans="15:15" x14ac:dyDescent="0.25">
      <c r="O26294" s="9"/>
    </row>
    <row r="26315" spans="15:15" x14ac:dyDescent="0.25">
      <c r="O26315" s="9"/>
    </row>
    <row r="26336" spans="15:15" x14ac:dyDescent="0.25">
      <c r="O26336" s="9"/>
    </row>
    <row r="26357" spans="15:15" x14ac:dyDescent="0.25">
      <c r="O26357" s="9"/>
    </row>
    <row r="26378" spans="15:15" x14ac:dyDescent="0.25">
      <c r="O26378" s="9"/>
    </row>
    <row r="26399" spans="15:15" x14ac:dyDescent="0.25">
      <c r="O26399" s="9"/>
    </row>
    <row r="26420" spans="15:15" x14ac:dyDescent="0.25">
      <c r="O26420" s="9"/>
    </row>
    <row r="26441" spans="15:15" x14ac:dyDescent="0.25">
      <c r="O26441" s="9"/>
    </row>
    <row r="26462" spans="15:15" x14ac:dyDescent="0.25">
      <c r="O26462" s="9"/>
    </row>
    <row r="26483" spans="15:15" x14ac:dyDescent="0.25">
      <c r="O26483" s="9"/>
    </row>
    <row r="26504" spans="15:15" x14ac:dyDescent="0.25">
      <c r="O26504" s="9"/>
    </row>
    <row r="26525" spans="15:15" x14ac:dyDescent="0.25">
      <c r="O26525" s="9"/>
    </row>
    <row r="26546" spans="15:15" x14ac:dyDescent="0.25">
      <c r="O26546" s="9"/>
    </row>
    <row r="26567" spans="15:15" x14ac:dyDescent="0.25">
      <c r="O26567" s="9"/>
    </row>
    <row r="26588" spans="15:15" x14ac:dyDescent="0.25">
      <c r="O26588" s="9"/>
    </row>
    <row r="26609" spans="15:15" x14ac:dyDescent="0.25">
      <c r="O26609" s="9"/>
    </row>
    <row r="26630" spans="15:15" x14ac:dyDescent="0.25">
      <c r="O26630" s="9"/>
    </row>
    <row r="26651" spans="15:15" x14ac:dyDescent="0.25">
      <c r="O26651" s="9"/>
    </row>
    <row r="26672" spans="15:15" x14ac:dyDescent="0.25">
      <c r="O26672" s="9"/>
    </row>
    <row r="26693" spans="15:15" x14ac:dyDescent="0.25">
      <c r="O26693" s="9"/>
    </row>
    <row r="26714" spans="15:15" x14ac:dyDescent="0.25">
      <c r="O26714" s="9"/>
    </row>
    <row r="26735" spans="15:15" x14ac:dyDescent="0.25">
      <c r="O26735" s="9"/>
    </row>
    <row r="26756" spans="15:15" x14ac:dyDescent="0.25">
      <c r="O26756" s="9"/>
    </row>
    <row r="26777" spans="15:15" x14ac:dyDescent="0.25">
      <c r="O26777" s="9"/>
    </row>
    <row r="26798" spans="15:15" x14ac:dyDescent="0.25">
      <c r="O26798" s="9"/>
    </row>
    <row r="26819" spans="15:15" x14ac:dyDescent="0.25">
      <c r="O26819" s="9"/>
    </row>
    <row r="26840" spans="15:15" x14ac:dyDescent="0.25">
      <c r="O26840" s="9"/>
    </row>
    <row r="26861" spans="15:15" x14ac:dyDescent="0.25">
      <c r="O26861" s="9"/>
    </row>
    <row r="26882" spans="15:15" x14ac:dyDescent="0.25">
      <c r="O26882" s="9"/>
    </row>
    <row r="26903" spans="15:15" x14ac:dyDescent="0.25">
      <c r="O26903" s="9"/>
    </row>
    <row r="26924" spans="15:15" x14ac:dyDescent="0.25">
      <c r="O26924" s="9"/>
    </row>
    <row r="26945" spans="15:15" x14ac:dyDescent="0.25">
      <c r="O26945" s="9"/>
    </row>
    <row r="26966" spans="15:15" x14ac:dyDescent="0.25">
      <c r="O26966" s="9"/>
    </row>
    <row r="26987" spans="15:15" x14ac:dyDescent="0.25">
      <c r="O26987" s="9"/>
    </row>
    <row r="27008" spans="15:15" x14ac:dyDescent="0.25">
      <c r="O27008" s="9"/>
    </row>
    <row r="27029" spans="15:15" x14ac:dyDescent="0.25">
      <c r="O27029" s="9"/>
    </row>
    <row r="27050" spans="15:15" x14ac:dyDescent="0.25">
      <c r="O27050" s="9"/>
    </row>
    <row r="27071" spans="15:15" x14ac:dyDescent="0.25">
      <c r="O27071" s="9"/>
    </row>
    <row r="27092" spans="15:15" x14ac:dyDescent="0.25">
      <c r="O27092" s="9"/>
    </row>
    <row r="27113" spans="15:15" x14ac:dyDescent="0.25">
      <c r="O27113" s="9"/>
    </row>
    <row r="27134" spans="15:15" x14ac:dyDescent="0.25">
      <c r="O27134" s="9"/>
    </row>
    <row r="27155" spans="15:15" x14ac:dyDescent="0.25">
      <c r="O27155" s="9"/>
    </row>
    <row r="27176" spans="15:15" x14ac:dyDescent="0.25">
      <c r="O27176" s="9"/>
    </row>
    <row r="27197" spans="15:15" x14ac:dyDescent="0.25">
      <c r="O27197" s="9"/>
    </row>
    <row r="27218" spans="15:15" x14ac:dyDescent="0.25">
      <c r="O27218" s="9"/>
    </row>
    <row r="27239" spans="15:15" x14ac:dyDescent="0.25">
      <c r="O27239" s="9"/>
    </row>
    <row r="27260" spans="15:15" x14ac:dyDescent="0.25">
      <c r="O27260" s="9"/>
    </row>
    <row r="27281" spans="15:15" x14ac:dyDescent="0.25">
      <c r="O27281" s="9"/>
    </row>
    <row r="27302" spans="15:15" x14ac:dyDescent="0.25">
      <c r="O27302" s="9"/>
    </row>
    <row r="27323" spans="15:15" x14ac:dyDescent="0.25">
      <c r="O27323" s="9"/>
    </row>
    <row r="27344" spans="15:15" x14ac:dyDescent="0.25">
      <c r="O27344" s="9"/>
    </row>
    <row r="27365" spans="15:15" x14ac:dyDescent="0.25">
      <c r="O27365" s="9"/>
    </row>
    <row r="27386" spans="15:15" x14ac:dyDescent="0.25">
      <c r="O27386" s="9"/>
    </row>
    <row r="27407" spans="15:15" x14ac:dyDescent="0.25">
      <c r="O27407" s="9"/>
    </row>
    <row r="27428" spans="15:15" x14ac:dyDescent="0.25">
      <c r="O27428" s="9"/>
    </row>
    <row r="27449" spans="15:15" x14ac:dyDescent="0.25">
      <c r="O27449" s="9"/>
    </row>
    <row r="27470" spans="15:15" x14ac:dyDescent="0.25">
      <c r="O27470" s="9"/>
    </row>
    <row r="27491" spans="15:15" x14ac:dyDescent="0.25">
      <c r="O27491" s="9"/>
    </row>
    <row r="27512" spans="15:15" x14ac:dyDescent="0.25">
      <c r="O27512" s="9"/>
    </row>
    <row r="27533" spans="15:15" x14ac:dyDescent="0.25">
      <c r="O27533" s="9"/>
    </row>
    <row r="27554" spans="15:15" x14ac:dyDescent="0.25">
      <c r="O27554" s="9"/>
    </row>
    <row r="27575" spans="15:15" x14ac:dyDescent="0.25">
      <c r="O27575" s="9"/>
    </row>
    <row r="27596" spans="15:15" x14ac:dyDescent="0.25">
      <c r="O27596" s="9"/>
    </row>
    <row r="27617" spans="15:15" x14ac:dyDescent="0.25">
      <c r="O27617" s="9"/>
    </row>
    <row r="27638" spans="15:15" x14ac:dyDescent="0.25">
      <c r="O27638" s="9"/>
    </row>
    <row r="27659" spans="15:15" x14ac:dyDescent="0.25">
      <c r="O27659" s="9"/>
    </row>
    <row r="27680" spans="15:15" x14ac:dyDescent="0.25">
      <c r="O27680" s="9"/>
    </row>
    <row r="27701" spans="15:15" x14ac:dyDescent="0.25">
      <c r="O27701" s="9"/>
    </row>
    <row r="27722" spans="15:15" x14ac:dyDescent="0.25">
      <c r="O27722" s="9"/>
    </row>
    <row r="27743" spans="15:15" x14ac:dyDescent="0.25">
      <c r="O27743" s="9"/>
    </row>
    <row r="27764" spans="15:15" x14ac:dyDescent="0.25">
      <c r="O27764" s="9"/>
    </row>
    <row r="27785" spans="15:15" x14ac:dyDescent="0.25">
      <c r="O27785" s="9"/>
    </row>
    <row r="27806" spans="15:15" x14ac:dyDescent="0.25">
      <c r="O27806" s="9"/>
    </row>
    <row r="27827" spans="15:15" x14ac:dyDescent="0.25">
      <c r="O27827" s="9"/>
    </row>
    <row r="27848" spans="15:15" x14ac:dyDescent="0.25">
      <c r="O27848" s="9"/>
    </row>
    <row r="27869" spans="15:15" x14ac:dyDescent="0.25">
      <c r="O27869" s="9"/>
    </row>
    <row r="27890" spans="15:15" x14ac:dyDescent="0.25">
      <c r="O27890" s="9"/>
    </row>
    <row r="27911" spans="15:15" x14ac:dyDescent="0.25">
      <c r="O27911" s="9"/>
    </row>
    <row r="27932" spans="15:15" x14ac:dyDescent="0.25">
      <c r="O27932" s="9"/>
    </row>
    <row r="27953" spans="15:15" x14ac:dyDescent="0.25">
      <c r="O27953" s="9"/>
    </row>
    <row r="27974" spans="15:15" x14ac:dyDescent="0.25">
      <c r="O27974" s="9"/>
    </row>
    <row r="27995" spans="15:15" x14ac:dyDescent="0.25">
      <c r="O27995" s="9"/>
    </row>
    <row r="28016" spans="15:15" x14ac:dyDescent="0.25">
      <c r="O28016" s="9"/>
    </row>
    <row r="28037" spans="15:15" x14ac:dyDescent="0.25">
      <c r="O28037" s="9"/>
    </row>
    <row r="28058" spans="15:15" x14ac:dyDescent="0.25">
      <c r="O28058" s="9"/>
    </row>
    <row r="28079" spans="15:15" x14ac:dyDescent="0.25">
      <c r="O28079" s="9"/>
    </row>
    <row r="28100" spans="15:15" x14ac:dyDescent="0.25">
      <c r="O28100" s="9"/>
    </row>
    <row r="28121" spans="15:15" x14ac:dyDescent="0.25">
      <c r="O28121" s="9"/>
    </row>
    <row r="28142" spans="15:15" x14ac:dyDescent="0.25">
      <c r="O28142" s="9"/>
    </row>
    <row r="28163" spans="15:15" x14ac:dyDescent="0.25">
      <c r="O28163" s="9"/>
    </row>
    <row r="28184" spans="15:15" x14ac:dyDescent="0.25">
      <c r="O28184" s="9"/>
    </row>
    <row r="28205" spans="15:15" x14ac:dyDescent="0.25">
      <c r="O28205" s="9"/>
    </row>
    <row r="28226" spans="15:15" x14ac:dyDescent="0.25">
      <c r="O28226" s="9"/>
    </row>
    <row r="28247" spans="15:15" x14ac:dyDescent="0.25">
      <c r="O28247" s="9"/>
    </row>
    <row r="28268" spans="15:15" x14ac:dyDescent="0.25">
      <c r="O28268" s="9"/>
    </row>
    <row r="28289" spans="15:15" x14ac:dyDescent="0.25">
      <c r="O28289" s="9"/>
    </row>
    <row r="28310" spans="15:15" x14ac:dyDescent="0.25">
      <c r="O28310" s="9"/>
    </row>
    <row r="28331" spans="15:15" x14ac:dyDescent="0.25">
      <c r="O28331" s="9"/>
    </row>
    <row r="28352" spans="15:15" x14ac:dyDescent="0.25">
      <c r="O28352" s="9"/>
    </row>
    <row r="28373" spans="15:15" x14ac:dyDescent="0.25">
      <c r="O28373" s="9"/>
    </row>
    <row r="28394" spans="15:15" x14ac:dyDescent="0.25">
      <c r="O28394" s="9"/>
    </row>
    <row r="28415" spans="15:15" x14ac:dyDescent="0.25">
      <c r="O28415" s="9"/>
    </row>
    <row r="28436" spans="15:15" x14ac:dyDescent="0.25">
      <c r="O28436" s="9"/>
    </row>
    <row r="28457" spans="15:15" x14ac:dyDescent="0.25">
      <c r="O28457" s="9"/>
    </row>
    <row r="28478" spans="15:15" x14ac:dyDescent="0.25">
      <c r="O28478" s="9"/>
    </row>
    <row r="28499" spans="15:15" x14ac:dyDescent="0.25">
      <c r="O28499" s="9"/>
    </row>
    <row r="28520" spans="15:15" x14ac:dyDescent="0.25">
      <c r="O28520" s="9"/>
    </row>
    <row r="28541" spans="15:15" x14ac:dyDescent="0.25">
      <c r="O28541" s="9"/>
    </row>
    <row r="28562" spans="15:15" x14ac:dyDescent="0.25">
      <c r="O28562" s="9"/>
    </row>
    <row r="28583" spans="15:15" x14ac:dyDescent="0.25">
      <c r="O28583" s="9"/>
    </row>
    <row r="28604" spans="15:15" x14ac:dyDescent="0.25">
      <c r="O28604" s="9"/>
    </row>
    <row r="28625" spans="15:15" x14ac:dyDescent="0.25">
      <c r="O28625" s="9"/>
    </row>
    <row r="28646" spans="15:15" x14ac:dyDescent="0.25">
      <c r="O28646" s="9"/>
    </row>
    <row r="28667" spans="15:15" x14ac:dyDescent="0.25">
      <c r="O28667" s="9"/>
    </row>
    <row r="28688" spans="15:15" x14ac:dyDescent="0.25">
      <c r="O28688" s="9"/>
    </row>
    <row r="28709" spans="15:15" x14ac:dyDescent="0.25">
      <c r="O28709" s="9"/>
    </row>
    <row r="28730" spans="15:15" x14ac:dyDescent="0.25">
      <c r="O28730" s="9"/>
    </row>
    <row r="28751" spans="15:15" x14ac:dyDescent="0.25">
      <c r="O28751" s="9"/>
    </row>
    <row r="28772" spans="15:15" x14ac:dyDescent="0.25">
      <c r="O28772" s="9"/>
    </row>
    <row r="28793" spans="15:15" x14ac:dyDescent="0.25">
      <c r="O28793" s="9"/>
    </row>
    <row r="28814" spans="15:15" x14ac:dyDescent="0.25">
      <c r="O28814" s="9"/>
    </row>
    <row r="28835" spans="15:15" x14ac:dyDescent="0.25">
      <c r="O28835" s="9"/>
    </row>
    <row r="28856" spans="15:15" x14ac:dyDescent="0.25">
      <c r="O28856" s="9"/>
    </row>
    <row r="28877" spans="15:15" x14ac:dyDescent="0.25">
      <c r="O28877" s="9"/>
    </row>
    <row r="28898" spans="15:15" x14ac:dyDescent="0.25">
      <c r="O28898" s="9"/>
    </row>
    <row r="28919" spans="15:15" x14ac:dyDescent="0.25">
      <c r="O28919" s="9"/>
    </row>
    <row r="28940" spans="15:15" x14ac:dyDescent="0.25">
      <c r="O28940" s="9"/>
    </row>
    <row r="28961" spans="15:15" x14ac:dyDescent="0.25">
      <c r="O28961" s="9"/>
    </row>
    <row r="28982" spans="15:15" x14ac:dyDescent="0.25">
      <c r="O28982" s="9"/>
    </row>
    <row r="29003" spans="15:15" x14ac:dyDescent="0.25">
      <c r="O29003" s="9"/>
    </row>
    <row r="29024" spans="15:15" x14ac:dyDescent="0.25">
      <c r="O29024" s="9"/>
    </row>
    <row r="29045" spans="15:15" x14ac:dyDescent="0.25">
      <c r="O29045" s="9"/>
    </row>
    <row r="29066" spans="15:15" x14ac:dyDescent="0.25">
      <c r="O29066" s="9"/>
    </row>
    <row r="29087" spans="15:15" x14ac:dyDescent="0.25">
      <c r="O29087" s="9"/>
    </row>
    <row r="29108" spans="15:15" x14ac:dyDescent="0.25">
      <c r="O29108" s="9"/>
    </row>
    <row r="29129" spans="15:15" x14ac:dyDescent="0.25">
      <c r="O29129" s="9"/>
    </row>
    <row r="29150" spans="15:15" x14ac:dyDescent="0.25">
      <c r="O29150" s="9"/>
    </row>
    <row r="29171" spans="15:15" x14ac:dyDescent="0.25">
      <c r="O29171" s="9"/>
    </row>
    <row r="29192" spans="15:15" x14ac:dyDescent="0.25">
      <c r="O29192" s="9"/>
    </row>
    <row r="29213" spans="15:15" x14ac:dyDescent="0.25">
      <c r="O29213" s="9"/>
    </row>
    <row r="29234" spans="15:15" x14ac:dyDescent="0.25">
      <c r="O29234" s="9"/>
    </row>
    <row r="29255" spans="15:15" x14ac:dyDescent="0.25">
      <c r="O29255" s="9"/>
    </row>
    <row r="29276" spans="15:15" x14ac:dyDescent="0.25">
      <c r="O29276" s="9"/>
    </row>
    <row r="29297" spans="15:15" x14ac:dyDescent="0.25">
      <c r="O29297" s="9"/>
    </row>
    <row r="29318" spans="15:15" x14ac:dyDescent="0.25">
      <c r="O29318" s="9"/>
    </row>
    <row r="29339" spans="15:15" x14ac:dyDescent="0.25">
      <c r="O29339" s="9"/>
    </row>
    <row r="29360" spans="15:15" x14ac:dyDescent="0.25">
      <c r="O29360" s="9"/>
    </row>
    <row r="29381" spans="15:15" x14ac:dyDescent="0.25">
      <c r="O29381" s="9"/>
    </row>
    <row r="29402" spans="15:15" x14ac:dyDescent="0.25">
      <c r="O29402" s="9"/>
    </row>
    <row r="29423" spans="15:15" x14ac:dyDescent="0.25">
      <c r="O29423" s="9"/>
    </row>
    <row r="29444" spans="15:15" x14ac:dyDescent="0.25">
      <c r="O29444" s="9"/>
    </row>
    <row r="29465" spans="15:15" x14ac:dyDescent="0.25">
      <c r="O29465" s="9"/>
    </row>
    <row r="29486" spans="15:15" x14ac:dyDescent="0.25">
      <c r="O29486" s="9"/>
    </row>
    <row r="29507" spans="15:15" x14ac:dyDescent="0.25">
      <c r="O29507" s="9"/>
    </row>
    <row r="29528" spans="15:15" x14ac:dyDescent="0.25">
      <c r="O29528" s="9"/>
    </row>
    <row r="29549" spans="15:15" x14ac:dyDescent="0.25">
      <c r="O29549" s="9"/>
    </row>
    <row r="29570" spans="15:15" x14ac:dyDescent="0.25">
      <c r="O29570" s="9"/>
    </row>
    <row r="29591" spans="15:15" x14ac:dyDescent="0.25">
      <c r="O29591" s="9"/>
    </row>
    <row r="29612" spans="15:15" x14ac:dyDescent="0.25">
      <c r="O29612" s="9"/>
    </row>
    <row r="29633" spans="15:15" x14ac:dyDescent="0.25">
      <c r="O29633" s="9"/>
    </row>
    <row r="29654" spans="15:15" x14ac:dyDescent="0.25">
      <c r="O29654" s="9"/>
    </row>
    <row r="29675" spans="15:15" x14ac:dyDescent="0.25">
      <c r="O29675" s="9"/>
    </row>
    <row r="29696" spans="15:15" x14ac:dyDescent="0.25">
      <c r="O29696" s="9"/>
    </row>
    <row r="29717" spans="15:15" x14ac:dyDescent="0.25">
      <c r="O29717" s="9"/>
    </row>
    <row r="29738" spans="15:15" x14ac:dyDescent="0.25">
      <c r="O29738" s="9"/>
    </row>
    <row r="29759" spans="15:15" x14ac:dyDescent="0.25">
      <c r="O29759" s="9"/>
    </row>
    <row r="29780" spans="15:15" x14ac:dyDescent="0.25">
      <c r="O29780" s="9"/>
    </row>
    <row r="29801" spans="15:15" x14ac:dyDescent="0.25">
      <c r="O29801" s="9"/>
    </row>
    <row r="29822" spans="15:15" x14ac:dyDescent="0.25">
      <c r="O29822" s="9"/>
    </row>
    <row r="29843" spans="15:15" x14ac:dyDescent="0.25">
      <c r="O29843" s="9"/>
    </row>
    <row r="29864" spans="15:15" x14ac:dyDescent="0.25">
      <c r="O29864" s="9"/>
    </row>
    <row r="29885" spans="15:15" x14ac:dyDescent="0.25">
      <c r="O29885" s="9"/>
    </row>
    <row r="29906" spans="15:15" x14ac:dyDescent="0.25">
      <c r="O29906" s="9"/>
    </row>
    <row r="29927" spans="15:15" x14ac:dyDescent="0.25">
      <c r="O29927" s="9"/>
    </row>
    <row r="29948" spans="15:15" x14ac:dyDescent="0.25">
      <c r="O29948" s="9"/>
    </row>
    <row r="29969" spans="15:15" x14ac:dyDescent="0.25">
      <c r="O29969" s="9"/>
    </row>
    <row r="29990" spans="15:15" x14ac:dyDescent="0.25">
      <c r="O29990" s="9"/>
    </row>
    <row r="30011" spans="15:15" x14ac:dyDescent="0.25">
      <c r="O30011" s="9"/>
    </row>
    <row r="30032" spans="15:15" x14ac:dyDescent="0.25">
      <c r="O30032" s="9"/>
    </row>
    <row r="30053" spans="15:15" x14ac:dyDescent="0.25">
      <c r="O30053" s="9"/>
    </row>
    <row r="30074" spans="15:15" x14ac:dyDescent="0.25">
      <c r="O30074" s="9"/>
    </row>
    <row r="30095" spans="15:15" x14ac:dyDescent="0.25">
      <c r="O30095" s="9"/>
    </row>
    <row r="30116" spans="15:15" x14ac:dyDescent="0.25">
      <c r="O30116" s="9"/>
    </row>
    <row r="30137" spans="15:15" x14ac:dyDescent="0.25">
      <c r="O30137" s="9"/>
    </row>
    <row r="30158" spans="15:15" x14ac:dyDescent="0.25">
      <c r="O30158" s="9"/>
    </row>
    <row r="30179" spans="15:15" x14ac:dyDescent="0.25">
      <c r="O30179" s="9"/>
    </row>
    <row r="30200" spans="15:15" x14ac:dyDescent="0.25">
      <c r="O30200" s="9"/>
    </row>
    <row r="30221" spans="15:15" x14ac:dyDescent="0.25">
      <c r="O30221" s="9"/>
    </row>
    <row r="30242" spans="15:15" x14ac:dyDescent="0.25">
      <c r="O30242" s="9"/>
    </row>
    <row r="30263" spans="15:15" x14ac:dyDescent="0.25">
      <c r="O30263" s="9"/>
    </row>
    <row r="30284" spans="15:15" x14ac:dyDescent="0.25">
      <c r="O30284" s="9"/>
    </row>
    <row r="30305" spans="15:15" x14ac:dyDescent="0.25">
      <c r="O30305" s="9"/>
    </row>
    <row r="30326" spans="15:15" x14ac:dyDescent="0.25">
      <c r="O30326" s="9"/>
    </row>
    <row r="30347" spans="15:15" x14ac:dyDescent="0.25">
      <c r="O30347" s="9"/>
    </row>
    <row r="30368" spans="15:15" x14ac:dyDescent="0.25">
      <c r="O30368" s="9"/>
    </row>
    <row r="30389" spans="15:15" x14ac:dyDescent="0.25">
      <c r="O30389" s="9"/>
    </row>
    <row r="30410" spans="15:15" x14ac:dyDescent="0.25">
      <c r="O30410" s="9"/>
    </row>
    <row r="30431" spans="15:15" x14ac:dyDescent="0.25">
      <c r="O30431" s="9"/>
    </row>
    <row r="30452" spans="15:15" x14ac:dyDescent="0.25">
      <c r="O30452" s="9"/>
    </row>
    <row r="30473" spans="15:15" x14ac:dyDescent="0.25">
      <c r="O30473" s="9"/>
    </row>
    <row r="30494" spans="15:15" x14ac:dyDescent="0.25">
      <c r="O30494" s="9"/>
    </row>
    <row r="30515" spans="15:15" x14ac:dyDescent="0.25">
      <c r="O30515" s="9"/>
    </row>
    <row r="30536" spans="15:15" x14ac:dyDescent="0.25">
      <c r="O30536" s="9"/>
    </row>
    <row r="30557" spans="15:15" x14ac:dyDescent="0.25">
      <c r="O30557" s="9"/>
    </row>
    <row r="30578" spans="15:15" x14ac:dyDescent="0.25">
      <c r="O30578" s="9"/>
    </row>
    <row r="30599" spans="15:15" x14ac:dyDescent="0.25">
      <c r="O30599" s="9"/>
    </row>
    <row r="30620" spans="15:15" x14ac:dyDescent="0.25">
      <c r="O30620" s="9"/>
    </row>
    <row r="30641" spans="15:15" x14ac:dyDescent="0.25">
      <c r="O30641" s="9"/>
    </row>
    <row r="30662" spans="15:15" x14ac:dyDescent="0.25">
      <c r="O30662" s="9"/>
    </row>
    <row r="30683" spans="15:15" x14ac:dyDescent="0.25">
      <c r="O30683" s="9"/>
    </row>
    <row r="30704" spans="15:15" x14ac:dyDescent="0.25">
      <c r="O30704" s="9"/>
    </row>
    <row r="30725" spans="15:15" x14ac:dyDescent="0.25">
      <c r="O30725" s="9"/>
    </row>
    <row r="30746" spans="15:15" x14ac:dyDescent="0.25">
      <c r="O30746" s="9"/>
    </row>
    <row r="30767" spans="15:15" x14ac:dyDescent="0.25">
      <c r="O30767" s="9"/>
    </row>
    <row r="30788" spans="15:15" x14ac:dyDescent="0.25">
      <c r="O30788" s="9"/>
    </row>
    <row r="30809" spans="15:15" x14ac:dyDescent="0.25">
      <c r="O30809" s="9"/>
    </row>
    <row r="30830" spans="15:15" x14ac:dyDescent="0.25">
      <c r="O30830" s="9"/>
    </row>
    <row r="30851" spans="15:15" x14ac:dyDescent="0.25">
      <c r="O30851" s="9"/>
    </row>
    <row r="30872" spans="15:15" x14ac:dyDescent="0.25">
      <c r="O30872" s="9"/>
    </row>
    <row r="30893" spans="15:15" x14ac:dyDescent="0.25">
      <c r="O30893" s="9"/>
    </row>
    <row r="30914" spans="15:15" x14ac:dyDescent="0.25">
      <c r="O30914" s="9"/>
    </row>
    <row r="30935" spans="15:15" x14ac:dyDescent="0.25">
      <c r="O30935" s="9"/>
    </row>
    <row r="30956" spans="15:15" x14ac:dyDescent="0.25">
      <c r="O30956" s="9"/>
    </row>
    <row r="30977" spans="15:15" x14ac:dyDescent="0.25">
      <c r="O30977" s="9"/>
    </row>
    <row r="30998" spans="15:15" x14ac:dyDescent="0.25">
      <c r="O30998" s="9"/>
    </row>
    <row r="31019" spans="15:15" x14ac:dyDescent="0.25">
      <c r="O31019" s="9"/>
    </row>
    <row r="31040" spans="15:15" x14ac:dyDescent="0.25">
      <c r="O31040" s="9"/>
    </row>
    <row r="31061" spans="15:15" x14ac:dyDescent="0.25">
      <c r="O31061" s="9"/>
    </row>
    <row r="31082" spans="15:15" x14ac:dyDescent="0.25">
      <c r="O31082" s="9"/>
    </row>
    <row r="31103" spans="15:15" x14ac:dyDescent="0.25">
      <c r="O31103" s="9"/>
    </row>
    <row r="31124" spans="15:15" x14ac:dyDescent="0.25">
      <c r="O31124" s="9"/>
    </row>
    <row r="31145" spans="15:15" x14ac:dyDescent="0.25">
      <c r="O31145" s="9"/>
    </row>
    <row r="31166" spans="15:15" x14ac:dyDescent="0.25">
      <c r="O31166" s="9"/>
    </row>
    <row r="31187" spans="15:15" x14ac:dyDescent="0.25">
      <c r="O31187" s="9"/>
    </row>
    <row r="31208" spans="15:15" x14ac:dyDescent="0.25">
      <c r="O31208" s="9"/>
    </row>
    <row r="31229" spans="15:15" x14ac:dyDescent="0.25">
      <c r="O31229" s="9"/>
    </row>
    <row r="31250" spans="15:15" x14ac:dyDescent="0.25">
      <c r="O31250" s="9"/>
    </row>
    <row r="31271" spans="15:15" x14ac:dyDescent="0.25">
      <c r="O31271" s="9"/>
    </row>
    <row r="31292" spans="15:15" x14ac:dyDescent="0.25">
      <c r="O31292" s="9"/>
    </row>
    <row r="31313" spans="15:15" x14ac:dyDescent="0.25">
      <c r="O31313" s="9"/>
    </row>
    <row r="31334" spans="15:15" x14ac:dyDescent="0.25">
      <c r="O31334" s="9"/>
    </row>
    <row r="31355" spans="15:15" x14ac:dyDescent="0.25">
      <c r="O31355" s="9"/>
    </row>
    <row r="31376" spans="15:15" x14ac:dyDescent="0.25">
      <c r="O31376" s="9"/>
    </row>
    <row r="31397" spans="15:15" x14ac:dyDescent="0.25">
      <c r="O31397" s="9"/>
    </row>
    <row r="31418" spans="15:15" x14ac:dyDescent="0.25">
      <c r="O31418" s="9"/>
    </row>
    <row r="31439" spans="15:15" x14ac:dyDescent="0.25">
      <c r="O31439" s="9"/>
    </row>
    <row r="31460" spans="15:15" x14ac:dyDescent="0.25">
      <c r="O31460" s="9"/>
    </row>
    <row r="31481" spans="15:15" x14ac:dyDescent="0.25">
      <c r="O31481" s="9"/>
    </row>
    <row r="31502" spans="15:15" x14ac:dyDescent="0.25">
      <c r="O31502" s="9"/>
    </row>
    <row r="31523" spans="15:15" x14ac:dyDescent="0.25">
      <c r="O31523" s="9"/>
    </row>
    <row r="31544" spans="15:15" x14ac:dyDescent="0.25">
      <c r="O31544" s="9"/>
    </row>
    <row r="31565" spans="15:15" x14ac:dyDescent="0.25">
      <c r="O31565" s="9"/>
    </row>
    <row r="31586" spans="15:15" x14ac:dyDescent="0.25">
      <c r="O31586" s="9"/>
    </row>
    <row r="31607" spans="15:15" x14ac:dyDescent="0.25">
      <c r="O31607" s="9"/>
    </row>
    <row r="31628" spans="15:15" x14ac:dyDescent="0.25">
      <c r="O31628" s="9"/>
    </row>
    <row r="31649" spans="15:15" x14ac:dyDescent="0.25">
      <c r="O31649" s="9"/>
    </row>
    <row r="31670" spans="15:15" x14ac:dyDescent="0.25">
      <c r="O31670" s="9"/>
    </row>
    <row r="31691" spans="15:15" x14ac:dyDescent="0.25">
      <c r="O31691" s="9"/>
    </row>
    <row r="31712" spans="15:15" x14ac:dyDescent="0.25">
      <c r="O31712" s="9"/>
    </row>
    <row r="31733" spans="15:15" x14ac:dyDescent="0.25">
      <c r="O31733" s="9"/>
    </row>
    <row r="31754" spans="15:15" x14ac:dyDescent="0.25">
      <c r="O31754" s="9"/>
    </row>
    <row r="31775" spans="15:15" x14ac:dyDescent="0.25">
      <c r="O31775" s="9"/>
    </row>
    <row r="31796" spans="15:15" x14ac:dyDescent="0.25">
      <c r="O31796" s="9"/>
    </row>
    <row r="31817" spans="15:15" x14ac:dyDescent="0.25">
      <c r="O31817" s="9"/>
    </row>
    <row r="31838" spans="15:15" x14ac:dyDescent="0.25">
      <c r="O31838" s="9"/>
    </row>
    <row r="31859" spans="15:15" x14ac:dyDescent="0.25">
      <c r="O31859" s="9"/>
    </row>
    <row r="31880" spans="15:15" x14ac:dyDescent="0.25">
      <c r="O31880" s="9"/>
    </row>
    <row r="31901" spans="15:15" x14ac:dyDescent="0.25">
      <c r="O31901" s="9"/>
    </row>
    <row r="31922" spans="15:15" x14ac:dyDescent="0.25">
      <c r="O31922" s="9"/>
    </row>
    <row r="31943" spans="15:15" x14ac:dyDescent="0.25">
      <c r="O31943" s="9"/>
    </row>
    <row r="31964" spans="15:15" x14ac:dyDescent="0.25">
      <c r="O31964" s="9"/>
    </row>
    <row r="31985" spans="15:15" x14ac:dyDescent="0.25">
      <c r="O31985" s="9"/>
    </row>
    <row r="32006" spans="15:15" x14ac:dyDescent="0.25">
      <c r="O32006" s="9"/>
    </row>
    <row r="32027" spans="15:15" x14ac:dyDescent="0.25">
      <c r="O32027" s="9"/>
    </row>
    <row r="32048" spans="15:15" x14ac:dyDescent="0.25">
      <c r="O32048" s="9"/>
    </row>
    <row r="32069" spans="15:15" x14ac:dyDescent="0.25">
      <c r="O32069" s="9"/>
    </row>
    <row r="32090" spans="15:15" x14ac:dyDescent="0.25">
      <c r="O32090" s="9"/>
    </row>
    <row r="32111" spans="15:15" x14ac:dyDescent="0.25">
      <c r="O32111" s="9"/>
    </row>
    <row r="32132" spans="15:15" x14ac:dyDescent="0.25">
      <c r="O32132" s="9"/>
    </row>
    <row r="32153" spans="15:15" x14ac:dyDescent="0.25">
      <c r="O32153" s="9"/>
    </row>
    <row r="32174" spans="15:15" x14ac:dyDescent="0.25">
      <c r="O32174" s="9"/>
    </row>
    <row r="32195" spans="15:15" x14ac:dyDescent="0.25">
      <c r="O32195" s="9"/>
    </row>
    <row r="32216" spans="15:15" x14ac:dyDescent="0.25">
      <c r="O32216" s="9"/>
    </row>
    <row r="32237" spans="15:15" x14ac:dyDescent="0.25">
      <c r="O32237" s="9"/>
    </row>
    <row r="32258" spans="15:15" x14ac:dyDescent="0.25">
      <c r="O32258" s="9"/>
    </row>
    <row r="32279" spans="15:15" x14ac:dyDescent="0.25">
      <c r="O32279" s="9"/>
    </row>
    <row r="32300" spans="15:15" x14ac:dyDescent="0.25">
      <c r="O32300" s="9"/>
    </row>
    <row r="32321" spans="15:15" x14ac:dyDescent="0.25">
      <c r="O32321" s="9"/>
    </row>
    <row r="32342" spans="15:15" x14ac:dyDescent="0.25">
      <c r="O32342" s="9"/>
    </row>
    <row r="32363" spans="15:15" x14ac:dyDescent="0.25">
      <c r="O32363" s="9"/>
    </row>
    <row r="32384" spans="15:15" x14ac:dyDescent="0.25">
      <c r="O32384" s="9"/>
    </row>
    <row r="32405" spans="15:15" x14ac:dyDescent="0.25">
      <c r="O32405" s="9"/>
    </row>
    <row r="32426" spans="15:15" x14ac:dyDescent="0.25">
      <c r="O32426" s="9"/>
    </row>
    <row r="32447" spans="15:15" x14ac:dyDescent="0.25">
      <c r="O32447" s="9"/>
    </row>
    <row r="32468" spans="15:15" x14ac:dyDescent="0.25">
      <c r="O32468" s="9"/>
    </row>
    <row r="32489" spans="15:15" x14ac:dyDescent="0.25">
      <c r="O32489" s="9"/>
    </row>
    <row r="32510" spans="15:15" x14ac:dyDescent="0.25">
      <c r="O32510" s="9"/>
    </row>
    <row r="32531" spans="15:15" x14ac:dyDescent="0.25">
      <c r="O32531" s="9"/>
    </row>
    <row r="32552" spans="15:15" x14ac:dyDescent="0.25">
      <c r="O32552" s="9"/>
    </row>
    <row r="32573" spans="15:15" x14ac:dyDescent="0.25">
      <c r="O32573" s="9"/>
    </row>
    <row r="32594" spans="15:15" x14ac:dyDescent="0.25">
      <c r="O32594" s="9"/>
    </row>
    <row r="32615" spans="15:15" x14ac:dyDescent="0.25">
      <c r="O32615" s="9"/>
    </row>
    <row r="32636" spans="15:15" x14ac:dyDescent="0.25">
      <c r="O32636" s="9"/>
    </row>
    <row r="32657" spans="15:15" x14ac:dyDescent="0.25">
      <c r="O32657" s="9"/>
    </row>
    <row r="32678" spans="15:15" x14ac:dyDescent="0.25">
      <c r="O32678" s="9"/>
    </row>
    <row r="32699" spans="15:15" x14ac:dyDescent="0.25">
      <c r="O32699" s="9"/>
    </row>
    <row r="32720" spans="15:15" x14ac:dyDescent="0.25">
      <c r="O32720" s="9"/>
    </row>
    <row r="32741" spans="15:15" x14ac:dyDescent="0.25">
      <c r="O32741" s="9"/>
    </row>
    <row r="32762" spans="15:15" x14ac:dyDescent="0.25">
      <c r="O32762" s="9"/>
    </row>
    <row r="32783" spans="15:15" x14ac:dyDescent="0.25">
      <c r="O32783" s="9"/>
    </row>
    <row r="32804" spans="15:15" x14ac:dyDescent="0.25">
      <c r="O32804" s="9"/>
    </row>
    <row r="32825" spans="15:15" x14ac:dyDescent="0.25">
      <c r="O32825" s="9"/>
    </row>
    <row r="32846" spans="15:15" x14ac:dyDescent="0.25">
      <c r="O32846" s="9"/>
    </row>
    <row r="32867" spans="15:15" x14ac:dyDescent="0.25">
      <c r="O32867" s="9"/>
    </row>
    <row r="32888" spans="15:15" x14ac:dyDescent="0.25">
      <c r="O32888" s="9"/>
    </row>
    <row r="32909" spans="15:15" x14ac:dyDescent="0.25">
      <c r="O32909" s="9"/>
    </row>
    <row r="32930" spans="15:15" x14ac:dyDescent="0.25">
      <c r="O32930" s="9"/>
    </row>
    <row r="32951" spans="15:15" x14ac:dyDescent="0.25">
      <c r="O32951" s="9"/>
    </row>
    <row r="32972" spans="15:15" x14ac:dyDescent="0.25">
      <c r="O32972" s="9"/>
    </row>
    <row r="32993" spans="15:15" x14ac:dyDescent="0.25">
      <c r="O32993" s="9"/>
    </row>
    <row r="33014" spans="15:15" x14ac:dyDescent="0.25">
      <c r="O33014" s="9"/>
    </row>
    <row r="33035" spans="15:15" x14ac:dyDescent="0.25">
      <c r="O33035" s="9"/>
    </row>
    <row r="33056" spans="15:15" x14ac:dyDescent="0.25">
      <c r="O33056" s="9"/>
    </row>
    <row r="33077" spans="15:15" x14ac:dyDescent="0.25">
      <c r="O33077" s="9"/>
    </row>
    <row r="33098" spans="15:15" x14ac:dyDescent="0.25">
      <c r="O33098" s="9"/>
    </row>
    <row r="33119" spans="15:15" x14ac:dyDescent="0.25">
      <c r="O33119" s="9"/>
    </row>
    <row r="33140" spans="15:15" x14ac:dyDescent="0.25">
      <c r="O33140" s="9"/>
    </row>
    <row r="33161" spans="15:15" x14ac:dyDescent="0.25">
      <c r="O33161" s="9"/>
    </row>
    <row r="33182" spans="15:15" x14ac:dyDescent="0.25">
      <c r="O33182" s="9"/>
    </row>
    <row r="33203" spans="15:15" x14ac:dyDescent="0.25">
      <c r="O33203" s="9"/>
    </row>
    <row r="33224" spans="15:15" x14ac:dyDescent="0.25">
      <c r="O33224" s="9"/>
    </row>
    <row r="33245" spans="15:15" x14ac:dyDescent="0.25">
      <c r="O33245" s="9"/>
    </row>
    <row r="33266" spans="15:15" x14ac:dyDescent="0.25">
      <c r="O33266" s="9"/>
    </row>
    <row r="33287" spans="15:15" x14ac:dyDescent="0.25">
      <c r="O33287" s="9"/>
    </row>
    <row r="33308" spans="15:15" x14ac:dyDescent="0.25">
      <c r="O33308" s="9"/>
    </row>
    <row r="33329" spans="15:15" x14ac:dyDescent="0.25">
      <c r="O33329" s="9"/>
    </row>
    <row r="33350" spans="15:15" x14ac:dyDescent="0.25">
      <c r="O33350" s="9"/>
    </row>
    <row r="33371" spans="15:15" x14ac:dyDescent="0.25">
      <c r="O33371" s="9"/>
    </row>
    <row r="33392" spans="15:15" x14ac:dyDescent="0.25">
      <c r="O33392" s="9"/>
    </row>
    <row r="33413" spans="15:15" x14ac:dyDescent="0.25">
      <c r="O33413" s="9"/>
    </row>
    <row r="33434" spans="15:15" x14ac:dyDescent="0.25">
      <c r="O33434" s="9"/>
    </row>
    <row r="33455" spans="15:15" x14ac:dyDescent="0.25">
      <c r="O33455" s="9"/>
    </row>
    <row r="33476" spans="15:15" x14ac:dyDescent="0.25">
      <c r="O33476" s="9"/>
    </row>
    <row r="33497" spans="15:15" x14ac:dyDescent="0.25">
      <c r="O33497" s="9"/>
    </row>
    <row r="33518" spans="15:15" x14ac:dyDescent="0.25">
      <c r="O33518" s="9"/>
    </row>
    <row r="33539" spans="15:15" x14ac:dyDescent="0.25">
      <c r="O33539" s="9"/>
    </row>
    <row r="33560" spans="15:15" x14ac:dyDescent="0.25">
      <c r="O33560" s="9"/>
    </row>
    <row r="33581" spans="15:15" x14ac:dyDescent="0.25">
      <c r="O33581" s="9"/>
    </row>
    <row r="33602" spans="15:15" x14ac:dyDescent="0.25">
      <c r="O33602" s="9"/>
    </row>
    <row r="33623" spans="15:15" x14ac:dyDescent="0.25">
      <c r="O33623" s="9"/>
    </row>
    <row r="33644" spans="15:15" x14ac:dyDescent="0.25">
      <c r="O33644" s="9"/>
    </row>
    <row r="33665" spans="15:15" x14ac:dyDescent="0.25">
      <c r="O33665" s="9"/>
    </row>
    <row r="33686" spans="15:15" x14ac:dyDescent="0.25">
      <c r="O33686" s="9"/>
    </row>
    <row r="33707" spans="15:15" x14ac:dyDescent="0.25">
      <c r="O33707" s="9"/>
    </row>
    <row r="33728" spans="15:15" x14ac:dyDescent="0.25">
      <c r="O33728" s="9"/>
    </row>
    <row r="33749" spans="15:15" x14ac:dyDescent="0.25">
      <c r="O33749" s="9"/>
    </row>
    <row r="33770" spans="15:15" x14ac:dyDescent="0.25">
      <c r="O33770" s="9"/>
    </row>
    <row r="33791" spans="15:15" x14ac:dyDescent="0.25">
      <c r="O33791" s="9"/>
    </row>
    <row r="33812" spans="15:15" x14ac:dyDescent="0.25">
      <c r="O33812" s="9"/>
    </row>
    <row r="33833" spans="15:15" x14ac:dyDescent="0.25">
      <c r="O33833" s="9"/>
    </row>
    <row r="33854" spans="15:15" x14ac:dyDescent="0.25">
      <c r="O33854" s="9"/>
    </row>
    <row r="33875" spans="15:15" x14ac:dyDescent="0.25">
      <c r="O33875" s="9"/>
    </row>
    <row r="33896" spans="15:15" x14ac:dyDescent="0.25">
      <c r="O33896" s="9"/>
    </row>
    <row r="33917" spans="15:15" x14ac:dyDescent="0.25">
      <c r="O33917" s="9"/>
    </row>
    <row r="33938" spans="15:15" x14ac:dyDescent="0.25">
      <c r="O33938" s="9"/>
    </row>
    <row r="33959" spans="15:15" x14ac:dyDescent="0.25">
      <c r="O33959" s="9"/>
    </row>
    <row r="33980" spans="15:15" x14ac:dyDescent="0.25">
      <c r="O33980" s="9"/>
    </row>
    <row r="34001" spans="15:15" x14ac:dyDescent="0.25">
      <c r="O34001" s="9"/>
    </row>
    <row r="34022" spans="15:15" x14ac:dyDescent="0.25">
      <c r="O34022" s="9"/>
    </row>
    <row r="34043" spans="15:15" x14ac:dyDescent="0.25">
      <c r="O34043" s="9"/>
    </row>
    <row r="34064" spans="15:15" x14ac:dyDescent="0.25">
      <c r="O34064" s="9"/>
    </row>
    <row r="34085" spans="15:15" x14ac:dyDescent="0.25">
      <c r="O34085" s="9"/>
    </row>
    <row r="34106" spans="15:15" x14ac:dyDescent="0.25">
      <c r="O34106" s="9"/>
    </row>
    <row r="34127" spans="15:15" x14ac:dyDescent="0.25">
      <c r="O34127" s="9"/>
    </row>
    <row r="34148" spans="15:15" x14ac:dyDescent="0.25">
      <c r="O34148" s="9"/>
    </row>
    <row r="34169" spans="15:15" x14ac:dyDescent="0.25">
      <c r="O34169" s="9"/>
    </row>
    <row r="34190" spans="15:15" x14ac:dyDescent="0.25">
      <c r="O34190" s="9"/>
    </row>
    <row r="34211" spans="15:15" x14ac:dyDescent="0.25">
      <c r="O34211" s="9"/>
    </row>
    <row r="34232" spans="15:15" x14ac:dyDescent="0.25">
      <c r="O34232" s="9"/>
    </row>
    <row r="34253" spans="15:15" x14ac:dyDescent="0.25">
      <c r="O34253" s="9"/>
    </row>
    <row r="34274" spans="15:15" x14ac:dyDescent="0.25">
      <c r="O34274" s="9"/>
    </row>
    <row r="34295" spans="15:15" x14ac:dyDescent="0.25">
      <c r="O34295" s="9"/>
    </row>
    <row r="34316" spans="15:15" x14ac:dyDescent="0.25">
      <c r="O34316" s="9"/>
    </row>
    <row r="34337" spans="15:15" x14ac:dyDescent="0.25">
      <c r="O34337" s="9"/>
    </row>
    <row r="34358" spans="15:15" x14ac:dyDescent="0.25">
      <c r="O34358" s="9"/>
    </row>
    <row r="34379" spans="15:15" x14ac:dyDescent="0.25">
      <c r="O34379" s="9"/>
    </row>
    <row r="34400" spans="15:15" x14ac:dyDescent="0.25">
      <c r="O34400" s="9"/>
    </row>
    <row r="34421" spans="15:15" x14ac:dyDescent="0.25">
      <c r="O34421" s="9"/>
    </row>
    <row r="34442" spans="15:15" x14ac:dyDescent="0.25">
      <c r="O34442" s="9"/>
    </row>
    <row r="34463" spans="15:15" x14ac:dyDescent="0.25">
      <c r="O34463" s="9"/>
    </row>
    <row r="34484" spans="15:15" x14ac:dyDescent="0.25">
      <c r="O34484" s="9"/>
    </row>
    <row r="34505" spans="15:15" x14ac:dyDescent="0.25">
      <c r="O34505" s="9"/>
    </row>
    <row r="34526" spans="15:15" x14ac:dyDescent="0.25">
      <c r="O34526" s="9"/>
    </row>
    <row r="34547" spans="15:15" x14ac:dyDescent="0.25">
      <c r="O34547" s="9"/>
    </row>
    <row r="34568" spans="15:15" x14ac:dyDescent="0.25">
      <c r="O34568" s="9"/>
    </row>
    <row r="34589" spans="15:15" x14ac:dyDescent="0.25">
      <c r="O34589" s="9"/>
    </row>
    <row r="34610" spans="15:15" x14ac:dyDescent="0.25">
      <c r="O34610" s="9"/>
    </row>
    <row r="34631" spans="15:15" x14ac:dyDescent="0.25">
      <c r="O34631" s="9"/>
    </row>
    <row r="34652" spans="15:15" x14ac:dyDescent="0.25">
      <c r="O34652" s="9"/>
    </row>
    <row r="34673" spans="15:15" x14ac:dyDescent="0.25">
      <c r="O34673" s="9"/>
    </row>
    <row r="34694" spans="15:15" x14ac:dyDescent="0.25">
      <c r="O34694" s="9"/>
    </row>
    <row r="34715" spans="15:15" x14ac:dyDescent="0.25">
      <c r="O34715" s="9"/>
    </row>
    <row r="34736" spans="15:15" x14ac:dyDescent="0.25">
      <c r="O34736" s="9"/>
    </row>
    <row r="34757" spans="15:15" x14ac:dyDescent="0.25">
      <c r="O34757" s="9"/>
    </row>
    <row r="34778" spans="15:15" x14ac:dyDescent="0.25">
      <c r="O34778" s="9"/>
    </row>
    <row r="34799" spans="15:15" x14ac:dyDescent="0.25">
      <c r="O34799" s="9"/>
    </row>
    <row r="34820" spans="15:15" x14ac:dyDescent="0.25">
      <c r="O34820" s="9"/>
    </row>
    <row r="34841" spans="15:15" x14ac:dyDescent="0.25">
      <c r="O34841" s="9"/>
    </row>
    <row r="34862" spans="15:15" x14ac:dyDescent="0.25">
      <c r="O34862" s="9"/>
    </row>
    <row r="34883" spans="15:15" x14ac:dyDescent="0.25">
      <c r="O34883" s="9"/>
    </row>
    <row r="34904" spans="15:15" x14ac:dyDescent="0.25">
      <c r="O34904" s="9"/>
    </row>
    <row r="34925" spans="15:15" x14ac:dyDescent="0.25">
      <c r="O34925" s="9"/>
    </row>
    <row r="34946" spans="15:15" x14ac:dyDescent="0.25">
      <c r="O34946" s="9"/>
    </row>
    <row r="34967" spans="15:15" x14ac:dyDescent="0.25">
      <c r="O34967" s="9"/>
    </row>
    <row r="34988" spans="15:15" x14ac:dyDescent="0.25">
      <c r="O34988" s="9"/>
    </row>
    <row r="35009" spans="15:15" x14ac:dyDescent="0.25">
      <c r="O35009" s="9"/>
    </row>
    <row r="35030" spans="15:15" x14ac:dyDescent="0.25">
      <c r="O35030" s="9"/>
    </row>
    <row r="35051" spans="15:15" x14ac:dyDescent="0.25">
      <c r="O35051" s="9"/>
    </row>
    <row r="35072" spans="15:15" x14ac:dyDescent="0.25">
      <c r="O35072" s="9"/>
    </row>
    <row r="35093" spans="15:15" x14ac:dyDescent="0.25">
      <c r="O35093" s="9"/>
    </row>
    <row r="35114" spans="15:15" x14ac:dyDescent="0.25">
      <c r="O35114" s="9"/>
    </row>
    <row r="35135" spans="15:15" x14ac:dyDescent="0.25">
      <c r="O35135" s="9"/>
    </row>
    <row r="35156" spans="15:15" x14ac:dyDescent="0.25">
      <c r="O35156" s="9"/>
    </row>
    <row r="35177" spans="15:15" x14ac:dyDescent="0.25">
      <c r="O35177" s="9"/>
    </row>
    <row r="35198" spans="15:15" x14ac:dyDescent="0.25">
      <c r="O35198" s="9"/>
    </row>
    <row r="35219" spans="15:15" x14ac:dyDescent="0.25">
      <c r="O35219" s="9"/>
    </row>
    <row r="35240" spans="15:15" x14ac:dyDescent="0.25">
      <c r="O35240" s="9"/>
    </row>
    <row r="35261" spans="15:15" x14ac:dyDescent="0.25">
      <c r="O35261" s="9"/>
    </row>
    <row r="35282" spans="15:15" x14ac:dyDescent="0.25">
      <c r="O35282" s="9"/>
    </row>
    <row r="35303" spans="15:15" x14ac:dyDescent="0.25">
      <c r="O35303" s="9"/>
    </row>
    <row r="35324" spans="15:15" x14ac:dyDescent="0.25">
      <c r="O35324" s="9"/>
    </row>
    <row r="35345" spans="15:15" x14ac:dyDescent="0.25">
      <c r="O35345" s="9"/>
    </row>
    <row r="35366" spans="15:15" x14ac:dyDescent="0.25">
      <c r="O35366" s="9"/>
    </row>
    <row r="35387" spans="15:15" x14ac:dyDescent="0.25">
      <c r="O35387" s="9"/>
    </row>
    <row r="35408" spans="15:15" x14ac:dyDescent="0.25">
      <c r="O35408" s="9"/>
    </row>
    <row r="35429" spans="15:15" x14ac:dyDescent="0.25">
      <c r="O35429" s="9"/>
    </row>
    <row r="35450" spans="15:15" x14ac:dyDescent="0.25">
      <c r="O35450" s="9"/>
    </row>
    <row r="35471" spans="15:15" x14ac:dyDescent="0.25">
      <c r="O35471" s="9"/>
    </row>
    <row r="35492" spans="15:15" x14ac:dyDescent="0.25">
      <c r="O35492" s="9"/>
    </row>
    <row r="35513" spans="15:15" x14ac:dyDescent="0.25">
      <c r="O35513" s="9"/>
    </row>
    <row r="35534" spans="15:15" x14ac:dyDescent="0.25">
      <c r="O35534" s="9"/>
    </row>
    <row r="35555" spans="15:15" x14ac:dyDescent="0.25">
      <c r="O35555" s="9"/>
    </row>
    <row r="35576" spans="15:15" x14ac:dyDescent="0.25">
      <c r="O35576" s="9"/>
    </row>
    <row r="35597" spans="15:15" x14ac:dyDescent="0.25">
      <c r="O35597" s="9"/>
    </row>
    <row r="35618" spans="15:15" x14ac:dyDescent="0.25">
      <c r="O35618" s="9"/>
    </row>
    <row r="35639" spans="15:15" x14ac:dyDescent="0.25">
      <c r="O35639" s="9"/>
    </row>
    <row r="35660" spans="15:15" x14ac:dyDescent="0.25">
      <c r="O35660" s="9"/>
    </row>
    <row r="35681" spans="15:15" x14ac:dyDescent="0.25">
      <c r="O35681" s="9"/>
    </row>
    <row r="35702" spans="15:15" x14ac:dyDescent="0.25">
      <c r="O35702" s="9"/>
    </row>
    <row r="35723" spans="15:15" x14ac:dyDescent="0.25">
      <c r="O35723" s="9"/>
    </row>
    <row r="35744" spans="15:15" x14ac:dyDescent="0.25">
      <c r="O35744" s="9"/>
    </row>
    <row r="35765" spans="15:15" x14ac:dyDescent="0.25">
      <c r="O35765" s="9"/>
    </row>
    <row r="35786" spans="15:15" x14ac:dyDescent="0.25">
      <c r="O35786" s="9"/>
    </row>
    <row r="35807" spans="15:15" x14ac:dyDescent="0.25">
      <c r="O35807" s="9"/>
    </row>
    <row r="35828" spans="15:15" x14ac:dyDescent="0.25">
      <c r="O35828" s="9"/>
    </row>
    <row r="35849" spans="15:15" x14ac:dyDescent="0.25">
      <c r="O35849" s="9"/>
    </row>
    <row r="35870" spans="15:15" x14ac:dyDescent="0.25">
      <c r="O35870" s="9"/>
    </row>
    <row r="35891" spans="15:15" x14ac:dyDescent="0.25">
      <c r="O35891" s="9"/>
    </row>
    <row r="35912" spans="15:15" x14ac:dyDescent="0.25">
      <c r="O35912" s="9"/>
    </row>
    <row r="35933" spans="15:15" x14ac:dyDescent="0.25">
      <c r="O35933" s="9"/>
    </row>
    <row r="35954" spans="15:15" x14ac:dyDescent="0.25">
      <c r="O35954" s="9"/>
    </row>
    <row r="35975" spans="15:15" x14ac:dyDescent="0.25">
      <c r="O35975" s="9"/>
    </row>
    <row r="35996" spans="15:15" x14ac:dyDescent="0.25">
      <c r="O35996" s="9"/>
    </row>
    <row r="36017" spans="15:15" x14ac:dyDescent="0.25">
      <c r="O36017" s="9"/>
    </row>
    <row r="36038" spans="15:15" x14ac:dyDescent="0.25">
      <c r="O36038" s="9"/>
    </row>
    <row r="36059" spans="15:15" x14ac:dyDescent="0.25">
      <c r="O36059" s="9"/>
    </row>
    <row r="36080" spans="15:15" x14ac:dyDescent="0.25">
      <c r="O36080" s="9"/>
    </row>
    <row r="36101" spans="15:15" x14ac:dyDescent="0.25">
      <c r="O36101" s="9"/>
    </row>
    <row r="36122" spans="15:15" x14ac:dyDescent="0.25">
      <c r="O36122" s="9"/>
    </row>
    <row r="36143" spans="15:15" x14ac:dyDescent="0.25">
      <c r="O36143" s="9"/>
    </row>
    <row r="36164" spans="15:15" x14ac:dyDescent="0.25">
      <c r="O36164" s="9"/>
    </row>
    <row r="36185" spans="15:15" x14ac:dyDescent="0.25">
      <c r="O36185" s="9"/>
    </row>
    <row r="36206" spans="15:15" x14ac:dyDescent="0.25">
      <c r="O36206" s="9"/>
    </row>
    <row r="36227" spans="15:15" x14ac:dyDescent="0.25">
      <c r="O36227" s="9"/>
    </row>
    <row r="36248" spans="15:15" x14ac:dyDescent="0.25">
      <c r="O36248" s="9"/>
    </row>
    <row r="36269" spans="15:15" x14ac:dyDescent="0.25">
      <c r="O36269" s="9"/>
    </row>
    <row r="36290" spans="15:15" x14ac:dyDescent="0.25">
      <c r="O36290" s="9"/>
    </row>
    <row r="36311" spans="15:15" x14ac:dyDescent="0.25">
      <c r="O36311" s="9"/>
    </row>
    <row r="36332" spans="15:15" x14ac:dyDescent="0.25">
      <c r="O36332" s="9"/>
    </row>
    <row r="36353" spans="15:15" x14ac:dyDescent="0.25">
      <c r="O36353" s="9"/>
    </row>
    <row r="36374" spans="15:15" x14ac:dyDescent="0.25">
      <c r="O36374" s="9"/>
    </row>
    <row r="36395" spans="15:15" x14ac:dyDescent="0.25">
      <c r="O36395" s="9"/>
    </row>
    <row r="36416" spans="15:15" x14ac:dyDescent="0.25">
      <c r="O36416" s="9"/>
    </row>
    <row r="36437" spans="15:15" x14ac:dyDescent="0.25">
      <c r="O36437" s="9"/>
    </row>
    <row r="36458" spans="15:15" x14ac:dyDescent="0.25">
      <c r="O36458" s="9"/>
    </row>
    <row r="36479" spans="15:15" x14ac:dyDescent="0.25">
      <c r="O36479" s="9"/>
    </row>
    <row r="36500" spans="15:15" x14ac:dyDescent="0.25">
      <c r="O36500" s="9"/>
    </row>
    <row r="36521" spans="15:15" x14ac:dyDescent="0.25">
      <c r="O36521" s="9"/>
    </row>
    <row r="36542" spans="15:15" x14ac:dyDescent="0.25">
      <c r="O36542" s="9"/>
    </row>
    <row r="36563" spans="15:15" x14ac:dyDescent="0.25">
      <c r="O36563" s="9"/>
    </row>
    <row r="36584" spans="15:15" x14ac:dyDescent="0.25">
      <c r="O36584" s="9"/>
    </row>
    <row r="36605" spans="15:15" x14ac:dyDescent="0.25">
      <c r="O36605" s="9"/>
    </row>
    <row r="36626" spans="15:15" x14ac:dyDescent="0.25">
      <c r="O36626" s="9"/>
    </row>
    <row r="36647" spans="15:15" x14ac:dyDescent="0.25">
      <c r="O36647" s="9"/>
    </row>
    <row r="36668" spans="15:15" x14ac:dyDescent="0.25">
      <c r="O36668" s="9"/>
    </row>
    <row r="36689" spans="15:15" x14ac:dyDescent="0.25">
      <c r="O36689" s="9"/>
    </row>
    <row r="36710" spans="15:15" x14ac:dyDescent="0.25">
      <c r="O36710" s="9"/>
    </row>
    <row r="36731" spans="15:15" x14ac:dyDescent="0.25">
      <c r="O36731" s="9"/>
    </row>
    <row r="36752" spans="15:15" x14ac:dyDescent="0.25">
      <c r="O36752" s="9"/>
    </row>
    <row r="36773" spans="15:15" x14ac:dyDescent="0.25">
      <c r="O36773" s="9"/>
    </row>
    <row r="36794" spans="15:15" x14ac:dyDescent="0.25">
      <c r="O36794" s="9"/>
    </row>
    <row r="36815" spans="15:15" x14ac:dyDescent="0.25">
      <c r="O36815" s="9"/>
    </row>
    <row r="36836" spans="15:15" x14ac:dyDescent="0.25">
      <c r="O36836" s="9"/>
    </row>
    <row r="36857" spans="15:15" x14ac:dyDescent="0.25">
      <c r="O36857" s="9"/>
    </row>
    <row r="36878" spans="15:15" x14ac:dyDescent="0.25">
      <c r="O36878" s="9"/>
    </row>
    <row r="36899" spans="15:15" x14ac:dyDescent="0.25">
      <c r="O36899" s="9"/>
    </row>
    <row r="36920" spans="15:15" x14ac:dyDescent="0.25">
      <c r="O36920" s="9"/>
    </row>
    <row r="36941" spans="15:15" x14ac:dyDescent="0.25">
      <c r="O36941" s="9"/>
    </row>
    <row r="36962" spans="15:15" x14ac:dyDescent="0.25">
      <c r="O36962" s="9"/>
    </row>
    <row r="36983" spans="15:15" x14ac:dyDescent="0.25">
      <c r="O36983" s="9"/>
    </row>
    <row r="37004" spans="15:15" x14ac:dyDescent="0.25">
      <c r="O37004" s="9"/>
    </row>
    <row r="37025" spans="15:15" x14ac:dyDescent="0.25">
      <c r="O37025" s="9"/>
    </row>
    <row r="37046" spans="15:15" x14ac:dyDescent="0.25">
      <c r="O37046" s="9"/>
    </row>
    <row r="37067" spans="15:15" x14ac:dyDescent="0.25">
      <c r="O37067" s="9"/>
    </row>
    <row r="37088" spans="15:15" x14ac:dyDescent="0.25">
      <c r="O37088" s="9"/>
    </row>
    <row r="37109" spans="15:15" x14ac:dyDescent="0.25">
      <c r="O37109" s="9"/>
    </row>
    <row r="37130" spans="15:15" x14ac:dyDescent="0.25">
      <c r="O37130" s="9"/>
    </row>
    <row r="37151" spans="15:15" x14ac:dyDescent="0.25">
      <c r="O37151" s="9"/>
    </row>
    <row r="37172" spans="15:15" x14ac:dyDescent="0.25">
      <c r="O37172" s="9"/>
    </row>
    <row r="37193" spans="15:15" x14ac:dyDescent="0.25">
      <c r="O37193" s="9"/>
    </row>
    <row r="37214" spans="15:15" x14ac:dyDescent="0.25">
      <c r="O37214" s="9"/>
    </row>
    <row r="37235" spans="15:15" x14ac:dyDescent="0.25">
      <c r="O37235" s="9"/>
    </row>
    <row r="37256" spans="15:15" x14ac:dyDescent="0.25">
      <c r="O37256" s="9"/>
    </row>
    <row r="37277" spans="15:15" x14ac:dyDescent="0.25">
      <c r="O37277" s="9"/>
    </row>
    <row r="37298" spans="15:15" x14ac:dyDescent="0.25">
      <c r="O37298" s="9"/>
    </row>
    <row r="37319" spans="15:15" x14ac:dyDescent="0.25">
      <c r="O37319" s="9"/>
    </row>
    <row r="37340" spans="15:15" x14ac:dyDescent="0.25">
      <c r="O37340" s="9"/>
    </row>
    <row r="37361" spans="15:15" x14ac:dyDescent="0.25">
      <c r="O37361" s="9"/>
    </row>
    <row r="37382" spans="15:15" x14ac:dyDescent="0.25">
      <c r="O37382" s="9"/>
    </row>
    <row r="37403" spans="15:15" x14ac:dyDescent="0.25">
      <c r="O37403" s="9"/>
    </row>
    <row r="37424" spans="15:15" x14ac:dyDescent="0.25">
      <c r="O37424" s="9"/>
    </row>
    <row r="37445" spans="15:15" x14ac:dyDescent="0.25">
      <c r="O37445" s="9"/>
    </row>
    <row r="37466" spans="15:15" x14ac:dyDescent="0.25">
      <c r="O37466" s="9"/>
    </row>
    <row r="37487" spans="15:15" x14ac:dyDescent="0.25">
      <c r="O37487" s="9"/>
    </row>
    <row r="37508" spans="15:15" x14ac:dyDescent="0.25">
      <c r="O37508" s="9"/>
    </row>
    <row r="37529" spans="15:15" x14ac:dyDescent="0.25">
      <c r="O37529" s="9"/>
    </row>
    <row r="37550" spans="15:15" x14ac:dyDescent="0.25">
      <c r="O37550" s="9"/>
    </row>
    <row r="37571" spans="15:15" x14ac:dyDescent="0.25">
      <c r="O37571" s="9"/>
    </row>
    <row r="37592" spans="15:15" x14ac:dyDescent="0.25">
      <c r="O37592" s="9"/>
    </row>
    <row r="37613" spans="15:15" x14ac:dyDescent="0.25">
      <c r="O37613" s="9"/>
    </row>
    <row r="37634" spans="15:15" x14ac:dyDescent="0.25">
      <c r="O37634" s="9"/>
    </row>
    <row r="37655" spans="15:15" x14ac:dyDescent="0.25">
      <c r="O37655" s="9"/>
    </row>
    <row r="37676" spans="15:15" x14ac:dyDescent="0.25">
      <c r="O37676" s="9"/>
    </row>
    <row r="37697" spans="15:15" x14ac:dyDescent="0.25">
      <c r="O37697" s="9"/>
    </row>
    <row r="37718" spans="15:15" x14ac:dyDescent="0.25">
      <c r="O37718" s="9"/>
    </row>
    <row r="37739" spans="15:15" x14ac:dyDescent="0.25">
      <c r="O37739" s="9"/>
    </row>
    <row r="37760" spans="15:15" x14ac:dyDescent="0.25">
      <c r="O37760" s="9"/>
    </row>
    <row r="37781" spans="15:15" x14ac:dyDescent="0.25">
      <c r="O37781" s="9"/>
    </row>
    <row r="37802" spans="15:15" x14ac:dyDescent="0.25">
      <c r="O37802" s="9"/>
    </row>
    <row r="37823" spans="15:15" x14ac:dyDescent="0.25">
      <c r="O37823" s="9"/>
    </row>
    <row r="37844" spans="15:15" x14ac:dyDescent="0.25">
      <c r="O37844" s="9"/>
    </row>
    <row r="37865" spans="15:15" x14ac:dyDescent="0.25">
      <c r="O37865" s="9"/>
    </row>
    <row r="37886" spans="15:15" x14ac:dyDescent="0.25">
      <c r="O37886" s="9"/>
    </row>
    <row r="37907" spans="15:15" x14ac:dyDescent="0.25">
      <c r="O37907" s="9"/>
    </row>
    <row r="37928" spans="15:15" x14ac:dyDescent="0.25">
      <c r="O37928" s="9"/>
    </row>
    <row r="37949" spans="15:15" x14ac:dyDescent="0.25">
      <c r="O37949" s="9"/>
    </row>
    <row r="37970" spans="15:15" x14ac:dyDescent="0.25">
      <c r="O37970" s="9"/>
    </row>
    <row r="37991" spans="15:15" x14ac:dyDescent="0.25">
      <c r="O37991" s="9"/>
    </row>
    <row r="38012" spans="15:15" x14ac:dyDescent="0.25">
      <c r="O38012" s="9"/>
    </row>
    <row r="38033" spans="15:15" x14ac:dyDescent="0.25">
      <c r="O38033" s="9"/>
    </row>
    <row r="38054" spans="15:15" x14ac:dyDescent="0.25">
      <c r="O38054" s="9"/>
    </row>
    <row r="38075" spans="15:15" x14ac:dyDescent="0.25">
      <c r="O38075" s="9"/>
    </row>
    <row r="38096" spans="15:15" x14ac:dyDescent="0.25">
      <c r="O38096" s="9"/>
    </row>
    <row r="38117" spans="15:15" x14ac:dyDescent="0.25">
      <c r="O38117" s="9"/>
    </row>
    <row r="38138" spans="15:15" x14ac:dyDescent="0.25">
      <c r="O38138" s="9"/>
    </row>
    <row r="38159" spans="15:15" x14ac:dyDescent="0.25">
      <c r="O38159" s="9"/>
    </row>
    <row r="38180" spans="15:15" x14ac:dyDescent="0.25">
      <c r="O38180" s="9"/>
    </row>
    <row r="38201" spans="15:15" x14ac:dyDescent="0.25">
      <c r="O38201" s="9"/>
    </row>
    <row r="38222" spans="15:15" x14ac:dyDescent="0.25">
      <c r="O38222" s="9"/>
    </row>
    <row r="38243" spans="15:15" x14ac:dyDescent="0.25">
      <c r="O38243" s="9"/>
    </row>
    <row r="38264" spans="15:15" x14ac:dyDescent="0.25">
      <c r="O38264" s="9"/>
    </row>
    <row r="38285" spans="15:15" x14ac:dyDescent="0.25">
      <c r="O38285" s="9"/>
    </row>
    <row r="38306" spans="15:15" x14ac:dyDescent="0.25">
      <c r="O38306" s="9"/>
    </row>
    <row r="38327" spans="15:15" x14ac:dyDescent="0.25">
      <c r="O38327" s="9"/>
    </row>
    <row r="38348" spans="15:15" x14ac:dyDescent="0.25">
      <c r="O38348" s="9"/>
    </row>
    <row r="38369" spans="15:15" x14ac:dyDescent="0.25">
      <c r="O38369" s="9"/>
    </row>
    <row r="38390" spans="15:15" x14ac:dyDescent="0.25">
      <c r="O38390" s="9"/>
    </row>
    <row r="38411" spans="15:15" x14ac:dyDescent="0.25">
      <c r="O38411" s="9"/>
    </row>
    <row r="38432" spans="15:15" x14ac:dyDescent="0.25">
      <c r="O38432" s="9"/>
    </row>
    <row r="38453" spans="15:15" x14ac:dyDescent="0.25">
      <c r="O38453" s="9"/>
    </row>
    <row r="38474" spans="15:15" x14ac:dyDescent="0.25">
      <c r="O38474" s="9"/>
    </row>
    <row r="38495" spans="15:15" x14ac:dyDescent="0.25">
      <c r="O38495" s="9"/>
    </row>
    <row r="38516" spans="15:15" x14ac:dyDescent="0.25">
      <c r="O38516" s="9"/>
    </row>
    <row r="38537" spans="15:15" x14ac:dyDescent="0.25">
      <c r="O38537" s="9"/>
    </row>
    <row r="38558" spans="15:15" x14ac:dyDescent="0.25">
      <c r="O38558" s="9"/>
    </row>
    <row r="38579" spans="15:15" x14ac:dyDescent="0.25">
      <c r="O38579" s="9"/>
    </row>
    <row r="38600" spans="15:15" x14ac:dyDescent="0.25">
      <c r="O38600" s="9"/>
    </row>
    <row r="38621" spans="15:15" x14ac:dyDescent="0.25">
      <c r="O38621" s="9"/>
    </row>
    <row r="38642" spans="15:15" x14ac:dyDescent="0.25">
      <c r="O38642" s="9"/>
    </row>
    <row r="38663" spans="15:15" x14ac:dyDescent="0.25">
      <c r="O38663" s="9"/>
    </row>
    <row r="38684" spans="15:15" x14ac:dyDescent="0.25">
      <c r="O38684" s="9"/>
    </row>
    <row r="38705" spans="15:15" x14ac:dyDescent="0.25">
      <c r="O38705" s="9"/>
    </row>
    <row r="38726" spans="15:15" x14ac:dyDescent="0.25">
      <c r="O38726" s="9"/>
    </row>
    <row r="38747" spans="15:15" x14ac:dyDescent="0.25">
      <c r="O38747" s="9"/>
    </row>
    <row r="38768" spans="15:15" x14ac:dyDescent="0.25">
      <c r="O38768" s="9"/>
    </row>
    <row r="38789" spans="15:15" x14ac:dyDescent="0.25">
      <c r="O38789" s="9"/>
    </row>
    <row r="38810" spans="15:15" x14ac:dyDescent="0.25">
      <c r="O38810" s="9"/>
    </row>
    <row r="38831" spans="15:15" x14ac:dyDescent="0.25">
      <c r="O38831" s="9"/>
    </row>
    <row r="38852" spans="15:15" x14ac:dyDescent="0.25">
      <c r="O38852" s="9"/>
    </row>
    <row r="38873" spans="15:15" x14ac:dyDescent="0.25">
      <c r="O38873" s="9"/>
    </row>
    <row r="38894" spans="15:15" x14ac:dyDescent="0.25">
      <c r="O38894" s="9"/>
    </row>
    <row r="38915" spans="15:15" x14ac:dyDescent="0.25">
      <c r="O38915" s="9"/>
    </row>
    <row r="38936" spans="15:15" x14ac:dyDescent="0.25">
      <c r="O38936" s="9"/>
    </row>
    <row r="38957" spans="15:15" x14ac:dyDescent="0.25">
      <c r="O38957" s="9"/>
    </row>
    <row r="38978" spans="15:15" x14ac:dyDescent="0.25">
      <c r="O38978" s="9"/>
    </row>
    <row r="38999" spans="15:15" x14ac:dyDescent="0.25">
      <c r="O38999" s="9"/>
    </row>
    <row r="39020" spans="15:15" x14ac:dyDescent="0.25">
      <c r="O39020" s="9"/>
    </row>
    <row r="39041" spans="15:15" x14ac:dyDescent="0.25">
      <c r="O39041" s="9"/>
    </row>
    <row r="39062" spans="15:15" x14ac:dyDescent="0.25">
      <c r="O39062" s="9"/>
    </row>
    <row r="39083" spans="15:15" x14ac:dyDescent="0.25">
      <c r="O39083" s="9"/>
    </row>
    <row r="39104" spans="15:15" x14ac:dyDescent="0.25">
      <c r="O39104" s="9"/>
    </row>
    <row r="39125" spans="15:15" x14ac:dyDescent="0.25">
      <c r="O39125" s="9"/>
    </row>
    <row r="39146" spans="15:15" x14ac:dyDescent="0.25">
      <c r="O39146" s="9"/>
    </row>
    <row r="39167" spans="15:15" x14ac:dyDescent="0.25">
      <c r="O39167" s="9"/>
    </row>
    <row r="39188" spans="15:15" x14ac:dyDescent="0.25">
      <c r="O39188" s="9"/>
    </row>
    <row r="39209" spans="15:15" x14ac:dyDescent="0.25">
      <c r="O39209" s="9"/>
    </row>
    <row r="39230" spans="15:15" x14ac:dyDescent="0.25">
      <c r="O39230" s="9"/>
    </row>
    <row r="39251" spans="15:15" x14ac:dyDescent="0.25">
      <c r="O39251" s="9"/>
    </row>
    <row r="39272" spans="15:15" x14ac:dyDescent="0.25">
      <c r="O39272" s="9"/>
    </row>
    <row r="39293" spans="15:15" x14ac:dyDescent="0.25">
      <c r="O39293" s="9"/>
    </row>
    <row r="39314" spans="15:15" x14ac:dyDescent="0.25">
      <c r="O39314" s="9"/>
    </row>
    <row r="39335" spans="15:15" x14ac:dyDescent="0.25">
      <c r="O39335" s="9"/>
    </row>
    <row r="39356" spans="15:15" x14ac:dyDescent="0.25">
      <c r="O39356" s="9"/>
    </row>
    <row r="39377" spans="15:15" x14ac:dyDescent="0.25">
      <c r="O39377" s="9"/>
    </row>
    <row r="39398" spans="15:15" x14ac:dyDescent="0.25">
      <c r="O39398" s="9"/>
    </row>
    <row r="39419" spans="15:15" x14ac:dyDescent="0.25">
      <c r="O39419" s="9"/>
    </row>
    <row r="39440" spans="15:15" x14ac:dyDescent="0.25">
      <c r="O39440" s="9"/>
    </row>
    <row r="39461" spans="15:15" x14ac:dyDescent="0.25">
      <c r="O39461" s="9"/>
    </row>
    <row r="39482" spans="15:15" x14ac:dyDescent="0.25">
      <c r="O39482" s="9"/>
    </row>
    <row r="39503" spans="15:15" x14ac:dyDescent="0.25">
      <c r="O39503" s="9"/>
    </row>
    <row r="39524" spans="15:15" x14ac:dyDescent="0.25">
      <c r="O39524" s="9"/>
    </row>
    <row r="39545" spans="15:15" x14ac:dyDescent="0.25">
      <c r="O39545" s="9"/>
    </row>
    <row r="39566" spans="15:15" x14ac:dyDescent="0.25">
      <c r="O39566" s="9"/>
    </row>
    <row r="39587" spans="15:15" x14ac:dyDescent="0.25">
      <c r="O39587" s="9"/>
    </row>
    <row r="39608" spans="15:15" x14ac:dyDescent="0.25">
      <c r="O39608" s="9"/>
    </row>
    <row r="39629" spans="15:15" x14ac:dyDescent="0.25">
      <c r="O39629" s="9"/>
    </row>
    <row r="39650" spans="15:15" x14ac:dyDescent="0.25">
      <c r="O39650" s="9"/>
    </row>
    <row r="39671" spans="15:15" x14ac:dyDescent="0.25">
      <c r="O39671" s="9"/>
    </row>
    <row r="39692" spans="15:15" x14ac:dyDescent="0.25">
      <c r="O39692" s="9"/>
    </row>
    <row r="39713" spans="15:15" x14ac:dyDescent="0.25">
      <c r="O39713" s="9"/>
    </row>
    <row r="39734" spans="15:15" x14ac:dyDescent="0.25">
      <c r="O39734" s="9"/>
    </row>
    <row r="39755" spans="15:15" x14ac:dyDescent="0.25">
      <c r="O39755" s="9"/>
    </row>
    <row r="39776" spans="15:15" x14ac:dyDescent="0.25">
      <c r="O39776" s="9"/>
    </row>
    <row r="39797" spans="15:15" x14ac:dyDescent="0.25">
      <c r="O39797" s="9"/>
    </row>
    <row r="39818" spans="15:15" x14ac:dyDescent="0.25">
      <c r="O39818" s="9"/>
    </row>
    <row r="39839" spans="15:15" x14ac:dyDescent="0.25">
      <c r="O39839" s="9"/>
    </row>
    <row r="39860" spans="15:15" x14ac:dyDescent="0.25">
      <c r="O39860" s="9"/>
    </row>
    <row r="39881" spans="15:15" x14ac:dyDescent="0.25">
      <c r="O39881" s="9"/>
    </row>
    <row r="39902" spans="15:15" x14ac:dyDescent="0.25">
      <c r="O39902" s="9"/>
    </row>
    <row r="39923" spans="15:15" x14ac:dyDescent="0.25">
      <c r="O39923" s="9"/>
    </row>
    <row r="39944" spans="15:15" x14ac:dyDescent="0.25">
      <c r="O39944" s="9"/>
    </row>
    <row r="39965" spans="15:15" x14ac:dyDescent="0.25">
      <c r="O39965" s="9"/>
    </row>
    <row r="39986" spans="15:15" x14ac:dyDescent="0.25">
      <c r="O39986" s="9"/>
    </row>
    <row r="40007" spans="15:15" x14ac:dyDescent="0.25">
      <c r="O40007" s="9"/>
    </row>
    <row r="40028" spans="15:15" x14ac:dyDescent="0.25">
      <c r="O40028" s="9"/>
    </row>
    <row r="40049" spans="15:15" x14ac:dyDescent="0.25">
      <c r="O40049" s="9"/>
    </row>
    <row r="40070" spans="15:15" x14ac:dyDescent="0.25">
      <c r="O40070" s="9"/>
    </row>
    <row r="40091" spans="15:15" x14ac:dyDescent="0.25">
      <c r="O40091" s="9"/>
    </row>
    <row r="40112" spans="15:15" x14ac:dyDescent="0.25">
      <c r="O40112" s="9"/>
    </row>
    <row r="40133" spans="15:15" x14ac:dyDescent="0.25">
      <c r="O40133" s="9"/>
    </row>
    <row r="40154" spans="15:15" x14ac:dyDescent="0.25">
      <c r="O40154" s="9"/>
    </row>
    <row r="40175" spans="15:15" x14ac:dyDescent="0.25">
      <c r="O40175" s="9"/>
    </row>
    <row r="40196" spans="15:15" x14ac:dyDescent="0.25">
      <c r="O40196" s="9"/>
    </row>
    <row r="40217" spans="15:15" x14ac:dyDescent="0.25">
      <c r="O40217" s="9"/>
    </row>
    <row r="40238" spans="15:15" x14ac:dyDescent="0.25">
      <c r="O40238" s="9"/>
    </row>
    <row r="40259" spans="15:15" x14ac:dyDescent="0.25">
      <c r="O40259" s="9"/>
    </row>
    <row r="40280" spans="15:15" x14ac:dyDescent="0.25">
      <c r="O40280" s="9"/>
    </row>
    <row r="40301" spans="15:15" x14ac:dyDescent="0.25">
      <c r="O40301" s="9"/>
    </row>
    <row r="40322" spans="15:15" x14ac:dyDescent="0.25">
      <c r="O40322" s="9"/>
    </row>
    <row r="40343" spans="15:15" x14ac:dyDescent="0.25">
      <c r="O40343" s="9"/>
    </row>
    <row r="40364" spans="15:15" x14ac:dyDescent="0.25">
      <c r="O40364" s="9"/>
    </row>
    <row r="40385" spans="15:15" x14ac:dyDescent="0.25">
      <c r="O40385" s="9"/>
    </row>
    <row r="40406" spans="15:15" x14ac:dyDescent="0.25">
      <c r="O40406" s="9"/>
    </row>
    <row r="40427" spans="15:15" x14ac:dyDescent="0.25">
      <c r="O40427" s="9"/>
    </row>
    <row r="40448" spans="15:15" x14ac:dyDescent="0.25">
      <c r="O40448" s="9"/>
    </row>
    <row r="40469" spans="15:15" x14ac:dyDescent="0.25">
      <c r="O40469" s="9"/>
    </row>
    <row r="40490" spans="15:15" x14ac:dyDescent="0.25">
      <c r="O40490" s="9"/>
    </row>
    <row r="40511" spans="15:15" x14ac:dyDescent="0.25">
      <c r="O40511" s="9"/>
    </row>
    <row r="40532" spans="15:15" x14ac:dyDescent="0.25">
      <c r="O40532" s="9"/>
    </row>
    <row r="40553" spans="15:15" x14ac:dyDescent="0.25">
      <c r="O40553" s="9"/>
    </row>
    <row r="40574" spans="15:15" x14ac:dyDescent="0.25">
      <c r="O40574" s="9"/>
    </row>
    <row r="40595" spans="15:15" x14ac:dyDescent="0.25">
      <c r="O40595" s="9"/>
    </row>
    <row r="40616" spans="15:15" x14ac:dyDescent="0.25">
      <c r="O40616" s="9"/>
    </row>
    <row r="40637" spans="15:15" x14ac:dyDescent="0.25">
      <c r="O40637" s="9"/>
    </row>
    <row r="40658" spans="15:15" x14ac:dyDescent="0.25">
      <c r="O40658" s="9"/>
    </row>
    <row r="40679" spans="15:15" x14ac:dyDescent="0.25">
      <c r="O40679" s="9"/>
    </row>
    <row r="40700" spans="15:15" x14ac:dyDescent="0.25">
      <c r="O40700" s="9"/>
    </row>
    <row r="40721" spans="15:15" x14ac:dyDescent="0.25">
      <c r="O40721" s="9"/>
    </row>
    <row r="40742" spans="15:15" x14ac:dyDescent="0.25">
      <c r="O40742" s="9"/>
    </row>
    <row r="40763" spans="15:15" x14ac:dyDescent="0.25">
      <c r="O40763" s="9"/>
    </row>
    <row r="40784" spans="15:15" x14ac:dyDescent="0.25">
      <c r="O40784" s="9"/>
    </row>
    <row r="40805" spans="15:15" x14ac:dyDescent="0.25">
      <c r="O40805" s="9"/>
    </row>
    <row r="40826" spans="15:15" x14ac:dyDescent="0.25">
      <c r="O40826" s="9"/>
    </row>
    <row r="40847" spans="15:15" x14ac:dyDescent="0.25">
      <c r="O40847" s="9"/>
    </row>
    <row r="40868" spans="15:15" x14ac:dyDescent="0.25">
      <c r="O40868" s="9"/>
    </row>
    <row r="40889" spans="15:15" x14ac:dyDescent="0.25">
      <c r="O40889" s="9"/>
    </row>
    <row r="40910" spans="15:15" x14ac:dyDescent="0.25">
      <c r="O40910" s="9"/>
    </row>
    <row r="40931" spans="15:15" x14ac:dyDescent="0.25">
      <c r="O40931" s="9"/>
    </row>
    <row r="40952" spans="15:15" x14ac:dyDescent="0.25">
      <c r="O40952" s="9"/>
    </row>
    <row r="40973" spans="15:15" x14ac:dyDescent="0.25">
      <c r="O40973" s="9"/>
    </row>
    <row r="40994" spans="15:15" x14ac:dyDescent="0.25">
      <c r="O40994" s="9"/>
    </row>
    <row r="41015" spans="15:15" x14ac:dyDescent="0.25">
      <c r="O41015" s="9"/>
    </row>
    <row r="41036" spans="15:15" x14ac:dyDescent="0.25">
      <c r="O41036" s="9"/>
    </row>
    <row r="41057" spans="15:15" x14ac:dyDescent="0.25">
      <c r="O41057" s="9"/>
    </row>
    <row r="41078" spans="15:15" x14ac:dyDescent="0.25">
      <c r="O41078" s="9"/>
    </row>
    <row r="41099" spans="15:15" x14ac:dyDescent="0.25">
      <c r="O41099" s="9"/>
    </row>
    <row r="41120" spans="15:15" x14ac:dyDescent="0.25">
      <c r="O41120" s="9"/>
    </row>
    <row r="41141" spans="15:15" x14ac:dyDescent="0.25">
      <c r="O41141" s="9"/>
    </row>
    <row r="41162" spans="15:15" x14ac:dyDescent="0.25">
      <c r="O41162" s="9"/>
    </row>
    <row r="41183" spans="15:15" x14ac:dyDescent="0.25">
      <c r="O41183" s="9"/>
    </row>
    <row r="41204" spans="15:15" x14ac:dyDescent="0.25">
      <c r="O41204" s="9"/>
    </row>
    <row r="41225" spans="15:15" x14ac:dyDescent="0.25">
      <c r="O41225" s="9"/>
    </row>
    <row r="41246" spans="15:15" x14ac:dyDescent="0.25">
      <c r="O41246" s="9"/>
    </row>
    <row r="41267" spans="15:15" x14ac:dyDescent="0.25">
      <c r="O41267" s="9"/>
    </row>
    <row r="41288" spans="15:15" x14ac:dyDescent="0.25">
      <c r="O41288" s="9"/>
    </row>
    <row r="41309" spans="15:15" x14ac:dyDescent="0.25">
      <c r="O41309" s="9"/>
    </row>
    <row r="41330" spans="15:15" x14ac:dyDescent="0.25">
      <c r="O41330" s="9"/>
    </row>
    <row r="41351" spans="15:15" x14ac:dyDescent="0.25">
      <c r="O41351" s="9"/>
    </row>
    <row r="41372" spans="15:15" x14ac:dyDescent="0.25">
      <c r="O41372" s="9"/>
    </row>
    <row r="41393" spans="15:15" x14ac:dyDescent="0.25">
      <c r="O41393" s="9"/>
    </row>
    <row r="41414" spans="15:15" x14ac:dyDescent="0.25">
      <c r="O41414" s="9"/>
    </row>
    <row r="41435" spans="15:15" x14ac:dyDescent="0.25">
      <c r="O41435" s="9"/>
    </row>
    <row r="41456" spans="15:15" x14ac:dyDescent="0.25">
      <c r="O41456" s="9"/>
    </row>
    <row r="41477" spans="15:15" x14ac:dyDescent="0.25">
      <c r="O41477" s="9"/>
    </row>
    <row r="41498" spans="15:15" x14ac:dyDescent="0.25">
      <c r="O41498" s="9"/>
    </row>
    <row r="41519" spans="15:15" x14ac:dyDescent="0.25">
      <c r="O41519" s="9"/>
    </row>
    <row r="41540" spans="15:15" x14ac:dyDescent="0.25">
      <c r="O41540" s="9"/>
    </row>
    <row r="41561" spans="15:15" x14ac:dyDescent="0.25">
      <c r="O41561" s="9"/>
    </row>
    <row r="41582" spans="15:15" x14ac:dyDescent="0.25">
      <c r="O41582" s="9"/>
    </row>
    <row r="41603" spans="15:15" x14ac:dyDescent="0.25">
      <c r="O41603" s="9"/>
    </row>
    <row r="41624" spans="15:15" x14ac:dyDescent="0.25">
      <c r="O41624" s="9"/>
    </row>
    <row r="41645" spans="15:15" x14ac:dyDescent="0.25">
      <c r="O41645" s="9"/>
    </row>
    <row r="41666" spans="15:15" x14ac:dyDescent="0.25">
      <c r="O41666" s="9"/>
    </row>
    <row r="41687" spans="15:15" x14ac:dyDescent="0.25">
      <c r="O41687" s="9"/>
    </row>
    <row r="41708" spans="15:15" x14ac:dyDescent="0.25">
      <c r="O41708" s="9"/>
    </row>
    <row r="41729" spans="15:15" x14ac:dyDescent="0.25">
      <c r="O41729" s="9"/>
    </row>
    <row r="41750" spans="15:15" x14ac:dyDescent="0.25">
      <c r="O41750" s="9"/>
    </row>
    <row r="41771" spans="15:15" x14ac:dyDescent="0.25">
      <c r="O41771" s="9"/>
    </row>
    <row r="41792" spans="15:15" x14ac:dyDescent="0.25">
      <c r="O41792" s="9"/>
    </row>
    <row r="41813" spans="15:15" x14ac:dyDescent="0.25">
      <c r="O41813" s="9"/>
    </row>
    <row r="41834" spans="15:15" x14ac:dyDescent="0.25">
      <c r="O41834" s="9"/>
    </row>
    <row r="41855" spans="15:15" x14ac:dyDescent="0.25">
      <c r="O41855" s="9"/>
    </row>
    <row r="41876" spans="15:15" x14ac:dyDescent="0.25">
      <c r="O41876" s="9"/>
    </row>
    <row r="41897" spans="15:15" x14ac:dyDescent="0.25">
      <c r="O41897" s="9"/>
    </row>
    <row r="41918" spans="15:15" x14ac:dyDescent="0.25">
      <c r="O41918" s="9"/>
    </row>
    <row r="41939" spans="15:15" x14ac:dyDescent="0.25">
      <c r="O41939" s="9"/>
    </row>
    <row r="41960" spans="15:15" x14ac:dyDescent="0.25">
      <c r="O41960" s="9"/>
    </row>
    <row r="41981" spans="15:15" x14ac:dyDescent="0.25">
      <c r="O41981" s="9"/>
    </row>
    <row r="42002" spans="15:15" x14ac:dyDescent="0.25">
      <c r="O42002" s="9"/>
    </row>
    <row r="42023" spans="15:15" x14ac:dyDescent="0.25">
      <c r="O42023" s="9"/>
    </row>
    <row r="42044" spans="15:15" x14ac:dyDescent="0.25">
      <c r="O42044" s="9"/>
    </row>
    <row r="42065" spans="15:15" x14ac:dyDescent="0.25">
      <c r="O42065" s="9"/>
    </row>
    <row r="42086" spans="15:15" x14ac:dyDescent="0.25">
      <c r="O42086" s="9"/>
    </row>
    <row r="42107" spans="15:15" x14ac:dyDescent="0.25">
      <c r="O42107" s="9"/>
    </row>
    <row r="42128" spans="15:15" x14ac:dyDescent="0.25">
      <c r="O42128" s="9"/>
    </row>
    <row r="42149" spans="15:15" x14ac:dyDescent="0.25">
      <c r="O42149" s="9"/>
    </row>
    <row r="42170" spans="15:15" x14ac:dyDescent="0.25">
      <c r="O42170" s="9"/>
    </row>
    <row r="42191" spans="15:15" x14ac:dyDescent="0.25">
      <c r="O42191" s="9"/>
    </row>
    <row r="42212" spans="15:15" x14ac:dyDescent="0.25">
      <c r="O42212" s="9"/>
    </row>
    <row r="42233" spans="15:15" x14ac:dyDescent="0.25">
      <c r="O42233" s="9"/>
    </row>
    <row r="42254" spans="15:15" x14ac:dyDescent="0.25">
      <c r="O42254" s="9"/>
    </row>
    <row r="42275" spans="15:15" x14ac:dyDescent="0.25">
      <c r="O42275" s="9"/>
    </row>
    <row r="42296" spans="15:15" x14ac:dyDescent="0.25">
      <c r="O42296" s="9"/>
    </row>
    <row r="42317" spans="15:15" x14ac:dyDescent="0.25">
      <c r="O42317" s="9"/>
    </row>
    <row r="42338" spans="15:15" x14ac:dyDescent="0.25">
      <c r="O42338" s="9"/>
    </row>
    <row r="42359" spans="15:15" x14ac:dyDescent="0.25">
      <c r="O42359" s="9"/>
    </row>
    <row r="42380" spans="15:15" x14ac:dyDescent="0.25">
      <c r="O42380" s="9"/>
    </row>
    <row r="42401" spans="15:15" x14ac:dyDescent="0.25">
      <c r="O42401" s="9"/>
    </row>
    <row r="42422" spans="15:15" x14ac:dyDescent="0.25">
      <c r="O42422" s="9"/>
    </row>
    <row r="42443" spans="15:15" x14ac:dyDescent="0.25">
      <c r="O42443" s="9"/>
    </row>
    <row r="42464" spans="15:15" x14ac:dyDescent="0.25">
      <c r="O42464" s="9"/>
    </row>
    <row r="42485" spans="15:15" x14ac:dyDescent="0.25">
      <c r="O42485" s="9"/>
    </row>
    <row r="42506" spans="15:15" x14ac:dyDescent="0.25">
      <c r="O42506" s="9"/>
    </row>
    <row r="42527" spans="15:15" x14ac:dyDescent="0.25">
      <c r="O42527" s="9"/>
    </row>
    <row r="42548" spans="15:15" x14ac:dyDescent="0.25">
      <c r="O42548" s="9"/>
    </row>
    <row r="42569" spans="15:15" x14ac:dyDescent="0.25">
      <c r="O42569" s="9"/>
    </row>
    <row r="42590" spans="15:15" x14ac:dyDescent="0.25">
      <c r="O42590" s="9"/>
    </row>
    <row r="42611" spans="15:15" x14ac:dyDescent="0.25">
      <c r="O42611" s="9"/>
    </row>
    <row r="42632" spans="15:15" x14ac:dyDescent="0.25">
      <c r="O42632" s="9"/>
    </row>
    <row r="42653" spans="15:15" x14ac:dyDescent="0.25">
      <c r="O42653" s="9"/>
    </row>
    <row r="42674" spans="15:15" x14ac:dyDescent="0.25">
      <c r="O42674" s="9"/>
    </row>
    <row r="42695" spans="15:15" x14ac:dyDescent="0.25">
      <c r="O42695" s="9"/>
    </row>
    <row r="42716" spans="15:15" x14ac:dyDescent="0.25">
      <c r="O42716" s="9"/>
    </row>
    <row r="42737" spans="15:15" x14ac:dyDescent="0.25">
      <c r="O42737" s="9"/>
    </row>
    <row r="42758" spans="15:15" x14ac:dyDescent="0.25">
      <c r="O42758" s="9"/>
    </row>
    <row r="42779" spans="15:15" x14ac:dyDescent="0.25">
      <c r="O42779" s="9"/>
    </row>
    <row r="42800" spans="15:15" x14ac:dyDescent="0.25">
      <c r="O42800" s="9"/>
    </row>
    <row r="42821" spans="15:15" x14ac:dyDescent="0.25">
      <c r="O42821" s="9"/>
    </row>
    <row r="42842" spans="15:15" x14ac:dyDescent="0.25">
      <c r="O42842" s="9"/>
    </row>
    <row r="42863" spans="15:15" x14ac:dyDescent="0.25">
      <c r="O42863" s="9"/>
    </row>
    <row r="42884" spans="15:15" x14ac:dyDescent="0.25">
      <c r="O42884" s="9"/>
    </row>
    <row r="42905" spans="15:15" x14ac:dyDescent="0.25">
      <c r="O42905" s="9"/>
    </row>
    <row r="42926" spans="15:15" x14ac:dyDescent="0.25">
      <c r="O42926" s="9"/>
    </row>
    <row r="42947" spans="15:15" x14ac:dyDescent="0.25">
      <c r="O42947" s="9"/>
    </row>
    <row r="42968" spans="15:15" x14ac:dyDescent="0.25">
      <c r="O42968" s="9"/>
    </row>
    <row r="42989" spans="15:15" x14ac:dyDescent="0.25">
      <c r="O42989" s="9"/>
    </row>
    <row r="43010" spans="15:15" x14ac:dyDescent="0.25">
      <c r="O43010" s="9"/>
    </row>
    <row r="43031" spans="15:15" x14ac:dyDescent="0.25">
      <c r="O43031" s="9"/>
    </row>
    <row r="43052" spans="15:15" x14ac:dyDescent="0.25">
      <c r="O43052" s="9"/>
    </row>
    <row r="43073" spans="15:15" x14ac:dyDescent="0.25">
      <c r="O43073" s="9"/>
    </row>
    <row r="43094" spans="15:15" x14ac:dyDescent="0.25">
      <c r="O43094" s="9"/>
    </row>
    <row r="43115" spans="15:15" x14ac:dyDescent="0.25">
      <c r="O43115" s="9"/>
    </row>
    <row r="43136" spans="15:15" x14ac:dyDescent="0.25">
      <c r="O43136" s="9"/>
    </row>
    <row r="43157" spans="15:15" x14ac:dyDescent="0.25">
      <c r="O43157" s="9"/>
    </row>
    <row r="43178" spans="15:15" x14ac:dyDescent="0.25">
      <c r="O43178" s="9"/>
    </row>
    <row r="43199" spans="15:15" x14ac:dyDescent="0.25">
      <c r="O43199" s="9"/>
    </row>
    <row r="43220" spans="15:15" x14ac:dyDescent="0.25">
      <c r="O43220" s="9"/>
    </row>
    <row r="43241" spans="15:15" x14ac:dyDescent="0.25">
      <c r="O43241" s="9"/>
    </row>
    <row r="43262" spans="15:15" x14ac:dyDescent="0.25">
      <c r="O43262" s="9"/>
    </row>
    <row r="43283" spans="15:15" x14ac:dyDescent="0.25">
      <c r="O43283" s="9"/>
    </row>
    <row r="43304" spans="15:15" x14ac:dyDescent="0.25">
      <c r="O43304" s="9"/>
    </row>
    <row r="43325" spans="15:15" x14ac:dyDescent="0.25">
      <c r="O43325" s="9"/>
    </row>
    <row r="43346" spans="15:15" x14ac:dyDescent="0.25">
      <c r="O43346" s="9"/>
    </row>
    <row r="43367" spans="15:15" x14ac:dyDescent="0.25">
      <c r="O43367" s="9"/>
    </row>
    <row r="43388" spans="15:15" x14ac:dyDescent="0.25">
      <c r="O43388" s="9"/>
    </row>
    <row r="43409" spans="15:15" x14ac:dyDescent="0.25">
      <c r="O43409" s="9"/>
    </row>
    <row r="43430" spans="15:15" x14ac:dyDescent="0.25">
      <c r="O43430" s="9"/>
    </row>
    <row r="43451" spans="15:15" x14ac:dyDescent="0.25">
      <c r="O43451" s="9"/>
    </row>
    <row r="43472" spans="15:15" x14ac:dyDescent="0.25">
      <c r="O43472" s="9"/>
    </row>
    <row r="43493" spans="15:15" x14ac:dyDescent="0.25">
      <c r="O43493" s="9"/>
    </row>
    <row r="43514" spans="15:15" x14ac:dyDescent="0.25">
      <c r="O43514" s="9"/>
    </row>
    <row r="43535" spans="15:15" x14ac:dyDescent="0.25">
      <c r="O43535" s="9"/>
    </row>
    <row r="43556" spans="15:15" x14ac:dyDescent="0.25">
      <c r="O43556" s="9"/>
    </row>
    <row r="43577" spans="15:15" x14ac:dyDescent="0.25">
      <c r="O43577" s="9"/>
    </row>
    <row r="43598" spans="15:15" x14ac:dyDescent="0.25">
      <c r="O43598" s="9"/>
    </row>
    <row r="43619" spans="15:15" x14ac:dyDescent="0.25">
      <c r="O43619" s="9"/>
    </row>
    <row r="43640" spans="15:15" x14ac:dyDescent="0.25">
      <c r="O43640" s="9"/>
    </row>
    <row r="43661" spans="15:15" x14ac:dyDescent="0.25">
      <c r="O43661" s="9"/>
    </row>
    <row r="43682" spans="15:15" x14ac:dyDescent="0.25">
      <c r="O43682" s="9"/>
    </row>
    <row r="43703" spans="15:15" x14ac:dyDescent="0.25">
      <c r="O43703" s="9"/>
    </row>
    <row r="43724" spans="15:15" x14ac:dyDescent="0.25">
      <c r="O43724" s="9"/>
    </row>
    <row r="43745" spans="15:15" x14ac:dyDescent="0.25">
      <c r="O43745" s="9"/>
    </row>
    <row r="43766" spans="15:15" x14ac:dyDescent="0.25">
      <c r="O43766" s="9"/>
    </row>
    <row r="43787" spans="15:15" x14ac:dyDescent="0.25">
      <c r="O43787" s="9"/>
    </row>
    <row r="43808" spans="15:15" x14ac:dyDescent="0.25">
      <c r="O43808" s="9"/>
    </row>
    <row r="43829" spans="15:15" x14ac:dyDescent="0.25">
      <c r="O43829" s="9"/>
    </row>
    <row r="43850" spans="15:15" x14ac:dyDescent="0.25">
      <c r="O43850" s="9"/>
    </row>
    <row r="43871" spans="15:15" x14ac:dyDescent="0.25">
      <c r="O43871" s="9"/>
    </row>
    <row r="43892" spans="15:15" x14ac:dyDescent="0.25">
      <c r="O43892" s="9"/>
    </row>
    <row r="43913" spans="15:15" x14ac:dyDescent="0.25">
      <c r="O43913" s="9"/>
    </row>
    <row r="43934" spans="15:15" x14ac:dyDescent="0.25">
      <c r="O43934" s="9"/>
    </row>
    <row r="43955" spans="15:15" x14ac:dyDescent="0.25">
      <c r="O43955" s="9"/>
    </row>
    <row r="43976" spans="15:15" x14ac:dyDescent="0.25">
      <c r="O43976" s="9"/>
    </row>
    <row r="43997" spans="15:15" x14ac:dyDescent="0.25">
      <c r="O43997" s="9"/>
    </row>
    <row r="44018" spans="15:15" x14ac:dyDescent="0.25">
      <c r="O44018" s="9"/>
    </row>
    <row r="44039" spans="15:15" x14ac:dyDescent="0.25">
      <c r="O44039" s="9"/>
    </row>
    <row r="44060" spans="15:15" x14ac:dyDescent="0.25">
      <c r="O44060" s="9"/>
    </row>
    <row r="44081" spans="15:15" x14ac:dyDescent="0.25">
      <c r="O44081" s="9"/>
    </row>
    <row r="44102" spans="15:15" x14ac:dyDescent="0.25">
      <c r="O44102" s="9"/>
    </row>
    <row r="44123" spans="15:15" x14ac:dyDescent="0.25">
      <c r="O44123" s="9"/>
    </row>
    <row r="44144" spans="15:15" x14ac:dyDescent="0.25">
      <c r="O44144" s="9"/>
    </row>
    <row r="44165" spans="15:15" x14ac:dyDescent="0.25">
      <c r="O44165" s="9"/>
    </row>
    <row r="44186" spans="15:15" x14ac:dyDescent="0.25">
      <c r="O44186" s="9"/>
    </row>
    <row r="44207" spans="15:15" x14ac:dyDescent="0.25">
      <c r="O44207" s="9"/>
    </row>
    <row r="44228" spans="15:15" x14ac:dyDescent="0.25">
      <c r="O44228" s="9"/>
    </row>
    <row r="44249" spans="15:15" x14ac:dyDescent="0.25">
      <c r="O44249" s="9"/>
    </row>
    <row r="44270" spans="15:15" x14ac:dyDescent="0.25">
      <c r="O44270" s="9"/>
    </row>
    <row r="44291" spans="15:15" x14ac:dyDescent="0.25">
      <c r="O44291" s="9"/>
    </row>
    <row r="44312" spans="15:15" x14ac:dyDescent="0.25">
      <c r="O44312" s="9"/>
    </row>
    <row r="44333" spans="15:15" x14ac:dyDescent="0.25">
      <c r="O44333" s="9"/>
    </row>
    <row r="44354" spans="15:15" x14ac:dyDescent="0.25">
      <c r="O44354" s="9"/>
    </row>
    <row r="44375" spans="15:15" x14ac:dyDescent="0.25">
      <c r="O44375" s="9"/>
    </row>
    <row r="44396" spans="15:15" x14ac:dyDescent="0.25">
      <c r="O44396" s="9"/>
    </row>
    <row r="44417" spans="15:15" x14ac:dyDescent="0.25">
      <c r="O44417" s="9"/>
    </row>
    <row r="44438" spans="15:15" x14ac:dyDescent="0.25">
      <c r="O44438" s="9"/>
    </row>
    <row r="44459" spans="15:15" x14ac:dyDescent="0.25">
      <c r="O44459" s="9"/>
    </row>
    <row r="44480" spans="15:15" x14ac:dyDescent="0.25">
      <c r="O44480" s="9"/>
    </row>
    <row r="44501" spans="15:15" x14ac:dyDescent="0.25">
      <c r="O44501" s="9"/>
    </row>
    <row r="44522" spans="15:15" x14ac:dyDescent="0.25">
      <c r="O44522" s="9"/>
    </row>
    <row r="44543" spans="15:15" x14ac:dyDescent="0.25">
      <c r="O44543" s="9"/>
    </row>
    <row r="44564" spans="15:15" x14ac:dyDescent="0.25">
      <c r="O44564" s="9"/>
    </row>
    <row r="44585" spans="15:15" x14ac:dyDescent="0.25">
      <c r="O44585" s="9"/>
    </row>
    <row r="44606" spans="15:15" x14ac:dyDescent="0.25">
      <c r="O44606" s="9"/>
    </row>
    <row r="44627" spans="15:15" x14ac:dyDescent="0.25">
      <c r="O44627" s="9"/>
    </row>
    <row r="44648" spans="15:15" x14ac:dyDescent="0.25">
      <c r="O44648" s="9"/>
    </row>
    <row r="44669" spans="15:15" x14ac:dyDescent="0.25">
      <c r="O44669" s="9"/>
    </row>
    <row r="44690" spans="15:15" x14ac:dyDescent="0.25">
      <c r="O44690" s="9"/>
    </row>
    <row r="44711" spans="15:15" x14ac:dyDescent="0.25">
      <c r="O44711" s="9"/>
    </row>
    <row r="44732" spans="15:15" x14ac:dyDescent="0.25">
      <c r="O44732" s="9"/>
    </row>
    <row r="44753" spans="15:15" x14ac:dyDescent="0.25">
      <c r="O44753" s="9"/>
    </row>
    <row r="44774" spans="15:15" x14ac:dyDescent="0.25">
      <c r="O44774" s="9"/>
    </row>
    <row r="44795" spans="15:15" x14ac:dyDescent="0.25">
      <c r="O44795" s="9"/>
    </row>
    <row r="44816" spans="15:15" x14ac:dyDescent="0.25">
      <c r="O44816" s="9"/>
    </row>
    <row r="44837" spans="15:15" x14ac:dyDescent="0.25">
      <c r="O44837" s="9"/>
    </row>
    <row r="44858" spans="15:15" x14ac:dyDescent="0.25">
      <c r="O44858" s="9"/>
    </row>
    <row r="44879" spans="15:15" x14ac:dyDescent="0.25">
      <c r="O44879" s="9"/>
    </row>
    <row r="44900" spans="15:15" x14ac:dyDescent="0.25">
      <c r="O44900" s="9"/>
    </row>
    <row r="44921" spans="15:15" x14ac:dyDescent="0.25">
      <c r="O44921" s="9"/>
    </row>
    <row r="44942" spans="15:15" x14ac:dyDescent="0.25">
      <c r="O44942" s="9"/>
    </row>
    <row r="44963" spans="15:15" x14ac:dyDescent="0.25">
      <c r="O44963" s="9"/>
    </row>
    <row r="44984" spans="15:15" x14ac:dyDescent="0.25">
      <c r="O44984" s="9"/>
    </row>
    <row r="45005" spans="15:15" x14ac:dyDescent="0.25">
      <c r="O45005" s="9"/>
    </row>
    <row r="45026" spans="15:15" x14ac:dyDescent="0.25">
      <c r="O45026" s="9"/>
    </row>
    <row r="45047" spans="15:15" x14ac:dyDescent="0.25">
      <c r="O45047" s="9"/>
    </row>
    <row r="45068" spans="15:15" x14ac:dyDescent="0.25">
      <c r="O45068" s="9"/>
    </row>
    <row r="45089" spans="15:15" x14ac:dyDescent="0.25">
      <c r="O45089" s="9"/>
    </row>
    <row r="45110" spans="15:15" x14ac:dyDescent="0.25">
      <c r="O45110" s="9"/>
    </row>
    <row r="45131" spans="15:15" x14ac:dyDescent="0.25">
      <c r="O45131" s="9"/>
    </row>
    <row r="45152" spans="15:15" x14ac:dyDescent="0.25">
      <c r="O45152" s="9"/>
    </row>
    <row r="45173" spans="15:15" x14ac:dyDescent="0.25">
      <c r="O45173" s="9"/>
    </row>
    <row r="45194" spans="15:15" x14ac:dyDescent="0.25">
      <c r="O45194" s="9"/>
    </row>
    <row r="45215" spans="15:15" x14ac:dyDescent="0.25">
      <c r="O45215" s="9"/>
    </row>
    <row r="45236" spans="15:15" x14ac:dyDescent="0.25">
      <c r="O45236" s="9"/>
    </row>
    <row r="45257" spans="15:15" x14ac:dyDescent="0.25">
      <c r="O45257" s="9"/>
    </row>
    <row r="45278" spans="15:15" x14ac:dyDescent="0.25">
      <c r="O45278" s="9"/>
    </row>
    <row r="45299" spans="15:15" x14ac:dyDescent="0.25">
      <c r="O45299" s="9"/>
    </row>
    <row r="45320" spans="15:15" x14ac:dyDescent="0.25">
      <c r="O45320" s="9"/>
    </row>
    <row r="45341" spans="15:15" x14ac:dyDescent="0.25">
      <c r="O45341" s="9"/>
    </row>
    <row r="45362" spans="15:15" x14ac:dyDescent="0.25">
      <c r="O45362" s="9"/>
    </row>
    <row r="45383" spans="15:15" x14ac:dyDescent="0.25">
      <c r="O45383" s="9"/>
    </row>
    <row r="45404" spans="15:15" x14ac:dyDescent="0.25">
      <c r="O45404" s="9"/>
    </row>
    <row r="45425" spans="15:15" x14ac:dyDescent="0.25">
      <c r="O45425" s="9"/>
    </row>
    <row r="45446" spans="15:15" x14ac:dyDescent="0.25">
      <c r="O45446" s="9"/>
    </row>
    <row r="45467" spans="15:15" x14ac:dyDescent="0.25">
      <c r="O45467" s="9"/>
    </row>
    <row r="45488" spans="15:15" x14ac:dyDescent="0.25">
      <c r="O45488" s="9"/>
    </row>
    <row r="45509" spans="15:15" x14ac:dyDescent="0.25">
      <c r="O45509" s="9"/>
    </row>
    <row r="45530" spans="15:15" x14ac:dyDescent="0.25">
      <c r="O45530" s="9"/>
    </row>
    <row r="45551" spans="15:15" x14ac:dyDescent="0.25">
      <c r="O45551" s="9"/>
    </row>
    <row r="45572" spans="15:15" x14ac:dyDescent="0.25">
      <c r="O45572" s="9"/>
    </row>
    <row r="45593" spans="15:15" x14ac:dyDescent="0.25">
      <c r="O45593" s="9"/>
    </row>
    <row r="45614" spans="15:15" x14ac:dyDescent="0.25">
      <c r="O45614" s="9"/>
    </row>
    <row r="45635" spans="15:15" x14ac:dyDescent="0.25">
      <c r="O45635" s="9"/>
    </row>
    <row r="45656" spans="15:15" x14ac:dyDescent="0.25">
      <c r="O45656" s="9"/>
    </row>
    <row r="45677" spans="15:15" x14ac:dyDescent="0.25">
      <c r="O45677" s="9"/>
    </row>
    <row r="45698" spans="15:15" x14ac:dyDescent="0.25">
      <c r="O45698" s="9"/>
    </row>
    <row r="45719" spans="15:15" x14ac:dyDescent="0.25">
      <c r="O45719" s="9"/>
    </row>
    <row r="45740" spans="15:15" x14ac:dyDescent="0.25">
      <c r="O45740" s="9"/>
    </row>
    <row r="45761" spans="15:15" x14ac:dyDescent="0.25">
      <c r="O45761" s="9"/>
    </row>
    <row r="45782" spans="15:15" x14ac:dyDescent="0.25">
      <c r="O45782" s="9"/>
    </row>
    <row r="45803" spans="15:15" x14ac:dyDescent="0.25">
      <c r="O45803" s="9"/>
    </row>
    <row r="45824" spans="15:15" x14ac:dyDescent="0.25">
      <c r="O45824" s="9"/>
    </row>
    <row r="45845" spans="15:15" x14ac:dyDescent="0.25">
      <c r="O45845" s="9"/>
    </row>
    <row r="45866" spans="15:15" x14ac:dyDescent="0.25">
      <c r="O45866" s="9"/>
    </row>
    <row r="45887" spans="15:15" x14ac:dyDescent="0.25">
      <c r="O45887" s="9"/>
    </row>
    <row r="45908" spans="15:15" x14ac:dyDescent="0.25">
      <c r="O45908" s="9"/>
    </row>
    <row r="45929" spans="15:15" x14ac:dyDescent="0.25">
      <c r="O45929" s="9"/>
    </row>
    <row r="45950" spans="15:15" x14ac:dyDescent="0.25">
      <c r="O45950" s="9"/>
    </row>
    <row r="45971" spans="15:15" x14ac:dyDescent="0.25">
      <c r="O45971" s="9"/>
    </row>
    <row r="45992" spans="15:15" x14ac:dyDescent="0.25">
      <c r="O45992" s="9"/>
    </row>
    <row r="46013" spans="15:15" x14ac:dyDescent="0.25">
      <c r="O46013" s="9"/>
    </row>
    <row r="46034" spans="15:15" x14ac:dyDescent="0.25">
      <c r="O46034" s="9"/>
    </row>
    <row r="46055" spans="15:15" x14ac:dyDescent="0.25">
      <c r="O46055" s="9"/>
    </row>
    <row r="46076" spans="15:15" x14ac:dyDescent="0.25">
      <c r="O46076" s="9"/>
    </row>
    <row r="46097" spans="15:15" x14ac:dyDescent="0.25">
      <c r="O46097" s="9"/>
    </row>
    <row r="46118" spans="15:15" x14ac:dyDescent="0.25">
      <c r="O46118" s="9"/>
    </row>
    <row r="46139" spans="15:15" x14ac:dyDescent="0.25">
      <c r="O46139" s="9"/>
    </row>
    <row r="46160" spans="15:15" x14ac:dyDescent="0.25">
      <c r="O46160" s="9"/>
    </row>
    <row r="46181" spans="15:15" x14ac:dyDescent="0.25">
      <c r="O46181" s="9"/>
    </row>
    <row r="46202" spans="15:15" x14ac:dyDescent="0.25">
      <c r="O46202" s="9"/>
    </row>
    <row r="46223" spans="15:15" x14ac:dyDescent="0.25">
      <c r="O46223" s="9"/>
    </row>
    <row r="46244" spans="15:15" x14ac:dyDescent="0.25">
      <c r="O46244" s="9"/>
    </row>
    <row r="46265" spans="15:15" x14ac:dyDescent="0.25">
      <c r="O46265" s="9"/>
    </row>
    <row r="46286" spans="15:15" x14ac:dyDescent="0.25">
      <c r="O46286" s="9"/>
    </row>
    <row r="46307" spans="15:15" x14ac:dyDescent="0.25">
      <c r="O46307" s="9"/>
    </row>
    <row r="46328" spans="15:15" x14ac:dyDescent="0.25">
      <c r="O46328" s="9"/>
    </row>
    <row r="46349" spans="15:15" x14ac:dyDescent="0.25">
      <c r="O46349" s="9"/>
    </row>
    <row r="46370" spans="15:15" x14ac:dyDescent="0.25">
      <c r="O46370" s="9"/>
    </row>
    <row r="46391" spans="15:15" x14ac:dyDescent="0.25">
      <c r="O46391" s="9"/>
    </row>
    <row r="46412" spans="15:15" x14ac:dyDescent="0.25">
      <c r="O46412" s="9"/>
    </row>
    <row r="46433" spans="15:15" x14ac:dyDescent="0.25">
      <c r="O46433" s="9"/>
    </row>
    <row r="46454" spans="15:15" x14ac:dyDescent="0.25">
      <c r="O46454" s="9"/>
    </row>
    <row r="46475" spans="15:15" x14ac:dyDescent="0.25">
      <c r="O46475" s="9"/>
    </row>
    <row r="46496" spans="15:15" x14ac:dyDescent="0.25">
      <c r="O46496" s="9"/>
    </row>
    <row r="46517" spans="15:15" x14ac:dyDescent="0.25">
      <c r="O46517" s="9"/>
    </row>
    <row r="46538" spans="15:15" x14ac:dyDescent="0.25">
      <c r="O46538" s="9"/>
    </row>
    <row r="46559" spans="15:15" x14ac:dyDescent="0.25">
      <c r="O46559" s="9"/>
    </row>
    <row r="46580" spans="15:15" x14ac:dyDescent="0.25">
      <c r="O46580" s="9"/>
    </row>
    <row r="46601" spans="15:15" x14ac:dyDescent="0.25">
      <c r="O46601" s="9"/>
    </row>
    <row r="46622" spans="15:15" x14ac:dyDescent="0.25">
      <c r="O46622" s="9"/>
    </row>
    <row r="46643" spans="15:15" x14ac:dyDescent="0.25">
      <c r="O46643" s="9"/>
    </row>
    <row r="46664" spans="15:15" x14ac:dyDescent="0.25">
      <c r="O46664" s="9"/>
    </row>
    <row r="46685" spans="15:15" x14ac:dyDescent="0.25">
      <c r="O46685" s="9"/>
    </row>
    <row r="46706" spans="15:15" x14ac:dyDescent="0.25">
      <c r="O46706" s="9"/>
    </row>
    <row r="46727" spans="15:15" x14ac:dyDescent="0.25">
      <c r="O46727" s="9"/>
    </row>
    <row r="46748" spans="15:15" x14ac:dyDescent="0.25">
      <c r="O46748" s="9"/>
    </row>
    <row r="46769" spans="15:15" x14ac:dyDescent="0.25">
      <c r="O46769" s="9"/>
    </row>
    <row r="46790" spans="15:15" x14ac:dyDescent="0.25">
      <c r="O46790" s="9"/>
    </row>
    <row r="46811" spans="15:15" x14ac:dyDescent="0.25">
      <c r="O46811" s="9"/>
    </row>
    <row r="46832" spans="15:15" x14ac:dyDescent="0.25">
      <c r="O46832" s="9"/>
    </row>
    <row r="46853" spans="15:15" x14ac:dyDescent="0.25">
      <c r="O46853" s="9"/>
    </row>
    <row r="46874" spans="15:15" x14ac:dyDescent="0.25">
      <c r="O46874" s="9"/>
    </row>
    <row r="46895" spans="15:15" x14ac:dyDescent="0.25">
      <c r="O46895" s="9"/>
    </row>
    <row r="46916" spans="15:15" x14ac:dyDescent="0.25">
      <c r="O46916" s="9"/>
    </row>
    <row r="46937" spans="15:15" x14ac:dyDescent="0.25">
      <c r="O46937" s="9"/>
    </row>
    <row r="46958" spans="15:15" x14ac:dyDescent="0.25">
      <c r="O46958" s="9"/>
    </row>
    <row r="46979" spans="15:15" x14ac:dyDescent="0.25">
      <c r="O46979" s="9"/>
    </row>
    <row r="47000" spans="15:15" x14ac:dyDescent="0.25">
      <c r="O47000" s="9"/>
    </row>
    <row r="47021" spans="15:15" x14ac:dyDescent="0.25">
      <c r="O47021" s="9"/>
    </row>
    <row r="47042" spans="15:15" x14ac:dyDescent="0.25">
      <c r="O47042" s="9"/>
    </row>
    <row r="47063" spans="15:15" x14ac:dyDescent="0.25">
      <c r="O47063" s="9"/>
    </row>
    <row r="47084" spans="15:15" x14ac:dyDescent="0.25">
      <c r="O47084" s="9"/>
    </row>
    <row r="47105" spans="15:15" x14ac:dyDescent="0.25">
      <c r="O47105" s="9"/>
    </row>
    <row r="47126" spans="15:15" x14ac:dyDescent="0.25">
      <c r="O47126" s="9"/>
    </row>
    <row r="47147" spans="15:15" x14ac:dyDescent="0.25">
      <c r="O47147" s="9"/>
    </row>
    <row r="47168" spans="15:15" x14ac:dyDescent="0.25">
      <c r="O47168" s="9"/>
    </row>
    <row r="47189" spans="15:15" x14ac:dyDescent="0.25">
      <c r="O47189" s="9"/>
    </row>
    <row r="47210" spans="15:15" x14ac:dyDescent="0.25">
      <c r="O47210" s="9"/>
    </row>
    <row r="47231" spans="15:15" x14ac:dyDescent="0.25">
      <c r="O47231" s="9"/>
    </row>
    <row r="47252" spans="15:15" x14ac:dyDescent="0.25">
      <c r="O47252" s="9"/>
    </row>
    <row r="47273" spans="15:15" x14ac:dyDescent="0.25">
      <c r="O47273" s="9"/>
    </row>
    <row r="47294" spans="15:15" x14ac:dyDescent="0.25">
      <c r="O47294" s="9"/>
    </row>
    <row r="47315" spans="15:15" x14ac:dyDescent="0.25">
      <c r="O47315" s="9"/>
    </row>
    <row r="47336" spans="15:15" x14ac:dyDescent="0.25">
      <c r="O47336" s="9"/>
    </row>
    <row r="47357" spans="15:15" x14ac:dyDescent="0.25">
      <c r="O47357" s="9"/>
    </row>
    <row r="47378" spans="15:15" x14ac:dyDescent="0.25">
      <c r="O47378" s="9"/>
    </row>
    <row r="47399" spans="15:15" x14ac:dyDescent="0.25">
      <c r="O47399" s="9"/>
    </row>
    <row r="47420" spans="15:15" x14ac:dyDescent="0.25">
      <c r="O47420" s="9"/>
    </row>
    <row r="47441" spans="15:15" x14ac:dyDescent="0.25">
      <c r="O47441" s="9"/>
    </row>
    <row r="47462" spans="15:15" x14ac:dyDescent="0.25">
      <c r="O47462" s="9"/>
    </row>
    <row r="47483" spans="15:15" x14ac:dyDescent="0.25">
      <c r="O47483" s="9"/>
    </row>
    <row r="47504" spans="15:15" x14ac:dyDescent="0.25">
      <c r="O47504" s="9"/>
    </row>
    <row r="47525" spans="15:15" x14ac:dyDescent="0.25">
      <c r="O47525" s="9"/>
    </row>
    <row r="47546" spans="15:15" x14ac:dyDescent="0.25">
      <c r="O47546" s="9"/>
    </row>
    <row r="47567" spans="15:15" x14ac:dyDescent="0.25">
      <c r="O47567" s="9"/>
    </row>
    <row r="47588" spans="15:15" x14ac:dyDescent="0.25">
      <c r="O47588" s="9"/>
    </row>
    <row r="47609" spans="15:15" x14ac:dyDescent="0.25">
      <c r="O47609" s="9"/>
    </row>
    <row r="47630" spans="15:15" x14ac:dyDescent="0.25">
      <c r="O47630" s="9"/>
    </row>
    <row r="47651" spans="15:15" x14ac:dyDescent="0.25">
      <c r="O47651" s="9"/>
    </row>
    <row r="47672" spans="15:15" x14ac:dyDescent="0.25">
      <c r="O47672" s="9"/>
    </row>
    <row r="47693" spans="15:15" x14ac:dyDescent="0.25">
      <c r="O47693" s="9"/>
    </row>
    <row r="47714" spans="15:15" x14ac:dyDescent="0.25">
      <c r="O47714" s="9"/>
    </row>
    <row r="47735" spans="15:15" x14ac:dyDescent="0.25">
      <c r="O47735" s="9"/>
    </row>
    <row r="47756" spans="15:15" x14ac:dyDescent="0.25">
      <c r="O47756" s="9"/>
    </row>
    <row r="47777" spans="15:15" x14ac:dyDescent="0.25">
      <c r="O47777" s="9"/>
    </row>
    <row r="47798" spans="15:15" x14ac:dyDescent="0.25">
      <c r="O47798" s="9"/>
    </row>
    <row r="47819" spans="15:15" x14ac:dyDescent="0.25">
      <c r="O47819" s="9"/>
    </row>
    <row r="47840" spans="15:15" x14ac:dyDescent="0.25">
      <c r="O47840" s="9"/>
    </row>
    <row r="47861" spans="15:15" x14ac:dyDescent="0.25">
      <c r="O47861" s="9"/>
    </row>
    <row r="47882" spans="15:15" x14ac:dyDescent="0.25">
      <c r="O47882" s="9"/>
    </row>
    <row r="47903" spans="15:15" x14ac:dyDescent="0.25">
      <c r="O47903" s="9"/>
    </row>
    <row r="47924" spans="15:15" x14ac:dyDescent="0.25">
      <c r="O47924" s="9"/>
    </row>
    <row r="47945" spans="15:15" x14ac:dyDescent="0.25">
      <c r="O47945" s="9"/>
    </row>
    <row r="47966" spans="15:15" x14ac:dyDescent="0.25">
      <c r="O47966" s="9"/>
    </row>
    <row r="47987" spans="15:15" x14ac:dyDescent="0.25">
      <c r="O47987" s="9"/>
    </row>
    <row r="48008" spans="15:15" x14ac:dyDescent="0.25">
      <c r="O48008" s="9"/>
    </row>
    <row r="48029" spans="15:15" x14ac:dyDescent="0.25">
      <c r="O48029" s="9"/>
    </row>
    <row r="48050" spans="15:15" x14ac:dyDescent="0.25">
      <c r="O48050" s="9"/>
    </row>
    <row r="48071" spans="15:15" x14ac:dyDescent="0.25">
      <c r="O48071" s="9"/>
    </row>
    <row r="48092" spans="15:15" x14ac:dyDescent="0.25">
      <c r="O48092" s="9"/>
    </row>
    <row r="48113" spans="15:15" x14ac:dyDescent="0.25">
      <c r="O48113" s="9"/>
    </row>
    <row r="48134" spans="15:15" x14ac:dyDescent="0.25">
      <c r="O48134" s="9"/>
    </row>
    <row r="48155" spans="15:15" x14ac:dyDescent="0.25">
      <c r="O48155" s="9"/>
    </row>
    <row r="48176" spans="15:15" x14ac:dyDescent="0.25">
      <c r="O48176" s="9"/>
    </row>
    <row r="48197" spans="15:15" x14ac:dyDescent="0.25">
      <c r="O48197" s="9"/>
    </row>
    <row r="48218" spans="15:15" x14ac:dyDescent="0.25">
      <c r="O48218" s="9"/>
    </row>
    <row r="48239" spans="15:15" x14ac:dyDescent="0.25">
      <c r="O48239" s="9"/>
    </row>
    <row r="48260" spans="15:15" x14ac:dyDescent="0.25">
      <c r="O48260" s="9"/>
    </row>
    <row r="48281" spans="15:15" x14ac:dyDescent="0.25">
      <c r="O48281" s="9"/>
    </row>
    <row r="48302" spans="15:15" x14ac:dyDescent="0.25">
      <c r="O48302" s="9"/>
    </row>
    <row r="48323" spans="15:15" x14ac:dyDescent="0.25">
      <c r="O48323" s="9"/>
    </row>
    <row r="48344" spans="15:15" x14ac:dyDescent="0.25">
      <c r="O48344" s="9"/>
    </row>
    <row r="48365" spans="15:15" x14ac:dyDescent="0.25">
      <c r="O48365" s="9"/>
    </row>
    <row r="48386" spans="15:15" x14ac:dyDescent="0.25">
      <c r="O48386" s="9"/>
    </row>
    <row r="48407" spans="15:15" x14ac:dyDescent="0.25">
      <c r="O48407" s="9"/>
    </row>
    <row r="48428" spans="15:15" x14ac:dyDescent="0.25">
      <c r="O48428" s="9"/>
    </row>
    <row r="48449" spans="15:15" x14ac:dyDescent="0.25">
      <c r="O48449" s="9"/>
    </row>
    <row r="48470" spans="15:15" x14ac:dyDescent="0.25">
      <c r="O48470" s="9"/>
    </row>
    <row r="48491" spans="15:15" x14ac:dyDescent="0.25">
      <c r="O48491" s="9"/>
    </row>
    <row r="48512" spans="15:15" x14ac:dyDescent="0.25">
      <c r="O48512" s="9"/>
    </row>
    <row r="48533" spans="15:15" x14ac:dyDescent="0.25">
      <c r="O48533" s="9"/>
    </row>
    <row r="48554" spans="15:15" x14ac:dyDescent="0.25">
      <c r="O48554" s="9"/>
    </row>
    <row r="48575" spans="15:15" x14ac:dyDescent="0.25">
      <c r="O48575" s="9"/>
    </row>
    <row r="48596" spans="15:15" x14ac:dyDescent="0.25">
      <c r="O48596" s="9"/>
    </row>
    <row r="48617" spans="15:15" x14ac:dyDescent="0.25">
      <c r="O48617" s="9"/>
    </row>
    <row r="48638" spans="15:15" x14ac:dyDescent="0.25">
      <c r="O48638" s="9"/>
    </row>
    <row r="48659" spans="15:15" x14ac:dyDescent="0.25">
      <c r="O48659" s="9"/>
    </row>
    <row r="48680" spans="15:15" x14ac:dyDescent="0.25">
      <c r="O48680" s="9"/>
    </row>
    <row r="48701" spans="15:15" x14ac:dyDescent="0.25">
      <c r="O48701" s="9"/>
    </row>
    <row r="48722" spans="15:15" x14ac:dyDescent="0.25">
      <c r="O48722" s="9"/>
    </row>
    <row r="48743" spans="15:15" x14ac:dyDescent="0.25">
      <c r="O48743" s="9"/>
    </row>
    <row r="48764" spans="15:15" x14ac:dyDescent="0.25">
      <c r="O48764" s="9"/>
    </row>
    <row r="48785" spans="15:15" x14ac:dyDescent="0.25">
      <c r="O48785" s="9"/>
    </row>
    <row r="48806" spans="15:15" x14ac:dyDescent="0.25">
      <c r="O48806" s="9"/>
    </row>
    <row r="48827" spans="15:15" x14ac:dyDescent="0.25">
      <c r="O48827" s="9"/>
    </row>
    <row r="48848" spans="15:15" x14ac:dyDescent="0.25">
      <c r="O48848" s="9"/>
    </row>
    <row r="48869" spans="15:15" x14ac:dyDescent="0.25">
      <c r="O48869" s="9"/>
    </row>
    <row r="48890" spans="15:15" x14ac:dyDescent="0.25">
      <c r="O48890" s="9"/>
    </row>
    <row r="48911" spans="15:15" x14ac:dyDescent="0.25">
      <c r="O48911" s="9"/>
    </row>
    <row r="48932" spans="15:15" x14ac:dyDescent="0.25">
      <c r="O48932" s="9"/>
    </row>
    <row r="48953" spans="15:15" x14ac:dyDescent="0.25">
      <c r="O48953" s="9"/>
    </row>
    <row r="48974" spans="15:15" x14ac:dyDescent="0.25">
      <c r="O48974" s="9"/>
    </row>
    <row r="48995" spans="15:15" x14ac:dyDescent="0.25">
      <c r="O48995" s="9"/>
    </row>
    <row r="49016" spans="15:15" x14ac:dyDescent="0.25">
      <c r="O49016" s="9"/>
    </row>
    <row r="49037" spans="15:15" x14ac:dyDescent="0.25">
      <c r="O49037" s="9"/>
    </row>
    <row r="49058" spans="15:15" x14ac:dyDescent="0.25">
      <c r="O49058" s="9"/>
    </row>
    <row r="49079" spans="15:15" x14ac:dyDescent="0.25">
      <c r="O49079" s="9"/>
    </row>
    <row r="49100" spans="15:15" x14ac:dyDescent="0.25">
      <c r="O49100" s="9"/>
    </row>
    <row r="49121" spans="15:15" x14ac:dyDescent="0.25">
      <c r="O49121" s="9"/>
    </row>
    <row r="49142" spans="15:15" x14ac:dyDescent="0.25">
      <c r="O49142" s="9"/>
    </row>
    <row r="49163" spans="15:15" x14ac:dyDescent="0.25">
      <c r="O49163" s="9"/>
    </row>
    <row r="49184" spans="15:15" x14ac:dyDescent="0.25">
      <c r="O49184" s="9"/>
    </row>
    <row r="49205" spans="15:15" x14ac:dyDescent="0.25">
      <c r="O49205" s="9"/>
    </row>
    <row r="49226" spans="15:15" x14ac:dyDescent="0.25">
      <c r="O49226" s="9"/>
    </row>
    <row r="49247" spans="15:15" x14ac:dyDescent="0.25">
      <c r="O49247" s="9"/>
    </row>
    <row r="49268" spans="15:15" x14ac:dyDescent="0.25">
      <c r="O49268" s="9"/>
    </row>
    <row r="49289" spans="15:15" x14ac:dyDescent="0.25">
      <c r="O49289" s="9"/>
    </row>
    <row r="49310" spans="15:15" x14ac:dyDescent="0.25">
      <c r="O49310" s="9"/>
    </row>
    <row r="49331" spans="15:15" x14ac:dyDescent="0.25">
      <c r="O49331" s="9"/>
    </row>
    <row r="49352" spans="15:15" x14ac:dyDescent="0.25">
      <c r="O49352" s="9"/>
    </row>
    <row r="49373" spans="15:15" x14ac:dyDescent="0.25">
      <c r="O49373" s="9"/>
    </row>
    <row r="49394" spans="15:15" x14ac:dyDescent="0.25">
      <c r="O49394" s="9"/>
    </row>
    <row r="49415" spans="15:15" x14ac:dyDescent="0.25">
      <c r="O49415" s="9"/>
    </row>
    <row r="49436" spans="15:15" x14ac:dyDescent="0.25">
      <c r="O49436" s="9"/>
    </row>
    <row r="49457" spans="15:15" x14ac:dyDescent="0.25">
      <c r="O49457" s="9"/>
    </row>
    <row r="49478" spans="15:15" x14ac:dyDescent="0.25">
      <c r="O49478" s="9"/>
    </row>
    <row r="49499" spans="15:15" x14ac:dyDescent="0.25">
      <c r="O49499" s="9"/>
    </row>
    <row r="49520" spans="15:15" x14ac:dyDescent="0.25">
      <c r="O49520" s="9"/>
    </row>
    <row r="49541" spans="15:15" x14ac:dyDescent="0.25">
      <c r="O49541" s="9"/>
    </row>
    <row r="49562" spans="15:15" x14ac:dyDescent="0.25">
      <c r="O49562" s="9"/>
    </row>
    <row r="49583" spans="15:15" x14ac:dyDescent="0.25">
      <c r="O49583" s="9"/>
    </row>
    <row r="49604" spans="15:15" x14ac:dyDescent="0.25">
      <c r="O49604" s="9"/>
    </row>
    <row r="49625" spans="15:15" x14ac:dyDescent="0.25">
      <c r="O49625" s="9"/>
    </row>
    <row r="49646" spans="15:15" x14ac:dyDescent="0.25">
      <c r="O49646" s="9"/>
    </row>
    <row r="49667" spans="15:15" x14ac:dyDescent="0.25">
      <c r="O49667" s="9"/>
    </row>
    <row r="49688" spans="15:15" x14ac:dyDescent="0.25">
      <c r="O49688" s="9"/>
    </row>
    <row r="49709" spans="15:15" x14ac:dyDescent="0.25">
      <c r="O49709" s="9"/>
    </row>
    <row r="49730" spans="15:15" x14ac:dyDescent="0.25">
      <c r="O49730" s="9"/>
    </row>
    <row r="49751" spans="15:15" x14ac:dyDescent="0.25">
      <c r="O49751" s="9"/>
    </row>
    <row r="49772" spans="15:15" x14ac:dyDescent="0.25">
      <c r="O49772" s="9"/>
    </row>
    <row r="49793" spans="15:15" x14ac:dyDescent="0.25">
      <c r="O49793" s="9"/>
    </row>
    <row r="49814" spans="15:15" x14ac:dyDescent="0.25">
      <c r="O49814" s="9"/>
    </row>
    <row r="49835" spans="15:15" x14ac:dyDescent="0.25">
      <c r="O49835" s="9"/>
    </row>
    <row r="49856" spans="15:15" x14ac:dyDescent="0.25">
      <c r="O49856" s="9"/>
    </row>
    <row r="49877" spans="15:15" x14ac:dyDescent="0.25">
      <c r="O49877" s="9"/>
    </row>
    <row r="49898" spans="15:15" x14ac:dyDescent="0.25">
      <c r="O49898" s="9"/>
    </row>
    <row r="49919" spans="15:15" x14ac:dyDescent="0.25">
      <c r="O49919" s="9"/>
    </row>
    <row r="49940" spans="15:15" x14ac:dyDescent="0.25">
      <c r="O49940" s="9"/>
    </row>
    <row r="49961" spans="15:15" x14ac:dyDescent="0.25">
      <c r="O49961" s="9"/>
    </row>
    <row r="49982" spans="15:15" x14ac:dyDescent="0.25">
      <c r="O49982" s="9"/>
    </row>
    <row r="50003" spans="15:15" x14ac:dyDescent="0.25">
      <c r="O50003" s="9"/>
    </row>
    <row r="50024" spans="15:15" x14ac:dyDescent="0.25">
      <c r="O50024" s="9"/>
    </row>
    <row r="50045" spans="15:15" x14ac:dyDescent="0.25">
      <c r="O50045" s="9"/>
    </row>
    <row r="50066" spans="15:15" x14ac:dyDescent="0.25">
      <c r="O50066" s="9"/>
    </row>
    <row r="50087" spans="15:15" x14ac:dyDescent="0.25">
      <c r="O50087" s="9"/>
    </row>
    <row r="50108" spans="15:15" x14ac:dyDescent="0.25">
      <c r="O50108" s="9"/>
    </row>
    <row r="50129" spans="15:15" x14ac:dyDescent="0.25">
      <c r="O50129" s="9"/>
    </row>
    <row r="50150" spans="15:15" x14ac:dyDescent="0.25">
      <c r="O50150" s="9"/>
    </row>
    <row r="50171" spans="15:15" x14ac:dyDescent="0.25">
      <c r="O50171" s="9"/>
    </row>
    <row r="50192" spans="15:15" x14ac:dyDescent="0.25">
      <c r="O50192" s="9"/>
    </row>
    <row r="50213" spans="15:15" x14ac:dyDescent="0.25">
      <c r="O50213" s="9"/>
    </row>
    <row r="50234" spans="15:15" x14ac:dyDescent="0.25">
      <c r="O50234" s="9"/>
    </row>
    <row r="50255" spans="15:15" x14ac:dyDescent="0.25">
      <c r="O50255" s="9"/>
    </row>
    <row r="50276" spans="15:15" x14ac:dyDescent="0.25">
      <c r="O50276" s="9"/>
    </row>
    <row r="50297" spans="15:15" x14ac:dyDescent="0.25">
      <c r="O50297" s="9"/>
    </row>
    <row r="50318" spans="15:15" x14ac:dyDescent="0.25">
      <c r="O50318" s="9"/>
    </row>
    <row r="50339" spans="15:15" x14ac:dyDescent="0.25">
      <c r="O50339" s="9"/>
    </row>
    <row r="50360" spans="15:15" x14ac:dyDescent="0.25">
      <c r="O50360" s="9"/>
    </row>
    <row r="50381" spans="15:15" x14ac:dyDescent="0.25">
      <c r="O50381" s="9"/>
    </row>
    <row r="50402" spans="15:15" x14ac:dyDescent="0.25">
      <c r="O50402" s="9"/>
    </row>
    <row r="50423" spans="15:15" x14ac:dyDescent="0.25">
      <c r="O50423" s="9"/>
    </row>
    <row r="50444" spans="15:15" x14ac:dyDescent="0.25">
      <c r="O50444" s="9"/>
    </row>
    <row r="50465" spans="15:15" x14ac:dyDescent="0.25">
      <c r="O50465" s="9"/>
    </row>
    <row r="50486" spans="15:15" x14ac:dyDescent="0.25">
      <c r="O50486" s="9"/>
    </row>
    <row r="50507" spans="15:15" x14ac:dyDescent="0.25">
      <c r="O50507" s="9"/>
    </row>
    <row r="50528" spans="15:15" x14ac:dyDescent="0.25">
      <c r="O50528" s="9"/>
    </row>
    <row r="50549" spans="15:15" x14ac:dyDescent="0.25">
      <c r="O50549" s="9"/>
    </row>
    <row r="50570" spans="15:15" x14ac:dyDescent="0.25">
      <c r="O50570" s="9"/>
    </row>
    <row r="50591" spans="15:15" x14ac:dyDescent="0.25">
      <c r="O50591" s="9"/>
    </row>
    <row r="50612" spans="15:15" x14ac:dyDescent="0.25">
      <c r="O50612" s="9"/>
    </row>
    <row r="50633" spans="15:15" x14ac:dyDescent="0.25">
      <c r="O50633" s="9"/>
    </row>
    <row r="50654" spans="15:15" x14ac:dyDescent="0.25">
      <c r="O50654" s="9"/>
    </row>
    <row r="50675" spans="15:15" x14ac:dyDescent="0.25">
      <c r="O50675" s="9"/>
    </row>
    <row r="50696" spans="15:15" x14ac:dyDescent="0.25">
      <c r="O50696" s="9"/>
    </row>
    <row r="50717" spans="15:15" x14ac:dyDescent="0.25">
      <c r="O50717" s="9"/>
    </row>
    <row r="50738" spans="15:15" x14ac:dyDescent="0.25">
      <c r="O50738" s="9"/>
    </row>
    <row r="50759" spans="15:15" x14ac:dyDescent="0.25">
      <c r="O50759" s="9"/>
    </row>
    <row r="50780" spans="15:15" x14ac:dyDescent="0.25">
      <c r="O50780" s="9"/>
    </row>
    <row r="50801" spans="15:15" x14ac:dyDescent="0.25">
      <c r="O50801" s="9"/>
    </row>
    <row r="50822" spans="15:15" x14ac:dyDescent="0.25">
      <c r="O50822" s="9"/>
    </row>
    <row r="50843" spans="15:15" x14ac:dyDescent="0.25">
      <c r="O50843" s="9"/>
    </row>
    <row r="50864" spans="15:15" x14ac:dyDescent="0.25">
      <c r="O50864" s="9"/>
    </row>
    <row r="50885" spans="15:15" x14ac:dyDescent="0.25">
      <c r="O50885" s="9"/>
    </row>
    <row r="50906" spans="15:15" x14ac:dyDescent="0.25">
      <c r="O50906" s="9"/>
    </row>
    <row r="50927" spans="15:15" x14ac:dyDescent="0.25">
      <c r="O50927" s="9"/>
    </row>
    <row r="50948" spans="15:15" x14ac:dyDescent="0.25">
      <c r="O50948" s="9"/>
    </row>
    <row r="50969" spans="15:15" x14ac:dyDescent="0.25">
      <c r="O50969" s="9"/>
    </row>
    <row r="50990" spans="15:15" x14ac:dyDescent="0.25">
      <c r="O50990" s="9"/>
    </row>
    <row r="51011" spans="15:15" x14ac:dyDescent="0.25">
      <c r="O51011" s="9"/>
    </row>
    <row r="51032" spans="15:15" x14ac:dyDescent="0.25">
      <c r="O51032" s="9"/>
    </row>
    <row r="51053" spans="15:15" x14ac:dyDescent="0.25">
      <c r="O51053" s="9"/>
    </row>
    <row r="51074" spans="15:15" x14ac:dyDescent="0.25">
      <c r="O51074" s="9"/>
    </row>
    <row r="51095" spans="15:15" x14ac:dyDescent="0.25">
      <c r="O51095" s="9"/>
    </row>
    <row r="51116" spans="15:15" x14ac:dyDescent="0.25">
      <c r="O51116" s="9"/>
    </row>
    <row r="51137" spans="15:15" x14ac:dyDescent="0.25">
      <c r="O51137" s="9"/>
    </row>
    <row r="51158" spans="15:15" x14ac:dyDescent="0.25">
      <c r="O51158" s="9"/>
    </row>
    <row r="51179" spans="15:15" x14ac:dyDescent="0.25">
      <c r="O51179" s="9"/>
    </row>
    <row r="51200" spans="15:15" x14ac:dyDescent="0.25">
      <c r="O51200" s="9"/>
    </row>
    <row r="51221" spans="15:15" x14ac:dyDescent="0.25">
      <c r="O51221" s="9"/>
    </row>
    <row r="51242" spans="15:15" x14ac:dyDescent="0.25">
      <c r="O51242" s="9"/>
    </row>
    <row r="51263" spans="15:15" x14ac:dyDescent="0.25">
      <c r="O51263" s="9"/>
    </row>
    <row r="51284" spans="15:15" x14ac:dyDescent="0.25">
      <c r="O51284" s="9"/>
    </row>
    <row r="51305" spans="15:15" x14ac:dyDescent="0.25">
      <c r="O51305" s="9"/>
    </row>
    <row r="51326" spans="15:15" x14ac:dyDescent="0.25">
      <c r="O51326" s="9"/>
    </row>
    <row r="51347" spans="15:15" x14ac:dyDescent="0.25">
      <c r="O51347" s="9"/>
    </row>
    <row r="51368" spans="15:15" x14ac:dyDescent="0.25">
      <c r="O51368" s="9"/>
    </row>
    <row r="51389" spans="15:15" x14ac:dyDescent="0.25">
      <c r="O51389" s="9"/>
    </row>
    <row r="51410" spans="15:15" x14ac:dyDescent="0.25">
      <c r="O51410" s="9"/>
    </row>
    <row r="51431" spans="15:15" x14ac:dyDescent="0.25">
      <c r="O51431" s="9"/>
    </row>
    <row r="51452" spans="15:15" x14ac:dyDescent="0.25">
      <c r="O51452" s="9"/>
    </row>
    <row r="51473" spans="15:15" x14ac:dyDescent="0.25">
      <c r="O51473" s="9"/>
    </row>
    <row r="51494" spans="15:15" x14ac:dyDescent="0.25">
      <c r="O51494" s="9"/>
    </row>
    <row r="51515" spans="15:15" x14ac:dyDescent="0.25">
      <c r="O51515" s="9"/>
    </row>
    <row r="51536" spans="15:15" x14ac:dyDescent="0.25">
      <c r="O51536" s="9"/>
    </row>
    <row r="51557" spans="15:15" x14ac:dyDescent="0.25">
      <c r="O51557" s="9"/>
    </row>
    <row r="51578" spans="15:15" x14ac:dyDescent="0.25">
      <c r="O51578" s="9"/>
    </row>
    <row r="51599" spans="15:15" x14ac:dyDescent="0.25">
      <c r="O51599" s="9"/>
    </row>
    <row r="51620" spans="15:15" x14ac:dyDescent="0.25">
      <c r="O51620" s="9"/>
    </row>
    <row r="51641" spans="15:15" x14ac:dyDescent="0.25">
      <c r="O51641" s="9"/>
    </row>
    <row r="51662" spans="15:15" x14ac:dyDescent="0.25">
      <c r="O51662" s="9"/>
    </row>
    <row r="51683" spans="15:15" x14ac:dyDescent="0.25">
      <c r="O51683" s="9"/>
    </row>
    <row r="51704" spans="15:15" x14ac:dyDescent="0.25">
      <c r="O51704" s="9"/>
    </row>
    <row r="51725" spans="15:15" x14ac:dyDescent="0.25">
      <c r="O51725" s="9"/>
    </row>
    <row r="51746" spans="15:15" x14ac:dyDescent="0.25">
      <c r="O51746" s="9"/>
    </row>
    <row r="51767" spans="15:15" x14ac:dyDescent="0.25">
      <c r="O51767" s="9"/>
    </row>
    <row r="51788" spans="15:15" x14ac:dyDescent="0.25">
      <c r="O51788" s="9"/>
    </row>
    <row r="51809" spans="15:15" x14ac:dyDescent="0.25">
      <c r="O51809" s="9"/>
    </row>
    <row r="51830" spans="15:15" x14ac:dyDescent="0.25">
      <c r="O51830" s="9"/>
    </row>
    <row r="51851" spans="15:15" x14ac:dyDescent="0.25">
      <c r="O51851" s="9"/>
    </row>
    <row r="51872" spans="15:15" x14ac:dyDescent="0.25">
      <c r="O51872" s="9"/>
    </row>
    <row r="51893" spans="15:15" x14ac:dyDescent="0.25">
      <c r="O51893" s="9"/>
    </row>
    <row r="51914" spans="15:15" x14ac:dyDescent="0.25">
      <c r="O51914" s="9"/>
    </row>
    <row r="51935" spans="15:15" x14ac:dyDescent="0.25">
      <c r="O51935" s="9"/>
    </row>
    <row r="51956" spans="15:15" x14ac:dyDescent="0.25">
      <c r="O51956" s="9"/>
    </row>
    <row r="51977" spans="15:15" x14ac:dyDescent="0.25">
      <c r="O51977" s="9"/>
    </row>
    <row r="51998" spans="15:15" x14ac:dyDescent="0.25">
      <c r="O51998" s="9"/>
    </row>
    <row r="52019" spans="15:15" x14ac:dyDescent="0.25">
      <c r="O52019" s="9"/>
    </row>
    <row r="52040" spans="15:15" x14ac:dyDescent="0.25">
      <c r="O52040" s="9"/>
    </row>
    <row r="52061" spans="15:15" x14ac:dyDescent="0.25">
      <c r="O52061" s="9"/>
    </row>
    <row r="52082" spans="15:15" x14ac:dyDescent="0.25">
      <c r="O52082" s="9"/>
    </row>
    <row r="52103" spans="15:15" x14ac:dyDescent="0.25">
      <c r="O52103" s="9"/>
    </row>
    <row r="52124" spans="15:15" x14ac:dyDescent="0.25">
      <c r="O52124" s="9"/>
    </row>
    <row r="52145" spans="15:15" x14ac:dyDescent="0.25">
      <c r="O52145" s="9"/>
    </row>
    <row r="52166" spans="15:15" x14ac:dyDescent="0.25">
      <c r="O52166" s="9"/>
    </row>
    <row r="52187" spans="15:15" x14ac:dyDescent="0.25">
      <c r="O52187" s="9"/>
    </row>
    <row r="52208" spans="15:15" x14ac:dyDescent="0.25">
      <c r="O52208" s="9"/>
    </row>
    <row r="52229" spans="15:15" x14ac:dyDescent="0.25">
      <c r="O52229" s="9"/>
    </row>
    <row r="52250" spans="15:15" x14ac:dyDescent="0.25">
      <c r="O52250" s="9"/>
    </row>
    <row r="52271" spans="15:15" x14ac:dyDescent="0.25">
      <c r="O52271" s="9"/>
    </row>
    <row r="52292" spans="15:15" x14ac:dyDescent="0.25">
      <c r="O52292" s="9"/>
    </row>
    <row r="52313" spans="15:15" x14ac:dyDescent="0.25">
      <c r="O52313" s="9"/>
    </row>
    <row r="52334" spans="15:15" x14ac:dyDescent="0.25">
      <c r="O52334" s="9"/>
    </row>
    <row r="52355" spans="15:15" x14ac:dyDescent="0.25">
      <c r="O52355" s="9"/>
    </row>
    <row r="52376" spans="15:15" x14ac:dyDescent="0.25">
      <c r="O52376" s="9"/>
    </row>
    <row r="52397" spans="15:15" x14ac:dyDescent="0.25">
      <c r="O52397" s="9"/>
    </row>
    <row r="52418" spans="15:15" x14ac:dyDescent="0.25">
      <c r="O52418" s="9"/>
    </row>
    <row r="52439" spans="15:15" x14ac:dyDescent="0.25">
      <c r="O52439" s="9"/>
    </row>
    <row r="52460" spans="15:15" x14ac:dyDescent="0.25">
      <c r="O52460" s="9"/>
    </row>
    <row r="52481" spans="15:15" x14ac:dyDescent="0.25">
      <c r="O52481" s="9"/>
    </row>
    <row r="52502" spans="15:15" x14ac:dyDescent="0.25">
      <c r="O52502" s="9"/>
    </row>
    <row r="52523" spans="15:15" x14ac:dyDescent="0.25">
      <c r="O52523" s="9"/>
    </row>
    <row r="52544" spans="15:15" x14ac:dyDescent="0.25">
      <c r="O52544" s="9"/>
    </row>
    <row r="52565" spans="15:15" x14ac:dyDescent="0.25">
      <c r="O52565" s="9"/>
    </row>
    <row r="52586" spans="15:15" x14ac:dyDescent="0.25">
      <c r="O52586" s="9"/>
    </row>
    <row r="52607" spans="15:15" x14ac:dyDescent="0.25">
      <c r="O52607" s="9"/>
    </row>
    <row r="52628" spans="15:15" x14ac:dyDescent="0.25">
      <c r="O52628" s="9"/>
    </row>
    <row r="52649" spans="15:15" x14ac:dyDescent="0.25">
      <c r="O52649" s="9"/>
    </row>
    <row r="52670" spans="15:15" x14ac:dyDescent="0.25">
      <c r="O52670" s="9"/>
    </row>
    <row r="52691" spans="15:15" x14ac:dyDescent="0.25">
      <c r="O52691" s="9"/>
    </row>
    <row r="52712" spans="15:15" x14ac:dyDescent="0.25">
      <c r="O52712" s="9"/>
    </row>
    <row r="52733" spans="15:15" x14ac:dyDescent="0.25">
      <c r="O52733" s="9"/>
    </row>
    <row r="52754" spans="15:15" x14ac:dyDescent="0.25">
      <c r="O52754" s="9"/>
    </row>
    <row r="52775" spans="15:15" x14ac:dyDescent="0.25">
      <c r="O52775" s="9"/>
    </row>
    <row r="52796" spans="15:15" x14ac:dyDescent="0.25">
      <c r="O52796" s="9"/>
    </row>
    <row r="52817" spans="15:15" x14ac:dyDescent="0.25">
      <c r="O52817" s="9"/>
    </row>
    <row r="52838" spans="15:15" x14ac:dyDescent="0.25">
      <c r="O52838" s="9"/>
    </row>
    <row r="52859" spans="15:15" x14ac:dyDescent="0.25">
      <c r="O52859" s="9"/>
    </row>
    <row r="52880" spans="15:15" x14ac:dyDescent="0.25">
      <c r="O52880" s="9"/>
    </row>
    <row r="52901" spans="15:15" x14ac:dyDescent="0.25">
      <c r="O52901" s="9"/>
    </row>
    <row r="52922" spans="15:15" x14ac:dyDescent="0.25">
      <c r="O52922" s="9"/>
    </row>
    <row r="52943" spans="15:15" x14ac:dyDescent="0.25">
      <c r="O52943" s="9"/>
    </row>
    <row r="52964" spans="15:15" x14ac:dyDescent="0.25">
      <c r="O52964" s="9"/>
    </row>
    <row r="52985" spans="15:15" x14ac:dyDescent="0.25">
      <c r="O52985" s="9"/>
    </row>
    <row r="53006" spans="15:15" x14ac:dyDescent="0.25">
      <c r="O53006" s="9"/>
    </row>
    <row r="53027" spans="15:15" x14ac:dyDescent="0.25">
      <c r="O53027" s="9"/>
    </row>
    <row r="53048" spans="15:15" x14ac:dyDescent="0.25">
      <c r="O53048" s="9"/>
    </row>
    <row r="53069" spans="15:15" x14ac:dyDescent="0.25">
      <c r="O53069" s="9"/>
    </row>
    <row r="53090" spans="15:15" x14ac:dyDescent="0.25">
      <c r="O53090" s="9"/>
    </row>
    <row r="53111" spans="15:15" x14ac:dyDescent="0.25">
      <c r="O53111" s="9"/>
    </row>
    <row r="53132" spans="15:15" x14ac:dyDescent="0.25">
      <c r="O53132" s="9"/>
    </row>
    <row r="53153" spans="15:15" x14ac:dyDescent="0.25">
      <c r="O53153" s="9"/>
    </row>
    <row r="53174" spans="15:15" x14ac:dyDescent="0.25">
      <c r="O53174" s="9"/>
    </row>
    <row r="53195" spans="15:15" x14ac:dyDescent="0.25">
      <c r="O53195" s="9"/>
    </row>
    <row r="53216" spans="15:15" x14ac:dyDescent="0.25">
      <c r="O53216" s="9"/>
    </row>
    <row r="53237" spans="15:15" x14ac:dyDescent="0.25">
      <c r="O53237" s="9"/>
    </row>
    <row r="53258" spans="15:15" x14ac:dyDescent="0.25">
      <c r="O53258" s="9"/>
    </row>
    <row r="53279" spans="15:15" x14ac:dyDescent="0.25">
      <c r="O53279" s="9"/>
    </row>
    <row r="53300" spans="15:15" x14ac:dyDescent="0.25">
      <c r="O53300" s="9"/>
    </row>
    <row r="53321" spans="15:15" x14ac:dyDescent="0.25">
      <c r="O53321" s="9"/>
    </row>
    <row r="53342" spans="15:15" x14ac:dyDescent="0.25">
      <c r="O53342" s="9"/>
    </row>
    <row r="53363" spans="15:15" x14ac:dyDescent="0.25">
      <c r="O53363" s="9"/>
    </row>
    <row r="53384" spans="15:15" x14ac:dyDescent="0.25">
      <c r="O53384" s="9"/>
    </row>
    <row r="53405" spans="15:15" x14ac:dyDescent="0.25">
      <c r="O53405" s="9"/>
    </row>
    <row r="53426" spans="15:15" x14ac:dyDescent="0.25">
      <c r="O53426" s="9"/>
    </row>
    <row r="53447" spans="15:15" x14ac:dyDescent="0.25">
      <c r="O53447" s="9"/>
    </row>
    <row r="53468" spans="15:15" x14ac:dyDescent="0.25">
      <c r="O53468" s="9"/>
    </row>
    <row r="53489" spans="15:15" x14ac:dyDescent="0.25">
      <c r="O53489" s="9"/>
    </row>
    <row r="53510" spans="15:15" x14ac:dyDescent="0.25">
      <c r="O53510" s="9"/>
    </row>
    <row r="53531" spans="15:15" x14ac:dyDescent="0.25">
      <c r="O53531" s="9"/>
    </row>
    <row r="53552" spans="15:15" x14ac:dyDescent="0.25">
      <c r="O53552" s="9"/>
    </row>
    <row r="53573" spans="15:15" x14ac:dyDescent="0.25">
      <c r="O53573" s="9"/>
    </row>
    <row r="53594" spans="15:15" x14ac:dyDescent="0.25">
      <c r="O53594" s="9"/>
    </row>
    <row r="53615" spans="15:15" x14ac:dyDescent="0.25">
      <c r="O53615" s="9"/>
    </row>
    <row r="53636" spans="15:15" x14ac:dyDescent="0.25">
      <c r="O53636" s="9"/>
    </row>
    <row r="53657" spans="15:15" x14ac:dyDescent="0.25">
      <c r="O53657" s="9"/>
    </row>
    <row r="53678" spans="15:15" x14ac:dyDescent="0.25">
      <c r="O53678" s="9"/>
    </row>
    <row r="53699" spans="15:15" x14ac:dyDescent="0.25">
      <c r="O53699" s="9"/>
    </row>
    <row r="53720" spans="15:15" x14ac:dyDescent="0.25">
      <c r="O53720" s="9"/>
    </row>
    <row r="53741" spans="15:15" x14ac:dyDescent="0.25">
      <c r="O53741" s="9"/>
    </row>
    <row r="53762" spans="15:15" x14ac:dyDescent="0.25">
      <c r="O53762" s="9"/>
    </row>
    <row r="53783" spans="15:15" x14ac:dyDescent="0.25">
      <c r="O53783" s="9"/>
    </row>
    <row r="53804" spans="15:15" x14ac:dyDescent="0.25">
      <c r="O53804" s="9"/>
    </row>
    <row r="53825" spans="15:15" x14ac:dyDescent="0.25">
      <c r="O53825" s="9"/>
    </row>
    <row r="53846" spans="15:15" x14ac:dyDescent="0.25">
      <c r="O53846" s="9"/>
    </row>
    <row r="53867" spans="15:15" x14ac:dyDescent="0.25">
      <c r="O53867" s="9"/>
    </row>
    <row r="53888" spans="15:15" x14ac:dyDescent="0.25">
      <c r="O53888" s="9"/>
    </row>
    <row r="53909" spans="15:15" x14ac:dyDescent="0.25">
      <c r="O53909" s="9"/>
    </row>
    <row r="53930" spans="15:15" x14ac:dyDescent="0.25">
      <c r="O53930" s="9"/>
    </row>
    <row r="53951" spans="15:15" x14ac:dyDescent="0.25">
      <c r="O53951" s="9"/>
    </row>
    <row r="53972" spans="15:15" x14ac:dyDescent="0.25">
      <c r="O53972" s="9"/>
    </row>
    <row r="53993" spans="15:15" x14ac:dyDescent="0.25">
      <c r="O53993" s="9"/>
    </row>
    <row r="54014" spans="15:15" x14ac:dyDescent="0.25">
      <c r="O54014" s="9"/>
    </row>
    <row r="54035" spans="15:15" x14ac:dyDescent="0.25">
      <c r="O54035" s="9"/>
    </row>
    <row r="54056" spans="15:15" x14ac:dyDescent="0.25">
      <c r="O54056" s="9"/>
    </row>
    <row r="54077" spans="15:15" x14ac:dyDescent="0.25">
      <c r="O54077" s="9"/>
    </row>
    <row r="54098" spans="15:15" x14ac:dyDescent="0.25">
      <c r="O54098" s="9"/>
    </row>
    <row r="54119" spans="15:15" x14ac:dyDescent="0.25">
      <c r="O54119" s="9"/>
    </row>
    <row r="54140" spans="15:15" x14ac:dyDescent="0.25">
      <c r="O54140" s="9"/>
    </row>
    <row r="54161" spans="15:15" x14ac:dyDescent="0.25">
      <c r="O54161" s="9"/>
    </row>
    <row r="54182" spans="15:15" x14ac:dyDescent="0.25">
      <c r="O54182" s="9"/>
    </row>
    <row r="54203" spans="15:15" x14ac:dyDescent="0.25">
      <c r="O54203" s="9"/>
    </row>
    <row r="54224" spans="15:15" x14ac:dyDescent="0.25">
      <c r="O54224" s="9"/>
    </row>
    <row r="54245" spans="15:15" x14ac:dyDescent="0.25">
      <c r="O54245" s="9"/>
    </row>
    <row r="54266" spans="15:15" x14ac:dyDescent="0.25">
      <c r="O54266" s="9"/>
    </row>
    <row r="54287" spans="15:15" x14ac:dyDescent="0.25">
      <c r="O54287" s="9"/>
    </row>
    <row r="54308" spans="15:15" x14ac:dyDescent="0.25">
      <c r="O54308" s="9"/>
    </row>
    <row r="54329" spans="15:15" x14ac:dyDescent="0.25">
      <c r="O54329" s="9"/>
    </row>
    <row r="54350" spans="15:15" x14ac:dyDescent="0.25">
      <c r="O54350" s="9"/>
    </row>
    <row r="54371" spans="15:15" x14ac:dyDescent="0.25">
      <c r="O54371" s="9"/>
    </row>
    <row r="54392" spans="15:15" x14ac:dyDescent="0.25">
      <c r="O54392" s="9"/>
    </row>
    <row r="54413" spans="15:15" x14ac:dyDescent="0.25">
      <c r="O54413" s="9"/>
    </row>
    <row r="54434" spans="15:15" x14ac:dyDescent="0.25">
      <c r="O54434" s="9"/>
    </row>
    <row r="54455" spans="15:15" x14ac:dyDescent="0.25">
      <c r="O54455" s="9"/>
    </row>
    <row r="54476" spans="15:15" x14ac:dyDescent="0.25">
      <c r="O54476" s="9"/>
    </row>
    <row r="54497" spans="15:15" x14ac:dyDescent="0.25">
      <c r="O54497" s="9"/>
    </row>
    <row r="54518" spans="15:15" x14ac:dyDescent="0.25">
      <c r="O54518" s="9"/>
    </row>
    <row r="54539" spans="15:15" x14ac:dyDescent="0.25">
      <c r="O54539" s="9"/>
    </row>
    <row r="54560" spans="15:15" x14ac:dyDescent="0.25">
      <c r="O54560" s="9"/>
    </row>
    <row r="54581" spans="15:15" x14ac:dyDescent="0.25">
      <c r="O54581" s="9"/>
    </row>
    <row r="54602" spans="15:15" x14ac:dyDescent="0.25">
      <c r="O54602" s="9"/>
    </row>
    <row r="54623" spans="15:15" x14ac:dyDescent="0.25">
      <c r="O54623" s="9"/>
    </row>
    <row r="54644" spans="15:15" x14ac:dyDescent="0.25">
      <c r="O54644" s="9"/>
    </row>
    <row r="54665" spans="15:15" x14ac:dyDescent="0.25">
      <c r="O54665" s="9"/>
    </row>
    <row r="54686" spans="15:15" x14ac:dyDescent="0.25">
      <c r="O54686" s="9"/>
    </row>
    <row r="54707" spans="15:15" x14ac:dyDescent="0.25">
      <c r="O54707" s="9"/>
    </row>
    <row r="54728" spans="15:15" x14ac:dyDescent="0.25">
      <c r="O54728" s="9"/>
    </row>
    <row r="54749" spans="15:15" x14ac:dyDescent="0.25">
      <c r="O54749" s="9"/>
    </row>
    <row r="54770" spans="15:15" x14ac:dyDescent="0.25">
      <c r="O54770" s="9"/>
    </row>
    <row r="54791" spans="15:15" x14ac:dyDescent="0.25">
      <c r="O54791" s="9"/>
    </row>
    <row r="54812" spans="15:15" x14ac:dyDescent="0.25">
      <c r="O54812" s="9"/>
    </row>
    <row r="54833" spans="15:15" x14ac:dyDescent="0.25">
      <c r="O54833" s="9"/>
    </row>
    <row r="54854" spans="15:15" x14ac:dyDescent="0.25">
      <c r="O54854" s="9"/>
    </row>
    <row r="54875" spans="15:15" x14ac:dyDescent="0.25">
      <c r="O54875" s="9"/>
    </row>
    <row r="54896" spans="15:15" x14ac:dyDescent="0.25">
      <c r="O54896" s="9"/>
    </row>
    <row r="54917" spans="15:15" x14ac:dyDescent="0.25">
      <c r="O54917" s="9"/>
    </row>
    <row r="54938" spans="15:15" x14ac:dyDescent="0.25">
      <c r="O54938" s="9"/>
    </row>
    <row r="54959" spans="15:15" x14ac:dyDescent="0.25">
      <c r="O54959" s="9"/>
    </row>
    <row r="54980" spans="15:15" x14ac:dyDescent="0.25">
      <c r="O54980" s="9"/>
    </row>
    <row r="55001" spans="15:15" x14ac:dyDescent="0.25">
      <c r="O55001" s="9"/>
    </row>
    <row r="55022" spans="15:15" x14ac:dyDescent="0.25">
      <c r="O55022" s="9"/>
    </row>
    <row r="55043" spans="15:15" x14ac:dyDescent="0.25">
      <c r="O55043" s="9"/>
    </row>
    <row r="55064" spans="15:15" x14ac:dyDescent="0.25">
      <c r="O55064" s="9"/>
    </row>
    <row r="55085" spans="15:15" x14ac:dyDescent="0.25">
      <c r="O55085" s="9"/>
    </row>
    <row r="55106" spans="15:15" x14ac:dyDescent="0.25">
      <c r="O55106" s="9"/>
    </row>
    <row r="55127" spans="15:15" x14ac:dyDescent="0.25">
      <c r="O55127" s="9"/>
    </row>
    <row r="55148" spans="15:15" x14ac:dyDescent="0.25">
      <c r="O55148" s="9"/>
    </row>
    <row r="55169" spans="15:15" x14ac:dyDescent="0.25">
      <c r="O55169" s="9"/>
    </row>
    <row r="55190" spans="15:15" x14ac:dyDescent="0.25">
      <c r="O55190" s="9"/>
    </row>
    <row r="55211" spans="15:15" x14ac:dyDescent="0.25">
      <c r="O55211" s="9"/>
    </row>
    <row r="55232" spans="15:15" x14ac:dyDescent="0.25">
      <c r="O55232" s="9"/>
    </row>
    <row r="55253" spans="15:15" x14ac:dyDescent="0.25">
      <c r="O55253" s="9"/>
    </row>
    <row r="55274" spans="15:15" x14ac:dyDescent="0.25">
      <c r="O55274" s="9"/>
    </row>
    <row r="55295" spans="15:15" x14ac:dyDescent="0.25">
      <c r="O55295" s="9"/>
    </row>
    <row r="55316" spans="15:15" x14ac:dyDescent="0.25">
      <c r="O55316" s="9"/>
    </row>
    <row r="55337" spans="15:15" x14ac:dyDescent="0.25">
      <c r="O55337" s="9"/>
    </row>
    <row r="55358" spans="15:15" x14ac:dyDescent="0.25">
      <c r="O55358" s="9"/>
    </row>
    <row r="55379" spans="15:15" x14ac:dyDescent="0.25">
      <c r="O55379" s="9"/>
    </row>
    <row r="55400" spans="15:15" x14ac:dyDescent="0.25">
      <c r="O55400" s="9"/>
    </row>
    <row r="55421" spans="15:15" x14ac:dyDescent="0.25">
      <c r="O55421" s="9"/>
    </row>
    <row r="55442" spans="15:15" x14ac:dyDescent="0.25">
      <c r="O55442" s="9"/>
    </row>
    <row r="55463" spans="15:15" x14ac:dyDescent="0.25">
      <c r="O55463" s="9"/>
    </row>
    <row r="55484" spans="15:15" x14ac:dyDescent="0.25">
      <c r="O55484" s="9"/>
    </row>
    <row r="55505" spans="15:15" x14ac:dyDescent="0.25">
      <c r="O55505" s="9"/>
    </row>
    <row r="55526" spans="15:15" x14ac:dyDescent="0.25">
      <c r="O55526" s="9"/>
    </row>
    <row r="55547" spans="15:15" x14ac:dyDescent="0.25">
      <c r="O55547" s="9"/>
    </row>
    <row r="55568" spans="15:15" x14ac:dyDescent="0.25">
      <c r="O55568" s="9"/>
    </row>
    <row r="55589" spans="15:15" x14ac:dyDescent="0.25">
      <c r="O55589" s="9"/>
    </row>
    <row r="55610" spans="15:15" x14ac:dyDescent="0.25">
      <c r="O55610" s="9"/>
    </row>
    <row r="55631" spans="15:15" x14ac:dyDescent="0.25">
      <c r="O55631" s="9"/>
    </row>
    <row r="55652" spans="15:15" x14ac:dyDescent="0.25">
      <c r="O55652" s="9"/>
    </row>
    <row r="55673" spans="15:15" x14ac:dyDescent="0.25">
      <c r="O55673" s="9"/>
    </row>
    <row r="55694" spans="15:15" x14ac:dyDescent="0.25">
      <c r="O55694" s="9"/>
    </row>
    <row r="55715" spans="15:15" x14ac:dyDescent="0.25">
      <c r="O55715" s="9"/>
    </row>
    <row r="55736" spans="15:15" x14ac:dyDescent="0.25">
      <c r="O55736" s="9"/>
    </row>
    <row r="55757" spans="15:15" x14ac:dyDescent="0.25">
      <c r="O55757" s="9"/>
    </row>
    <row r="55778" spans="15:15" x14ac:dyDescent="0.25">
      <c r="O55778" s="9"/>
    </row>
    <row r="55799" spans="15:15" x14ac:dyDescent="0.25">
      <c r="O55799" s="9"/>
    </row>
    <row r="55820" spans="15:15" x14ac:dyDescent="0.25">
      <c r="O55820" s="9"/>
    </row>
    <row r="55841" spans="15:15" x14ac:dyDescent="0.25">
      <c r="O55841" s="9"/>
    </row>
    <row r="55862" spans="15:15" x14ac:dyDescent="0.25">
      <c r="O55862" s="9"/>
    </row>
    <row r="55883" spans="15:15" x14ac:dyDescent="0.25">
      <c r="O55883" s="9"/>
    </row>
    <row r="55904" spans="15:15" x14ac:dyDescent="0.25">
      <c r="O55904" s="9"/>
    </row>
    <row r="55925" spans="15:15" x14ac:dyDescent="0.25">
      <c r="O55925" s="9"/>
    </row>
    <row r="55946" spans="15:15" x14ac:dyDescent="0.25">
      <c r="O55946" s="9"/>
    </row>
    <row r="55967" spans="15:15" x14ac:dyDescent="0.25">
      <c r="O55967" s="9"/>
    </row>
    <row r="55988" spans="15:15" x14ac:dyDescent="0.25">
      <c r="O55988" s="9"/>
    </row>
    <row r="56009" spans="15:15" x14ac:dyDescent="0.25">
      <c r="O56009" s="9"/>
    </row>
    <row r="56030" spans="15:15" x14ac:dyDescent="0.25">
      <c r="O56030" s="9"/>
    </row>
    <row r="56051" spans="15:15" x14ac:dyDescent="0.25">
      <c r="O56051" s="9"/>
    </row>
    <row r="56072" spans="15:15" x14ac:dyDescent="0.25">
      <c r="O56072" s="9"/>
    </row>
    <row r="56093" spans="15:15" x14ac:dyDescent="0.25">
      <c r="O56093" s="9"/>
    </row>
    <row r="56114" spans="15:15" x14ac:dyDescent="0.25">
      <c r="O56114" s="9"/>
    </row>
    <row r="56135" spans="15:15" x14ac:dyDescent="0.25">
      <c r="O56135" s="9"/>
    </row>
    <row r="56156" spans="15:15" x14ac:dyDescent="0.25">
      <c r="O56156" s="9"/>
    </row>
    <row r="56177" spans="15:15" x14ac:dyDescent="0.25">
      <c r="O56177" s="9"/>
    </row>
    <row r="56198" spans="15:15" x14ac:dyDescent="0.25">
      <c r="O56198" s="9"/>
    </row>
    <row r="56219" spans="15:15" x14ac:dyDescent="0.25">
      <c r="O56219" s="9"/>
    </row>
    <row r="56240" spans="15:15" x14ac:dyDescent="0.25">
      <c r="O56240" s="9"/>
    </row>
    <row r="56261" spans="15:15" x14ac:dyDescent="0.25">
      <c r="O56261" s="9"/>
    </row>
    <row r="56282" spans="15:15" x14ac:dyDescent="0.25">
      <c r="O56282" s="9"/>
    </row>
    <row r="56303" spans="15:15" x14ac:dyDescent="0.25">
      <c r="O56303" s="9"/>
    </row>
    <row r="56324" spans="15:15" x14ac:dyDescent="0.25">
      <c r="O56324" s="9"/>
    </row>
    <row r="56345" spans="15:15" x14ac:dyDescent="0.25">
      <c r="O56345" s="9"/>
    </row>
    <row r="56366" spans="15:15" x14ac:dyDescent="0.25">
      <c r="O56366" s="9"/>
    </row>
    <row r="56387" spans="15:15" x14ac:dyDescent="0.25">
      <c r="O56387" s="9"/>
    </row>
    <row r="56408" spans="15:15" x14ac:dyDescent="0.25">
      <c r="O56408" s="9"/>
    </row>
    <row r="56429" spans="15:15" x14ac:dyDescent="0.25">
      <c r="O56429" s="9"/>
    </row>
    <row r="56450" spans="15:15" x14ac:dyDescent="0.25">
      <c r="O56450" s="9"/>
    </row>
    <row r="56471" spans="15:15" x14ac:dyDescent="0.25">
      <c r="O56471" s="9"/>
    </row>
    <row r="56492" spans="15:15" x14ac:dyDescent="0.25">
      <c r="O56492" s="9"/>
    </row>
    <row r="56513" spans="15:15" x14ac:dyDescent="0.25">
      <c r="O56513" s="9"/>
    </row>
    <row r="56534" spans="15:15" x14ac:dyDescent="0.25">
      <c r="O56534" s="9"/>
    </row>
    <row r="56555" spans="15:15" x14ac:dyDescent="0.25">
      <c r="O56555" s="9"/>
    </row>
    <row r="56576" spans="15:15" x14ac:dyDescent="0.25">
      <c r="O56576" s="9"/>
    </row>
    <row r="56597" spans="15:15" x14ac:dyDescent="0.25">
      <c r="O56597" s="9"/>
    </row>
    <row r="56618" spans="15:15" x14ac:dyDescent="0.25">
      <c r="O56618" s="9"/>
    </row>
    <row r="56639" spans="15:15" x14ac:dyDescent="0.25">
      <c r="O56639" s="9"/>
    </row>
    <row r="56660" spans="15:15" x14ac:dyDescent="0.25">
      <c r="O56660" s="9"/>
    </row>
    <row r="56681" spans="15:15" x14ac:dyDescent="0.25">
      <c r="O56681" s="9"/>
    </row>
    <row r="56702" spans="15:15" x14ac:dyDescent="0.25">
      <c r="O56702" s="9"/>
    </row>
    <row r="56723" spans="15:15" x14ac:dyDescent="0.25">
      <c r="O56723" s="9"/>
    </row>
    <row r="56744" spans="15:15" x14ac:dyDescent="0.25">
      <c r="O56744" s="9"/>
    </row>
    <row r="56765" spans="15:15" x14ac:dyDescent="0.25">
      <c r="O56765" s="9"/>
    </row>
    <row r="56786" spans="15:15" x14ac:dyDescent="0.25">
      <c r="O56786" s="9"/>
    </row>
    <row r="56807" spans="15:15" x14ac:dyDescent="0.25">
      <c r="O56807" s="9"/>
    </row>
    <row r="56828" spans="15:15" x14ac:dyDescent="0.25">
      <c r="O56828" s="9"/>
    </row>
    <row r="56849" spans="15:15" x14ac:dyDescent="0.25">
      <c r="O56849" s="9"/>
    </row>
    <row r="56870" spans="15:15" x14ac:dyDescent="0.25">
      <c r="O56870" s="9"/>
    </row>
    <row r="56891" spans="15:15" x14ac:dyDescent="0.25">
      <c r="O56891" s="9"/>
    </row>
    <row r="56912" spans="15:15" x14ac:dyDescent="0.25">
      <c r="O56912" s="9"/>
    </row>
    <row r="56933" spans="15:15" x14ac:dyDescent="0.25">
      <c r="O56933" s="9"/>
    </row>
    <row r="56954" spans="15:15" x14ac:dyDescent="0.25">
      <c r="O56954" s="9"/>
    </row>
    <row r="56975" spans="15:15" x14ac:dyDescent="0.25">
      <c r="O56975" s="9"/>
    </row>
    <row r="56996" spans="15:15" x14ac:dyDescent="0.25">
      <c r="O56996" s="9"/>
    </row>
    <row r="57017" spans="15:15" x14ac:dyDescent="0.25">
      <c r="O57017" s="9"/>
    </row>
    <row r="57038" spans="15:15" x14ac:dyDescent="0.25">
      <c r="O57038" s="9"/>
    </row>
    <row r="57059" spans="15:15" x14ac:dyDescent="0.25">
      <c r="O57059" s="9"/>
    </row>
    <row r="57080" spans="15:15" x14ac:dyDescent="0.25">
      <c r="O57080" s="9"/>
    </row>
    <row r="57101" spans="15:15" x14ac:dyDescent="0.25">
      <c r="O57101" s="9"/>
    </row>
    <row r="57122" spans="15:15" x14ac:dyDescent="0.25">
      <c r="O57122" s="9"/>
    </row>
    <row r="57143" spans="15:15" x14ac:dyDescent="0.25">
      <c r="O57143" s="9"/>
    </row>
    <row r="57164" spans="15:15" x14ac:dyDescent="0.25">
      <c r="O57164" s="9"/>
    </row>
    <row r="57185" spans="15:15" x14ac:dyDescent="0.25">
      <c r="O57185" s="9"/>
    </row>
    <row r="57206" spans="15:15" x14ac:dyDescent="0.25">
      <c r="O57206" s="9"/>
    </row>
    <row r="57227" spans="15:15" x14ac:dyDescent="0.25">
      <c r="O57227" s="9"/>
    </row>
    <row r="57248" spans="15:15" x14ac:dyDescent="0.25">
      <c r="O57248" s="9"/>
    </row>
    <row r="57269" spans="15:15" x14ac:dyDescent="0.25">
      <c r="O57269" s="9"/>
    </row>
    <row r="57290" spans="15:15" x14ac:dyDescent="0.25">
      <c r="O57290" s="9"/>
    </row>
    <row r="57311" spans="15:15" x14ac:dyDescent="0.25">
      <c r="O57311" s="9"/>
    </row>
    <row r="57332" spans="15:15" x14ac:dyDescent="0.25">
      <c r="O57332" s="9"/>
    </row>
    <row r="57353" spans="15:15" x14ac:dyDescent="0.25">
      <c r="O57353" s="9"/>
    </row>
    <row r="57374" spans="15:15" x14ac:dyDescent="0.25">
      <c r="O57374" s="9"/>
    </row>
    <row r="57395" spans="15:15" x14ac:dyDescent="0.25">
      <c r="O57395" s="9"/>
    </row>
    <row r="57416" spans="15:15" x14ac:dyDescent="0.25">
      <c r="O57416" s="9"/>
    </row>
    <row r="57437" spans="15:15" x14ac:dyDescent="0.25">
      <c r="O57437" s="9"/>
    </row>
    <row r="57458" spans="15:15" x14ac:dyDescent="0.25">
      <c r="O57458" s="9"/>
    </row>
    <row r="57479" spans="15:15" x14ac:dyDescent="0.25">
      <c r="O57479" s="9"/>
    </row>
    <row r="57500" spans="15:15" x14ac:dyDescent="0.25">
      <c r="O57500" s="9"/>
    </row>
    <row r="57521" spans="15:15" x14ac:dyDescent="0.25">
      <c r="O57521" s="9"/>
    </row>
    <row r="57542" spans="15:15" x14ac:dyDescent="0.25">
      <c r="O57542" s="9"/>
    </row>
    <row r="57563" spans="15:15" x14ac:dyDescent="0.25">
      <c r="O57563" s="9"/>
    </row>
    <row r="57584" spans="15:15" x14ac:dyDescent="0.25">
      <c r="O57584" s="9"/>
    </row>
    <row r="57605" spans="15:15" x14ac:dyDescent="0.25">
      <c r="O57605" s="9"/>
    </row>
    <row r="57626" spans="15:15" x14ac:dyDescent="0.25">
      <c r="O57626" s="9"/>
    </row>
    <row r="57647" spans="15:15" x14ac:dyDescent="0.25">
      <c r="O57647" s="9"/>
    </row>
    <row r="57668" spans="15:15" x14ac:dyDescent="0.25">
      <c r="O57668" s="9"/>
    </row>
    <row r="57689" spans="15:15" x14ac:dyDescent="0.25">
      <c r="O57689" s="9"/>
    </row>
    <row r="57710" spans="15:15" x14ac:dyDescent="0.25">
      <c r="O57710" s="9"/>
    </row>
    <row r="57731" spans="15:15" x14ac:dyDescent="0.25">
      <c r="O57731" s="9"/>
    </row>
    <row r="57752" spans="15:15" x14ac:dyDescent="0.25">
      <c r="O57752" s="9"/>
    </row>
    <row r="57773" spans="15:15" x14ac:dyDescent="0.25">
      <c r="O57773" s="9"/>
    </row>
    <row r="57794" spans="15:15" x14ac:dyDescent="0.25">
      <c r="O57794" s="9"/>
    </row>
    <row r="57815" spans="15:15" x14ac:dyDescent="0.25">
      <c r="O57815" s="9"/>
    </row>
    <row r="57836" spans="15:15" x14ac:dyDescent="0.25">
      <c r="O57836" s="9"/>
    </row>
    <row r="57857" spans="15:15" x14ac:dyDescent="0.25">
      <c r="O57857" s="9"/>
    </row>
    <row r="57878" spans="15:15" x14ac:dyDescent="0.25">
      <c r="O57878" s="9"/>
    </row>
    <row r="57899" spans="15:15" x14ac:dyDescent="0.25">
      <c r="O57899" s="9"/>
    </row>
    <row r="57920" spans="15:15" x14ac:dyDescent="0.25">
      <c r="O57920" s="9"/>
    </row>
    <row r="57941" spans="15:15" x14ac:dyDescent="0.25">
      <c r="O57941" s="9"/>
    </row>
    <row r="57962" spans="15:15" x14ac:dyDescent="0.25">
      <c r="O57962" s="9"/>
    </row>
    <row r="57983" spans="15:15" x14ac:dyDescent="0.25">
      <c r="O57983" s="9"/>
    </row>
    <row r="58004" spans="15:15" x14ac:dyDescent="0.25">
      <c r="O58004" s="9"/>
    </row>
    <row r="58025" spans="15:15" x14ac:dyDescent="0.25">
      <c r="O58025" s="9"/>
    </row>
    <row r="58046" spans="15:15" x14ac:dyDescent="0.25">
      <c r="O58046" s="9"/>
    </row>
    <row r="58067" spans="15:15" x14ac:dyDescent="0.25">
      <c r="O58067" s="9"/>
    </row>
    <row r="58088" spans="15:15" x14ac:dyDescent="0.25">
      <c r="O58088" s="9"/>
    </row>
    <row r="58109" spans="15:15" x14ac:dyDescent="0.25">
      <c r="O58109" s="9"/>
    </row>
    <row r="58130" spans="15:15" x14ac:dyDescent="0.25">
      <c r="O58130" s="9"/>
    </row>
    <row r="58151" spans="15:15" x14ac:dyDescent="0.25">
      <c r="O58151" s="9"/>
    </row>
    <row r="58172" spans="15:15" x14ac:dyDescent="0.25">
      <c r="O58172" s="9"/>
    </row>
    <row r="58193" spans="15:15" x14ac:dyDescent="0.25">
      <c r="O58193" s="9"/>
    </row>
    <row r="58214" spans="15:15" x14ac:dyDescent="0.25">
      <c r="O58214" s="9"/>
    </row>
    <row r="58235" spans="15:15" x14ac:dyDescent="0.25">
      <c r="O58235" s="9"/>
    </row>
    <row r="58256" spans="15:15" x14ac:dyDescent="0.25">
      <c r="O58256" s="9"/>
    </row>
    <row r="58277" spans="15:15" x14ac:dyDescent="0.25">
      <c r="O58277" s="9"/>
    </row>
    <row r="58298" spans="15:15" x14ac:dyDescent="0.25">
      <c r="O58298" s="9"/>
    </row>
    <row r="58319" spans="15:15" x14ac:dyDescent="0.25">
      <c r="O58319" s="9"/>
    </row>
    <row r="58340" spans="15:15" x14ac:dyDescent="0.25">
      <c r="O58340" s="9"/>
    </row>
    <row r="58361" spans="15:15" x14ac:dyDescent="0.25">
      <c r="O58361" s="9"/>
    </row>
    <row r="58382" spans="15:15" x14ac:dyDescent="0.25">
      <c r="O58382" s="9"/>
    </row>
    <row r="58403" spans="15:15" x14ac:dyDescent="0.25">
      <c r="O58403" s="9"/>
    </row>
    <row r="58424" spans="15:15" x14ac:dyDescent="0.25">
      <c r="O58424" s="9"/>
    </row>
    <row r="58445" spans="15:15" x14ac:dyDescent="0.25">
      <c r="O58445" s="9"/>
    </row>
    <row r="58466" spans="15:15" x14ac:dyDescent="0.25">
      <c r="O58466" s="9"/>
    </row>
    <row r="58487" spans="15:15" x14ac:dyDescent="0.25">
      <c r="O58487" s="9"/>
    </row>
    <row r="58508" spans="15:15" x14ac:dyDescent="0.25">
      <c r="O58508" s="9"/>
    </row>
    <row r="58529" spans="15:15" x14ac:dyDescent="0.25">
      <c r="O58529" s="9"/>
    </row>
    <row r="58550" spans="15:15" x14ac:dyDescent="0.25">
      <c r="O58550" s="9"/>
    </row>
    <row r="58571" spans="15:15" x14ac:dyDescent="0.25">
      <c r="O58571" s="9"/>
    </row>
    <row r="58592" spans="15:15" x14ac:dyDescent="0.25">
      <c r="O58592" s="9"/>
    </row>
    <row r="58613" spans="15:15" x14ac:dyDescent="0.25">
      <c r="O58613" s="9"/>
    </row>
    <row r="58634" spans="15:15" x14ac:dyDescent="0.25">
      <c r="O58634" s="9"/>
    </row>
    <row r="58655" spans="15:15" x14ac:dyDescent="0.25">
      <c r="O58655" s="9"/>
    </row>
    <row r="58676" spans="15:15" x14ac:dyDescent="0.25">
      <c r="O58676" s="9"/>
    </row>
    <row r="58697" spans="15:15" x14ac:dyDescent="0.25">
      <c r="O58697" s="9"/>
    </row>
    <row r="58718" spans="15:15" x14ac:dyDescent="0.25">
      <c r="O58718" s="9"/>
    </row>
    <row r="58739" spans="15:15" x14ac:dyDescent="0.25">
      <c r="O58739" s="9"/>
    </row>
    <row r="58760" spans="15:15" x14ac:dyDescent="0.25">
      <c r="O58760" s="9"/>
    </row>
    <row r="58781" spans="15:15" x14ac:dyDescent="0.25">
      <c r="O58781" s="9"/>
    </row>
    <row r="58802" spans="15:15" x14ac:dyDescent="0.25">
      <c r="O58802" s="9"/>
    </row>
    <row r="58823" spans="15:15" x14ac:dyDescent="0.25">
      <c r="O58823" s="9"/>
    </row>
    <row r="58844" spans="15:15" x14ac:dyDescent="0.25">
      <c r="O58844" s="9"/>
    </row>
    <row r="58865" spans="15:15" x14ac:dyDescent="0.25">
      <c r="O58865" s="9"/>
    </row>
    <row r="58886" spans="15:15" x14ac:dyDescent="0.25">
      <c r="O58886" s="9"/>
    </row>
    <row r="58907" spans="15:15" x14ac:dyDescent="0.25">
      <c r="O58907" s="9"/>
    </row>
    <row r="58928" spans="15:15" x14ac:dyDescent="0.25">
      <c r="O58928" s="9"/>
    </row>
    <row r="58949" spans="15:15" x14ac:dyDescent="0.25">
      <c r="O58949" s="9"/>
    </row>
    <row r="58970" spans="15:15" x14ac:dyDescent="0.25">
      <c r="O58970" s="9"/>
    </row>
    <row r="58991" spans="15:15" x14ac:dyDescent="0.25">
      <c r="O58991" s="9"/>
    </row>
    <row r="59012" spans="15:15" x14ac:dyDescent="0.25">
      <c r="O59012" s="9"/>
    </row>
    <row r="59033" spans="15:15" x14ac:dyDescent="0.25">
      <c r="O59033" s="9"/>
    </row>
    <row r="59054" spans="15:15" x14ac:dyDescent="0.25">
      <c r="O59054" s="9"/>
    </row>
    <row r="59075" spans="15:15" x14ac:dyDescent="0.25">
      <c r="O59075" s="9"/>
    </row>
    <row r="59096" spans="15:15" x14ac:dyDescent="0.25">
      <c r="O59096" s="9"/>
    </row>
    <row r="59117" spans="15:15" x14ac:dyDescent="0.25">
      <c r="O59117" s="9"/>
    </row>
    <row r="59138" spans="15:15" x14ac:dyDescent="0.25">
      <c r="O59138" s="9"/>
    </row>
    <row r="59159" spans="15:15" x14ac:dyDescent="0.25">
      <c r="O59159" s="9"/>
    </row>
    <row r="59180" spans="15:15" x14ac:dyDescent="0.25">
      <c r="O59180" s="9"/>
    </row>
    <row r="59201" spans="15:15" x14ac:dyDescent="0.25">
      <c r="O59201" s="9"/>
    </row>
    <row r="59222" spans="15:15" x14ac:dyDescent="0.25">
      <c r="O59222" s="9"/>
    </row>
    <row r="59243" spans="15:15" x14ac:dyDescent="0.25">
      <c r="O59243" s="9"/>
    </row>
    <row r="59264" spans="15:15" x14ac:dyDescent="0.25">
      <c r="O59264" s="9"/>
    </row>
    <row r="59285" spans="15:15" x14ac:dyDescent="0.25">
      <c r="O59285" s="9"/>
    </row>
    <row r="59306" spans="15:15" x14ac:dyDescent="0.25">
      <c r="O59306" s="9"/>
    </row>
    <row r="59327" spans="15:15" x14ac:dyDescent="0.25">
      <c r="O59327" s="9"/>
    </row>
    <row r="59348" spans="15:15" x14ac:dyDescent="0.25">
      <c r="O59348" s="9"/>
    </row>
    <row r="59369" spans="15:15" x14ac:dyDescent="0.25">
      <c r="O59369" s="9"/>
    </row>
    <row r="59390" spans="15:15" x14ac:dyDescent="0.25">
      <c r="O59390" s="9"/>
    </row>
    <row r="59411" spans="15:15" x14ac:dyDescent="0.25">
      <c r="O59411" s="9"/>
    </row>
    <row r="59432" spans="15:15" x14ac:dyDescent="0.25">
      <c r="O59432" s="9"/>
    </row>
    <row r="59453" spans="15:15" x14ac:dyDescent="0.25">
      <c r="O59453" s="9"/>
    </row>
    <row r="59474" spans="15:15" x14ac:dyDescent="0.25">
      <c r="O59474" s="9"/>
    </row>
    <row r="59495" spans="15:15" x14ac:dyDescent="0.25">
      <c r="O59495" s="9"/>
    </row>
    <row r="59516" spans="15:15" x14ac:dyDescent="0.25">
      <c r="O59516" s="9"/>
    </row>
    <row r="59537" spans="15:15" x14ac:dyDescent="0.25">
      <c r="O59537" s="9"/>
    </row>
    <row r="59558" spans="15:15" x14ac:dyDescent="0.25">
      <c r="O59558" s="9"/>
    </row>
    <row r="59579" spans="15:15" x14ac:dyDescent="0.25">
      <c r="O59579" s="9"/>
    </row>
    <row r="59600" spans="15:15" x14ac:dyDescent="0.25">
      <c r="O59600" s="9"/>
    </row>
    <row r="59621" spans="15:15" x14ac:dyDescent="0.25">
      <c r="O59621" s="9"/>
    </row>
    <row r="59642" spans="15:15" x14ac:dyDescent="0.25">
      <c r="O59642" s="9"/>
    </row>
    <row r="59663" spans="15:15" x14ac:dyDescent="0.25">
      <c r="O59663" s="9"/>
    </row>
    <row r="59684" spans="15:15" x14ac:dyDescent="0.25">
      <c r="O59684" s="9"/>
    </row>
    <row r="59705" spans="15:15" x14ac:dyDescent="0.25">
      <c r="O59705" s="9"/>
    </row>
    <row r="59726" spans="15:15" x14ac:dyDescent="0.25">
      <c r="O59726" s="9"/>
    </row>
    <row r="59747" spans="15:15" x14ac:dyDescent="0.25">
      <c r="O59747" s="9"/>
    </row>
    <row r="59768" spans="15:15" x14ac:dyDescent="0.25">
      <c r="O59768" s="9"/>
    </row>
    <row r="59789" spans="15:15" x14ac:dyDescent="0.25">
      <c r="O59789" s="9"/>
    </row>
    <row r="59810" spans="15:15" x14ac:dyDescent="0.25">
      <c r="O59810" s="9"/>
    </row>
    <row r="59831" spans="15:15" x14ac:dyDescent="0.25">
      <c r="O59831" s="9"/>
    </row>
    <row r="59852" spans="15:15" x14ac:dyDescent="0.25">
      <c r="O59852" s="9"/>
    </row>
    <row r="59873" spans="15:15" x14ac:dyDescent="0.25">
      <c r="O59873" s="9"/>
    </row>
    <row r="59894" spans="15:15" x14ac:dyDescent="0.25">
      <c r="O59894" s="9"/>
    </row>
    <row r="59915" spans="15:15" x14ac:dyDescent="0.25">
      <c r="O59915" s="9"/>
    </row>
    <row r="59936" spans="15:15" x14ac:dyDescent="0.25">
      <c r="O59936" s="9"/>
    </row>
    <row r="59957" spans="15:15" x14ac:dyDescent="0.25">
      <c r="O59957" s="9"/>
    </row>
    <row r="59978" spans="15:15" x14ac:dyDescent="0.25">
      <c r="O59978" s="9"/>
    </row>
    <row r="59999" spans="15:15" x14ac:dyDescent="0.25">
      <c r="O59999" s="9"/>
    </row>
    <row r="60020" spans="15:15" x14ac:dyDescent="0.25">
      <c r="O60020" s="9"/>
    </row>
    <row r="60041" spans="15:15" x14ac:dyDescent="0.25">
      <c r="O60041" s="9"/>
    </row>
    <row r="60062" spans="15:15" x14ac:dyDescent="0.25">
      <c r="O60062" s="9"/>
    </row>
    <row r="60083" spans="15:15" x14ac:dyDescent="0.25">
      <c r="O60083" s="9"/>
    </row>
    <row r="60104" spans="15:15" x14ac:dyDescent="0.25">
      <c r="O60104" s="9"/>
    </row>
    <row r="60125" spans="15:15" x14ac:dyDescent="0.25">
      <c r="O60125" s="9"/>
    </row>
    <row r="60146" spans="15:15" x14ac:dyDescent="0.25">
      <c r="O60146" s="9"/>
    </row>
    <row r="60167" spans="15:15" x14ac:dyDescent="0.25">
      <c r="O60167" s="9"/>
    </row>
    <row r="60188" spans="15:15" x14ac:dyDescent="0.25">
      <c r="O60188" s="9"/>
    </row>
    <row r="60209" spans="15:15" x14ac:dyDescent="0.25">
      <c r="O60209" s="9"/>
    </row>
    <row r="60230" spans="15:15" x14ac:dyDescent="0.25">
      <c r="O60230" s="9"/>
    </row>
    <row r="60251" spans="15:15" x14ac:dyDescent="0.25">
      <c r="O60251" s="9"/>
    </row>
    <row r="60272" spans="15:15" x14ac:dyDescent="0.25">
      <c r="O60272" s="9"/>
    </row>
    <row r="60293" spans="15:15" x14ac:dyDescent="0.25">
      <c r="O60293" s="9"/>
    </row>
    <row r="60314" spans="15:15" x14ac:dyDescent="0.25">
      <c r="O60314" s="9"/>
    </row>
    <row r="60335" spans="15:15" x14ac:dyDescent="0.25">
      <c r="O60335" s="9"/>
    </row>
    <row r="60356" spans="15:15" x14ac:dyDescent="0.25">
      <c r="O60356" s="9"/>
    </row>
    <row r="60377" spans="15:15" x14ac:dyDescent="0.25">
      <c r="O60377" s="9"/>
    </row>
    <row r="60398" spans="15:15" x14ac:dyDescent="0.25">
      <c r="O60398" s="9"/>
    </row>
    <row r="60419" spans="15:15" x14ac:dyDescent="0.25">
      <c r="O60419" s="9"/>
    </row>
    <row r="60440" spans="15:15" x14ac:dyDescent="0.25">
      <c r="O60440" s="9"/>
    </row>
    <row r="60461" spans="15:15" x14ac:dyDescent="0.25">
      <c r="O60461" s="9"/>
    </row>
    <row r="60482" spans="15:15" x14ac:dyDescent="0.25">
      <c r="O60482" s="9"/>
    </row>
    <row r="60503" spans="15:15" x14ac:dyDescent="0.25">
      <c r="O60503" s="9"/>
    </row>
    <row r="60524" spans="15:15" x14ac:dyDescent="0.25">
      <c r="O60524" s="9"/>
    </row>
    <row r="60545" spans="15:15" x14ac:dyDescent="0.25">
      <c r="O60545" s="9"/>
    </row>
    <row r="60566" spans="15:15" x14ac:dyDescent="0.25">
      <c r="O60566" s="9"/>
    </row>
    <row r="60587" spans="15:15" x14ac:dyDescent="0.25">
      <c r="O60587" s="9"/>
    </row>
    <row r="60608" spans="15:15" x14ac:dyDescent="0.25">
      <c r="O60608" s="9"/>
    </row>
    <row r="60629" spans="15:15" x14ac:dyDescent="0.25">
      <c r="O60629" s="9"/>
    </row>
    <row r="60650" spans="15:15" x14ac:dyDescent="0.25">
      <c r="O60650" s="9"/>
    </row>
    <row r="60671" spans="15:15" x14ac:dyDescent="0.25">
      <c r="O60671" s="9"/>
    </row>
    <row r="60692" spans="15:15" x14ac:dyDescent="0.25">
      <c r="O60692" s="9"/>
    </row>
    <row r="60713" spans="15:15" x14ac:dyDescent="0.25">
      <c r="O60713" s="9"/>
    </row>
    <row r="60734" spans="15:15" x14ac:dyDescent="0.25">
      <c r="O60734" s="9"/>
    </row>
    <row r="60755" spans="15:15" x14ac:dyDescent="0.25">
      <c r="O60755" s="9"/>
    </row>
    <row r="60776" spans="15:15" x14ac:dyDescent="0.25">
      <c r="O60776" s="9"/>
    </row>
    <row r="60797" spans="15:15" x14ac:dyDescent="0.25">
      <c r="O60797" s="9"/>
    </row>
    <row r="60818" spans="15:15" x14ac:dyDescent="0.25">
      <c r="O60818" s="9"/>
    </row>
    <row r="60839" spans="15:15" x14ac:dyDescent="0.25">
      <c r="O60839" s="9"/>
    </row>
    <row r="60860" spans="15:15" x14ac:dyDescent="0.25">
      <c r="O60860" s="9"/>
    </row>
    <row r="60881" spans="15:15" x14ac:dyDescent="0.25">
      <c r="O60881" s="9"/>
    </row>
    <row r="60902" spans="15:15" x14ac:dyDescent="0.25">
      <c r="O60902" s="9"/>
    </row>
    <row r="60923" spans="15:15" x14ac:dyDescent="0.25">
      <c r="O60923" s="9"/>
    </row>
    <row r="60944" spans="15:15" x14ac:dyDescent="0.25">
      <c r="O60944" s="9"/>
    </row>
    <row r="60965" spans="15:15" x14ac:dyDescent="0.25">
      <c r="O60965" s="9"/>
    </row>
    <row r="60986" spans="15:15" x14ac:dyDescent="0.25">
      <c r="O60986" s="9"/>
    </row>
    <row r="61007" spans="15:15" x14ac:dyDescent="0.25">
      <c r="O61007" s="9"/>
    </row>
    <row r="61028" spans="15:15" x14ac:dyDescent="0.25">
      <c r="O61028" s="9"/>
    </row>
    <row r="61049" spans="15:15" x14ac:dyDescent="0.25">
      <c r="O61049" s="9"/>
    </row>
    <row r="61070" spans="15:15" x14ac:dyDescent="0.25">
      <c r="O61070" s="9"/>
    </row>
    <row r="61091" spans="15:15" x14ac:dyDescent="0.25">
      <c r="O61091" s="9"/>
    </row>
    <row r="61112" spans="15:15" x14ac:dyDescent="0.25">
      <c r="O61112" s="9"/>
    </row>
    <row r="61133" spans="15:15" x14ac:dyDescent="0.25">
      <c r="O61133" s="9"/>
    </row>
    <row r="61154" spans="15:15" x14ac:dyDescent="0.25">
      <c r="O61154" s="9"/>
    </row>
    <row r="61175" spans="15:15" x14ac:dyDescent="0.25">
      <c r="O61175" s="9"/>
    </row>
    <row r="61196" spans="15:15" x14ac:dyDescent="0.25">
      <c r="O61196" s="9"/>
    </row>
    <row r="61217" spans="15:15" x14ac:dyDescent="0.25">
      <c r="O61217" s="9"/>
    </row>
    <row r="61238" spans="15:15" x14ac:dyDescent="0.25">
      <c r="O61238" s="9"/>
    </row>
    <row r="61259" spans="15:15" x14ac:dyDescent="0.25">
      <c r="O61259" s="9"/>
    </row>
    <row r="61280" spans="15:15" x14ac:dyDescent="0.25">
      <c r="O61280" s="9"/>
    </row>
    <row r="61301" spans="15:15" x14ac:dyDescent="0.25">
      <c r="O61301" s="9"/>
    </row>
    <row r="61322" spans="15:15" x14ac:dyDescent="0.25">
      <c r="O61322" s="9"/>
    </row>
    <row r="61343" spans="15:15" x14ac:dyDescent="0.25">
      <c r="O61343" s="9"/>
    </row>
    <row r="61364" spans="15:15" x14ac:dyDescent="0.25">
      <c r="O61364" s="9"/>
    </row>
    <row r="61385" spans="15:15" x14ac:dyDescent="0.25">
      <c r="O61385" s="9"/>
    </row>
    <row r="61406" spans="15:15" x14ac:dyDescent="0.25">
      <c r="O61406" s="9"/>
    </row>
    <row r="61427" spans="15:15" x14ac:dyDescent="0.25">
      <c r="O61427" s="9"/>
    </row>
    <row r="61448" spans="15:15" x14ac:dyDescent="0.25">
      <c r="O61448" s="9"/>
    </row>
    <row r="61469" spans="15:15" x14ac:dyDescent="0.25">
      <c r="O61469" s="9"/>
    </row>
    <row r="61490" spans="15:15" x14ac:dyDescent="0.25">
      <c r="O61490" s="9"/>
    </row>
    <row r="61511" spans="15:15" x14ac:dyDescent="0.25">
      <c r="O61511" s="9"/>
    </row>
    <row r="61532" spans="15:15" x14ac:dyDescent="0.25">
      <c r="O61532" s="9"/>
    </row>
    <row r="61553" spans="15:15" x14ac:dyDescent="0.25">
      <c r="O61553" s="9"/>
    </row>
    <row r="61574" spans="15:15" x14ac:dyDescent="0.25">
      <c r="O61574" s="9"/>
    </row>
    <row r="61595" spans="15:15" x14ac:dyDescent="0.25">
      <c r="O61595" s="9"/>
    </row>
    <row r="61616" spans="15:15" x14ac:dyDescent="0.25">
      <c r="O61616" s="9"/>
    </row>
    <row r="61637" spans="15:15" x14ac:dyDescent="0.25">
      <c r="O61637" s="9"/>
    </row>
    <row r="61658" spans="15:15" x14ac:dyDescent="0.25">
      <c r="O61658" s="9"/>
    </row>
    <row r="61679" spans="15:15" x14ac:dyDescent="0.25">
      <c r="O61679" s="9"/>
    </row>
    <row r="61700" spans="15:15" x14ac:dyDescent="0.25">
      <c r="O61700" s="9"/>
    </row>
    <row r="61721" spans="15:15" x14ac:dyDescent="0.25">
      <c r="O61721" s="9"/>
    </row>
    <row r="61742" spans="15:15" x14ac:dyDescent="0.25">
      <c r="O61742" s="9"/>
    </row>
    <row r="61763" spans="15:15" x14ac:dyDescent="0.25">
      <c r="O61763" s="9"/>
    </row>
    <row r="61784" spans="15:15" x14ac:dyDescent="0.25">
      <c r="O61784" s="9"/>
    </row>
    <row r="61805" spans="15:15" x14ac:dyDescent="0.25">
      <c r="O61805" s="9"/>
    </row>
    <row r="61826" spans="15:15" x14ac:dyDescent="0.25">
      <c r="O61826" s="9"/>
    </row>
    <row r="61847" spans="15:15" x14ac:dyDescent="0.25">
      <c r="O61847" s="9"/>
    </row>
    <row r="61868" spans="15:15" x14ac:dyDescent="0.25">
      <c r="O61868" s="9"/>
    </row>
    <row r="61889" spans="15:15" x14ac:dyDescent="0.25">
      <c r="O61889" s="9"/>
    </row>
    <row r="61910" spans="15:15" x14ac:dyDescent="0.25">
      <c r="O61910" s="9"/>
    </row>
    <row r="61931" spans="15:15" x14ac:dyDescent="0.25">
      <c r="O61931" s="9"/>
    </row>
    <row r="61952" spans="15:15" x14ac:dyDescent="0.25">
      <c r="O61952" s="9"/>
    </row>
    <row r="61973" spans="15:15" x14ac:dyDescent="0.25">
      <c r="O61973" s="9"/>
    </row>
    <row r="61994" spans="15:15" x14ac:dyDescent="0.25">
      <c r="O61994" s="9"/>
    </row>
    <row r="62015" spans="15:15" x14ac:dyDescent="0.25">
      <c r="O62015" s="9"/>
    </row>
    <row r="62036" spans="15:15" x14ac:dyDescent="0.25">
      <c r="O62036" s="9"/>
    </row>
    <row r="62057" spans="15:15" x14ac:dyDescent="0.25">
      <c r="O62057" s="9"/>
    </row>
    <row r="62078" spans="15:15" x14ac:dyDescent="0.25">
      <c r="O62078" s="9"/>
    </row>
    <row r="62099" spans="15:15" x14ac:dyDescent="0.25">
      <c r="O62099" s="9"/>
    </row>
    <row r="62120" spans="15:15" x14ac:dyDescent="0.25">
      <c r="O62120" s="9"/>
    </row>
    <row r="62141" spans="15:15" x14ac:dyDescent="0.25">
      <c r="O62141" s="9"/>
    </row>
    <row r="62162" spans="15:15" x14ac:dyDescent="0.25">
      <c r="O62162" s="9"/>
    </row>
    <row r="62183" spans="15:15" x14ac:dyDescent="0.25">
      <c r="O62183" s="9"/>
    </row>
    <row r="62204" spans="15:15" x14ac:dyDescent="0.25">
      <c r="O62204" s="9"/>
    </row>
    <row r="62225" spans="15:15" x14ac:dyDescent="0.25">
      <c r="O62225" s="9"/>
    </row>
    <row r="62246" spans="15:15" x14ac:dyDescent="0.25">
      <c r="O62246" s="9"/>
    </row>
    <row r="62267" spans="15:15" x14ac:dyDescent="0.25">
      <c r="O62267" s="9"/>
    </row>
    <row r="62288" spans="15:15" x14ac:dyDescent="0.25">
      <c r="O62288" s="9"/>
    </row>
    <row r="62309" spans="15:15" x14ac:dyDescent="0.25">
      <c r="O62309" s="9"/>
    </row>
    <row r="62330" spans="15:15" x14ac:dyDescent="0.25">
      <c r="O62330" s="9"/>
    </row>
    <row r="62351" spans="15:15" x14ac:dyDescent="0.25">
      <c r="O62351" s="9"/>
    </row>
    <row r="62372" spans="15:15" x14ac:dyDescent="0.25">
      <c r="O62372" s="9"/>
    </row>
    <row r="62393" spans="15:15" x14ac:dyDescent="0.25">
      <c r="O62393" s="9"/>
    </row>
    <row r="62414" spans="15:15" x14ac:dyDescent="0.25">
      <c r="O62414" s="9"/>
    </row>
    <row r="62435" spans="15:15" x14ac:dyDescent="0.25">
      <c r="O62435" s="9"/>
    </row>
    <row r="62456" spans="15:15" x14ac:dyDescent="0.25">
      <c r="O62456" s="9"/>
    </row>
    <row r="62477" spans="15:15" x14ac:dyDescent="0.25">
      <c r="O62477" s="9"/>
    </row>
    <row r="62498" spans="15:15" x14ac:dyDescent="0.25">
      <c r="O62498" s="9"/>
    </row>
    <row r="62519" spans="15:15" x14ac:dyDescent="0.25">
      <c r="O62519" s="9"/>
    </row>
    <row r="62540" spans="15:15" x14ac:dyDescent="0.25">
      <c r="O62540" s="9"/>
    </row>
    <row r="62561" spans="15:15" x14ac:dyDescent="0.25">
      <c r="O62561" s="9"/>
    </row>
    <row r="62582" spans="15:15" x14ac:dyDescent="0.25">
      <c r="O62582" s="9"/>
    </row>
    <row r="62603" spans="15:15" x14ac:dyDescent="0.25">
      <c r="O62603" s="9"/>
    </row>
    <row r="62624" spans="15:15" x14ac:dyDescent="0.25">
      <c r="O62624" s="9"/>
    </row>
    <row r="62645" spans="15:15" x14ac:dyDescent="0.25">
      <c r="O62645" s="9"/>
    </row>
    <row r="62666" spans="15:15" x14ac:dyDescent="0.25">
      <c r="O62666" s="9"/>
    </row>
    <row r="62687" spans="15:15" x14ac:dyDescent="0.25">
      <c r="O62687" s="9"/>
    </row>
    <row r="62708" spans="15:15" x14ac:dyDescent="0.25">
      <c r="O62708" s="9"/>
    </row>
    <row r="62729" spans="15:15" x14ac:dyDescent="0.25">
      <c r="O62729" s="9"/>
    </row>
    <row r="62750" spans="15:15" x14ac:dyDescent="0.25">
      <c r="O62750" s="9"/>
    </row>
    <row r="62771" spans="15:15" x14ac:dyDescent="0.25">
      <c r="O62771" s="9"/>
    </row>
    <row r="62792" spans="15:15" x14ac:dyDescent="0.25">
      <c r="O62792" s="9"/>
    </row>
    <row r="62813" spans="15:15" x14ac:dyDescent="0.25">
      <c r="O62813" s="9"/>
    </row>
    <row r="62834" spans="15:15" x14ac:dyDescent="0.25">
      <c r="O62834" s="9"/>
    </row>
    <row r="62855" spans="15:15" x14ac:dyDescent="0.25">
      <c r="O62855" s="9"/>
    </row>
    <row r="62876" spans="15:15" x14ac:dyDescent="0.25">
      <c r="O62876" s="9"/>
    </row>
    <row r="62897" spans="15:15" x14ac:dyDescent="0.25">
      <c r="O62897" s="9"/>
    </row>
    <row r="62918" spans="15:15" x14ac:dyDescent="0.25">
      <c r="O62918" s="9"/>
    </row>
    <row r="62939" spans="15:15" x14ac:dyDescent="0.25">
      <c r="O62939" s="9"/>
    </row>
    <row r="62960" spans="15:15" x14ac:dyDescent="0.25">
      <c r="O62960" s="9"/>
    </row>
    <row r="62981" spans="15:15" x14ac:dyDescent="0.25">
      <c r="O62981" s="9"/>
    </row>
    <row r="63002" spans="15:15" x14ac:dyDescent="0.25">
      <c r="O63002" s="9"/>
    </row>
    <row r="63023" spans="15:15" x14ac:dyDescent="0.25">
      <c r="O63023" s="9"/>
    </row>
    <row r="63044" spans="15:15" x14ac:dyDescent="0.25">
      <c r="O63044" s="9"/>
    </row>
    <row r="63065" spans="15:15" x14ac:dyDescent="0.25">
      <c r="O63065" s="9"/>
    </row>
    <row r="63086" spans="15:15" x14ac:dyDescent="0.25">
      <c r="O63086" s="9"/>
    </row>
    <row r="63107" spans="15:15" x14ac:dyDescent="0.25">
      <c r="O63107" s="9"/>
    </row>
    <row r="63128" spans="15:15" x14ac:dyDescent="0.25">
      <c r="O63128" s="9"/>
    </row>
    <row r="63149" spans="15:15" x14ac:dyDescent="0.25">
      <c r="O63149" s="9"/>
    </row>
    <row r="63170" spans="15:15" x14ac:dyDescent="0.25">
      <c r="O63170" s="9"/>
    </row>
    <row r="63191" spans="15:15" x14ac:dyDescent="0.25">
      <c r="O63191" s="9"/>
    </row>
    <row r="63212" spans="15:15" x14ac:dyDescent="0.25">
      <c r="O63212" s="9"/>
    </row>
    <row r="63233" spans="15:15" x14ac:dyDescent="0.25">
      <c r="O63233" s="9"/>
    </row>
    <row r="63254" spans="15:15" x14ac:dyDescent="0.25">
      <c r="O63254" s="9"/>
    </row>
    <row r="63275" spans="15:15" x14ac:dyDescent="0.25">
      <c r="O63275" s="9"/>
    </row>
    <row r="63296" spans="15:15" x14ac:dyDescent="0.25">
      <c r="O63296" s="9"/>
    </row>
    <row r="63317" spans="15:15" x14ac:dyDescent="0.25">
      <c r="O63317" s="9"/>
    </row>
    <row r="63338" spans="15:15" x14ac:dyDescent="0.25">
      <c r="O63338" s="9"/>
    </row>
    <row r="63359" spans="15:15" x14ac:dyDescent="0.25">
      <c r="O63359" s="9"/>
    </row>
    <row r="63380" spans="15:15" x14ac:dyDescent="0.25">
      <c r="O63380" s="9"/>
    </row>
    <row r="63401" spans="15:15" x14ac:dyDescent="0.25">
      <c r="O63401" s="9"/>
    </row>
    <row r="63422" spans="15:15" x14ac:dyDescent="0.25">
      <c r="O63422" s="9"/>
    </row>
    <row r="63443" spans="15:15" x14ac:dyDescent="0.25">
      <c r="O63443" s="9"/>
    </row>
    <row r="63464" spans="15:15" x14ac:dyDescent="0.25">
      <c r="O63464" s="9"/>
    </row>
    <row r="63485" spans="15:15" x14ac:dyDescent="0.25">
      <c r="O63485" s="9"/>
    </row>
    <row r="63506" spans="15:15" x14ac:dyDescent="0.25">
      <c r="O63506" s="9"/>
    </row>
    <row r="63527" spans="15:15" x14ac:dyDescent="0.25">
      <c r="O63527" s="9"/>
    </row>
    <row r="63548" spans="15:15" x14ac:dyDescent="0.25">
      <c r="O63548" s="9"/>
    </row>
    <row r="63569" spans="15:15" x14ac:dyDescent="0.25">
      <c r="O63569" s="9"/>
    </row>
    <row r="63590" spans="15:15" x14ac:dyDescent="0.25">
      <c r="O63590" s="9"/>
    </row>
    <row r="63611" spans="15:15" x14ac:dyDescent="0.25">
      <c r="O63611" s="9"/>
    </row>
    <row r="63632" spans="15:15" x14ac:dyDescent="0.25">
      <c r="O63632" s="9"/>
    </row>
    <row r="63653" spans="15:15" x14ac:dyDescent="0.25">
      <c r="O63653" s="9"/>
    </row>
    <row r="63674" spans="15:15" x14ac:dyDescent="0.25">
      <c r="O63674" s="9"/>
    </row>
    <row r="63695" spans="15:15" x14ac:dyDescent="0.25">
      <c r="O63695" s="9"/>
    </row>
    <row r="63716" spans="15:15" x14ac:dyDescent="0.25">
      <c r="O63716" s="9"/>
    </row>
    <row r="63737" spans="15:15" x14ac:dyDescent="0.25">
      <c r="O63737" s="9"/>
    </row>
    <row r="63758" spans="15:15" x14ac:dyDescent="0.25">
      <c r="O63758" s="9"/>
    </row>
    <row r="63779" spans="15:15" x14ac:dyDescent="0.25">
      <c r="O63779" s="9"/>
    </row>
    <row r="63800" spans="15:15" x14ac:dyDescent="0.25">
      <c r="O63800" s="9"/>
    </row>
    <row r="63821" spans="15:15" x14ac:dyDescent="0.25">
      <c r="O63821" s="9"/>
    </row>
    <row r="63842" spans="15:15" x14ac:dyDescent="0.25">
      <c r="O63842" s="9"/>
    </row>
    <row r="63863" spans="15:15" x14ac:dyDescent="0.25">
      <c r="O63863" s="9"/>
    </row>
    <row r="63884" spans="15:15" x14ac:dyDescent="0.25">
      <c r="O63884" s="9"/>
    </row>
    <row r="63905" spans="15:15" x14ac:dyDescent="0.25">
      <c r="O63905" s="9"/>
    </row>
    <row r="63926" spans="15:15" x14ac:dyDescent="0.25">
      <c r="O63926" s="9"/>
    </row>
    <row r="63947" spans="15:15" x14ac:dyDescent="0.25">
      <c r="O63947" s="9"/>
    </row>
    <row r="63968" spans="15:15" x14ac:dyDescent="0.25">
      <c r="O63968" s="9"/>
    </row>
    <row r="63989" spans="15:15" x14ac:dyDescent="0.25">
      <c r="O63989" s="9"/>
    </row>
    <row r="64010" spans="15:15" x14ac:dyDescent="0.25">
      <c r="O64010" s="9"/>
    </row>
    <row r="64031" spans="15:15" x14ac:dyDescent="0.25">
      <c r="O64031" s="9"/>
    </row>
    <row r="64052" spans="15:15" x14ac:dyDescent="0.25">
      <c r="O64052" s="9"/>
    </row>
    <row r="64073" spans="15:15" x14ac:dyDescent="0.25">
      <c r="O64073" s="9"/>
    </row>
    <row r="64094" spans="15:15" x14ac:dyDescent="0.25">
      <c r="O64094" s="9"/>
    </row>
    <row r="64115" spans="15:15" x14ac:dyDescent="0.25">
      <c r="O64115" s="9"/>
    </row>
    <row r="64136" spans="15:15" x14ac:dyDescent="0.25">
      <c r="O64136" s="9"/>
    </row>
    <row r="64157" spans="15:15" x14ac:dyDescent="0.25">
      <c r="O64157" s="9"/>
    </row>
    <row r="64178" spans="15:15" x14ac:dyDescent="0.25">
      <c r="O64178" s="9"/>
    </row>
    <row r="64199" spans="15:15" x14ac:dyDescent="0.25">
      <c r="O64199" s="9"/>
    </row>
    <row r="64220" spans="15:15" x14ac:dyDescent="0.25">
      <c r="O64220" s="9"/>
    </row>
    <row r="64241" spans="15:15" x14ac:dyDescent="0.25">
      <c r="O64241" s="9"/>
    </row>
    <row r="64262" spans="15:15" x14ac:dyDescent="0.25">
      <c r="O64262" s="9"/>
    </row>
    <row r="64283" spans="15:15" x14ac:dyDescent="0.25">
      <c r="O64283" s="9"/>
    </row>
    <row r="64304" spans="15:15" x14ac:dyDescent="0.25">
      <c r="O64304" s="9"/>
    </row>
    <row r="64325" spans="15:15" x14ac:dyDescent="0.25">
      <c r="O64325" s="9"/>
    </row>
    <row r="64346" spans="15:15" x14ac:dyDescent="0.25">
      <c r="O64346" s="9"/>
    </row>
    <row r="64367" spans="15:15" x14ac:dyDescent="0.25">
      <c r="O64367" s="9"/>
    </row>
    <row r="64388" spans="15:15" x14ac:dyDescent="0.25">
      <c r="O64388" s="9"/>
    </row>
    <row r="64409" spans="15:15" x14ac:dyDescent="0.25">
      <c r="O64409" s="9"/>
    </row>
    <row r="64430" spans="15:15" x14ac:dyDescent="0.25">
      <c r="O64430" s="9"/>
    </row>
    <row r="64451" spans="15:15" x14ac:dyDescent="0.25">
      <c r="O64451" s="9"/>
    </row>
    <row r="64472" spans="15:15" x14ac:dyDescent="0.25">
      <c r="O64472" s="9"/>
    </row>
    <row r="64493" spans="15:15" x14ac:dyDescent="0.25">
      <c r="O64493" s="9"/>
    </row>
    <row r="64514" spans="15:15" x14ac:dyDescent="0.25">
      <c r="O64514" s="9"/>
    </row>
    <row r="64535" spans="15:15" x14ac:dyDescent="0.25">
      <c r="O64535" s="9"/>
    </row>
    <row r="64556" spans="15:15" x14ac:dyDescent="0.25">
      <c r="O64556" s="9"/>
    </row>
    <row r="64577" spans="15:15" x14ac:dyDescent="0.25">
      <c r="O64577" s="9"/>
    </row>
    <row r="64598" spans="15:15" x14ac:dyDescent="0.25">
      <c r="O64598" s="9"/>
    </row>
    <row r="64619" spans="15:15" x14ac:dyDescent="0.25">
      <c r="O64619" s="9"/>
    </row>
    <row r="64640" spans="15:15" x14ac:dyDescent="0.25">
      <c r="O64640" s="9"/>
    </row>
    <row r="64661" spans="15:15" x14ac:dyDescent="0.25">
      <c r="O64661" s="9"/>
    </row>
    <row r="64682" spans="15:15" x14ac:dyDescent="0.25">
      <c r="O64682" s="9"/>
    </row>
    <row r="64703" spans="15:15" x14ac:dyDescent="0.25">
      <c r="O64703" s="9"/>
    </row>
    <row r="64724" spans="15:15" x14ac:dyDescent="0.25">
      <c r="O64724" s="9"/>
    </row>
    <row r="64745" spans="15:15" x14ac:dyDescent="0.25">
      <c r="O64745" s="9"/>
    </row>
    <row r="64766" spans="15:15" x14ac:dyDescent="0.25">
      <c r="O64766" s="9"/>
    </row>
    <row r="64787" spans="15:15" x14ac:dyDescent="0.25">
      <c r="O64787" s="9"/>
    </row>
    <row r="64808" spans="15:15" x14ac:dyDescent="0.25">
      <c r="O64808" s="9"/>
    </row>
    <row r="64829" spans="15:15" x14ac:dyDescent="0.25">
      <c r="O64829" s="9"/>
    </row>
    <row r="64850" spans="15:15" x14ac:dyDescent="0.25">
      <c r="O64850" s="9"/>
    </row>
    <row r="64871" spans="15:15" x14ac:dyDescent="0.25">
      <c r="O64871" s="9"/>
    </row>
    <row r="64892" spans="15:15" x14ac:dyDescent="0.25">
      <c r="O64892" s="9"/>
    </row>
    <row r="64913" spans="15:15" x14ac:dyDescent="0.25">
      <c r="O64913" s="9"/>
    </row>
    <row r="64934" spans="15:15" x14ac:dyDescent="0.25">
      <c r="O64934" s="9"/>
    </row>
    <row r="64955" spans="15:15" x14ac:dyDescent="0.25">
      <c r="O64955" s="9"/>
    </row>
    <row r="64976" spans="15:15" x14ac:dyDescent="0.25">
      <c r="O64976" s="9"/>
    </row>
    <row r="64997" spans="15:15" x14ac:dyDescent="0.25">
      <c r="O64997" s="9"/>
    </row>
    <row r="65018" spans="15:15" x14ac:dyDescent="0.25">
      <c r="O65018" s="9"/>
    </row>
    <row r="65039" spans="15:15" x14ac:dyDescent="0.25">
      <c r="O65039" s="9"/>
    </row>
    <row r="65060" spans="15:15" x14ac:dyDescent="0.25">
      <c r="O65060" s="9"/>
    </row>
    <row r="65081" spans="15:15" x14ac:dyDescent="0.25">
      <c r="O65081" s="9"/>
    </row>
    <row r="65102" spans="15:15" x14ac:dyDescent="0.25">
      <c r="O65102" s="9"/>
    </row>
    <row r="65123" spans="15:15" x14ac:dyDescent="0.25">
      <c r="O65123" s="9"/>
    </row>
    <row r="65144" spans="15:15" x14ac:dyDescent="0.25">
      <c r="O65144" s="9"/>
    </row>
    <row r="65165" spans="15:15" x14ac:dyDescent="0.25">
      <c r="O65165" s="9"/>
    </row>
    <row r="65186" spans="15:15" x14ac:dyDescent="0.25">
      <c r="O65186" s="9"/>
    </row>
    <row r="65207" spans="15:15" x14ac:dyDescent="0.25">
      <c r="O65207" s="9"/>
    </row>
    <row r="65228" spans="15:15" x14ac:dyDescent="0.25">
      <c r="O65228" s="9"/>
    </row>
    <row r="65249" spans="15:15" x14ac:dyDescent="0.25">
      <c r="O65249" s="9"/>
    </row>
    <row r="65270" spans="15:15" x14ac:dyDescent="0.25">
      <c r="O65270" s="9"/>
    </row>
    <row r="65291" spans="15:15" x14ac:dyDescent="0.25">
      <c r="O65291" s="9"/>
    </row>
    <row r="65312" spans="15:15" x14ac:dyDescent="0.25">
      <c r="O65312" s="9"/>
    </row>
    <row r="65333" spans="15:15" x14ac:dyDescent="0.25">
      <c r="O65333" s="9"/>
    </row>
    <row r="65354" spans="15:15" x14ac:dyDescent="0.25">
      <c r="O65354" s="9"/>
    </row>
    <row r="65375" spans="15:15" x14ac:dyDescent="0.25">
      <c r="O65375" s="9"/>
    </row>
    <row r="65396" spans="15:15" x14ac:dyDescent="0.25">
      <c r="O65396" s="9"/>
    </row>
    <row r="65417" spans="15:15" x14ac:dyDescent="0.25">
      <c r="O65417" s="9"/>
    </row>
    <row r="65438" spans="15:15" x14ac:dyDescent="0.25">
      <c r="O65438" s="9"/>
    </row>
    <row r="65459" spans="15:15" x14ac:dyDescent="0.25">
      <c r="O65459" s="9"/>
    </row>
    <row r="65480" spans="15:15" x14ac:dyDescent="0.25">
      <c r="O65480" s="9"/>
    </row>
    <row r="65501" spans="15:15" x14ac:dyDescent="0.25">
      <c r="O65501" s="9"/>
    </row>
    <row r="65522" spans="15:15" x14ac:dyDescent="0.25">
      <c r="O65522" s="9"/>
    </row>
    <row r="65543" spans="15:15" x14ac:dyDescent="0.25">
      <c r="O65543" s="9"/>
    </row>
    <row r="65564" spans="15:15" x14ac:dyDescent="0.25">
      <c r="O65564" s="9"/>
    </row>
    <row r="65585" spans="15:15" x14ac:dyDescent="0.25">
      <c r="O65585" s="9"/>
    </row>
    <row r="65606" spans="15:15" x14ac:dyDescent="0.25">
      <c r="O65606" s="9"/>
    </row>
    <row r="65627" spans="15:15" x14ac:dyDescent="0.25">
      <c r="O65627" s="9"/>
    </row>
    <row r="65648" spans="15:15" x14ac:dyDescent="0.25">
      <c r="O65648" s="9"/>
    </row>
    <row r="65669" spans="15:15" x14ac:dyDescent="0.25">
      <c r="O65669" s="9"/>
    </row>
    <row r="65690" spans="15:15" x14ac:dyDescent="0.25">
      <c r="O65690" s="9"/>
    </row>
    <row r="65711" spans="15:15" x14ac:dyDescent="0.25">
      <c r="O65711" s="9"/>
    </row>
    <row r="65732" spans="15:15" x14ac:dyDescent="0.25">
      <c r="O65732" s="9"/>
    </row>
    <row r="65753" spans="15:15" x14ac:dyDescent="0.25">
      <c r="O65753" s="9"/>
    </row>
    <row r="65774" spans="15:15" x14ac:dyDescent="0.25">
      <c r="O65774" s="9"/>
    </row>
    <row r="65795" spans="15:15" x14ac:dyDescent="0.25">
      <c r="O65795" s="9"/>
    </row>
    <row r="65816" spans="15:15" x14ac:dyDescent="0.25">
      <c r="O65816" s="9"/>
    </row>
    <row r="65837" spans="15:15" x14ac:dyDescent="0.25">
      <c r="O65837" s="9"/>
    </row>
    <row r="65858" spans="15:15" x14ac:dyDescent="0.25">
      <c r="O65858" s="9"/>
    </row>
    <row r="65879" spans="15:15" x14ac:dyDescent="0.25">
      <c r="O65879" s="9"/>
    </row>
    <row r="65900" spans="15:15" x14ac:dyDescent="0.25">
      <c r="O65900" s="9"/>
    </row>
    <row r="65921" spans="15:15" x14ac:dyDescent="0.25">
      <c r="O65921" s="9"/>
    </row>
    <row r="65942" spans="15:15" x14ac:dyDescent="0.25">
      <c r="O65942" s="9"/>
    </row>
    <row r="65963" spans="15:15" x14ac:dyDescent="0.25">
      <c r="O65963" s="9"/>
    </row>
    <row r="65984" spans="15:15" x14ac:dyDescent="0.25">
      <c r="O65984" s="9"/>
    </row>
    <row r="66005" spans="15:15" x14ac:dyDescent="0.25">
      <c r="O66005" s="9"/>
    </row>
    <row r="66026" spans="15:15" x14ac:dyDescent="0.25">
      <c r="O66026" s="9"/>
    </row>
    <row r="66047" spans="15:15" x14ac:dyDescent="0.25">
      <c r="O66047" s="9"/>
    </row>
    <row r="66068" spans="15:15" x14ac:dyDescent="0.25">
      <c r="O66068" s="9"/>
    </row>
    <row r="66089" spans="15:15" x14ac:dyDescent="0.25">
      <c r="O66089" s="9"/>
    </row>
    <row r="66110" spans="15:15" x14ac:dyDescent="0.25">
      <c r="O66110" s="9"/>
    </row>
    <row r="66131" spans="15:15" x14ac:dyDescent="0.25">
      <c r="O66131" s="9"/>
    </row>
    <row r="66152" spans="15:15" x14ac:dyDescent="0.25">
      <c r="O66152" s="9"/>
    </row>
    <row r="66173" spans="15:15" x14ac:dyDescent="0.25">
      <c r="O66173" s="9"/>
    </row>
    <row r="66194" spans="15:15" x14ac:dyDescent="0.25">
      <c r="O66194" s="9"/>
    </row>
    <row r="66215" spans="15:15" x14ac:dyDescent="0.25">
      <c r="O66215" s="9"/>
    </row>
    <row r="66236" spans="15:15" x14ac:dyDescent="0.25">
      <c r="O66236" s="9"/>
    </row>
    <row r="66257" spans="15:15" x14ac:dyDescent="0.25">
      <c r="O66257" s="9"/>
    </row>
    <row r="66278" spans="15:15" x14ac:dyDescent="0.25">
      <c r="O66278" s="9"/>
    </row>
    <row r="66299" spans="15:15" x14ac:dyDescent="0.25">
      <c r="O66299" s="9"/>
    </row>
    <row r="66320" spans="15:15" x14ac:dyDescent="0.25">
      <c r="O66320" s="9"/>
    </row>
    <row r="66341" spans="15:15" x14ac:dyDescent="0.25">
      <c r="O66341" s="9"/>
    </row>
    <row r="66362" spans="15:15" x14ac:dyDescent="0.25">
      <c r="O66362" s="9"/>
    </row>
    <row r="66383" spans="15:15" x14ac:dyDescent="0.25">
      <c r="O66383" s="9"/>
    </row>
    <row r="66404" spans="15:15" x14ac:dyDescent="0.25">
      <c r="O66404" s="9"/>
    </row>
    <row r="66425" spans="15:15" x14ac:dyDescent="0.25">
      <c r="O66425" s="9"/>
    </row>
    <row r="66446" spans="15:15" x14ac:dyDescent="0.25">
      <c r="O66446" s="9"/>
    </row>
    <row r="66467" spans="15:15" x14ac:dyDescent="0.25">
      <c r="O66467" s="9"/>
    </row>
    <row r="66488" spans="15:15" x14ac:dyDescent="0.25">
      <c r="O66488" s="9"/>
    </row>
    <row r="66509" spans="15:15" x14ac:dyDescent="0.25">
      <c r="O66509" s="9"/>
    </row>
    <row r="66530" spans="15:15" x14ac:dyDescent="0.25">
      <c r="O66530" s="9"/>
    </row>
    <row r="66551" spans="15:15" x14ac:dyDescent="0.25">
      <c r="O66551" s="9"/>
    </row>
    <row r="66572" spans="15:15" x14ac:dyDescent="0.25">
      <c r="O66572" s="9"/>
    </row>
    <row r="66593" spans="15:15" x14ac:dyDescent="0.25">
      <c r="O66593" s="9"/>
    </row>
    <row r="66614" spans="15:15" x14ac:dyDescent="0.25">
      <c r="O66614" s="9"/>
    </row>
    <row r="66635" spans="15:15" x14ac:dyDescent="0.25">
      <c r="O66635" s="9"/>
    </row>
    <row r="66656" spans="15:15" x14ac:dyDescent="0.25">
      <c r="O66656" s="9"/>
    </row>
    <row r="66677" spans="15:15" x14ac:dyDescent="0.25">
      <c r="O66677" s="9"/>
    </row>
    <row r="66698" spans="15:15" x14ac:dyDescent="0.25">
      <c r="O66698" s="9"/>
    </row>
    <row r="66719" spans="15:15" x14ac:dyDescent="0.25">
      <c r="O66719" s="9"/>
    </row>
    <row r="66740" spans="15:15" x14ac:dyDescent="0.25">
      <c r="O66740" s="9"/>
    </row>
    <row r="66761" spans="15:15" x14ac:dyDescent="0.25">
      <c r="O66761" s="9"/>
    </row>
    <row r="66782" spans="15:15" x14ac:dyDescent="0.25">
      <c r="O66782" s="9"/>
    </row>
    <row r="66803" spans="15:15" x14ac:dyDescent="0.25">
      <c r="O66803" s="9"/>
    </row>
    <row r="66824" spans="15:15" x14ac:dyDescent="0.25">
      <c r="O66824" s="9"/>
    </row>
    <row r="66845" spans="15:15" x14ac:dyDescent="0.25">
      <c r="O66845" s="9"/>
    </row>
    <row r="66866" spans="15:15" x14ac:dyDescent="0.25">
      <c r="O66866" s="9"/>
    </row>
    <row r="66887" spans="15:15" x14ac:dyDescent="0.25">
      <c r="O66887" s="9"/>
    </row>
    <row r="66908" spans="15:15" x14ac:dyDescent="0.25">
      <c r="O66908" s="9"/>
    </row>
    <row r="66929" spans="15:15" x14ac:dyDescent="0.25">
      <c r="O66929" s="9"/>
    </row>
    <row r="66950" spans="15:15" x14ac:dyDescent="0.25">
      <c r="O66950" s="9"/>
    </row>
    <row r="66971" spans="15:15" x14ac:dyDescent="0.25">
      <c r="O66971" s="9"/>
    </row>
    <row r="66992" spans="15:15" x14ac:dyDescent="0.25">
      <c r="O66992" s="9"/>
    </row>
    <row r="67013" spans="15:15" x14ac:dyDescent="0.25">
      <c r="O67013" s="9"/>
    </row>
    <row r="67034" spans="15:15" x14ac:dyDescent="0.25">
      <c r="O67034" s="9"/>
    </row>
    <row r="67055" spans="15:15" x14ac:dyDescent="0.25">
      <c r="O67055" s="9"/>
    </row>
    <row r="67076" spans="15:15" x14ac:dyDescent="0.25">
      <c r="O67076" s="9"/>
    </row>
    <row r="67097" spans="15:15" x14ac:dyDescent="0.25">
      <c r="O67097" s="9"/>
    </row>
    <row r="67118" spans="15:15" x14ac:dyDescent="0.25">
      <c r="O67118" s="9"/>
    </row>
    <row r="67139" spans="15:15" x14ac:dyDescent="0.25">
      <c r="O67139" s="9"/>
    </row>
    <row r="67160" spans="15:15" x14ac:dyDescent="0.25">
      <c r="O67160" s="9"/>
    </row>
    <row r="67181" spans="15:15" x14ac:dyDescent="0.25">
      <c r="O67181" s="9"/>
    </row>
    <row r="67202" spans="15:15" x14ac:dyDescent="0.25">
      <c r="O67202" s="9"/>
    </row>
    <row r="67223" spans="15:15" x14ac:dyDescent="0.25">
      <c r="O67223" s="9"/>
    </row>
    <row r="67244" spans="15:15" x14ac:dyDescent="0.25">
      <c r="O67244" s="9"/>
    </row>
    <row r="67265" spans="15:15" x14ac:dyDescent="0.25">
      <c r="O67265" s="9"/>
    </row>
    <row r="67286" spans="15:15" x14ac:dyDescent="0.25">
      <c r="O67286" s="9"/>
    </row>
    <row r="67307" spans="15:15" x14ac:dyDescent="0.25">
      <c r="O67307" s="9"/>
    </row>
    <row r="67328" spans="15:15" x14ac:dyDescent="0.25">
      <c r="O67328" s="9"/>
    </row>
    <row r="67349" spans="15:15" x14ac:dyDescent="0.25">
      <c r="O67349" s="9"/>
    </row>
    <row r="67370" spans="15:15" x14ac:dyDescent="0.25">
      <c r="O67370" s="9"/>
    </row>
    <row r="67391" spans="15:15" x14ac:dyDescent="0.25">
      <c r="O67391" s="9"/>
    </row>
    <row r="67412" spans="15:15" x14ac:dyDescent="0.25">
      <c r="O67412" s="9"/>
    </row>
    <row r="67433" spans="15:15" x14ac:dyDescent="0.25">
      <c r="O67433" s="9"/>
    </row>
    <row r="67454" spans="15:15" x14ac:dyDescent="0.25">
      <c r="O67454" s="9"/>
    </row>
    <row r="67475" spans="15:15" x14ac:dyDescent="0.25">
      <c r="O67475" s="9"/>
    </row>
    <row r="67496" spans="15:15" x14ac:dyDescent="0.25">
      <c r="O67496" s="9"/>
    </row>
    <row r="67517" spans="15:15" x14ac:dyDescent="0.25">
      <c r="O67517" s="9"/>
    </row>
    <row r="67538" spans="15:15" x14ac:dyDescent="0.25">
      <c r="O67538" s="9"/>
    </row>
    <row r="67559" spans="15:15" x14ac:dyDescent="0.25">
      <c r="O67559" s="9"/>
    </row>
    <row r="67580" spans="15:15" x14ac:dyDescent="0.25">
      <c r="O67580" s="9"/>
    </row>
    <row r="67601" spans="15:15" x14ac:dyDescent="0.25">
      <c r="O67601" s="9"/>
    </row>
    <row r="67622" spans="15:15" x14ac:dyDescent="0.25">
      <c r="O67622" s="9"/>
    </row>
    <row r="67643" spans="15:15" x14ac:dyDescent="0.25">
      <c r="O67643" s="9"/>
    </row>
    <row r="67664" spans="15:15" x14ac:dyDescent="0.25">
      <c r="O67664" s="9"/>
    </row>
    <row r="67685" spans="15:15" x14ac:dyDescent="0.25">
      <c r="O67685" s="9"/>
    </row>
    <row r="67706" spans="15:15" x14ac:dyDescent="0.25">
      <c r="O67706" s="9"/>
    </row>
    <row r="67727" spans="15:15" x14ac:dyDescent="0.25">
      <c r="O67727" s="9"/>
    </row>
    <row r="67748" spans="15:15" x14ac:dyDescent="0.25">
      <c r="O67748" s="9"/>
    </row>
    <row r="67769" spans="15:15" x14ac:dyDescent="0.25">
      <c r="O67769" s="9"/>
    </row>
    <row r="67790" spans="15:15" x14ac:dyDescent="0.25">
      <c r="O67790" s="9"/>
    </row>
    <row r="67811" spans="15:15" x14ac:dyDescent="0.25">
      <c r="O67811" s="9"/>
    </row>
    <row r="67832" spans="15:15" x14ac:dyDescent="0.25">
      <c r="O67832" s="9"/>
    </row>
    <row r="67853" spans="15:15" x14ac:dyDescent="0.25">
      <c r="O67853" s="9"/>
    </row>
    <row r="67874" spans="15:15" x14ac:dyDescent="0.25">
      <c r="O67874" s="9"/>
    </row>
    <row r="67895" spans="15:15" x14ac:dyDescent="0.25">
      <c r="O67895" s="9"/>
    </row>
    <row r="67916" spans="15:15" x14ac:dyDescent="0.25">
      <c r="O67916" s="9"/>
    </row>
    <row r="67937" spans="15:15" x14ac:dyDescent="0.25">
      <c r="O67937" s="9"/>
    </row>
    <row r="67958" spans="15:15" x14ac:dyDescent="0.25">
      <c r="O67958" s="9"/>
    </row>
    <row r="67979" spans="15:15" x14ac:dyDescent="0.25">
      <c r="O67979" s="9"/>
    </row>
    <row r="68000" spans="15:15" x14ac:dyDescent="0.25">
      <c r="O68000" s="9"/>
    </row>
    <row r="68021" spans="15:15" x14ac:dyDescent="0.25">
      <c r="O68021" s="9"/>
    </row>
    <row r="68042" spans="15:15" x14ac:dyDescent="0.25">
      <c r="O68042" s="9"/>
    </row>
    <row r="68063" spans="15:15" x14ac:dyDescent="0.25">
      <c r="O68063" s="9"/>
    </row>
    <row r="68084" spans="15:15" x14ac:dyDescent="0.25">
      <c r="O68084" s="9"/>
    </row>
    <row r="68105" spans="15:15" x14ac:dyDescent="0.25">
      <c r="O68105" s="9"/>
    </row>
    <row r="68126" spans="15:15" x14ac:dyDescent="0.25">
      <c r="O68126" s="9"/>
    </row>
    <row r="68147" spans="15:15" x14ac:dyDescent="0.25">
      <c r="O68147" s="9"/>
    </row>
    <row r="68168" spans="15:15" x14ac:dyDescent="0.25">
      <c r="O68168" s="9"/>
    </row>
    <row r="68189" spans="15:15" x14ac:dyDescent="0.25">
      <c r="O68189" s="9"/>
    </row>
    <row r="68210" spans="15:15" x14ac:dyDescent="0.25">
      <c r="O68210" s="9"/>
    </row>
    <row r="68231" spans="15:15" x14ac:dyDescent="0.25">
      <c r="O68231" s="9"/>
    </row>
    <row r="68252" spans="15:15" x14ac:dyDescent="0.25">
      <c r="O68252" s="9"/>
    </row>
    <row r="68273" spans="15:15" x14ac:dyDescent="0.25">
      <c r="O68273" s="9"/>
    </row>
    <row r="68294" spans="15:15" x14ac:dyDescent="0.25">
      <c r="O68294" s="9"/>
    </row>
    <row r="68315" spans="15:15" x14ac:dyDescent="0.25">
      <c r="O68315" s="9"/>
    </row>
    <row r="68336" spans="15:15" x14ac:dyDescent="0.25">
      <c r="O68336" s="9"/>
    </row>
    <row r="68357" spans="15:15" x14ac:dyDescent="0.25">
      <c r="O68357" s="9"/>
    </row>
    <row r="68378" spans="15:15" x14ac:dyDescent="0.25">
      <c r="O68378" s="9"/>
    </row>
    <row r="68399" spans="15:15" x14ac:dyDescent="0.25">
      <c r="O68399" s="9"/>
    </row>
    <row r="68420" spans="15:15" x14ac:dyDescent="0.25">
      <c r="O68420" s="9"/>
    </row>
    <row r="68441" spans="15:15" x14ac:dyDescent="0.25">
      <c r="O68441" s="9"/>
    </row>
    <row r="68462" spans="15:15" x14ac:dyDescent="0.25">
      <c r="O68462" s="9"/>
    </row>
    <row r="68483" spans="15:15" x14ac:dyDescent="0.25">
      <c r="O68483" s="9"/>
    </row>
    <row r="68504" spans="15:15" x14ac:dyDescent="0.25">
      <c r="O68504" s="9"/>
    </row>
    <row r="68525" spans="15:15" x14ac:dyDescent="0.25">
      <c r="O68525" s="9"/>
    </row>
    <row r="68546" spans="15:15" x14ac:dyDescent="0.25">
      <c r="O68546" s="9"/>
    </row>
    <row r="68567" spans="15:15" x14ac:dyDescent="0.25">
      <c r="O68567" s="9"/>
    </row>
    <row r="68588" spans="15:15" x14ac:dyDescent="0.25">
      <c r="O68588" s="9"/>
    </row>
    <row r="68609" spans="15:15" x14ac:dyDescent="0.25">
      <c r="O68609" s="9"/>
    </row>
    <row r="68630" spans="15:15" x14ac:dyDescent="0.25">
      <c r="O68630" s="9"/>
    </row>
    <row r="68651" spans="15:15" x14ac:dyDescent="0.25">
      <c r="O68651" s="9"/>
    </row>
    <row r="68672" spans="15:15" x14ac:dyDescent="0.25">
      <c r="O68672" s="9"/>
    </row>
    <row r="68693" spans="15:15" x14ac:dyDescent="0.25">
      <c r="O68693" s="9"/>
    </row>
    <row r="68714" spans="15:15" x14ac:dyDescent="0.25">
      <c r="O68714" s="9"/>
    </row>
    <row r="68735" spans="15:15" x14ac:dyDescent="0.25">
      <c r="O68735" s="9"/>
    </row>
    <row r="68756" spans="15:15" x14ac:dyDescent="0.25">
      <c r="O68756" s="9"/>
    </row>
    <row r="68777" spans="15:15" x14ac:dyDescent="0.25">
      <c r="O68777" s="9"/>
    </row>
    <row r="68798" spans="15:15" x14ac:dyDescent="0.25">
      <c r="O68798" s="9"/>
    </row>
    <row r="68819" spans="15:15" x14ac:dyDescent="0.25">
      <c r="O68819" s="9"/>
    </row>
    <row r="68840" spans="15:15" x14ac:dyDescent="0.25">
      <c r="O68840" s="9"/>
    </row>
    <row r="68861" spans="15:15" x14ac:dyDescent="0.25">
      <c r="O68861" s="9"/>
    </row>
    <row r="68882" spans="15:15" x14ac:dyDescent="0.25">
      <c r="O68882" s="9"/>
    </row>
    <row r="68903" spans="15:15" x14ac:dyDescent="0.25">
      <c r="O68903" s="9"/>
    </row>
    <row r="68924" spans="15:15" x14ac:dyDescent="0.25">
      <c r="O68924" s="9"/>
    </row>
    <row r="68945" spans="15:15" x14ac:dyDescent="0.25">
      <c r="O68945" s="9"/>
    </row>
    <row r="68966" spans="15:15" x14ac:dyDescent="0.25">
      <c r="O68966" s="9"/>
    </row>
    <row r="68987" spans="15:15" x14ac:dyDescent="0.25">
      <c r="O68987" s="9"/>
    </row>
    <row r="69008" spans="15:15" x14ac:dyDescent="0.25">
      <c r="O69008" s="9"/>
    </row>
    <row r="69029" spans="15:15" x14ac:dyDescent="0.25">
      <c r="O69029" s="9"/>
    </row>
    <row r="69050" spans="15:15" x14ac:dyDescent="0.25">
      <c r="O69050" s="9"/>
    </row>
    <row r="69071" spans="15:15" x14ac:dyDescent="0.25">
      <c r="O69071" s="9"/>
    </row>
    <row r="69092" spans="15:15" x14ac:dyDescent="0.25">
      <c r="O69092" s="9"/>
    </row>
    <row r="69113" spans="15:15" x14ac:dyDescent="0.25">
      <c r="O69113" s="9"/>
    </row>
    <row r="69134" spans="15:15" x14ac:dyDescent="0.25">
      <c r="O69134" s="9"/>
    </row>
    <row r="69155" spans="15:15" x14ac:dyDescent="0.25">
      <c r="O69155" s="9"/>
    </row>
    <row r="69176" spans="15:15" x14ac:dyDescent="0.25">
      <c r="O69176" s="9"/>
    </row>
    <row r="69197" spans="15:15" x14ac:dyDescent="0.25">
      <c r="O69197" s="9"/>
    </row>
    <row r="69218" spans="15:15" x14ac:dyDescent="0.25">
      <c r="O69218" s="9"/>
    </row>
    <row r="69239" spans="15:15" x14ac:dyDescent="0.25">
      <c r="O69239" s="9"/>
    </row>
    <row r="69260" spans="15:15" x14ac:dyDescent="0.25">
      <c r="O69260" s="9"/>
    </row>
    <row r="69281" spans="15:15" x14ac:dyDescent="0.25">
      <c r="O69281" s="9"/>
    </row>
    <row r="69302" spans="15:15" x14ac:dyDescent="0.25">
      <c r="O69302" s="9"/>
    </row>
    <row r="69323" spans="15:15" x14ac:dyDescent="0.25">
      <c r="O69323" s="9"/>
    </row>
    <row r="69344" spans="15:15" x14ac:dyDescent="0.25">
      <c r="O69344" s="9"/>
    </row>
    <row r="69365" spans="15:15" x14ac:dyDescent="0.25">
      <c r="O69365" s="9"/>
    </row>
    <row r="69386" spans="15:15" x14ac:dyDescent="0.25">
      <c r="O69386" s="9"/>
    </row>
    <row r="69407" spans="15:15" x14ac:dyDescent="0.25">
      <c r="O69407" s="9"/>
    </row>
    <row r="69428" spans="15:15" x14ac:dyDescent="0.25">
      <c r="O69428" s="9"/>
    </row>
    <row r="69449" spans="15:15" x14ac:dyDescent="0.25">
      <c r="O69449" s="9"/>
    </row>
    <row r="69470" spans="15:15" x14ac:dyDescent="0.25">
      <c r="O69470" s="9"/>
    </row>
    <row r="69491" spans="15:15" x14ac:dyDescent="0.25">
      <c r="O69491" s="9"/>
    </row>
    <row r="69512" spans="15:15" x14ac:dyDescent="0.25">
      <c r="O69512" s="9"/>
    </row>
    <row r="69533" spans="15:15" x14ac:dyDescent="0.25">
      <c r="O69533" s="9"/>
    </row>
    <row r="69554" spans="15:15" x14ac:dyDescent="0.25">
      <c r="O69554" s="9"/>
    </row>
    <row r="69575" spans="15:15" x14ac:dyDescent="0.25">
      <c r="O69575" s="9"/>
    </row>
    <row r="69596" spans="15:15" x14ac:dyDescent="0.25">
      <c r="O69596" s="9"/>
    </row>
    <row r="69617" spans="15:15" x14ac:dyDescent="0.25">
      <c r="O69617" s="9"/>
    </row>
    <row r="69638" spans="15:15" x14ac:dyDescent="0.25">
      <c r="O69638" s="9"/>
    </row>
    <row r="69659" spans="15:15" x14ac:dyDescent="0.25">
      <c r="O69659" s="9"/>
    </row>
    <row r="69680" spans="15:15" x14ac:dyDescent="0.25">
      <c r="O69680" s="9"/>
    </row>
    <row r="69701" spans="15:15" x14ac:dyDescent="0.25">
      <c r="O69701" s="9"/>
    </row>
    <row r="69722" spans="15:15" x14ac:dyDescent="0.25">
      <c r="O69722" s="9"/>
    </row>
    <row r="69743" spans="15:15" x14ac:dyDescent="0.25">
      <c r="O69743" s="9"/>
    </row>
    <row r="69764" spans="15:15" x14ac:dyDescent="0.25">
      <c r="O69764" s="9"/>
    </row>
    <row r="69785" spans="15:15" x14ac:dyDescent="0.25">
      <c r="O69785" s="9"/>
    </row>
    <row r="69806" spans="15:15" x14ac:dyDescent="0.25">
      <c r="O69806" s="9"/>
    </row>
    <row r="69827" spans="15:15" x14ac:dyDescent="0.25">
      <c r="O69827" s="9"/>
    </row>
    <row r="69848" spans="15:15" x14ac:dyDescent="0.25">
      <c r="O69848" s="9"/>
    </row>
    <row r="69869" spans="15:15" x14ac:dyDescent="0.25">
      <c r="O69869" s="9"/>
    </row>
    <row r="69890" spans="15:15" x14ac:dyDescent="0.25">
      <c r="O69890" s="9"/>
    </row>
    <row r="69911" spans="15:15" x14ac:dyDescent="0.25">
      <c r="O69911" s="9"/>
    </row>
    <row r="69932" spans="15:15" x14ac:dyDescent="0.25">
      <c r="O69932" s="9"/>
    </row>
    <row r="69953" spans="15:15" x14ac:dyDescent="0.25">
      <c r="O69953" s="9"/>
    </row>
    <row r="69974" spans="15:15" x14ac:dyDescent="0.25">
      <c r="O69974" s="9"/>
    </row>
    <row r="69995" spans="15:15" x14ac:dyDescent="0.25">
      <c r="O69995" s="9"/>
    </row>
    <row r="70016" spans="15:15" x14ac:dyDescent="0.25">
      <c r="O70016" s="9"/>
    </row>
    <row r="70037" spans="15:15" x14ac:dyDescent="0.25">
      <c r="O70037" s="9"/>
    </row>
    <row r="70058" spans="15:15" x14ac:dyDescent="0.25">
      <c r="O70058" s="9"/>
    </row>
    <row r="70079" spans="15:15" x14ac:dyDescent="0.25">
      <c r="O70079" s="9"/>
    </row>
    <row r="70100" spans="15:15" x14ac:dyDescent="0.25">
      <c r="O70100" s="9"/>
    </row>
    <row r="70121" spans="15:15" x14ac:dyDescent="0.25">
      <c r="O70121" s="9"/>
    </row>
    <row r="70142" spans="15:15" x14ac:dyDescent="0.25">
      <c r="O70142" s="9"/>
    </row>
    <row r="70163" spans="15:15" x14ac:dyDescent="0.25">
      <c r="O70163" s="9"/>
    </row>
    <row r="70184" spans="15:15" x14ac:dyDescent="0.25">
      <c r="O70184" s="9"/>
    </row>
    <row r="70205" spans="15:15" x14ac:dyDescent="0.25">
      <c r="O70205" s="9"/>
    </row>
    <row r="70226" spans="15:15" x14ac:dyDescent="0.25">
      <c r="O70226" s="9"/>
    </row>
    <row r="70247" spans="15:15" x14ac:dyDescent="0.25">
      <c r="O70247" s="9"/>
    </row>
    <row r="70268" spans="15:15" x14ac:dyDescent="0.25">
      <c r="O70268" s="9"/>
    </row>
    <row r="70289" spans="15:15" x14ac:dyDescent="0.25">
      <c r="O70289" s="9"/>
    </row>
    <row r="70310" spans="15:15" x14ac:dyDescent="0.25">
      <c r="O70310" s="9"/>
    </row>
    <row r="70331" spans="15:15" x14ac:dyDescent="0.25">
      <c r="O70331" s="9"/>
    </row>
    <row r="70352" spans="15:15" x14ac:dyDescent="0.25">
      <c r="O70352" s="9"/>
    </row>
    <row r="70373" spans="15:15" x14ac:dyDescent="0.25">
      <c r="O70373" s="9"/>
    </row>
    <row r="70394" spans="15:15" x14ac:dyDescent="0.25">
      <c r="O70394" s="9"/>
    </row>
    <row r="70415" spans="15:15" x14ac:dyDescent="0.25">
      <c r="O70415" s="9"/>
    </row>
    <row r="70436" spans="15:15" x14ac:dyDescent="0.25">
      <c r="O70436" s="9"/>
    </row>
    <row r="70457" spans="15:15" x14ac:dyDescent="0.25">
      <c r="O70457" s="9"/>
    </row>
    <row r="70478" spans="15:15" x14ac:dyDescent="0.25">
      <c r="O70478" s="9"/>
    </row>
    <row r="70499" spans="15:15" x14ac:dyDescent="0.25">
      <c r="O70499" s="9"/>
    </row>
    <row r="70520" spans="15:15" x14ac:dyDescent="0.25">
      <c r="O70520" s="9"/>
    </row>
    <row r="70541" spans="15:15" x14ac:dyDescent="0.25">
      <c r="O70541" s="9"/>
    </row>
    <row r="70562" spans="15:15" x14ac:dyDescent="0.25">
      <c r="O70562" s="9"/>
    </row>
    <row r="70583" spans="15:15" x14ac:dyDescent="0.25">
      <c r="O70583" s="9"/>
    </row>
    <row r="70604" spans="15:15" x14ac:dyDescent="0.25">
      <c r="O70604" s="9"/>
    </row>
    <row r="70625" spans="15:15" x14ac:dyDescent="0.25">
      <c r="O70625" s="9"/>
    </row>
    <row r="70646" spans="15:15" x14ac:dyDescent="0.25">
      <c r="O70646" s="9"/>
    </row>
    <row r="70667" spans="15:15" x14ac:dyDescent="0.25">
      <c r="O70667" s="9"/>
    </row>
    <row r="70688" spans="15:15" x14ac:dyDescent="0.25">
      <c r="O70688" s="9"/>
    </row>
    <row r="70709" spans="15:15" x14ac:dyDescent="0.25">
      <c r="O70709" s="9"/>
    </row>
    <row r="70730" spans="15:15" x14ac:dyDescent="0.25">
      <c r="O70730" s="9"/>
    </row>
    <row r="70751" spans="15:15" x14ac:dyDescent="0.25">
      <c r="O70751" s="9"/>
    </row>
    <row r="70772" spans="15:15" x14ac:dyDescent="0.25">
      <c r="O70772" s="9"/>
    </row>
    <row r="70793" spans="15:15" x14ac:dyDescent="0.25">
      <c r="O70793" s="9"/>
    </row>
    <row r="70814" spans="15:15" x14ac:dyDescent="0.25">
      <c r="O70814" s="9"/>
    </row>
    <row r="70835" spans="15:15" x14ac:dyDescent="0.25">
      <c r="O70835" s="9"/>
    </row>
    <row r="70856" spans="15:15" x14ac:dyDescent="0.25">
      <c r="O70856" s="9"/>
    </row>
    <row r="70877" spans="15:15" x14ac:dyDescent="0.25">
      <c r="O70877" s="9"/>
    </row>
    <row r="70898" spans="15:15" x14ac:dyDescent="0.25">
      <c r="O70898" s="9"/>
    </row>
    <row r="70919" spans="15:15" x14ac:dyDescent="0.25">
      <c r="O70919" s="9"/>
    </row>
    <row r="70940" spans="15:15" x14ac:dyDescent="0.25">
      <c r="O70940" s="9"/>
    </row>
    <row r="70961" spans="15:15" x14ac:dyDescent="0.25">
      <c r="O70961" s="9"/>
    </row>
    <row r="70982" spans="15:15" x14ac:dyDescent="0.25">
      <c r="O70982" s="9"/>
    </row>
    <row r="71003" spans="15:15" x14ac:dyDescent="0.25">
      <c r="O71003" s="9"/>
    </row>
    <row r="71024" spans="15:15" x14ac:dyDescent="0.25">
      <c r="O71024" s="9"/>
    </row>
    <row r="71045" spans="15:15" x14ac:dyDescent="0.25">
      <c r="O71045" s="9"/>
    </row>
    <row r="71066" spans="15:15" x14ac:dyDescent="0.25">
      <c r="O71066" s="9"/>
    </row>
    <row r="71087" spans="15:15" x14ac:dyDescent="0.25">
      <c r="O71087" s="9"/>
    </row>
    <row r="71108" spans="15:15" x14ac:dyDescent="0.25">
      <c r="O71108" s="9"/>
    </row>
    <row r="71129" spans="15:15" x14ac:dyDescent="0.25">
      <c r="O71129" s="9"/>
    </row>
    <row r="71150" spans="15:15" x14ac:dyDescent="0.25">
      <c r="O71150" s="9"/>
    </row>
    <row r="71171" spans="15:15" x14ac:dyDescent="0.25">
      <c r="O71171" s="9"/>
    </row>
    <row r="71192" spans="15:15" x14ac:dyDescent="0.25">
      <c r="O71192" s="9"/>
    </row>
    <row r="71213" spans="15:15" x14ac:dyDescent="0.25">
      <c r="O71213" s="9"/>
    </row>
    <row r="71234" spans="15:15" x14ac:dyDescent="0.25">
      <c r="O71234" s="9"/>
    </row>
    <row r="71255" spans="15:15" x14ac:dyDescent="0.25">
      <c r="O71255" s="9"/>
    </row>
    <row r="71276" spans="15:15" x14ac:dyDescent="0.25">
      <c r="O71276" s="9"/>
    </row>
    <row r="71297" spans="15:15" x14ac:dyDescent="0.25">
      <c r="O71297" s="9"/>
    </row>
    <row r="71318" spans="15:15" x14ac:dyDescent="0.25">
      <c r="O71318" s="9"/>
    </row>
    <row r="71339" spans="15:15" x14ac:dyDescent="0.25">
      <c r="O71339" s="9"/>
    </row>
    <row r="71360" spans="15:15" x14ac:dyDescent="0.25">
      <c r="O71360" s="9"/>
    </row>
    <row r="71381" spans="15:15" x14ac:dyDescent="0.25">
      <c r="O71381" s="9"/>
    </row>
    <row r="71402" spans="15:15" x14ac:dyDescent="0.25">
      <c r="O71402" s="9"/>
    </row>
    <row r="71423" spans="15:15" x14ac:dyDescent="0.25">
      <c r="O71423" s="9"/>
    </row>
    <row r="71444" spans="15:15" x14ac:dyDescent="0.25">
      <c r="O71444" s="9"/>
    </row>
    <row r="71465" spans="15:15" x14ac:dyDescent="0.25">
      <c r="O71465" s="9"/>
    </row>
    <row r="71486" spans="15:15" x14ac:dyDescent="0.25">
      <c r="O71486" s="9"/>
    </row>
    <row r="71507" spans="15:15" x14ac:dyDescent="0.25">
      <c r="O71507" s="9"/>
    </row>
    <row r="71528" spans="15:15" x14ac:dyDescent="0.25">
      <c r="O71528" s="9"/>
    </row>
    <row r="71549" spans="15:15" x14ac:dyDescent="0.25">
      <c r="O71549" s="9"/>
    </row>
    <row r="71570" spans="15:15" x14ac:dyDescent="0.25">
      <c r="O71570" s="9"/>
    </row>
    <row r="71591" spans="15:15" x14ac:dyDescent="0.25">
      <c r="O71591" s="9"/>
    </row>
    <row r="71612" spans="15:15" x14ac:dyDescent="0.25">
      <c r="O71612" s="9"/>
    </row>
    <row r="71633" spans="15:15" x14ac:dyDescent="0.25">
      <c r="O71633" s="9"/>
    </row>
    <row r="71654" spans="15:15" x14ac:dyDescent="0.25">
      <c r="O71654" s="9"/>
    </row>
    <row r="71675" spans="15:15" x14ac:dyDescent="0.25">
      <c r="O71675" s="9"/>
    </row>
    <row r="71696" spans="15:15" x14ac:dyDescent="0.25">
      <c r="O71696" s="9"/>
    </row>
    <row r="71717" spans="15:15" x14ac:dyDescent="0.25">
      <c r="O71717" s="9"/>
    </row>
    <row r="71738" spans="15:15" x14ac:dyDescent="0.25">
      <c r="O71738" s="9"/>
    </row>
    <row r="71759" spans="15:15" x14ac:dyDescent="0.25">
      <c r="O71759" s="9"/>
    </row>
    <row r="71780" spans="15:15" x14ac:dyDescent="0.25">
      <c r="O71780" s="9"/>
    </row>
    <row r="71801" spans="15:15" x14ac:dyDescent="0.25">
      <c r="O71801" s="9"/>
    </row>
    <row r="71822" spans="15:15" x14ac:dyDescent="0.25">
      <c r="O71822" s="9"/>
    </row>
    <row r="71843" spans="15:15" x14ac:dyDescent="0.25">
      <c r="O71843" s="9"/>
    </row>
    <row r="71864" spans="15:15" x14ac:dyDescent="0.25">
      <c r="O71864" s="9"/>
    </row>
    <row r="71885" spans="15:15" x14ac:dyDescent="0.25">
      <c r="O71885" s="9"/>
    </row>
    <row r="71906" spans="15:15" x14ac:dyDescent="0.25">
      <c r="O71906" s="9"/>
    </row>
    <row r="71927" spans="15:15" x14ac:dyDescent="0.25">
      <c r="O71927" s="9"/>
    </row>
    <row r="71948" spans="15:15" x14ac:dyDescent="0.25">
      <c r="O71948" s="9"/>
    </row>
    <row r="71969" spans="15:15" x14ac:dyDescent="0.25">
      <c r="O71969" s="9"/>
    </row>
    <row r="71990" spans="15:15" x14ac:dyDescent="0.25">
      <c r="O71990" s="9"/>
    </row>
    <row r="72011" spans="15:15" x14ac:dyDescent="0.25">
      <c r="O72011" s="9"/>
    </row>
    <row r="72032" spans="15:15" x14ac:dyDescent="0.25">
      <c r="O72032" s="9"/>
    </row>
    <row r="72053" spans="15:15" x14ac:dyDescent="0.25">
      <c r="O72053" s="9"/>
    </row>
    <row r="72074" spans="15:15" x14ac:dyDescent="0.25">
      <c r="O72074" s="9"/>
    </row>
    <row r="72095" spans="15:15" x14ac:dyDescent="0.25">
      <c r="O72095" s="9"/>
    </row>
    <row r="72116" spans="15:15" x14ac:dyDescent="0.25">
      <c r="O72116" s="9"/>
    </row>
    <row r="72137" spans="15:15" x14ac:dyDescent="0.25">
      <c r="O72137" s="9"/>
    </row>
    <row r="72158" spans="15:15" x14ac:dyDescent="0.25">
      <c r="O72158" s="9"/>
    </row>
    <row r="72179" spans="15:15" x14ac:dyDescent="0.25">
      <c r="O72179" s="9"/>
    </row>
    <row r="72200" spans="15:15" x14ac:dyDescent="0.25">
      <c r="O72200" s="9"/>
    </row>
    <row r="72221" spans="15:15" x14ac:dyDescent="0.25">
      <c r="O72221" s="9"/>
    </row>
    <row r="72242" spans="15:15" x14ac:dyDescent="0.25">
      <c r="O72242" s="9"/>
    </row>
    <row r="72263" spans="15:15" x14ac:dyDescent="0.25">
      <c r="O72263" s="9"/>
    </row>
    <row r="72284" spans="15:15" x14ac:dyDescent="0.25">
      <c r="O72284" s="9"/>
    </row>
    <row r="72305" spans="15:15" x14ac:dyDescent="0.25">
      <c r="O72305" s="9"/>
    </row>
    <row r="72326" spans="15:15" x14ac:dyDescent="0.25">
      <c r="O72326" s="9"/>
    </row>
    <row r="72347" spans="15:15" x14ac:dyDescent="0.25">
      <c r="O72347" s="9"/>
    </row>
    <row r="72368" spans="15:15" x14ac:dyDescent="0.25">
      <c r="O72368" s="9"/>
    </row>
    <row r="72389" spans="15:15" x14ac:dyDescent="0.25">
      <c r="O72389" s="9"/>
    </row>
    <row r="72410" spans="15:15" x14ac:dyDescent="0.25">
      <c r="O72410" s="9"/>
    </row>
    <row r="72431" spans="15:15" x14ac:dyDescent="0.25">
      <c r="O72431" s="9"/>
    </row>
    <row r="72452" spans="15:15" x14ac:dyDescent="0.25">
      <c r="O72452" s="9"/>
    </row>
    <row r="72473" spans="15:15" x14ac:dyDescent="0.25">
      <c r="O72473" s="9"/>
    </row>
    <row r="72494" spans="15:15" x14ac:dyDescent="0.25">
      <c r="O72494" s="9"/>
    </row>
    <row r="72515" spans="15:15" x14ac:dyDescent="0.25">
      <c r="O72515" s="9"/>
    </row>
    <row r="72536" spans="15:15" x14ac:dyDescent="0.25">
      <c r="O72536" s="9"/>
    </row>
    <row r="72557" spans="15:15" x14ac:dyDescent="0.25">
      <c r="O72557" s="9"/>
    </row>
    <row r="72578" spans="15:15" x14ac:dyDescent="0.25">
      <c r="O72578" s="9"/>
    </row>
    <row r="72599" spans="15:15" x14ac:dyDescent="0.25">
      <c r="O72599" s="9"/>
    </row>
    <row r="72620" spans="15:15" x14ac:dyDescent="0.25">
      <c r="O72620" s="9"/>
    </row>
    <row r="72641" spans="15:15" x14ac:dyDescent="0.25">
      <c r="O72641" s="9"/>
    </row>
    <row r="72662" spans="15:15" x14ac:dyDescent="0.25">
      <c r="O72662" s="9"/>
    </row>
    <row r="72683" spans="15:15" x14ac:dyDescent="0.25">
      <c r="O72683" s="9"/>
    </row>
    <row r="72704" spans="15:15" x14ac:dyDescent="0.25">
      <c r="O72704" s="9"/>
    </row>
    <row r="72725" spans="15:15" x14ac:dyDescent="0.25">
      <c r="O72725" s="9"/>
    </row>
    <row r="72746" spans="15:15" x14ac:dyDescent="0.25">
      <c r="O72746" s="9"/>
    </row>
    <row r="72767" spans="15:15" x14ac:dyDescent="0.25">
      <c r="O72767" s="9"/>
    </row>
    <row r="72788" spans="15:15" x14ac:dyDescent="0.25">
      <c r="O72788" s="9"/>
    </row>
    <row r="72809" spans="15:15" x14ac:dyDescent="0.25">
      <c r="O72809" s="9"/>
    </row>
    <row r="72830" spans="15:15" x14ac:dyDescent="0.25">
      <c r="O72830" s="9"/>
    </row>
    <row r="72851" spans="15:15" x14ac:dyDescent="0.25">
      <c r="O72851" s="9"/>
    </row>
    <row r="72872" spans="15:15" x14ac:dyDescent="0.25">
      <c r="O72872" s="9"/>
    </row>
    <row r="72893" spans="15:15" x14ac:dyDescent="0.25">
      <c r="O72893" s="9"/>
    </row>
    <row r="72914" spans="15:15" x14ac:dyDescent="0.25">
      <c r="O72914" s="9"/>
    </row>
    <row r="72935" spans="15:15" x14ac:dyDescent="0.25">
      <c r="O72935" s="9"/>
    </row>
    <row r="72956" spans="15:15" x14ac:dyDescent="0.25">
      <c r="O72956" s="9"/>
    </row>
    <row r="72977" spans="15:15" x14ac:dyDescent="0.25">
      <c r="O72977" s="9"/>
    </row>
    <row r="72998" spans="15:15" x14ac:dyDescent="0.25">
      <c r="O72998" s="9"/>
    </row>
    <row r="73019" spans="15:15" x14ac:dyDescent="0.25">
      <c r="O73019" s="9"/>
    </row>
    <row r="73040" spans="15:15" x14ac:dyDescent="0.25">
      <c r="O73040" s="9"/>
    </row>
    <row r="73061" spans="15:15" x14ac:dyDescent="0.25">
      <c r="O73061" s="9"/>
    </row>
    <row r="73082" spans="15:15" x14ac:dyDescent="0.25">
      <c r="O73082" s="9"/>
    </row>
    <row r="73103" spans="15:15" x14ac:dyDescent="0.25">
      <c r="O73103" s="9"/>
    </row>
    <row r="73124" spans="15:15" x14ac:dyDescent="0.25">
      <c r="O73124" s="9"/>
    </row>
    <row r="73145" spans="15:15" x14ac:dyDescent="0.25">
      <c r="O73145" s="9"/>
    </row>
    <row r="73166" spans="15:15" x14ac:dyDescent="0.25">
      <c r="O73166" s="9"/>
    </row>
    <row r="73187" spans="15:15" x14ac:dyDescent="0.25">
      <c r="O73187" s="9"/>
    </row>
    <row r="73208" spans="15:15" x14ac:dyDescent="0.25">
      <c r="O73208" s="9"/>
    </row>
    <row r="73229" spans="15:15" x14ac:dyDescent="0.25">
      <c r="O73229" s="9"/>
    </row>
    <row r="73250" spans="15:15" x14ac:dyDescent="0.25">
      <c r="O73250" s="9"/>
    </row>
    <row r="73271" spans="15:15" x14ac:dyDescent="0.25">
      <c r="O73271" s="9"/>
    </row>
    <row r="73292" spans="15:15" x14ac:dyDescent="0.25">
      <c r="O73292" s="9"/>
    </row>
    <row r="73313" spans="15:15" x14ac:dyDescent="0.25">
      <c r="O73313" s="9"/>
    </row>
    <row r="73334" spans="15:15" x14ac:dyDescent="0.25">
      <c r="O73334" s="9"/>
    </row>
    <row r="73355" spans="15:15" x14ac:dyDescent="0.25">
      <c r="O73355" s="9"/>
    </row>
    <row r="73376" spans="15:15" x14ac:dyDescent="0.25">
      <c r="O73376" s="9"/>
    </row>
    <row r="73397" spans="15:15" x14ac:dyDescent="0.25">
      <c r="O73397" s="9"/>
    </row>
    <row r="73418" spans="15:15" x14ac:dyDescent="0.25">
      <c r="O73418" s="9"/>
    </row>
    <row r="73439" spans="15:15" x14ac:dyDescent="0.25">
      <c r="O73439" s="9"/>
    </row>
    <row r="73460" spans="15:15" x14ac:dyDescent="0.25">
      <c r="O73460" s="9"/>
    </row>
    <row r="73481" spans="15:15" x14ac:dyDescent="0.25">
      <c r="O73481" s="9"/>
    </row>
    <row r="73502" spans="15:15" x14ac:dyDescent="0.25">
      <c r="O73502" s="9"/>
    </row>
    <row r="73523" spans="15:15" x14ac:dyDescent="0.25">
      <c r="O73523" s="9"/>
    </row>
    <row r="73544" spans="15:15" x14ac:dyDescent="0.25">
      <c r="O73544" s="9"/>
    </row>
    <row r="73565" spans="15:15" x14ac:dyDescent="0.25">
      <c r="O73565" s="9"/>
    </row>
    <row r="73586" spans="15:15" x14ac:dyDescent="0.25">
      <c r="O73586" s="9"/>
    </row>
    <row r="73607" spans="15:15" x14ac:dyDescent="0.25">
      <c r="O73607" s="9"/>
    </row>
    <row r="73628" spans="15:15" x14ac:dyDescent="0.25">
      <c r="O73628" s="9"/>
    </row>
    <row r="73649" spans="15:15" x14ac:dyDescent="0.25">
      <c r="O73649" s="9"/>
    </row>
    <row r="73670" spans="15:15" x14ac:dyDescent="0.25">
      <c r="O73670" s="9"/>
    </row>
    <row r="73691" spans="15:15" x14ac:dyDescent="0.25">
      <c r="O73691" s="9"/>
    </row>
    <row r="73712" spans="15:15" x14ac:dyDescent="0.25">
      <c r="O73712" s="9"/>
    </row>
    <row r="73733" spans="15:15" x14ac:dyDescent="0.25">
      <c r="O73733" s="9"/>
    </row>
    <row r="73754" spans="15:15" x14ac:dyDescent="0.25">
      <c r="O73754" s="9"/>
    </row>
    <row r="73775" spans="15:15" x14ac:dyDescent="0.25">
      <c r="O73775" s="9"/>
    </row>
    <row r="73796" spans="15:15" x14ac:dyDescent="0.25">
      <c r="O73796" s="9"/>
    </row>
    <row r="73817" spans="15:15" x14ac:dyDescent="0.25">
      <c r="O73817" s="9"/>
    </row>
    <row r="73838" spans="15:15" x14ac:dyDescent="0.25">
      <c r="O73838" s="9"/>
    </row>
    <row r="73859" spans="15:15" x14ac:dyDescent="0.25">
      <c r="O73859" s="9"/>
    </row>
    <row r="73880" spans="15:15" x14ac:dyDescent="0.25">
      <c r="O73880" s="9"/>
    </row>
    <row r="73901" spans="15:15" x14ac:dyDescent="0.25">
      <c r="O73901" s="9"/>
    </row>
    <row r="73922" spans="15:15" x14ac:dyDescent="0.25">
      <c r="O73922" s="9"/>
    </row>
    <row r="73943" spans="15:15" x14ac:dyDescent="0.25">
      <c r="O73943" s="9"/>
    </row>
    <row r="73964" spans="15:15" x14ac:dyDescent="0.25">
      <c r="O73964" s="9"/>
    </row>
    <row r="73985" spans="15:15" x14ac:dyDescent="0.25">
      <c r="O73985" s="9"/>
    </row>
    <row r="74006" spans="15:15" x14ac:dyDescent="0.25">
      <c r="O74006" s="9"/>
    </row>
    <row r="74027" spans="15:15" x14ac:dyDescent="0.25">
      <c r="O74027" s="9"/>
    </row>
    <row r="74048" spans="15:15" x14ac:dyDescent="0.25">
      <c r="O74048" s="9"/>
    </row>
    <row r="74069" spans="15:15" x14ac:dyDescent="0.25">
      <c r="O74069" s="9"/>
    </row>
    <row r="74090" spans="15:15" x14ac:dyDescent="0.25">
      <c r="O74090" s="9"/>
    </row>
    <row r="74111" spans="15:15" x14ac:dyDescent="0.25">
      <c r="O74111" s="9"/>
    </row>
    <row r="74132" spans="15:15" x14ac:dyDescent="0.25">
      <c r="O74132" s="9"/>
    </row>
    <row r="74153" spans="15:15" x14ac:dyDescent="0.25">
      <c r="O74153" s="9"/>
    </row>
    <row r="74174" spans="15:15" x14ac:dyDescent="0.25">
      <c r="O74174" s="9"/>
    </row>
    <row r="74195" spans="15:15" x14ac:dyDescent="0.25">
      <c r="O74195" s="9"/>
    </row>
    <row r="74216" spans="15:15" x14ac:dyDescent="0.25">
      <c r="O74216" s="9"/>
    </row>
    <row r="74237" spans="15:15" x14ac:dyDescent="0.25">
      <c r="O74237" s="9"/>
    </row>
    <row r="74258" spans="15:15" x14ac:dyDescent="0.25">
      <c r="O74258" s="9"/>
    </row>
    <row r="74279" spans="15:15" x14ac:dyDescent="0.25">
      <c r="O74279" s="9"/>
    </row>
    <row r="74300" spans="15:15" x14ac:dyDescent="0.25">
      <c r="O74300" s="9"/>
    </row>
    <row r="74321" spans="15:15" x14ac:dyDescent="0.25">
      <c r="O74321" s="9"/>
    </row>
    <row r="74342" spans="15:15" x14ac:dyDescent="0.25">
      <c r="O74342" s="9"/>
    </row>
    <row r="74363" spans="15:15" x14ac:dyDescent="0.25">
      <c r="O74363" s="9"/>
    </row>
    <row r="74384" spans="15:15" x14ac:dyDescent="0.25">
      <c r="O74384" s="9"/>
    </row>
    <row r="74405" spans="15:15" x14ac:dyDescent="0.25">
      <c r="O74405" s="9"/>
    </row>
    <row r="74426" spans="15:15" x14ac:dyDescent="0.25">
      <c r="O74426" s="9"/>
    </row>
    <row r="74447" spans="15:15" x14ac:dyDescent="0.25">
      <c r="O74447" s="9"/>
    </row>
    <row r="74468" spans="15:15" x14ac:dyDescent="0.25">
      <c r="O74468" s="9"/>
    </row>
    <row r="74489" spans="15:15" x14ac:dyDescent="0.25">
      <c r="O74489" s="9"/>
    </row>
    <row r="74510" spans="15:15" x14ac:dyDescent="0.25">
      <c r="O74510" s="9"/>
    </row>
    <row r="74531" spans="15:15" x14ac:dyDescent="0.25">
      <c r="O74531" s="9"/>
    </row>
    <row r="74552" spans="15:15" x14ac:dyDescent="0.25">
      <c r="O74552" s="9"/>
    </row>
    <row r="74573" spans="15:15" x14ac:dyDescent="0.25">
      <c r="O74573" s="9"/>
    </row>
    <row r="74594" spans="15:15" x14ac:dyDescent="0.25">
      <c r="O74594" s="9"/>
    </row>
    <row r="74615" spans="15:15" x14ac:dyDescent="0.25">
      <c r="O74615" s="9"/>
    </row>
    <row r="74636" spans="15:15" x14ac:dyDescent="0.25">
      <c r="O74636" s="9"/>
    </row>
    <row r="74657" spans="15:15" x14ac:dyDescent="0.25">
      <c r="O74657" s="9"/>
    </row>
    <row r="74678" spans="15:15" x14ac:dyDescent="0.25">
      <c r="O74678" s="9"/>
    </row>
    <row r="74699" spans="15:15" x14ac:dyDescent="0.25">
      <c r="O74699" s="9"/>
    </row>
    <row r="74720" spans="15:15" x14ac:dyDescent="0.25">
      <c r="O74720" s="9"/>
    </row>
    <row r="74741" spans="15:15" x14ac:dyDescent="0.25">
      <c r="O74741" s="9"/>
    </row>
    <row r="74762" spans="15:15" x14ac:dyDescent="0.25">
      <c r="O74762" s="9"/>
    </row>
    <row r="74783" spans="15:15" x14ac:dyDescent="0.25">
      <c r="O74783" s="9"/>
    </row>
    <row r="74804" spans="15:15" x14ac:dyDescent="0.25">
      <c r="O74804" s="9"/>
    </row>
    <row r="74825" spans="15:15" x14ac:dyDescent="0.25">
      <c r="O74825" s="9"/>
    </row>
    <row r="74846" spans="15:15" x14ac:dyDescent="0.25">
      <c r="O74846" s="9"/>
    </row>
    <row r="74867" spans="15:15" x14ac:dyDescent="0.25">
      <c r="O74867" s="9"/>
    </row>
    <row r="74888" spans="15:15" x14ac:dyDescent="0.25">
      <c r="O74888" s="9"/>
    </row>
    <row r="74909" spans="15:15" x14ac:dyDescent="0.25">
      <c r="O74909" s="9"/>
    </row>
    <row r="74930" spans="15:15" x14ac:dyDescent="0.25">
      <c r="O74930" s="9"/>
    </row>
    <row r="74951" spans="15:15" x14ac:dyDescent="0.25">
      <c r="O74951" s="9"/>
    </row>
    <row r="74972" spans="15:15" x14ac:dyDescent="0.25">
      <c r="O74972" s="9"/>
    </row>
    <row r="74993" spans="15:15" x14ac:dyDescent="0.25">
      <c r="O74993" s="9"/>
    </row>
    <row r="75014" spans="15:15" x14ac:dyDescent="0.25">
      <c r="O75014" s="9"/>
    </row>
    <row r="75035" spans="15:15" x14ac:dyDescent="0.25">
      <c r="O75035" s="9"/>
    </row>
    <row r="75056" spans="15:15" x14ac:dyDescent="0.25">
      <c r="O75056" s="9"/>
    </row>
    <row r="75077" spans="15:15" x14ac:dyDescent="0.25">
      <c r="O75077" s="9"/>
    </row>
    <row r="75098" spans="15:15" x14ac:dyDescent="0.25">
      <c r="O75098" s="9"/>
    </row>
    <row r="75119" spans="15:15" x14ac:dyDescent="0.25">
      <c r="O75119" s="9"/>
    </row>
    <row r="75140" spans="15:15" x14ac:dyDescent="0.25">
      <c r="O75140" s="9"/>
    </row>
    <row r="75161" spans="15:15" x14ac:dyDescent="0.25">
      <c r="O75161" s="9"/>
    </row>
    <row r="75182" spans="15:15" x14ac:dyDescent="0.25">
      <c r="O75182" s="9"/>
    </row>
    <row r="75203" spans="15:15" x14ac:dyDescent="0.25">
      <c r="O75203" s="9"/>
    </row>
    <row r="75224" spans="15:15" x14ac:dyDescent="0.25">
      <c r="O75224" s="9"/>
    </row>
    <row r="75245" spans="15:15" x14ac:dyDescent="0.25">
      <c r="O75245" s="9"/>
    </row>
    <row r="75266" spans="15:15" x14ac:dyDescent="0.25">
      <c r="O75266" s="9"/>
    </row>
    <row r="75287" spans="15:15" x14ac:dyDescent="0.25">
      <c r="O75287" s="9"/>
    </row>
    <row r="75308" spans="15:15" x14ac:dyDescent="0.25">
      <c r="O75308" s="9"/>
    </row>
    <row r="75329" spans="15:15" x14ac:dyDescent="0.25">
      <c r="O75329" s="9"/>
    </row>
    <row r="75350" spans="15:15" x14ac:dyDescent="0.25">
      <c r="O75350" s="9"/>
    </row>
    <row r="75371" spans="15:15" x14ac:dyDescent="0.25">
      <c r="O75371" s="9"/>
    </row>
    <row r="75392" spans="15:15" x14ac:dyDescent="0.25">
      <c r="O75392" s="9"/>
    </row>
    <row r="75413" spans="15:15" x14ac:dyDescent="0.25">
      <c r="O75413" s="9"/>
    </row>
    <row r="75434" spans="15:15" x14ac:dyDescent="0.25">
      <c r="O75434" s="9"/>
    </row>
    <row r="75455" spans="15:15" x14ac:dyDescent="0.25">
      <c r="O75455" s="9"/>
    </row>
    <row r="75476" spans="15:15" x14ac:dyDescent="0.25">
      <c r="O75476" s="9"/>
    </row>
    <row r="75497" spans="15:15" x14ac:dyDescent="0.25">
      <c r="O75497" s="9"/>
    </row>
    <row r="75518" spans="15:15" x14ac:dyDescent="0.25">
      <c r="O75518" s="9"/>
    </row>
    <row r="75539" spans="15:15" x14ac:dyDescent="0.25">
      <c r="O75539" s="9"/>
    </row>
    <row r="75560" spans="15:15" x14ac:dyDescent="0.25">
      <c r="O75560" s="9"/>
    </row>
    <row r="75581" spans="15:15" x14ac:dyDescent="0.25">
      <c r="O75581" s="9"/>
    </row>
    <row r="75602" spans="15:15" x14ac:dyDescent="0.25">
      <c r="O75602" s="9"/>
    </row>
    <row r="75623" spans="15:15" x14ac:dyDescent="0.25">
      <c r="O75623" s="9"/>
    </row>
    <row r="75644" spans="15:15" x14ac:dyDescent="0.25">
      <c r="O75644" s="9"/>
    </row>
    <row r="75665" spans="15:15" x14ac:dyDescent="0.25">
      <c r="O75665" s="9"/>
    </row>
    <row r="75686" spans="15:15" x14ac:dyDescent="0.25">
      <c r="O75686" s="9"/>
    </row>
    <row r="75707" spans="15:15" x14ac:dyDescent="0.25">
      <c r="O75707" s="9"/>
    </row>
    <row r="75728" spans="15:15" x14ac:dyDescent="0.25">
      <c r="O75728" s="9"/>
    </row>
    <row r="75749" spans="15:15" x14ac:dyDescent="0.25">
      <c r="O75749" s="9"/>
    </row>
    <row r="75770" spans="15:15" x14ac:dyDescent="0.25">
      <c r="O75770" s="9"/>
    </row>
    <row r="75791" spans="15:15" x14ac:dyDescent="0.25">
      <c r="O75791" s="9"/>
    </row>
    <row r="75812" spans="15:15" x14ac:dyDescent="0.25">
      <c r="O75812" s="9"/>
    </row>
    <row r="75833" spans="15:15" x14ac:dyDescent="0.25">
      <c r="O75833" s="9"/>
    </row>
    <row r="75854" spans="15:15" x14ac:dyDescent="0.25">
      <c r="O75854" s="9"/>
    </row>
    <row r="75875" spans="15:15" x14ac:dyDescent="0.25">
      <c r="O75875" s="9"/>
    </row>
    <row r="75896" spans="15:15" x14ac:dyDescent="0.25">
      <c r="O75896" s="9"/>
    </row>
    <row r="75917" spans="15:15" x14ac:dyDescent="0.25">
      <c r="O75917" s="9"/>
    </row>
    <row r="75938" spans="15:15" x14ac:dyDescent="0.25">
      <c r="O75938" s="9"/>
    </row>
    <row r="75959" spans="15:15" x14ac:dyDescent="0.25">
      <c r="O75959" s="9"/>
    </row>
    <row r="75980" spans="15:15" x14ac:dyDescent="0.25">
      <c r="O75980" s="9"/>
    </row>
    <row r="76001" spans="15:15" x14ac:dyDescent="0.25">
      <c r="O76001" s="9"/>
    </row>
    <row r="76022" spans="15:15" x14ac:dyDescent="0.25">
      <c r="O76022" s="9"/>
    </row>
    <row r="76043" spans="15:15" x14ac:dyDescent="0.25">
      <c r="O76043" s="9"/>
    </row>
    <row r="76064" spans="15:15" x14ac:dyDescent="0.25">
      <c r="O76064" s="9"/>
    </row>
    <row r="76085" spans="15:15" x14ac:dyDescent="0.25">
      <c r="O76085" s="9"/>
    </row>
    <row r="76106" spans="15:15" x14ac:dyDescent="0.25">
      <c r="O76106" s="9"/>
    </row>
    <row r="76127" spans="15:15" x14ac:dyDescent="0.25">
      <c r="O76127" s="9"/>
    </row>
    <row r="76148" spans="15:15" x14ac:dyDescent="0.25">
      <c r="O76148" s="9"/>
    </row>
    <row r="76169" spans="15:15" x14ac:dyDescent="0.25">
      <c r="O76169" s="9"/>
    </row>
    <row r="76190" spans="15:15" x14ac:dyDescent="0.25">
      <c r="O76190" s="9"/>
    </row>
    <row r="76211" spans="15:15" x14ac:dyDescent="0.25">
      <c r="O76211" s="9"/>
    </row>
    <row r="76232" spans="15:15" x14ac:dyDescent="0.25">
      <c r="O76232" s="9"/>
    </row>
    <row r="76253" spans="15:15" x14ac:dyDescent="0.25">
      <c r="O76253" s="9"/>
    </row>
    <row r="76274" spans="15:15" x14ac:dyDescent="0.25">
      <c r="O76274" s="9"/>
    </row>
    <row r="76295" spans="15:15" x14ac:dyDescent="0.25">
      <c r="O76295" s="9"/>
    </row>
    <row r="76316" spans="15:15" x14ac:dyDescent="0.25">
      <c r="O76316" s="9"/>
    </row>
    <row r="76337" spans="15:15" x14ac:dyDescent="0.25">
      <c r="O76337" s="9"/>
    </row>
    <row r="76358" spans="15:15" x14ac:dyDescent="0.25">
      <c r="O76358" s="9"/>
    </row>
    <row r="76379" spans="15:15" x14ac:dyDescent="0.25">
      <c r="O76379" s="9"/>
    </row>
    <row r="76400" spans="15:15" x14ac:dyDescent="0.25">
      <c r="O76400" s="9"/>
    </row>
    <row r="76421" spans="15:15" x14ac:dyDescent="0.25">
      <c r="O76421" s="9"/>
    </row>
    <row r="76442" spans="15:15" x14ac:dyDescent="0.25">
      <c r="O76442" s="9"/>
    </row>
    <row r="76463" spans="15:15" x14ac:dyDescent="0.25">
      <c r="O76463" s="9"/>
    </row>
    <row r="76484" spans="15:15" x14ac:dyDescent="0.25">
      <c r="O76484" s="9"/>
    </row>
    <row r="76505" spans="15:15" x14ac:dyDescent="0.25">
      <c r="O76505" s="9"/>
    </row>
    <row r="76526" spans="15:15" x14ac:dyDescent="0.25">
      <c r="O76526" s="9"/>
    </row>
    <row r="76547" spans="15:15" x14ac:dyDescent="0.25">
      <c r="O76547" s="9"/>
    </row>
    <row r="76568" spans="15:15" x14ac:dyDescent="0.25">
      <c r="O76568" s="9"/>
    </row>
    <row r="76589" spans="15:15" x14ac:dyDescent="0.25">
      <c r="O76589" s="9"/>
    </row>
    <row r="76610" spans="15:15" x14ac:dyDescent="0.25">
      <c r="O76610" s="9"/>
    </row>
    <row r="76631" spans="15:15" x14ac:dyDescent="0.25">
      <c r="O76631" s="9"/>
    </row>
    <row r="76652" spans="15:15" x14ac:dyDescent="0.25">
      <c r="O76652" s="9"/>
    </row>
    <row r="76673" spans="15:15" x14ac:dyDescent="0.25">
      <c r="O76673" s="9"/>
    </row>
    <row r="76694" spans="15:15" x14ac:dyDescent="0.25">
      <c r="O76694" s="9"/>
    </row>
    <row r="76715" spans="15:15" x14ac:dyDescent="0.25">
      <c r="O76715" s="9"/>
    </row>
    <row r="76736" spans="15:15" x14ac:dyDescent="0.25">
      <c r="O76736" s="9"/>
    </row>
    <row r="76757" spans="15:15" x14ac:dyDescent="0.25">
      <c r="O76757" s="9"/>
    </row>
    <row r="76778" spans="15:15" x14ac:dyDescent="0.25">
      <c r="O76778" s="9"/>
    </row>
    <row r="76799" spans="15:15" x14ac:dyDescent="0.25">
      <c r="O76799" s="9"/>
    </row>
    <row r="76820" spans="15:15" x14ac:dyDescent="0.25">
      <c r="O76820" s="9"/>
    </row>
    <row r="76841" spans="15:15" x14ac:dyDescent="0.25">
      <c r="O76841" s="9"/>
    </row>
    <row r="76862" spans="15:15" x14ac:dyDescent="0.25">
      <c r="O76862" s="9"/>
    </row>
    <row r="76883" spans="15:15" x14ac:dyDescent="0.25">
      <c r="O76883" s="9"/>
    </row>
    <row r="76904" spans="15:15" x14ac:dyDescent="0.25">
      <c r="O76904" s="9"/>
    </row>
    <row r="76925" spans="15:15" x14ac:dyDescent="0.25">
      <c r="O76925" s="9"/>
    </row>
    <row r="76946" spans="15:15" x14ac:dyDescent="0.25">
      <c r="O76946" s="9"/>
    </row>
    <row r="76967" spans="15:15" x14ac:dyDescent="0.25">
      <c r="O76967" s="9"/>
    </row>
    <row r="76988" spans="15:15" x14ac:dyDescent="0.25">
      <c r="O76988" s="9"/>
    </row>
    <row r="77009" spans="15:15" x14ac:dyDescent="0.25">
      <c r="O77009" s="9"/>
    </row>
    <row r="77030" spans="15:15" x14ac:dyDescent="0.25">
      <c r="O77030" s="9"/>
    </row>
    <row r="77051" spans="15:15" x14ac:dyDescent="0.25">
      <c r="O77051" s="9"/>
    </row>
    <row r="77072" spans="15:15" x14ac:dyDescent="0.25">
      <c r="O77072" s="9"/>
    </row>
    <row r="77093" spans="15:15" x14ac:dyDescent="0.25">
      <c r="O77093" s="9"/>
    </row>
    <row r="77114" spans="15:15" x14ac:dyDescent="0.25">
      <c r="O77114" s="9"/>
    </row>
    <row r="77135" spans="15:15" x14ac:dyDescent="0.25">
      <c r="O77135" s="9"/>
    </row>
    <row r="77156" spans="15:15" x14ac:dyDescent="0.25">
      <c r="O77156" s="9"/>
    </row>
    <row r="77177" spans="15:15" x14ac:dyDescent="0.25">
      <c r="O77177" s="9"/>
    </row>
    <row r="77198" spans="15:15" x14ac:dyDescent="0.25">
      <c r="O77198" s="9"/>
    </row>
    <row r="77219" spans="15:15" x14ac:dyDescent="0.25">
      <c r="O77219" s="9"/>
    </row>
    <row r="77240" spans="15:15" x14ac:dyDescent="0.25">
      <c r="O77240" s="9"/>
    </row>
    <row r="77261" spans="15:15" x14ac:dyDescent="0.25">
      <c r="O77261" s="9"/>
    </row>
    <row r="77282" spans="15:15" x14ac:dyDescent="0.25">
      <c r="O77282" s="9"/>
    </row>
    <row r="77303" spans="15:15" x14ac:dyDescent="0.25">
      <c r="O77303" s="9"/>
    </row>
    <row r="77324" spans="15:15" x14ac:dyDescent="0.25">
      <c r="O77324" s="9"/>
    </row>
    <row r="77345" spans="15:15" x14ac:dyDescent="0.25">
      <c r="O77345" s="9"/>
    </row>
    <row r="77366" spans="15:15" x14ac:dyDescent="0.25">
      <c r="O77366" s="9"/>
    </row>
    <row r="77387" spans="15:15" x14ac:dyDescent="0.25">
      <c r="O77387" s="9"/>
    </row>
    <row r="77408" spans="15:15" x14ac:dyDescent="0.25">
      <c r="O77408" s="9"/>
    </row>
    <row r="77429" spans="15:15" x14ac:dyDescent="0.25">
      <c r="O77429" s="9"/>
    </row>
    <row r="77450" spans="15:15" x14ac:dyDescent="0.25">
      <c r="O77450" s="9"/>
    </row>
    <row r="77471" spans="15:15" x14ac:dyDescent="0.25">
      <c r="O77471" s="9"/>
    </row>
    <row r="77492" spans="15:15" x14ac:dyDescent="0.25">
      <c r="O77492" s="9"/>
    </row>
    <row r="77513" spans="15:15" x14ac:dyDescent="0.25">
      <c r="O77513" s="9"/>
    </row>
    <row r="77534" spans="15:15" x14ac:dyDescent="0.25">
      <c r="O77534" s="9"/>
    </row>
    <row r="77555" spans="15:15" x14ac:dyDescent="0.25">
      <c r="O77555" s="9"/>
    </row>
    <row r="77576" spans="15:15" x14ac:dyDescent="0.25">
      <c r="O77576" s="9"/>
    </row>
    <row r="77597" spans="15:15" x14ac:dyDescent="0.25">
      <c r="O77597" s="9"/>
    </row>
    <row r="77618" spans="15:15" x14ac:dyDescent="0.25">
      <c r="O77618" s="9"/>
    </row>
    <row r="77639" spans="15:15" x14ac:dyDescent="0.25">
      <c r="O77639" s="9"/>
    </row>
    <row r="77660" spans="15:15" x14ac:dyDescent="0.25">
      <c r="O77660" s="9"/>
    </row>
    <row r="77681" spans="15:15" x14ac:dyDescent="0.25">
      <c r="O77681" s="9"/>
    </row>
    <row r="77702" spans="15:15" x14ac:dyDescent="0.25">
      <c r="O77702" s="9"/>
    </row>
    <row r="77723" spans="15:15" x14ac:dyDescent="0.25">
      <c r="O77723" s="9"/>
    </row>
    <row r="77744" spans="15:15" x14ac:dyDescent="0.25">
      <c r="O77744" s="9"/>
    </row>
    <row r="77765" spans="15:15" x14ac:dyDescent="0.25">
      <c r="O77765" s="9"/>
    </row>
    <row r="77786" spans="15:15" x14ac:dyDescent="0.25">
      <c r="O77786" s="9"/>
    </row>
    <row r="77807" spans="15:15" x14ac:dyDescent="0.25">
      <c r="O77807" s="9"/>
    </row>
    <row r="77828" spans="15:15" x14ac:dyDescent="0.25">
      <c r="O77828" s="9"/>
    </row>
    <row r="77849" spans="15:15" x14ac:dyDescent="0.25">
      <c r="O77849" s="9"/>
    </row>
    <row r="77870" spans="15:15" x14ac:dyDescent="0.25">
      <c r="O77870" s="9"/>
    </row>
    <row r="77891" spans="15:15" x14ac:dyDescent="0.25">
      <c r="O77891" s="9"/>
    </row>
    <row r="77912" spans="15:15" x14ac:dyDescent="0.25">
      <c r="O77912" s="9"/>
    </row>
    <row r="77933" spans="15:15" x14ac:dyDescent="0.25">
      <c r="O77933" s="9"/>
    </row>
    <row r="77954" spans="15:15" x14ac:dyDescent="0.25">
      <c r="O77954" s="9"/>
    </row>
    <row r="77975" spans="15:15" x14ac:dyDescent="0.25">
      <c r="O77975" s="9"/>
    </row>
    <row r="77996" spans="15:15" x14ac:dyDescent="0.25">
      <c r="O77996" s="9"/>
    </row>
    <row r="78017" spans="15:15" x14ac:dyDescent="0.25">
      <c r="O78017" s="9"/>
    </row>
    <row r="78038" spans="15:15" x14ac:dyDescent="0.25">
      <c r="O78038" s="9"/>
    </row>
    <row r="78059" spans="15:15" x14ac:dyDescent="0.25">
      <c r="O78059" s="9"/>
    </row>
    <row r="78080" spans="15:15" x14ac:dyDescent="0.25">
      <c r="O78080" s="9"/>
    </row>
    <row r="78101" spans="15:15" x14ac:dyDescent="0.25">
      <c r="O78101" s="9"/>
    </row>
    <row r="78122" spans="15:15" x14ac:dyDescent="0.25">
      <c r="O78122" s="9"/>
    </row>
    <row r="78143" spans="15:15" x14ac:dyDescent="0.25">
      <c r="O78143" s="9"/>
    </row>
    <row r="78164" spans="15:15" x14ac:dyDescent="0.25">
      <c r="O78164" s="9"/>
    </row>
    <row r="78185" spans="15:15" x14ac:dyDescent="0.25">
      <c r="O78185" s="9"/>
    </row>
    <row r="78206" spans="15:15" x14ac:dyDescent="0.25">
      <c r="O78206" s="9"/>
    </row>
    <row r="78227" spans="15:15" x14ac:dyDescent="0.25">
      <c r="O78227" s="9"/>
    </row>
    <row r="78248" spans="15:15" x14ac:dyDescent="0.25">
      <c r="O78248" s="9"/>
    </row>
    <row r="78269" spans="15:15" x14ac:dyDescent="0.25">
      <c r="O78269" s="9"/>
    </row>
    <row r="78290" spans="15:15" x14ac:dyDescent="0.25">
      <c r="O78290" s="9"/>
    </row>
    <row r="78311" spans="15:15" x14ac:dyDescent="0.25">
      <c r="O78311" s="9"/>
    </row>
    <row r="78332" spans="15:15" x14ac:dyDescent="0.25">
      <c r="O78332" s="9"/>
    </row>
    <row r="78353" spans="15:15" x14ac:dyDescent="0.25">
      <c r="O78353" s="9"/>
    </row>
    <row r="78374" spans="15:15" x14ac:dyDescent="0.25">
      <c r="O78374" s="9"/>
    </row>
    <row r="78395" spans="15:15" x14ac:dyDescent="0.25">
      <c r="O78395" s="9"/>
    </row>
    <row r="78416" spans="15:15" x14ac:dyDescent="0.25">
      <c r="O78416" s="9"/>
    </row>
    <row r="78437" spans="15:15" x14ac:dyDescent="0.25">
      <c r="O78437" s="9"/>
    </row>
    <row r="78458" spans="15:15" x14ac:dyDescent="0.25">
      <c r="O78458" s="9"/>
    </row>
    <row r="78479" spans="15:15" x14ac:dyDescent="0.25">
      <c r="O78479" s="9"/>
    </row>
    <row r="78500" spans="15:15" x14ac:dyDescent="0.25">
      <c r="O78500" s="9"/>
    </row>
    <row r="78521" spans="15:15" x14ac:dyDescent="0.25">
      <c r="O78521" s="9"/>
    </row>
    <row r="78542" spans="15:15" x14ac:dyDescent="0.25">
      <c r="O78542" s="9"/>
    </row>
    <row r="78563" spans="15:15" x14ac:dyDescent="0.25">
      <c r="O78563" s="9"/>
    </row>
    <row r="78584" spans="15:15" x14ac:dyDescent="0.25">
      <c r="O78584" s="9"/>
    </row>
    <row r="78605" spans="15:15" x14ac:dyDescent="0.25">
      <c r="O78605" s="9"/>
    </row>
    <row r="78626" spans="15:15" x14ac:dyDescent="0.25">
      <c r="O78626" s="9"/>
    </row>
    <row r="78647" spans="15:15" x14ac:dyDescent="0.25">
      <c r="O78647" s="9"/>
    </row>
    <row r="78668" spans="15:15" x14ac:dyDescent="0.25">
      <c r="O78668" s="9"/>
    </row>
    <row r="78689" spans="15:15" x14ac:dyDescent="0.25">
      <c r="O78689" s="9"/>
    </row>
    <row r="78710" spans="15:15" x14ac:dyDescent="0.25">
      <c r="O78710" s="9"/>
    </row>
    <row r="78731" spans="15:15" x14ac:dyDescent="0.25">
      <c r="O78731" s="9"/>
    </row>
    <row r="78752" spans="15:15" x14ac:dyDescent="0.25">
      <c r="O78752" s="9"/>
    </row>
    <row r="78773" spans="15:15" x14ac:dyDescent="0.25">
      <c r="O78773" s="9"/>
    </row>
    <row r="78794" spans="15:15" x14ac:dyDescent="0.25">
      <c r="O78794" s="9"/>
    </row>
    <row r="78815" spans="15:15" x14ac:dyDescent="0.25">
      <c r="O78815" s="9"/>
    </row>
    <row r="78836" spans="15:15" x14ac:dyDescent="0.25">
      <c r="O78836" s="9"/>
    </row>
    <row r="78857" spans="15:15" x14ac:dyDescent="0.25">
      <c r="O78857" s="9"/>
    </row>
    <row r="78878" spans="15:15" x14ac:dyDescent="0.25">
      <c r="O78878" s="9"/>
    </row>
    <row r="78899" spans="15:15" x14ac:dyDescent="0.25">
      <c r="O78899" s="9"/>
    </row>
    <row r="78920" spans="15:15" x14ac:dyDescent="0.25">
      <c r="O78920" s="9"/>
    </row>
    <row r="78941" spans="15:15" x14ac:dyDescent="0.25">
      <c r="O78941" s="9"/>
    </row>
    <row r="78962" spans="15:15" x14ac:dyDescent="0.25">
      <c r="O78962" s="9"/>
    </row>
    <row r="78983" spans="15:15" x14ac:dyDescent="0.25">
      <c r="O78983" s="9"/>
    </row>
    <row r="79004" spans="15:15" x14ac:dyDescent="0.25">
      <c r="O79004" s="9"/>
    </row>
    <row r="79025" spans="15:15" x14ac:dyDescent="0.25">
      <c r="O79025" s="9"/>
    </row>
    <row r="79046" spans="15:15" x14ac:dyDescent="0.25">
      <c r="O79046" s="9"/>
    </row>
    <row r="79067" spans="15:15" x14ac:dyDescent="0.25">
      <c r="O79067" s="9"/>
    </row>
    <row r="79088" spans="15:15" x14ac:dyDescent="0.25">
      <c r="O79088" s="9"/>
    </row>
    <row r="79109" spans="15:15" x14ac:dyDescent="0.25">
      <c r="O79109" s="9"/>
    </row>
    <row r="79130" spans="15:15" x14ac:dyDescent="0.25">
      <c r="O79130" s="9"/>
    </row>
    <row r="79151" spans="15:15" x14ac:dyDescent="0.25">
      <c r="O79151" s="9"/>
    </row>
    <row r="79172" spans="15:15" x14ac:dyDescent="0.25">
      <c r="O79172" s="9"/>
    </row>
    <row r="79193" spans="15:15" x14ac:dyDescent="0.25">
      <c r="O79193" s="9"/>
    </row>
    <row r="79214" spans="15:15" x14ac:dyDescent="0.25">
      <c r="O79214" s="9"/>
    </row>
    <row r="79235" spans="15:15" x14ac:dyDescent="0.25">
      <c r="O79235" s="9"/>
    </row>
    <row r="79256" spans="15:15" x14ac:dyDescent="0.25">
      <c r="O79256" s="9"/>
    </row>
    <row r="79277" spans="15:15" x14ac:dyDescent="0.25">
      <c r="O79277" s="9"/>
    </row>
    <row r="79298" spans="15:15" x14ac:dyDescent="0.25">
      <c r="O79298" s="9"/>
    </row>
    <row r="79319" spans="15:15" x14ac:dyDescent="0.25">
      <c r="O79319" s="9"/>
    </row>
    <row r="79340" spans="15:15" x14ac:dyDescent="0.25">
      <c r="O79340" s="9"/>
    </row>
    <row r="79361" spans="15:15" x14ac:dyDescent="0.25">
      <c r="O79361" s="9"/>
    </row>
    <row r="79382" spans="15:15" x14ac:dyDescent="0.25">
      <c r="O79382" s="9"/>
    </row>
    <row r="79403" spans="15:15" x14ac:dyDescent="0.25">
      <c r="O79403" s="9"/>
    </row>
    <row r="79424" spans="15:15" x14ac:dyDescent="0.25">
      <c r="O79424" s="9"/>
    </row>
    <row r="79445" spans="15:15" x14ac:dyDescent="0.25">
      <c r="O79445" s="9"/>
    </row>
    <row r="79466" spans="15:15" x14ac:dyDescent="0.25">
      <c r="O79466" s="9"/>
    </row>
    <row r="79487" spans="15:15" x14ac:dyDescent="0.25">
      <c r="O79487" s="9"/>
    </row>
    <row r="79508" spans="15:15" x14ac:dyDescent="0.25">
      <c r="O79508" s="9"/>
    </row>
    <row r="79529" spans="15:15" x14ac:dyDescent="0.25">
      <c r="O79529" s="9"/>
    </row>
    <row r="79550" spans="15:15" x14ac:dyDescent="0.25">
      <c r="O79550" s="9"/>
    </row>
    <row r="79571" spans="15:15" x14ac:dyDescent="0.25">
      <c r="O79571" s="9"/>
    </row>
    <row r="79592" spans="15:15" x14ac:dyDescent="0.25">
      <c r="O79592" s="9"/>
    </row>
    <row r="79613" spans="15:15" x14ac:dyDescent="0.25">
      <c r="O79613" s="9"/>
    </row>
    <row r="79634" spans="15:15" x14ac:dyDescent="0.25">
      <c r="O79634" s="9"/>
    </row>
    <row r="79655" spans="15:15" x14ac:dyDescent="0.25">
      <c r="O79655" s="9"/>
    </row>
    <row r="79676" spans="15:15" x14ac:dyDescent="0.25">
      <c r="O79676" s="9"/>
    </row>
    <row r="79697" spans="15:15" x14ac:dyDescent="0.25">
      <c r="O79697" s="9"/>
    </row>
    <row r="79718" spans="15:15" x14ac:dyDescent="0.25">
      <c r="O79718" s="9"/>
    </row>
    <row r="79739" spans="15:15" x14ac:dyDescent="0.25">
      <c r="O79739" s="9"/>
    </row>
    <row r="79760" spans="15:15" x14ac:dyDescent="0.25">
      <c r="O79760" s="9"/>
    </row>
    <row r="79781" spans="15:15" x14ac:dyDescent="0.25">
      <c r="O79781" s="9"/>
    </row>
    <row r="79802" spans="15:15" x14ac:dyDescent="0.25">
      <c r="O79802" s="9"/>
    </row>
    <row r="79823" spans="15:15" x14ac:dyDescent="0.25">
      <c r="O79823" s="9"/>
    </row>
    <row r="79844" spans="15:15" x14ac:dyDescent="0.25">
      <c r="O79844" s="9"/>
    </row>
    <row r="79865" spans="15:15" x14ac:dyDescent="0.25">
      <c r="O79865" s="9"/>
    </row>
    <row r="79886" spans="15:15" x14ac:dyDescent="0.25">
      <c r="O79886" s="9"/>
    </row>
    <row r="79907" spans="15:15" x14ac:dyDescent="0.25">
      <c r="O79907" s="9"/>
    </row>
    <row r="79928" spans="15:15" x14ac:dyDescent="0.25">
      <c r="O79928" s="9"/>
    </row>
    <row r="79949" spans="15:15" x14ac:dyDescent="0.25">
      <c r="O79949" s="9"/>
    </row>
    <row r="79970" spans="15:15" x14ac:dyDescent="0.25">
      <c r="O79970" s="9"/>
    </row>
    <row r="79991" spans="15:15" x14ac:dyDescent="0.25">
      <c r="O79991" s="9"/>
    </row>
    <row r="80012" spans="15:15" x14ac:dyDescent="0.25">
      <c r="O80012" s="9"/>
    </row>
    <row r="80033" spans="15:15" x14ac:dyDescent="0.25">
      <c r="O80033" s="9"/>
    </row>
    <row r="80054" spans="15:15" x14ac:dyDescent="0.25">
      <c r="O80054" s="9"/>
    </row>
    <row r="80075" spans="15:15" x14ac:dyDescent="0.25">
      <c r="O80075" s="9"/>
    </row>
    <row r="80096" spans="15:15" x14ac:dyDescent="0.25">
      <c r="O80096" s="9"/>
    </row>
    <row r="80117" spans="15:15" x14ac:dyDescent="0.25">
      <c r="O80117" s="9"/>
    </row>
    <row r="80138" spans="15:15" x14ac:dyDescent="0.25">
      <c r="O80138" s="9"/>
    </row>
    <row r="80159" spans="15:15" x14ac:dyDescent="0.25">
      <c r="O80159" s="9"/>
    </row>
    <row r="80180" spans="15:15" x14ac:dyDescent="0.25">
      <c r="O80180" s="9"/>
    </row>
    <row r="80201" spans="15:15" x14ac:dyDescent="0.25">
      <c r="O80201" s="9"/>
    </row>
    <row r="80222" spans="15:15" x14ac:dyDescent="0.25">
      <c r="O80222" s="9"/>
    </row>
    <row r="80243" spans="15:15" x14ac:dyDescent="0.25">
      <c r="O80243" s="9"/>
    </row>
    <row r="80264" spans="15:15" x14ac:dyDescent="0.25">
      <c r="O80264" s="9"/>
    </row>
    <row r="80285" spans="15:15" x14ac:dyDescent="0.25">
      <c r="O80285" s="9"/>
    </row>
    <row r="80306" spans="15:15" x14ac:dyDescent="0.25">
      <c r="O80306" s="9"/>
    </row>
    <row r="80327" spans="15:15" x14ac:dyDescent="0.25">
      <c r="O80327" s="9"/>
    </row>
    <row r="80348" spans="15:15" x14ac:dyDescent="0.25">
      <c r="O80348" s="9"/>
    </row>
    <row r="80369" spans="15:15" x14ac:dyDescent="0.25">
      <c r="O80369" s="9"/>
    </row>
    <row r="80390" spans="15:15" x14ac:dyDescent="0.25">
      <c r="O80390" s="9"/>
    </row>
    <row r="80411" spans="15:15" x14ac:dyDescent="0.25">
      <c r="O80411" s="9"/>
    </row>
    <row r="80432" spans="15:15" x14ac:dyDescent="0.25">
      <c r="O80432" s="9"/>
    </row>
    <row r="80453" spans="15:15" x14ac:dyDescent="0.25">
      <c r="O80453" s="9"/>
    </row>
    <row r="80474" spans="15:15" x14ac:dyDescent="0.25">
      <c r="O80474" s="9"/>
    </row>
    <row r="80495" spans="15:15" x14ac:dyDescent="0.25">
      <c r="O80495" s="9"/>
    </row>
    <row r="80516" spans="15:15" x14ac:dyDescent="0.25">
      <c r="O80516" s="9"/>
    </row>
    <row r="80537" spans="15:15" x14ac:dyDescent="0.25">
      <c r="O80537" s="9"/>
    </row>
    <row r="80558" spans="15:15" x14ac:dyDescent="0.25">
      <c r="O80558" s="9"/>
    </row>
    <row r="80579" spans="15:15" x14ac:dyDescent="0.25">
      <c r="O80579" s="9"/>
    </row>
    <row r="80600" spans="15:15" x14ac:dyDescent="0.25">
      <c r="O80600" s="9"/>
    </row>
    <row r="80621" spans="15:15" x14ac:dyDescent="0.25">
      <c r="O80621" s="9"/>
    </row>
    <row r="80642" spans="15:15" x14ac:dyDescent="0.25">
      <c r="O80642" s="9"/>
    </row>
    <row r="80663" spans="15:15" x14ac:dyDescent="0.25">
      <c r="O80663" s="9"/>
    </row>
    <row r="80684" spans="15:15" x14ac:dyDescent="0.25">
      <c r="O80684" s="9"/>
    </row>
    <row r="80705" spans="15:15" x14ac:dyDescent="0.25">
      <c r="O80705" s="9"/>
    </row>
    <row r="80726" spans="15:15" x14ac:dyDescent="0.25">
      <c r="O80726" s="9"/>
    </row>
    <row r="80747" spans="15:15" x14ac:dyDescent="0.25">
      <c r="O80747" s="9"/>
    </row>
    <row r="80768" spans="15:15" x14ac:dyDescent="0.25">
      <c r="O80768" s="9"/>
    </row>
    <row r="80789" spans="15:15" x14ac:dyDescent="0.25">
      <c r="O80789" s="9"/>
    </row>
    <row r="80810" spans="15:15" x14ac:dyDescent="0.25">
      <c r="O80810" s="9"/>
    </row>
    <row r="80831" spans="15:15" x14ac:dyDescent="0.25">
      <c r="O80831" s="9"/>
    </row>
    <row r="80852" spans="15:15" x14ac:dyDescent="0.25">
      <c r="O80852" s="9"/>
    </row>
    <row r="80873" spans="15:15" x14ac:dyDescent="0.25">
      <c r="O80873" s="9"/>
    </row>
    <row r="80894" spans="15:15" x14ac:dyDescent="0.25">
      <c r="O80894" s="9"/>
    </row>
    <row r="80915" spans="15:15" x14ac:dyDescent="0.25">
      <c r="O80915" s="9"/>
    </row>
    <row r="80936" spans="15:15" x14ac:dyDescent="0.25">
      <c r="O80936" s="9"/>
    </row>
    <row r="80957" spans="15:15" x14ac:dyDescent="0.25">
      <c r="O80957" s="9"/>
    </row>
    <row r="80978" spans="15:15" x14ac:dyDescent="0.25">
      <c r="O80978" s="9"/>
    </row>
    <row r="80999" spans="15:15" x14ac:dyDescent="0.25">
      <c r="O80999" s="9"/>
    </row>
    <row r="81020" spans="15:15" x14ac:dyDescent="0.25">
      <c r="O81020" s="9"/>
    </row>
    <row r="81041" spans="15:15" x14ac:dyDescent="0.25">
      <c r="O81041" s="9"/>
    </row>
    <row r="81062" spans="15:15" x14ac:dyDescent="0.25">
      <c r="O81062" s="9"/>
    </row>
    <row r="81083" spans="15:15" x14ac:dyDescent="0.25">
      <c r="O81083" s="9"/>
    </row>
    <row r="81104" spans="15:15" x14ac:dyDescent="0.25">
      <c r="O81104" s="9"/>
    </row>
    <row r="81125" spans="15:15" x14ac:dyDescent="0.25">
      <c r="O81125" s="9"/>
    </row>
    <row r="81146" spans="15:15" x14ac:dyDescent="0.25">
      <c r="O81146" s="9"/>
    </row>
    <row r="81167" spans="15:15" x14ac:dyDescent="0.25">
      <c r="O81167" s="9"/>
    </row>
    <row r="81188" spans="15:15" x14ac:dyDescent="0.25">
      <c r="O81188" s="9"/>
    </row>
    <row r="81209" spans="15:15" x14ac:dyDescent="0.25">
      <c r="O81209" s="9"/>
    </row>
    <row r="81230" spans="15:15" x14ac:dyDescent="0.25">
      <c r="O81230" s="9"/>
    </row>
    <row r="81251" spans="15:15" x14ac:dyDescent="0.25">
      <c r="O81251" s="9"/>
    </row>
    <row r="81272" spans="15:15" x14ac:dyDescent="0.25">
      <c r="O81272" s="9"/>
    </row>
    <row r="81293" spans="15:15" x14ac:dyDescent="0.25">
      <c r="O81293" s="9"/>
    </row>
    <row r="81314" spans="15:15" x14ac:dyDescent="0.25">
      <c r="O81314" s="9"/>
    </row>
    <row r="81335" spans="15:15" x14ac:dyDescent="0.25">
      <c r="O81335" s="9"/>
    </row>
    <row r="81356" spans="15:15" x14ac:dyDescent="0.25">
      <c r="O81356" s="9"/>
    </row>
    <row r="81377" spans="15:15" x14ac:dyDescent="0.25">
      <c r="O81377" s="9"/>
    </row>
    <row r="81398" spans="15:15" x14ac:dyDescent="0.25">
      <c r="O81398" s="9"/>
    </row>
    <row r="81419" spans="15:15" x14ac:dyDescent="0.25">
      <c r="O81419" s="9"/>
    </row>
    <row r="81440" spans="15:15" x14ac:dyDescent="0.25">
      <c r="O81440" s="9"/>
    </row>
    <row r="81461" spans="15:15" x14ac:dyDescent="0.25">
      <c r="O81461" s="9"/>
    </row>
    <row r="81482" spans="15:15" x14ac:dyDescent="0.25">
      <c r="O81482" s="9"/>
    </row>
    <row r="81503" spans="15:15" x14ac:dyDescent="0.25">
      <c r="O81503" s="9"/>
    </row>
    <row r="81524" spans="15:15" x14ac:dyDescent="0.25">
      <c r="O81524" s="9"/>
    </row>
    <row r="81545" spans="15:15" x14ac:dyDescent="0.25">
      <c r="O81545" s="9"/>
    </row>
    <row r="81566" spans="15:15" x14ac:dyDescent="0.25">
      <c r="O81566" s="9"/>
    </row>
    <row r="81587" spans="15:15" x14ac:dyDescent="0.25">
      <c r="O81587" s="9"/>
    </row>
    <row r="81608" spans="15:15" x14ac:dyDescent="0.25">
      <c r="O81608" s="9"/>
    </row>
    <row r="81629" spans="15:15" x14ac:dyDescent="0.25">
      <c r="O81629" s="9"/>
    </row>
    <row r="81650" spans="15:15" x14ac:dyDescent="0.25">
      <c r="O81650" s="9"/>
    </row>
    <row r="81671" spans="15:15" x14ac:dyDescent="0.25">
      <c r="O81671" s="9"/>
    </row>
    <row r="81692" spans="15:15" x14ac:dyDescent="0.25">
      <c r="O81692" s="9"/>
    </row>
    <row r="81713" spans="15:15" x14ac:dyDescent="0.25">
      <c r="O81713" s="9"/>
    </row>
    <row r="81734" spans="15:15" x14ac:dyDescent="0.25">
      <c r="O81734" s="9"/>
    </row>
    <row r="81755" spans="15:15" x14ac:dyDescent="0.25">
      <c r="O81755" s="9"/>
    </row>
    <row r="81776" spans="15:15" x14ac:dyDescent="0.25">
      <c r="O81776" s="9"/>
    </row>
    <row r="81797" spans="15:15" x14ac:dyDescent="0.25">
      <c r="O81797" s="9"/>
    </row>
    <row r="81818" spans="15:15" x14ac:dyDescent="0.25">
      <c r="O81818" s="9"/>
    </row>
    <row r="81839" spans="15:15" x14ac:dyDescent="0.25">
      <c r="O81839" s="9"/>
    </row>
    <row r="81860" spans="15:15" x14ac:dyDescent="0.25">
      <c r="O81860" s="9"/>
    </row>
    <row r="81881" spans="15:15" x14ac:dyDescent="0.25">
      <c r="O81881" s="9"/>
    </row>
    <row r="81902" spans="15:15" x14ac:dyDescent="0.25">
      <c r="O81902" s="9"/>
    </row>
    <row r="81923" spans="15:15" x14ac:dyDescent="0.25">
      <c r="O81923" s="9"/>
    </row>
    <row r="81944" spans="15:15" x14ac:dyDescent="0.25">
      <c r="O81944" s="9"/>
    </row>
    <row r="81965" spans="15:15" x14ac:dyDescent="0.25">
      <c r="O81965" s="9"/>
    </row>
    <row r="81986" spans="15:15" x14ac:dyDescent="0.25">
      <c r="O81986" s="9"/>
    </row>
    <row r="82007" spans="15:15" x14ac:dyDescent="0.25">
      <c r="O82007" s="9"/>
    </row>
    <row r="82028" spans="15:15" x14ac:dyDescent="0.25">
      <c r="O82028" s="9"/>
    </row>
    <row r="82049" spans="15:15" x14ac:dyDescent="0.25">
      <c r="O82049" s="9"/>
    </row>
    <row r="82070" spans="15:15" x14ac:dyDescent="0.25">
      <c r="O82070" s="9"/>
    </row>
    <row r="82091" spans="15:15" x14ac:dyDescent="0.25">
      <c r="O82091" s="9"/>
    </row>
    <row r="82112" spans="15:15" x14ac:dyDescent="0.25">
      <c r="O82112" s="9"/>
    </row>
    <row r="82133" spans="15:15" x14ac:dyDescent="0.25">
      <c r="O82133" s="9"/>
    </row>
    <row r="82154" spans="15:15" x14ac:dyDescent="0.25">
      <c r="O82154" s="9"/>
    </row>
    <row r="82175" spans="15:15" x14ac:dyDescent="0.25">
      <c r="O82175" s="9"/>
    </row>
    <row r="82196" spans="15:15" x14ac:dyDescent="0.25">
      <c r="O82196" s="9"/>
    </row>
    <row r="82217" spans="15:15" x14ac:dyDescent="0.25">
      <c r="O82217" s="9"/>
    </row>
    <row r="82238" spans="15:15" x14ac:dyDescent="0.25">
      <c r="O82238" s="9"/>
    </row>
    <row r="82259" spans="15:15" x14ac:dyDescent="0.25">
      <c r="O82259" s="9"/>
    </row>
    <row r="82280" spans="15:15" x14ac:dyDescent="0.25">
      <c r="O82280" s="9"/>
    </row>
    <row r="82301" spans="15:15" x14ac:dyDescent="0.25">
      <c r="O82301" s="9"/>
    </row>
    <row r="82322" spans="15:15" x14ac:dyDescent="0.25">
      <c r="O82322" s="9"/>
    </row>
    <row r="82343" spans="15:15" x14ac:dyDescent="0.25">
      <c r="O82343" s="9"/>
    </row>
    <row r="82364" spans="15:15" x14ac:dyDescent="0.25">
      <c r="O82364" s="9"/>
    </row>
    <row r="82385" spans="15:15" x14ac:dyDescent="0.25">
      <c r="O82385" s="9"/>
    </row>
    <row r="82406" spans="15:15" x14ac:dyDescent="0.25">
      <c r="O82406" s="9"/>
    </row>
    <row r="82427" spans="15:15" x14ac:dyDescent="0.25">
      <c r="O82427" s="9"/>
    </row>
    <row r="82448" spans="15:15" x14ac:dyDescent="0.25">
      <c r="O82448" s="9"/>
    </row>
    <row r="82469" spans="15:15" x14ac:dyDescent="0.25">
      <c r="O82469" s="9"/>
    </row>
    <row r="82490" spans="15:15" x14ac:dyDescent="0.25">
      <c r="O82490" s="9"/>
    </row>
    <row r="82511" spans="15:15" x14ac:dyDescent="0.25">
      <c r="O82511" s="9"/>
    </row>
    <row r="82532" spans="15:15" x14ac:dyDescent="0.25">
      <c r="O82532" s="9"/>
    </row>
    <row r="82553" spans="15:15" x14ac:dyDescent="0.25">
      <c r="O82553" s="9"/>
    </row>
    <row r="82574" spans="15:15" x14ac:dyDescent="0.25">
      <c r="O82574" s="9"/>
    </row>
    <row r="82595" spans="15:15" x14ac:dyDescent="0.25">
      <c r="O82595" s="9"/>
    </row>
    <row r="82616" spans="15:15" x14ac:dyDescent="0.25">
      <c r="O82616" s="9"/>
    </row>
    <row r="82637" spans="15:15" x14ac:dyDescent="0.25">
      <c r="O82637" s="9"/>
    </row>
    <row r="82658" spans="15:15" x14ac:dyDescent="0.25">
      <c r="O82658" s="9"/>
    </row>
    <row r="82679" spans="15:15" x14ac:dyDescent="0.25">
      <c r="O82679" s="9"/>
    </row>
    <row r="82700" spans="15:15" x14ac:dyDescent="0.25">
      <c r="O82700" s="9"/>
    </row>
    <row r="82721" spans="15:15" x14ac:dyDescent="0.25">
      <c r="O82721" s="9"/>
    </row>
    <row r="82742" spans="15:15" x14ac:dyDescent="0.25">
      <c r="O82742" s="9"/>
    </row>
    <row r="82763" spans="15:15" x14ac:dyDescent="0.25">
      <c r="O82763" s="9"/>
    </row>
    <row r="82784" spans="15:15" x14ac:dyDescent="0.25">
      <c r="O82784" s="9"/>
    </row>
    <row r="82805" spans="15:15" x14ac:dyDescent="0.25">
      <c r="O82805" s="9"/>
    </row>
    <row r="82826" spans="15:15" x14ac:dyDescent="0.25">
      <c r="O82826" s="9"/>
    </row>
    <row r="82847" spans="15:15" x14ac:dyDescent="0.25">
      <c r="O82847" s="9"/>
    </row>
    <row r="82868" spans="15:15" x14ac:dyDescent="0.25">
      <c r="O82868" s="9"/>
    </row>
    <row r="82889" spans="15:15" x14ac:dyDescent="0.25">
      <c r="O82889" s="9"/>
    </row>
    <row r="82910" spans="15:15" x14ac:dyDescent="0.25">
      <c r="O82910" s="9"/>
    </row>
    <row r="82931" spans="15:15" x14ac:dyDescent="0.25">
      <c r="O82931" s="9"/>
    </row>
    <row r="82952" spans="15:15" x14ac:dyDescent="0.25">
      <c r="O82952" s="9"/>
    </row>
    <row r="82973" spans="15:15" x14ac:dyDescent="0.25">
      <c r="O82973" s="9"/>
    </row>
    <row r="82994" spans="15:15" x14ac:dyDescent="0.25">
      <c r="O82994" s="9"/>
    </row>
    <row r="83015" spans="15:15" x14ac:dyDescent="0.25">
      <c r="O83015" s="9"/>
    </row>
    <row r="83036" spans="15:15" x14ac:dyDescent="0.25">
      <c r="O83036" s="9"/>
    </row>
    <row r="83057" spans="15:15" x14ac:dyDescent="0.25">
      <c r="O83057" s="9"/>
    </row>
    <row r="83078" spans="15:15" x14ac:dyDescent="0.25">
      <c r="O83078" s="9"/>
    </row>
    <row r="83099" spans="15:15" x14ac:dyDescent="0.25">
      <c r="O83099" s="9"/>
    </row>
    <row r="83120" spans="15:15" x14ac:dyDescent="0.25">
      <c r="O83120" s="9"/>
    </row>
    <row r="83141" spans="15:15" x14ac:dyDescent="0.25">
      <c r="O83141" s="9"/>
    </row>
    <row r="83162" spans="15:15" x14ac:dyDescent="0.25">
      <c r="O83162" s="9"/>
    </row>
    <row r="83183" spans="15:15" x14ac:dyDescent="0.25">
      <c r="O83183" s="9"/>
    </row>
    <row r="83204" spans="15:15" x14ac:dyDescent="0.25">
      <c r="O83204" s="9"/>
    </row>
    <row r="83225" spans="15:15" x14ac:dyDescent="0.25">
      <c r="O83225" s="9"/>
    </row>
    <row r="83246" spans="15:15" x14ac:dyDescent="0.25">
      <c r="O83246" s="9"/>
    </row>
    <row r="83267" spans="15:15" x14ac:dyDescent="0.25">
      <c r="O83267" s="9"/>
    </row>
    <row r="83288" spans="15:15" x14ac:dyDescent="0.25">
      <c r="O83288" s="9"/>
    </row>
    <row r="83309" spans="15:15" x14ac:dyDescent="0.25">
      <c r="O83309" s="9"/>
    </row>
    <row r="83330" spans="15:15" x14ac:dyDescent="0.25">
      <c r="O83330" s="9"/>
    </row>
    <row r="83351" spans="15:15" x14ac:dyDescent="0.25">
      <c r="O83351" s="9"/>
    </row>
    <row r="83372" spans="15:15" x14ac:dyDescent="0.25">
      <c r="O83372" s="9"/>
    </row>
    <row r="83393" spans="15:15" x14ac:dyDescent="0.25">
      <c r="O83393" s="9"/>
    </row>
    <row r="83414" spans="15:15" x14ac:dyDescent="0.25">
      <c r="O83414" s="9"/>
    </row>
    <row r="83435" spans="15:15" x14ac:dyDescent="0.25">
      <c r="O83435" s="9"/>
    </row>
    <row r="83456" spans="15:15" x14ac:dyDescent="0.25">
      <c r="O83456" s="9"/>
    </row>
    <row r="83477" spans="15:15" x14ac:dyDescent="0.25">
      <c r="O83477" s="9"/>
    </row>
    <row r="83498" spans="15:15" x14ac:dyDescent="0.25">
      <c r="O83498" s="9"/>
    </row>
    <row r="83519" spans="15:15" x14ac:dyDescent="0.25">
      <c r="O83519" s="9"/>
    </row>
    <row r="83540" spans="15:15" x14ac:dyDescent="0.25">
      <c r="O83540" s="9"/>
    </row>
    <row r="83561" spans="15:15" x14ac:dyDescent="0.25">
      <c r="O83561" s="9"/>
    </row>
    <row r="83582" spans="15:15" x14ac:dyDescent="0.25">
      <c r="O83582" s="9"/>
    </row>
    <row r="83603" spans="15:15" x14ac:dyDescent="0.25">
      <c r="O83603" s="9"/>
    </row>
    <row r="83624" spans="15:15" x14ac:dyDescent="0.25">
      <c r="O83624" s="9"/>
    </row>
    <row r="83645" spans="15:15" x14ac:dyDescent="0.25">
      <c r="O83645" s="9"/>
    </row>
    <row r="83666" spans="15:15" x14ac:dyDescent="0.25">
      <c r="O83666" s="9"/>
    </row>
    <row r="83687" spans="15:15" x14ac:dyDescent="0.25">
      <c r="O83687" s="9"/>
    </row>
    <row r="83708" spans="15:15" x14ac:dyDescent="0.25">
      <c r="O83708" s="9"/>
    </row>
    <row r="83729" spans="15:15" x14ac:dyDescent="0.25">
      <c r="O83729" s="9"/>
    </row>
    <row r="83750" spans="15:15" x14ac:dyDescent="0.25">
      <c r="O83750" s="9"/>
    </row>
    <row r="83771" spans="15:15" x14ac:dyDescent="0.25">
      <c r="O83771" s="9"/>
    </row>
    <row r="83792" spans="15:15" x14ac:dyDescent="0.25">
      <c r="O83792" s="9"/>
    </row>
    <row r="83813" spans="15:15" x14ac:dyDescent="0.25">
      <c r="O83813" s="9"/>
    </row>
    <row r="83834" spans="15:15" x14ac:dyDescent="0.25">
      <c r="O83834" s="9"/>
    </row>
    <row r="83855" spans="15:15" x14ac:dyDescent="0.25">
      <c r="O83855" s="9"/>
    </row>
    <row r="83876" spans="15:15" x14ac:dyDescent="0.25">
      <c r="O83876" s="9"/>
    </row>
    <row r="83897" spans="15:15" x14ac:dyDescent="0.25">
      <c r="O83897" s="9"/>
    </row>
    <row r="83918" spans="15:15" x14ac:dyDescent="0.25">
      <c r="O83918" s="9"/>
    </row>
    <row r="83939" spans="15:15" x14ac:dyDescent="0.25">
      <c r="O83939" s="9"/>
    </row>
    <row r="83960" spans="15:15" x14ac:dyDescent="0.25">
      <c r="O83960" s="9"/>
    </row>
    <row r="83981" spans="15:15" x14ac:dyDescent="0.25">
      <c r="O83981" s="9"/>
    </row>
    <row r="84002" spans="15:15" x14ac:dyDescent="0.25">
      <c r="O84002" s="9"/>
    </row>
    <row r="84023" spans="15:15" x14ac:dyDescent="0.25">
      <c r="O84023" s="9"/>
    </row>
    <row r="84044" spans="15:15" x14ac:dyDescent="0.25">
      <c r="O84044" s="9"/>
    </row>
    <row r="84065" spans="15:15" x14ac:dyDescent="0.25">
      <c r="O84065" s="9"/>
    </row>
    <row r="84086" spans="15:15" x14ac:dyDescent="0.25">
      <c r="O84086" s="9"/>
    </row>
    <row r="84107" spans="15:15" x14ac:dyDescent="0.25">
      <c r="O84107" s="9"/>
    </row>
    <row r="84128" spans="15:15" x14ac:dyDescent="0.25">
      <c r="O84128" s="9"/>
    </row>
    <row r="84149" spans="15:15" x14ac:dyDescent="0.25">
      <c r="O84149" s="9"/>
    </row>
    <row r="84170" spans="15:15" x14ac:dyDescent="0.25">
      <c r="O84170" s="9"/>
    </row>
    <row r="84191" spans="15:15" x14ac:dyDescent="0.25">
      <c r="O84191" s="9"/>
    </row>
    <row r="84212" spans="15:15" x14ac:dyDescent="0.25">
      <c r="O84212" s="9"/>
    </row>
    <row r="84233" spans="15:15" x14ac:dyDescent="0.25">
      <c r="O84233" s="9"/>
    </row>
    <row r="84254" spans="15:15" x14ac:dyDescent="0.25">
      <c r="O84254" s="9"/>
    </row>
    <row r="84275" spans="15:15" x14ac:dyDescent="0.25">
      <c r="O84275" s="9"/>
    </row>
    <row r="84296" spans="15:15" x14ac:dyDescent="0.25">
      <c r="O84296" s="9"/>
    </row>
    <row r="84317" spans="15:15" x14ac:dyDescent="0.25">
      <c r="O84317" s="9"/>
    </row>
    <row r="84338" spans="15:15" x14ac:dyDescent="0.25">
      <c r="O84338" s="9"/>
    </row>
    <row r="84359" spans="15:15" x14ac:dyDescent="0.25">
      <c r="O84359" s="9"/>
    </row>
    <row r="84380" spans="15:15" x14ac:dyDescent="0.25">
      <c r="O84380" s="9"/>
    </row>
    <row r="84401" spans="15:15" x14ac:dyDescent="0.25">
      <c r="O84401" s="9"/>
    </row>
    <row r="84422" spans="15:15" x14ac:dyDescent="0.25">
      <c r="O84422" s="9"/>
    </row>
    <row r="84443" spans="15:15" x14ac:dyDescent="0.25">
      <c r="O84443" s="9"/>
    </row>
    <row r="84464" spans="15:15" x14ac:dyDescent="0.25">
      <c r="O84464" s="9"/>
    </row>
    <row r="84485" spans="15:15" x14ac:dyDescent="0.25">
      <c r="O84485" s="9"/>
    </row>
    <row r="84506" spans="15:15" x14ac:dyDescent="0.25">
      <c r="O84506" s="9"/>
    </row>
    <row r="84527" spans="15:15" x14ac:dyDescent="0.25">
      <c r="O84527" s="9"/>
    </row>
    <row r="84548" spans="15:15" x14ac:dyDescent="0.25">
      <c r="O84548" s="9"/>
    </row>
    <row r="84569" spans="15:15" x14ac:dyDescent="0.25">
      <c r="O84569" s="9"/>
    </row>
    <row r="84590" spans="15:15" x14ac:dyDescent="0.25">
      <c r="O84590" s="9"/>
    </row>
    <row r="84611" spans="15:15" x14ac:dyDescent="0.25">
      <c r="O84611" s="9"/>
    </row>
    <row r="84632" spans="15:15" x14ac:dyDescent="0.25">
      <c r="O84632" s="9"/>
    </row>
    <row r="84653" spans="15:15" x14ac:dyDescent="0.25">
      <c r="O84653" s="9"/>
    </row>
    <row r="84674" spans="15:15" x14ac:dyDescent="0.25">
      <c r="O84674" s="9"/>
    </row>
    <row r="84695" spans="15:15" x14ac:dyDescent="0.25">
      <c r="O84695" s="9"/>
    </row>
    <row r="84716" spans="15:15" x14ac:dyDescent="0.25">
      <c r="O84716" s="9"/>
    </row>
    <row r="84737" spans="15:15" x14ac:dyDescent="0.25">
      <c r="O84737" s="9"/>
    </row>
    <row r="84758" spans="15:15" x14ac:dyDescent="0.25">
      <c r="O84758" s="9"/>
    </row>
    <row r="84779" spans="15:15" x14ac:dyDescent="0.25">
      <c r="O84779" s="9"/>
    </row>
    <row r="84800" spans="15:15" x14ac:dyDescent="0.25">
      <c r="O84800" s="9"/>
    </row>
    <row r="84821" spans="15:15" x14ac:dyDescent="0.25">
      <c r="O84821" s="9"/>
    </row>
    <row r="84842" spans="15:15" x14ac:dyDescent="0.25">
      <c r="O84842" s="9"/>
    </row>
    <row r="84863" spans="15:15" x14ac:dyDescent="0.25">
      <c r="O84863" s="9"/>
    </row>
    <row r="84884" spans="15:15" x14ac:dyDescent="0.25">
      <c r="O84884" s="9"/>
    </row>
    <row r="84905" spans="15:15" x14ac:dyDescent="0.25">
      <c r="O84905" s="9"/>
    </row>
    <row r="84926" spans="15:15" x14ac:dyDescent="0.25">
      <c r="O84926" s="9"/>
    </row>
    <row r="84947" spans="15:15" x14ac:dyDescent="0.25">
      <c r="O84947" s="9"/>
    </row>
    <row r="84968" spans="15:15" x14ac:dyDescent="0.25">
      <c r="O84968" s="9"/>
    </row>
    <row r="84989" spans="15:15" x14ac:dyDescent="0.25">
      <c r="O84989" s="9"/>
    </row>
    <row r="85010" spans="15:15" x14ac:dyDescent="0.25">
      <c r="O85010" s="9"/>
    </row>
    <row r="85031" spans="15:15" x14ac:dyDescent="0.25">
      <c r="O85031" s="9"/>
    </row>
    <row r="85052" spans="15:15" x14ac:dyDescent="0.25">
      <c r="O85052" s="9"/>
    </row>
    <row r="85073" spans="15:15" x14ac:dyDescent="0.25">
      <c r="O85073" s="9"/>
    </row>
    <row r="85094" spans="15:15" x14ac:dyDescent="0.25">
      <c r="O85094" s="9"/>
    </row>
    <row r="85115" spans="15:15" x14ac:dyDescent="0.25">
      <c r="O85115" s="9"/>
    </row>
    <row r="85136" spans="15:15" x14ac:dyDescent="0.25">
      <c r="O85136" s="9"/>
    </row>
    <row r="85157" spans="15:15" x14ac:dyDescent="0.25">
      <c r="O85157" s="9"/>
    </row>
    <row r="85178" spans="15:15" x14ac:dyDescent="0.25">
      <c r="O85178" s="9"/>
    </row>
    <row r="85199" spans="15:15" x14ac:dyDescent="0.25">
      <c r="O85199" s="9"/>
    </row>
    <row r="85220" spans="15:15" x14ac:dyDescent="0.25">
      <c r="O85220" s="9"/>
    </row>
    <row r="85241" spans="15:15" x14ac:dyDescent="0.25">
      <c r="O85241" s="9"/>
    </row>
    <row r="85262" spans="15:15" x14ac:dyDescent="0.25">
      <c r="O85262" s="9"/>
    </row>
    <row r="85283" spans="15:15" x14ac:dyDescent="0.25">
      <c r="O85283" s="9"/>
    </row>
    <row r="85304" spans="15:15" x14ac:dyDescent="0.25">
      <c r="O85304" s="9"/>
    </row>
    <row r="85325" spans="15:15" x14ac:dyDescent="0.25">
      <c r="O85325" s="9"/>
    </row>
    <row r="85346" spans="15:15" x14ac:dyDescent="0.25">
      <c r="O85346" s="9"/>
    </row>
    <row r="85367" spans="15:15" x14ac:dyDescent="0.25">
      <c r="O85367" s="9"/>
    </row>
    <row r="85388" spans="15:15" x14ac:dyDescent="0.25">
      <c r="O85388" s="9"/>
    </row>
    <row r="85409" spans="15:15" x14ac:dyDescent="0.25">
      <c r="O85409" s="9"/>
    </row>
    <row r="85430" spans="15:15" x14ac:dyDescent="0.25">
      <c r="O85430" s="9"/>
    </row>
    <row r="85451" spans="15:15" x14ac:dyDescent="0.25">
      <c r="O85451" s="9"/>
    </row>
    <row r="85472" spans="15:15" x14ac:dyDescent="0.25">
      <c r="O85472" s="9"/>
    </row>
    <row r="85493" spans="15:15" x14ac:dyDescent="0.25">
      <c r="O85493" s="9"/>
    </row>
    <row r="85514" spans="15:15" x14ac:dyDescent="0.25">
      <c r="O85514" s="9"/>
    </row>
    <row r="85535" spans="15:15" x14ac:dyDescent="0.25">
      <c r="O85535" s="9"/>
    </row>
    <row r="85556" spans="15:15" x14ac:dyDescent="0.25">
      <c r="O85556" s="9"/>
    </row>
    <row r="85577" spans="15:15" x14ac:dyDescent="0.25">
      <c r="O85577" s="9"/>
    </row>
    <row r="85598" spans="15:15" x14ac:dyDescent="0.25">
      <c r="O85598" s="9"/>
    </row>
    <row r="85619" spans="15:15" x14ac:dyDescent="0.25">
      <c r="O85619" s="9"/>
    </row>
    <row r="85640" spans="15:15" x14ac:dyDescent="0.25">
      <c r="O85640" s="9"/>
    </row>
    <row r="85661" spans="15:15" x14ac:dyDescent="0.25">
      <c r="O85661" s="9"/>
    </row>
    <row r="85682" spans="15:15" x14ac:dyDescent="0.25">
      <c r="O85682" s="9"/>
    </row>
    <row r="85703" spans="15:15" x14ac:dyDescent="0.25">
      <c r="O85703" s="9"/>
    </row>
    <row r="85724" spans="15:15" x14ac:dyDescent="0.25">
      <c r="O85724" s="9"/>
    </row>
    <row r="85745" spans="15:15" x14ac:dyDescent="0.25">
      <c r="O85745" s="9"/>
    </row>
    <row r="85766" spans="15:15" x14ac:dyDescent="0.25">
      <c r="O85766" s="9"/>
    </row>
    <row r="85787" spans="15:15" x14ac:dyDescent="0.25">
      <c r="O85787" s="9"/>
    </row>
    <row r="85808" spans="15:15" x14ac:dyDescent="0.25">
      <c r="O85808" s="9"/>
    </row>
    <row r="85829" spans="15:15" x14ac:dyDescent="0.25">
      <c r="O85829" s="9"/>
    </row>
    <row r="85850" spans="15:15" x14ac:dyDescent="0.25">
      <c r="O85850" s="9"/>
    </row>
    <row r="85871" spans="15:15" x14ac:dyDescent="0.25">
      <c r="O85871" s="9"/>
    </row>
    <row r="85892" spans="15:15" x14ac:dyDescent="0.25">
      <c r="O85892" s="9"/>
    </row>
    <row r="85913" spans="15:15" x14ac:dyDescent="0.25">
      <c r="O85913" s="9"/>
    </row>
    <row r="85934" spans="15:15" x14ac:dyDescent="0.25">
      <c r="O85934" s="9"/>
    </row>
    <row r="85955" spans="15:15" x14ac:dyDescent="0.25">
      <c r="O85955" s="9"/>
    </row>
    <row r="85976" spans="15:15" x14ac:dyDescent="0.25">
      <c r="O85976" s="9"/>
    </row>
    <row r="85997" spans="15:15" x14ac:dyDescent="0.25">
      <c r="O85997" s="9"/>
    </row>
    <row r="86018" spans="15:15" x14ac:dyDescent="0.25">
      <c r="O86018" s="9"/>
    </row>
    <row r="86039" spans="15:15" x14ac:dyDescent="0.25">
      <c r="O86039" s="9"/>
    </row>
    <row r="86060" spans="15:15" x14ac:dyDescent="0.25">
      <c r="O86060" s="9"/>
    </row>
    <row r="86081" spans="15:15" x14ac:dyDescent="0.25">
      <c r="O86081" s="9"/>
    </row>
    <row r="86102" spans="15:15" x14ac:dyDescent="0.25">
      <c r="O86102" s="9"/>
    </row>
    <row r="86123" spans="15:15" x14ac:dyDescent="0.25">
      <c r="O86123" s="9"/>
    </row>
    <row r="86144" spans="15:15" x14ac:dyDescent="0.25">
      <c r="O86144" s="9"/>
    </row>
    <row r="86165" spans="15:15" x14ac:dyDescent="0.25">
      <c r="O86165" s="9"/>
    </row>
    <row r="86186" spans="15:15" x14ac:dyDescent="0.25">
      <c r="O86186" s="9"/>
    </row>
    <row r="86207" spans="15:15" x14ac:dyDescent="0.25">
      <c r="O86207" s="9"/>
    </row>
    <row r="86228" spans="15:15" x14ac:dyDescent="0.25">
      <c r="O86228" s="9"/>
    </row>
    <row r="86249" spans="15:15" x14ac:dyDescent="0.25">
      <c r="O86249" s="9"/>
    </row>
    <row r="86270" spans="15:15" x14ac:dyDescent="0.25">
      <c r="O86270" s="9"/>
    </row>
    <row r="86291" spans="15:15" x14ac:dyDescent="0.25">
      <c r="O86291" s="9"/>
    </row>
    <row r="86312" spans="15:15" x14ac:dyDescent="0.25">
      <c r="O86312" s="9"/>
    </row>
    <row r="86333" spans="15:15" x14ac:dyDescent="0.25">
      <c r="O86333" s="9"/>
    </row>
    <row r="86354" spans="15:15" x14ac:dyDescent="0.25">
      <c r="O86354" s="9"/>
    </row>
    <row r="86375" spans="15:15" x14ac:dyDescent="0.25">
      <c r="O86375" s="9"/>
    </row>
    <row r="86396" spans="15:15" x14ac:dyDescent="0.25">
      <c r="O86396" s="9"/>
    </row>
    <row r="86417" spans="15:15" x14ac:dyDescent="0.25">
      <c r="O86417" s="9"/>
    </row>
    <row r="86438" spans="15:15" x14ac:dyDescent="0.25">
      <c r="O86438" s="9"/>
    </row>
    <row r="86459" spans="15:15" x14ac:dyDescent="0.25">
      <c r="O86459" s="9"/>
    </row>
    <row r="86480" spans="15:15" x14ac:dyDescent="0.25">
      <c r="O86480" s="9"/>
    </row>
    <row r="86501" spans="15:15" x14ac:dyDescent="0.25">
      <c r="O86501" s="9"/>
    </row>
    <row r="86522" spans="15:15" x14ac:dyDescent="0.25">
      <c r="O86522" s="9"/>
    </row>
    <row r="86543" spans="15:15" x14ac:dyDescent="0.25">
      <c r="O86543" s="9"/>
    </row>
    <row r="86564" spans="15:15" x14ac:dyDescent="0.25">
      <c r="O86564" s="9"/>
    </row>
    <row r="86585" spans="15:15" x14ac:dyDescent="0.25">
      <c r="O86585" s="9"/>
    </row>
    <row r="86606" spans="15:15" x14ac:dyDescent="0.25">
      <c r="O86606" s="9"/>
    </row>
    <row r="86627" spans="15:15" x14ac:dyDescent="0.25">
      <c r="O86627" s="9"/>
    </row>
    <row r="86648" spans="15:15" x14ac:dyDescent="0.25">
      <c r="O86648" s="9"/>
    </row>
    <row r="86669" spans="15:15" x14ac:dyDescent="0.25">
      <c r="O86669" s="9"/>
    </row>
    <row r="86690" spans="15:15" x14ac:dyDescent="0.25">
      <c r="O86690" s="9"/>
    </row>
    <row r="86711" spans="15:15" x14ac:dyDescent="0.25">
      <c r="O86711" s="9"/>
    </row>
    <row r="86732" spans="15:15" x14ac:dyDescent="0.25">
      <c r="O86732" s="9"/>
    </row>
    <row r="86753" spans="15:15" x14ac:dyDescent="0.25">
      <c r="O86753" s="9"/>
    </row>
    <row r="86774" spans="15:15" x14ac:dyDescent="0.25">
      <c r="O86774" s="9"/>
    </row>
    <row r="86795" spans="15:15" x14ac:dyDescent="0.25">
      <c r="O86795" s="9"/>
    </row>
    <row r="86816" spans="15:15" x14ac:dyDescent="0.25">
      <c r="O86816" s="9"/>
    </row>
    <row r="86837" spans="15:15" x14ac:dyDescent="0.25">
      <c r="O86837" s="9"/>
    </row>
    <row r="86858" spans="15:15" x14ac:dyDescent="0.25">
      <c r="O86858" s="9"/>
    </row>
    <row r="86879" spans="15:15" x14ac:dyDescent="0.25">
      <c r="O86879" s="9"/>
    </row>
    <row r="86900" spans="15:15" x14ac:dyDescent="0.25">
      <c r="O86900" s="9"/>
    </row>
    <row r="86921" spans="15:15" x14ac:dyDescent="0.25">
      <c r="O86921" s="9"/>
    </row>
    <row r="86942" spans="15:15" x14ac:dyDescent="0.25">
      <c r="O86942" s="9"/>
    </row>
    <row r="86963" spans="15:15" x14ac:dyDescent="0.25">
      <c r="O86963" s="9"/>
    </row>
    <row r="86984" spans="15:15" x14ac:dyDescent="0.25">
      <c r="O86984" s="9"/>
    </row>
    <row r="87005" spans="15:15" x14ac:dyDescent="0.25">
      <c r="O87005" s="9"/>
    </row>
    <row r="87026" spans="15:15" x14ac:dyDescent="0.25">
      <c r="O87026" s="9"/>
    </row>
    <row r="87047" spans="15:15" x14ac:dyDescent="0.25">
      <c r="O87047" s="9"/>
    </row>
    <row r="87068" spans="15:15" x14ac:dyDescent="0.25">
      <c r="O87068" s="9"/>
    </row>
    <row r="87089" spans="15:15" x14ac:dyDescent="0.25">
      <c r="O87089" s="9"/>
    </row>
    <row r="87110" spans="15:15" x14ac:dyDescent="0.25">
      <c r="O87110" s="9"/>
    </row>
    <row r="87131" spans="15:15" x14ac:dyDescent="0.25">
      <c r="O87131" s="9"/>
    </row>
    <row r="87152" spans="15:15" x14ac:dyDescent="0.25">
      <c r="O87152" s="9"/>
    </row>
    <row r="87173" spans="15:15" x14ac:dyDescent="0.25">
      <c r="O87173" s="9"/>
    </row>
    <row r="87194" spans="15:15" x14ac:dyDescent="0.25">
      <c r="O87194" s="9"/>
    </row>
    <row r="87215" spans="15:15" x14ac:dyDescent="0.25">
      <c r="O87215" s="9"/>
    </row>
    <row r="87236" spans="15:15" x14ac:dyDescent="0.25">
      <c r="O87236" s="9"/>
    </row>
    <row r="87257" spans="15:15" x14ac:dyDescent="0.25">
      <c r="O87257" s="9"/>
    </row>
    <row r="87278" spans="15:15" x14ac:dyDescent="0.25">
      <c r="O87278" s="9"/>
    </row>
    <row r="87299" spans="15:15" x14ac:dyDescent="0.25">
      <c r="O87299" s="9"/>
    </row>
    <row r="87320" spans="15:15" x14ac:dyDescent="0.25">
      <c r="O87320" s="9"/>
    </row>
    <row r="87341" spans="15:15" x14ac:dyDescent="0.25">
      <c r="O87341" s="9"/>
    </row>
    <row r="87362" spans="15:15" x14ac:dyDescent="0.25">
      <c r="O87362" s="9"/>
    </row>
    <row r="87383" spans="15:15" x14ac:dyDescent="0.25">
      <c r="O87383" s="9"/>
    </row>
    <row r="87404" spans="15:15" x14ac:dyDescent="0.25">
      <c r="O87404" s="9"/>
    </row>
    <row r="87425" spans="15:15" x14ac:dyDescent="0.25">
      <c r="O87425" s="9"/>
    </row>
    <row r="87446" spans="15:15" x14ac:dyDescent="0.25">
      <c r="O87446" s="9"/>
    </row>
    <row r="87467" spans="15:15" x14ac:dyDescent="0.25">
      <c r="O87467" s="9"/>
    </row>
    <row r="87488" spans="15:15" x14ac:dyDescent="0.25">
      <c r="O87488" s="9"/>
    </row>
    <row r="87509" spans="15:15" x14ac:dyDescent="0.25">
      <c r="O87509" s="9"/>
    </row>
    <row r="87530" spans="15:15" x14ac:dyDescent="0.25">
      <c r="O87530" s="9"/>
    </row>
    <row r="87551" spans="15:15" x14ac:dyDescent="0.25">
      <c r="O87551" s="9"/>
    </row>
    <row r="87572" spans="15:15" x14ac:dyDescent="0.25">
      <c r="O87572" s="9"/>
    </row>
    <row r="87593" spans="15:15" x14ac:dyDescent="0.25">
      <c r="O87593" s="9"/>
    </row>
    <row r="87614" spans="15:15" x14ac:dyDescent="0.25">
      <c r="O87614" s="9"/>
    </row>
    <row r="87635" spans="15:15" x14ac:dyDescent="0.25">
      <c r="O87635" s="9"/>
    </row>
    <row r="87656" spans="15:15" x14ac:dyDescent="0.25">
      <c r="O87656" s="9"/>
    </row>
    <row r="87677" spans="15:15" x14ac:dyDescent="0.25">
      <c r="O87677" s="9"/>
    </row>
    <row r="87698" spans="15:15" x14ac:dyDescent="0.25">
      <c r="O87698" s="9"/>
    </row>
    <row r="87719" spans="15:15" x14ac:dyDescent="0.25">
      <c r="O87719" s="9"/>
    </row>
    <row r="87740" spans="15:15" x14ac:dyDescent="0.25">
      <c r="O87740" s="9"/>
    </row>
    <row r="87761" spans="15:15" x14ac:dyDescent="0.25">
      <c r="O87761" s="9"/>
    </row>
    <row r="87782" spans="15:15" x14ac:dyDescent="0.25">
      <c r="O87782" s="9"/>
    </row>
    <row r="87803" spans="15:15" x14ac:dyDescent="0.25">
      <c r="O87803" s="9"/>
    </row>
    <row r="87824" spans="15:15" x14ac:dyDescent="0.25">
      <c r="O87824" s="9"/>
    </row>
    <row r="87845" spans="15:15" x14ac:dyDescent="0.25">
      <c r="O87845" s="9"/>
    </row>
    <row r="87866" spans="15:15" x14ac:dyDescent="0.25">
      <c r="O87866" s="9"/>
    </row>
    <row r="87887" spans="15:15" x14ac:dyDescent="0.25">
      <c r="O87887" s="9"/>
    </row>
    <row r="87908" spans="15:15" x14ac:dyDescent="0.25">
      <c r="O87908" s="9"/>
    </row>
    <row r="87929" spans="15:15" x14ac:dyDescent="0.25">
      <c r="O87929" s="9"/>
    </row>
    <row r="87950" spans="15:15" x14ac:dyDescent="0.25">
      <c r="O87950" s="9"/>
    </row>
    <row r="87971" spans="15:15" x14ac:dyDescent="0.25">
      <c r="O87971" s="9"/>
    </row>
    <row r="87992" spans="15:15" x14ac:dyDescent="0.25">
      <c r="O87992" s="9"/>
    </row>
    <row r="88013" spans="15:15" x14ac:dyDescent="0.25">
      <c r="O88013" s="9"/>
    </row>
    <row r="88034" spans="15:15" x14ac:dyDescent="0.25">
      <c r="O88034" s="9"/>
    </row>
    <row r="88055" spans="15:15" x14ac:dyDescent="0.25">
      <c r="O88055" s="9"/>
    </row>
    <row r="88076" spans="15:15" x14ac:dyDescent="0.25">
      <c r="O88076" s="9"/>
    </row>
    <row r="88097" spans="15:15" x14ac:dyDescent="0.25">
      <c r="O88097" s="9"/>
    </row>
    <row r="88118" spans="15:15" x14ac:dyDescent="0.25">
      <c r="O88118" s="9"/>
    </row>
    <row r="88139" spans="15:15" x14ac:dyDescent="0.25">
      <c r="O88139" s="9"/>
    </row>
    <row r="88160" spans="15:15" x14ac:dyDescent="0.25">
      <c r="O88160" s="9"/>
    </row>
    <row r="88181" spans="15:15" x14ac:dyDescent="0.25">
      <c r="O88181" s="9"/>
    </row>
    <row r="88202" spans="15:15" x14ac:dyDescent="0.25">
      <c r="O88202" s="9"/>
    </row>
    <row r="88223" spans="15:15" x14ac:dyDescent="0.25">
      <c r="O88223" s="9"/>
    </row>
    <row r="88244" spans="15:15" x14ac:dyDescent="0.25">
      <c r="O88244" s="9"/>
    </row>
    <row r="88265" spans="15:15" x14ac:dyDescent="0.25">
      <c r="O88265" s="9"/>
    </row>
    <row r="88286" spans="15:15" x14ac:dyDescent="0.25">
      <c r="O88286" s="9"/>
    </row>
    <row r="88307" spans="15:15" x14ac:dyDescent="0.25">
      <c r="O88307" s="9"/>
    </row>
    <row r="88328" spans="15:15" x14ac:dyDescent="0.25">
      <c r="O88328" s="9"/>
    </row>
    <row r="88349" spans="15:15" x14ac:dyDescent="0.25">
      <c r="O88349" s="9"/>
    </row>
    <row r="88370" spans="15:15" x14ac:dyDescent="0.25">
      <c r="O88370" s="9"/>
    </row>
    <row r="88391" spans="15:15" x14ac:dyDescent="0.25">
      <c r="O88391" s="9"/>
    </row>
    <row r="88412" spans="15:15" x14ac:dyDescent="0.25">
      <c r="O88412" s="9"/>
    </row>
    <row r="88433" spans="15:15" x14ac:dyDescent="0.25">
      <c r="O88433" s="9"/>
    </row>
    <row r="88454" spans="15:15" x14ac:dyDescent="0.25">
      <c r="O88454" s="9"/>
    </row>
    <row r="88475" spans="15:15" x14ac:dyDescent="0.25">
      <c r="O88475" s="9"/>
    </row>
    <row r="88496" spans="15:15" x14ac:dyDescent="0.25">
      <c r="O88496" s="9"/>
    </row>
    <row r="88517" spans="15:15" x14ac:dyDescent="0.25">
      <c r="O88517" s="9"/>
    </row>
    <row r="88538" spans="15:15" x14ac:dyDescent="0.25">
      <c r="O88538" s="9"/>
    </row>
    <row r="88559" spans="15:15" x14ac:dyDescent="0.25">
      <c r="O88559" s="9"/>
    </row>
    <row r="88580" spans="15:15" x14ac:dyDescent="0.25">
      <c r="O88580" s="9"/>
    </row>
    <row r="88601" spans="15:15" x14ac:dyDescent="0.25">
      <c r="O88601" s="9"/>
    </row>
    <row r="88622" spans="15:15" x14ac:dyDescent="0.25">
      <c r="O88622" s="9"/>
    </row>
    <row r="88643" spans="15:15" x14ac:dyDescent="0.25">
      <c r="O88643" s="9"/>
    </row>
    <row r="88664" spans="15:15" x14ac:dyDescent="0.25">
      <c r="O88664" s="9"/>
    </row>
    <row r="88685" spans="15:15" x14ac:dyDescent="0.25">
      <c r="O88685" s="9"/>
    </row>
    <row r="88706" spans="15:15" x14ac:dyDescent="0.25">
      <c r="O88706" s="9"/>
    </row>
    <row r="88727" spans="15:15" x14ac:dyDescent="0.25">
      <c r="O88727" s="9"/>
    </row>
    <row r="88748" spans="15:15" x14ac:dyDescent="0.25">
      <c r="O88748" s="9"/>
    </row>
    <row r="88769" spans="15:15" x14ac:dyDescent="0.25">
      <c r="O88769" s="9"/>
    </row>
    <row r="88790" spans="15:15" x14ac:dyDescent="0.25">
      <c r="O88790" s="9"/>
    </row>
    <row r="88811" spans="15:15" x14ac:dyDescent="0.25">
      <c r="O88811" s="9"/>
    </row>
    <row r="88832" spans="15:15" x14ac:dyDescent="0.25">
      <c r="O88832" s="9"/>
    </row>
    <row r="88853" spans="15:15" x14ac:dyDescent="0.25">
      <c r="O88853" s="9"/>
    </row>
    <row r="88874" spans="15:15" x14ac:dyDescent="0.25">
      <c r="O88874" s="9"/>
    </row>
    <row r="88895" spans="15:15" x14ac:dyDescent="0.25">
      <c r="O88895" s="9"/>
    </row>
    <row r="88916" spans="15:15" x14ac:dyDescent="0.25">
      <c r="O88916" s="9"/>
    </row>
    <row r="88937" spans="15:15" x14ac:dyDescent="0.25">
      <c r="O88937" s="9"/>
    </row>
    <row r="88958" spans="15:15" x14ac:dyDescent="0.25">
      <c r="O88958" s="9"/>
    </row>
    <row r="88979" spans="15:15" x14ac:dyDescent="0.25">
      <c r="O88979" s="9"/>
    </row>
    <row r="89000" spans="15:15" x14ac:dyDescent="0.25">
      <c r="O89000" s="9"/>
    </row>
    <row r="89021" spans="15:15" x14ac:dyDescent="0.25">
      <c r="O89021" s="9"/>
    </row>
    <row r="89042" spans="15:15" x14ac:dyDescent="0.25">
      <c r="O89042" s="9"/>
    </row>
    <row r="89063" spans="15:15" x14ac:dyDescent="0.25">
      <c r="O89063" s="9"/>
    </row>
    <row r="89084" spans="15:15" x14ac:dyDescent="0.25">
      <c r="O89084" s="9"/>
    </row>
    <row r="89105" spans="15:15" x14ac:dyDescent="0.25">
      <c r="O89105" s="9"/>
    </row>
    <row r="89126" spans="15:15" x14ac:dyDescent="0.25">
      <c r="O89126" s="9"/>
    </row>
    <row r="89147" spans="15:15" x14ac:dyDescent="0.25">
      <c r="O89147" s="9"/>
    </row>
    <row r="89168" spans="15:15" x14ac:dyDescent="0.25">
      <c r="O89168" s="9"/>
    </row>
    <row r="89189" spans="15:15" x14ac:dyDescent="0.25">
      <c r="O89189" s="9"/>
    </row>
    <row r="89210" spans="15:15" x14ac:dyDescent="0.25">
      <c r="O89210" s="9"/>
    </row>
    <row r="89231" spans="15:15" x14ac:dyDescent="0.25">
      <c r="O89231" s="9"/>
    </row>
    <row r="89252" spans="15:15" x14ac:dyDescent="0.25">
      <c r="O89252" s="9"/>
    </row>
    <row r="89273" spans="15:15" x14ac:dyDescent="0.25">
      <c r="O89273" s="9"/>
    </row>
    <row r="89294" spans="15:15" x14ac:dyDescent="0.25">
      <c r="O89294" s="9"/>
    </row>
    <row r="89315" spans="15:15" x14ac:dyDescent="0.25">
      <c r="O89315" s="9"/>
    </row>
    <row r="89336" spans="15:15" x14ac:dyDescent="0.25">
      <c r="O89336" s="9"/>
    </row>
    <row r="89357" spans="15:15" x14ac:dyDescent="0.25">
      <c r="O89357" s="9"/>
    </row>
    <row r="89378" spans="15:15" x14ac:dyDescent="0.25">
      <c r="O89378" s="9"/>
    </row>
    <row r="89399" spans="15:15" x14ac:dyDescent="0.25">
      <c r="O89399" s="9"/>
    </row>
    <row r="89420" spans="15:15" x14ac:dyDescent="0.25">
      <c r="O89420" s="9"/>
    </row>
    <row r="89441" spans="15:15" x14ac:dyDescent="0.25">
      <c r="O89441" s="9"/>
    </row>
    <row r="89462" spans="15:15" x14ac:dyDescent="0.25">
      <c r="O89462" s="9"/>
    </row>
    <row r="89483" spans="15:15" x14ac:dyDescent="0.25">
      <c r="O89483" s="9"/>
    </row>
    <row r="89504" spans="15:15" x14ac:dyDescent="0.25">
      <c r="O89504" s="9"/>
    </row>
    <row r="89525" spans="15:15" x14ac:dyDescent="0.25">
      <c r="O89525" s="9"/>
    </row>
    <row r="89546" spans="15:15" x14ac:dyDescent="0.25">
      <c r="O89546" s="9"/>
    </row>
    <row r="89567" spans="15:15" x14ac:dyDescent="0.25">
      <c r="O89567" s="9"/>
    </row>
    <row r="89588" spans="15:15" x14ac:dyDescent="0.25">
      <c r="O89588" s="9"/>
    </row>
    <row r="89609" spans="15:15" x14ac:dyDescent="0.25">
      <c r="O89609" s="9"/>
    </row>
    <row r="89630" spans="15:15" x14ac:dyDescent="0.25">
      <c r="O89630" s="9"/>
    </row>
    <row r="89651" spans="15:15" x14ac:dyDescent="0.25">
      <c r="O89651" s="9"/>
    </row>
    <row r="89672" spans="15:15" x14ac:dyDescent="0.25">
      <c r="O89672" s="9"/>
    </row>
    <row r="89693" spans="15:15" x14ac:dyDescent="0.25">
      <c r="O89693" s="9"/>
    </row>
    <row r="89714" spans="15:15" x14ac:dyDescent="0.25">
      <c r="O89714" s="9"/>
    </row>
    <row r="89735" spans="15:15" x14ac:dyDescent="0.25">
      <c r="O89735" s="9"/>
    </row>
    <row r="89756" spans="15:15" x14ac:dyDescent="0.25">
      <c r="O89756" s="9"/>
    </row>
    <row r="89777" spans="15:15" x14ac:dyDescent="0.25">
      <c r="O89777" s="9"/>
    </row>
    <row r="89798" spans="15:15" x14ac:dyDescent="0.25">
      <c r="O89798" s="9"/>
    </row>
    <row r="89819" spans="15:15" x14ac:dyDescent="0.25">
      <c r="O89819" s="9"/>
    </row>
    <row r="89840" spans="15:15" x14ac:dyDescent="0.25">
      <c r="O89840" s="9"/>
    </row>
    <row r="89861" spans="15:15" x14ac:dyDescent="0.25">
      <c r="O89861" s="9"/>
    </row>
    <row r="89882" spans="15:15" x14ac:dyDescent="0.25">
      <c r="O89882" s="9"/>
    </row>
    <row r="89903" spans="15:15" x14ac:dyDescent="0.25">
      <c r="O89903" s="9"/>
    </row>
    <row r="89924" spans="15:15" x14ac:dyDescent="0.25">
      <c r="O89924" s="9"/>
    </row>
    <row r="89945" spans="15:15" x14ac:dyDescent="0.25">
      <c r="O89945" s="9"/>
    </row>
    <row r="89966" spans="15:15" x14ac:dyDescent="0.25">
      <c r="O89966" s="9"/>
    </row>
    <row r="89987" spans="15:15" x14ac:dyDescent="0.25">
      <c r="O89987" s="9"/>
    </row>
    <row r="90008" spans="15:15" x14ac:dyDescent="0.25">
      <c r="O90008" s="9"/>
    </row>
    <row r="90029" spans="15:15" x14ac:dyDescent="0.25">
      <c r="O90029" s="9"/>
    </row>
    <row r="90050" spans="15:15" x14ac:dyDescent="0.25">
      <c r="O90050" s="9"/>
    </row>
    <row r="90071" spans="15:15" x14ac:dyDescent="0.25">
      <c r="O90071" s="9"/>
    </row>
    <row r="90092" spans="15:15" x14ac:dyDescent="0.25">
      <c r="O90092" s="9"/>
    </row>
    <row r="90113" spans="15:15" x14ac:dyDescent="0.25">
      <c r="O90113" s="9"/>
    </row>
    <row r="90134" spans="15:15" x14ac:dyDescent="0.25">
      <c r="O90134" s="9"/>
    </row>
    <row r="90155" spans="15:15" x14ac:dyDescent="0.25">
      <c r="O90155" s="9"/>
    </row>
    <row r="90176" spans="15:15" x14ac:dyDescent="0.25">
      <c r="O90176" s="9"/>
    </row>
    <row r="90197" spans="15:15" x14ac:dyDescent="0.25">
      <c r="O90197" s="9"/>
    </row>
    <row r="90218" spans="15:15" x14ac:dyDescent="0.25">
      <c r="O90218" s="9"/>
    </row>
    <row r="90239" spans="15:15" x14ac:dyDescent="0.25">
      <c r="O90239" s="9"/>
    </row>
    <row r="90260" spans="15:15" x14ac:dyDescent="0.25">
      <c r="O90260" s="9"/>
    </row>
    <row r="90281" spans="15:15" x14ac:dyDescent="0.25">
      <c r="O90281" s="9"/>
    </row>
    <row r="90302" spans="15:15" x14ac:dyDescent="0.25">
      <c r="O90302" s="9"/>
    </row>
    <row r="90323" spans="15:15" x14ac:dyDescent="0.25">
      <c r="O90323" s="9"/>
    </row>
    <row r="90344" spans="15:15" x14ac:dyDescent="0.25">
      <c r="O90344" s="9"/>
    </row>
    <row r="90365" spans="15:15" x14ac:dyDescent="0.25">
      <c r="O90365" s="9"/>
    </row>
    <row r="90386" spans="15:15" x14ac:dyDescent="0.25">
      <c r="O90386" s="9"/>
    </row>
    <row r="90407" spans="15:15" x14ac:dyDescent="0.25">
      <c r="O90407" s="9"/>
    </row>
    <row r="90428" spans="15:15" x14ac:dyDescent="0.25">
      <c r="O90428" s="9"/>
    </row>
    <row r="90449" spans="15:15" x14ac:dyDescent="0.25">
      <c r="O90449" s="9"/>
    </row>
    <row r="90470" spans="15:15" x14ac:dyDescent="0.25">
      <c r="O90470" s="9"/>
    </row>
    <row r="90491" spans="15:15" x14ac:dyDescent="0.25">
      <c r="O90491" s="9"/>
    </row>
    <row r="90512" spans="15:15" x14ac:dyDescent="0.25">
      <c r="O90512" s="9"/>
    </row>
    <row r="90533" spans="15:15" x14ac:dyDescent="0.25">
      <c r="O90533" s="9"/>
    </row>
    <row r="90554" spans="15:15" x14ac:dyDescent="0.25">
      <c r="O90554" s="9"/>
    </row>
    <row r="90575" spans="15:15" x14ac:dyDescent="0.25">
      <c r="O90575" s="9"/>
    </row>
    <row r="90596" spans="15:15" x14ac:dyDescent="0.25">
      <c r="O90596" s="9"/>
    </row>
    <row r="90617" spans="15:15" x14ac:dyDescent="0.25">
      <c r="O90617" s="9"/>
    </row>
    <row r="90638" spans="15:15" x14ac:dyDescent="0.25">
      <c r="O90638" s="9"/>
    </row>
    <row r="90659" spans="15:15" x14ac:dyDescent="0.25">
      <c r="O90659" s="9"/>
    </row>
    <row r="90680" spans="15:15" x14ac:dyDescent="0.25">
      <c r="O90680" s="9"/>
    </row>
    <row r="90701" spans="15:15" x14ac:dyDescent="0.25">
      <c r="O90701" s="9"/>
    </row>
    <row r="90722" spans="15:15" x14ac:dyDescent="0.25">
      <c r="O90722" s="9"/>
    </row>
    <row r="90743" spans="15:15" x14ac:dyDescent="0.25">
      <c r="O90743" s="9"/>
    </row>
    <row r="90764" spans="15:15" x14ac:dyDescent="0.25">
      <c r="O90764" s="9"/>
    </row>
    <row r="90785" spans="15:15" x14ac:dyDescent="0.25">
      <c r="O90785" s="9"/>
    </row>
    <row r="90806" spans="15:15" x14ac:dyDescent="0.25">
      <c r="O90806" s="9"/>
    </row>
    <row r="90827" spans="15:15" x14ac:dyDescent="0.25">
      <c r="O90827" s="9"/>
    </row>
    <row r="90848" spans="15:15" x14ac:dyDescent="0.25">
      <c r="O90848" s="9"/>
    </row>
    <row r="90869" spans="15:15" x14ac:dyDescent="0.25">
      <c r="O90869" s="9"/>
    </row>
    <row r="90890" spans="15:15" x14ac:dyDescent="0.25">
      <c r="O90890" s="9"/>
    </row>
    <row r="90911" spans="15:15" x14ac:dyDescent="0.25">
      <c r="O90911" s="9"/>
    </row>
    <row r="90932" spans="15:15" x14ac:dyDescent="0.25">
      <c r="O90932" s="9"/>
    </row>
    <row r="90953" spans="15:15" x14ac:dyDescent="0.25">
      <c r="O90953" s="9"/>
    </row>
    <row r="90974" spans="15:15" x14ac:dyDescent="0.25">
      <c r="O90974" s="9"/>
    </row>
    <row r="90995" spans="15:15" x14ac:dyDescent="0.25">
      <c r="O90995" s="9"/>
    </row>
    <row r="91016" spans="15:15" x14ac:dyDescent="0.25">
      <c r="O91016" s="9"/>
    </row>
    <row r="91037" spans="15:15" x14ac:dyDescent="0.25">
      <c r="O91037" s="9"/>
    </row>
    <row r="91058" spans="15:15" x14ac:dyDescent="0.25">
      <c r="O91058" s="9"/>
    </row>
    <row r="91079" spans="15:15" x14ac:dyDescent="0.25">
      <c r="O91079" s="9"/>
    </row>
    <row r="91100" spans="15:15" x14ac:dyDescent="0.25">
      <c r="O91100" s="9"/>
    </row>
    <row r="91121" spans="15:15" x14ac:dyDescent="0.25">
      <c r="O91121" s="9"/>
    </row>
    <row r="91142" spans="15:15" x14ac:dyDescent="0.25">
      <c r="O91142" s="9"/>
    </row>
    <row r="91163" spans="15:15" x14ac:dyDescent="0.25">
      <c r="O91163" s="9"/>
    </row>
    <row r="91184" spans="15:15" x14ac:dyDescent="0.25">
      <c r="O91184" s="9"/>
    </row>
    <row r="91205" spans="15:15" x14ac:dyDescent="0.25">
      <c r="O91205" s="9"/>
    </row>
    <row r="91226" spans="15:15" x14ac:dyDescent="0.25">
      <c r="O91226" s="9"/>
    </row>
    <row r="91247" spans="15:15" x14ac:dyDescent="0.25">
      <c r="O91247" s="9"/>
    </row>
    <row r="91268" spans="15:15" x14ac:dyDescent="0.25">
      <c r="O91268" s="9"/>
    </row>
    <row r="91289" spans="15:15" x14ac:dyDescent="0.25">
      <c r="O91289" s="9"/>
    </row>
    <row r="91310" spans="15:15" x14ac:dyDescent="0.25">
      <c r="O91310" s="9"/>
    </row>
    <row r="91331" spans="15:15" x14ac:dyDescent="0.25">
      <c r="O91331" s="9"/>
    </row>
    <row r="91352" spans="15:15" x14ac:dyDescent="0.25">
      <c r="O91352" s="9"/>
    </row>
    <row r="91373" spans="15:15" x14ac:dyDescent="0.25">
      <c r="O91373" s="9"/>
    </row>
    <row r="91394" spans="15:15" x14ac:dyDescent="0.25">
      <c r="O91394" s="9"/>
    </row>
    <row r="91415" spans="15:15" x14ac:dyDescent="0.25">
      <c r="O91415" s="9"/>
    </row>
    <row r="91436" spans="15:15" x14ac:dyDescent="0.25">
      <c r="O91436" s="9"/>
    </row>
    <row r="91457" spans="15:15" x14ac:dyDescent="0.25">
      <c r="O91457" s="9"/>
    </row>
    <row r="91478" spans="15:15" x14ac:dyDescent="0.25">
      <c r="O91478" s="9"/>
    </row>
    <row r="91499" spans="15:15" x14ac:dyDescent="0.25">
      <c r="O91499" s="9"/>
    </row>
    <row r="91520" spans="15:15" x14ac:dyDescent="0.25">
      <c r="O91520" s="9"/>
    </row>
    <row r="91541" spans="15:15" x14ac:dyDescent="0.25">
      <c r="O91541" s="9"/>
    </row>
    <row r="91562" spans="15:15" x14ac:dyDescent="0.25">
      <c r="O91562" s="9"/>
    </row>
    <row r="91583" spans="15:15" x14ac:dyDescent="0.25">
      <c r="O91583" s="9"/>
    </row>
    <row r="91604" spans="15:15" x14ac:dyDescent="0.25">
      <c r="O91604" s="9"/>
    </row>
    <row r="91625" spans="15:15" x14ac:dyDescent="0.25">
      <c r="O91625" s="9"/>
    </row>
    <row r="91646" spans="15:15" x14ac:dyDescent="0.25">
      <c r="O91646" s="9"/>
    </row>
    <row r="91667" spans="15:15" x14ac:dyDescent="0.25">
      <c r="O91667" s="9"/>
    </row>
    <row r="91688" spans="15:15" x14ac:dyDescent="0.25">
      <c r="O91688" s="9"/>
    </row>
    <row r="91709" spans="15:15" x14ac:dyDescent="0.25">
      <c r="O91709" s="9"/>
    </row>
    <row r="91730" spans="15:15" x14ac:dyDescent="0.25">
      <c r="O91730" s="9"/>
    </row>
    <row r="91751" spans="15:15" x14ac:dyDescent="0.25">
      <c r="O91751" s="9"/>
    </row>
    <row r="91772" spans="15:15" x14ac:dyDescent="0.25">
      <c r="O91772" s="9"/>
    </row>
    <row r="91793" spans="15:15" x14ac:dyDescent="0.25">
      <c r="O91793" s="9"/>
    </row>
    <row r="91814" spans="15:15" x14ac:dyDescent="0.25">
      <c r="O91814" s="9"/>
    </row>
    <row r="91835" spans="15:15" x14ac:dyDescent="0.25">
      <c r="O91835" s="9"/>
    </row>
    <row r="91856" spans="15:15" x14ac:dyDescent="0.25">
      <c r="O91856" s="9"/>
    </row>
    <row r="91877" spans="15:15" x14ac:dyDescent="0.25">
      <c r="O91877" s="9"/>
    </row>
    <row r="91898" spans="15:15" x14ac:dyDescent="0.25">
      <c r="O91898" s="9"/>
    </row>
    <row r="91919" spans="15:15" x14ac:dyDescent="0.25">
      <c r="O91919" s="9"/>
    </row>
    <row r="91940" spans="15:15" x14ac:dyDescent="0.25">
      <c r="O91940" s="9"/>
    </row>
    <row r="91961" spans="15:15" x14ac:dyDescent="0.25">
      <c r="O91961" s="9"/>
    </row>
    <row r="91982" spans="15:15" x14ac:dyDescent="0.25">
      <c r="O91982" s="9"/>
    </row>
    <row r="92003" spans="15:15" x14ac:dyDescent="0.25">
      <c r="O92003" s="9"/>
    </row>
    <row r="92024" spans="15:15" x14ac:dyDescent="0.25">
      <c r="O92024" s="9"/>
    </row>
    <row r="92045" spans="15:15" x14ac:dyDescent="0.25">
      <c r="O92045" s="9"/>
    </row>
    <row r="92066" spans="15:15" x14ac:dyDescent="0.25">
      <c r="O92066" s="9"/>
    </row>
    <row r="92087" spans="15:15" x14ac:dyDescent="0.25">
      <c r="O92087" s="9"/>
    </row>
    <row r="92108" spans="15:15" x14ac:dyDescent="0.25">
      <c r="O92108" s="9"/>
    </row>
    <row r="92129" spans="15:15" x14ac:dyDescent="0.25">
      <c r="O92129" s="9"/>
    </row>
    <row r="92150" spans="15:15" x14ac:dyDescent="0.25">
      <c r="O92150" s="9"/>
    </row>
    <row r="92171" spans="15:15" x14ac:dyDescent="0.25">
      <c r="O92171" s="9"/>
    </row>
    <row r="92192" spans="15:15" x14ac:dyDescent="0.25">
      <c r="O92192" s="9"/>
    </row>
    <row r="92213" spans="15:15" x14ac:dyDescent="0.25">
      <c r="O92213" s="9"/>
    </row>
    <row r="92234" spans="15:15" x14ac:dyDescent="0.25">
      <c r="O92234" s="9"/>
    </row>
    <row r="92255" spans="15:15" x14ac:dyDescent="0.25">
      <c r="O92255" s="9"/>
    </row>
    <row r="92276" spans="15:15" x14ac:dyDescent="0.25">
      <c r="O92276" s="9"/>
    </row>
    <row r="92297" spans="15:15" x14ac:dyDescent="0.25">
      <c r="O92297" s="9"/>
    </row>
    <row r="92318" spans="15:15" x14ac:dyDescent="0.25">
      <c r="O92318" s="9"/>
    </row>
    <row r="92339" spans="15:15" x14ac:dyDescent="0.25">
      <c r="O92339" s="9"/>
    </row>
    <row r="92360" spans="15:15" x14ac:dyDescent="0.25">
      <c r="O92360" s="9"/>
    </row>
    <row r="92381" spans="15:15" x14ac:dyDescent="0.25">
      <c r="O92381" s="9"/>
    </row>
    <row r="92402" spans="15:15" x14ac:dyDescent="0.25">
      <c r="O92402" s="9"/>
    </row>
    <row r="92423" spans="15:15" x14ac:dyDescent="0.25">
      <c r="O92423" s="9"/>
    </row>
    <row r="92444" spans="15:15" x14ac:dyDescent="0.25">
      <c r="O92444" s="9"/>
    </row>
    <row r="92465" spans="15:15" x14ac:dyDescent="0.25">
      <c r="O92465" s="9"/>
    </row>
    <row r="92486" spans="15:15" x14ac:dyDescent="0.25">
      <c r="O92486" s="9"/>
    </row>
    <row r="92507" spans="15:15" x14ac:dyDescent="0.25">
      <c r="O92507" s="9"/>
    </row>
    <row r="92528" spans="15:15" x14ac:dyDescent="0.25">
      <c r="O92528" s="9"/>
    </row>
    <row r="92549" spans="15:15" x14ac:dyDescent="0.25">
      <c r="O92549" s="9"/>
    </row>
    <row r="92570" spans="15:15" x14ac:dyDescent="0.25">
      <c r="O92570" s="9"/>
    </row>
    <row r="92591" spans="15:15" x14ac:dyDescent="0.25">
      <c r="O92591" s="9"/>
    </row>
    <row r="92612" spans="15:15" x14ac:dyDescent="0.25">
      <c r="O92612" s="9"/>
    </row>
    <row r="92633" spans="15:15" x14ac:dyDescent="0.25">
      <c r="O92633" s="9"/>
    </row>
    <row r="92654" spans="15:15" x14ac:dyDescent="0.25">
      <c r="O92654" s="9"/>
    </row>
    <row r="92675" spans="15:15" x14ac:dyDescent="0.25">
      <c r="O92675" s="9"/>
    </row>
    <row r="92696" spans="15:15" x14ac:dyDescent="0.25">
      <c r="O92696" s="9"/>
    </row>
    <row r="92717" spans="15:15" x14ac:dyDescent="0.25">
      <c r="O92717" s="9"/>
    </row>
    <row r="92738" spans="15:15" x14ac:dyDescent="0.25">
      <c r="O92738" s="9"/>
    </row>
    <row r="92759" spans="15:15" x14ac:dyDescent="0.25">
      <c r="O92759" s="9"/>
    </row>
    <row r="92780" spans="15:15" x14ac:dyDescent="0.25">
      <c r="O92780" s="9"/>
    </row>
    <row r="92801" spans="15:15" x14ac:dyDescent="0.25">
      <c r="O92801" s="9"/>
    </row>
    <row r="92822" spans="15:15" x14ac:dyDescent="0.25">
      <c r="O92822" s="9"/>
    </row>
    <row r="92843" spans="15:15" x14ac:dyDescent="0.25">
      <c r="O92843" s="9"/>
    </row>
    <row r="92864" spans="15:15" x14ac:dyDescent="0.25">
      <c r="O92864" s="9"/>
    </row>
    <row r="92885" spans="15:15" x14ac:dyDescent="0.25">
      <c r="O92885" s="9"/>
    </row>
    <row r="92906" spans="15:15" x14ac:dyDescent="0.25">
      <c r="O92906" s="9"/>
    </row>
    <row r="92927" spans="15:15" x14ac:dyDescent="0.25">
      <c r="O92927" s="9"/>
    </row>
    <row r="92948" spans="15:15" x14ac:dyDescent="0.25">
      <c r="O92948" s="9"/>
    </row>
    <row r="92969" spans="15:15" x14ac:dyDescent="0.25">
      <c r="O92969" s="9"/>
    </row>
    <row r="92990" spans="15:15" x14ac:dyDescent="0.25">
      <c r="O92990" s="9"/>
    </row>
    <row r="93011" spans="15:15" x14ac:dyDescent="0.25">
      <c r="O93011" s="9"/>
    </row>
    <row r="93032" spans="15:15" x14ac:dyDescent="0.25">
      <c r="O93032" s="9"/>
    </row>
    <row r="93053" spans="15:15" x14ac:dyDescent="0.25">
      <c r="O93053" s="9"/>
    </row>
    <row r="93074" spans="15:15" x14ac:dyDescent="0.25">
      <c r="O93074" s="9"/>
    </row>
    <row r="93095" spans="15:15" x14ac:dyDescent="0.25">
      <c r="O93095" s="9"/>
    </row>
    <row r="93116" spans="15:15" x14ac:dyDescent="0.25">
      <c r="O93116" s="9"/>
    </row>
    <row r="93137" spans="15:15" x14ac:dyDescent="0.25">
      <c r="O93137" s="9"/>
    </row>
    <row r="93158" spans="15:15" x14ac:dyDescent="0.25">
      <c r="O93158" s="9"/>
    </row>
    <row r="93179" spans="15:15" x14ac:dyDescent="0.25">
      <c r="O93179" s="9"/>
    </row>
    <row r="93200" spans="15:15" x14ac:dyDescent="0.25">
      <c r="O93200" s="9"/>
    </row>
    <row r="93221" spans="15:15" x14ac:dyDescent="0.25">
      <c r="O93221" s="9"/>
    </row>
    <row r="93242" spans="15:15" x14ac:dyDescent="0.25">
      <c r="O93242" s="9"/>
    </row>
    <row r="93263" spans="15:15" x14ac:dyDescent="0.25">
      <c r="O93263" s="9"/>
    </row>
    <row r="93284" spans="15:15" x14ac:dyDescent="0.25">
      <c r="O93284" s="9"/>
    </row>
    <row r="93305" spans="15:15" x14ac:dyDescent="0.25">
      <c r="O93305" s="9"/>
    </row>
    <row r="93326" spans="15:15" x14ac:dyDescent="0.25">
      <c r="O93326" s="9"/>
    </row>
    <row r="93347" spans="15:15" x14ac:dyDescent="0.25">
      <c r="O93347" s="9"/>
    </row>
    <row r="93368" spans="15:15" x14ac:dyDescent="0.25">
      <c r="O93368" s="9"/>
    </row>
    <row r="93389" spans="15:15" x14ac:dyDescent="0.25">
      <c r="O93389" s="9"/>
    </row>
    <row r="93410" spans="15:15" x14ac:dyDescent="0.25">
      <c r="O93410" s="9"/>
    </row>
    <row r="93431" spans="15:15" x14ac:dyDescent="0.25">
      <c r="O93431" s="9"/>
    </row>
    <row r="93452" spans="15:15" x14ac:dyDescent="0.25">
      <c r="O93452" s="9"/>
    </row>
    <row r="93473" spans="15:15" x14ac:dyDescent="0.25">
      <c r="O93473" s="9"/>
    </row>
    <row r="93494" spans="15:15" x14ac:dyDescent="0.25">
      <c r="O93494" s="9"/>
    </row>
    <row r="93515" spans="15:15" x14ac:dyDescent="0.25">
      <c r="O93515" s="9"/>
    </row>
    <row r="93536" spans="15:15" x14ac:dyDescent="0.25">
      <c r="O93536" s="9"/>
    </row>
    <row r="93557" spans="15:15" x14ac:dyDescent="0.25">
      <c r="O93557" s="9"/>
    </row>
    <row r="93578" spans="15:15" x14ac:dyDescent="0.25">
      <c r="O93578" s="9"/>
    </row>
    <row r="93599" spans="15:15" x14ac:dyDescent="0.25">
      <c r="O93599" s="9"/>
    </row>
    <row r="93620" spans="15:15" x14ac:dyDescent="0.25">
      <c r="O93620" s="9"/>
    </row>
    <row r="93641" spans="15:15" x14ac:dyDescent="0.25">
      <c r="O93641" s="9"/>
    </row>
    <row r="93662" spans="15:15" x14ac:dyDescent="0.25">
      <c r="O93662" s="9"/>
    </row>
    <row r="93683" spans="15:15" x14ac:dyDescent="0.25">
      <c r="O93683" s="9"/>
    </row>
    <row r="93704" spans="15:15" x14ac:dyDescent="0.25">
      <c r="O93704" s="9"/>
    </row>
    <row r="93725" spans="15:15" x14ac:dyDescent="0.25">
      <c r="O93725" s="9"/>
    </row>
    <row r="93746" spans="15:15" x14ac:dyDescent="0.25">
      <c r="O93746" s="9"/>
    </row>
    <row r="93767" spans="15:15" x14ac:dyDescent="0.25">
      <c r="O93767" s="9"/>
    </row>
    <row r="93788" spans="15:15" x14ac:dyDescent="0.25">
      <c r="O93788" s="9"/>
    </row>
    <row r="93809" spans="15:15" x14ac:dyDescent="0.25">
      <c r="O93809" s="9"/>
    </row>
    <row r="93830" spans="15:15" x14ac:dyDescent="0.25">
      <c r="O93830" s="9"/>
    </row>
    <row r="93851" spans="15:15" x14ac:dyDescent="0.25">
      <c r="O93851" s="9"/>
    </row>
    <row r="93872" spans="15:15" x14ac:dyDescent="0.25">
      <c r="O93872" s="9"/>
    </row>
    <row r="93893" spans="15:15" x14ac:dyDescent="0.25">
      <c r="O93893" s="9"/>
    </row>
    <row r="93914" spans="15:15" x14ac:dyDescent="0.25">
      <c r="O93914" s="9"/>
    </row>
    <row r="93935" spans="15:15" x14ac:dyDescent="0.25">
      <c r="O93935" s="9"/>
    </row>
    <row r="93956" spans="15:15" x14ac:dyDescent="0.25">
      <c r="O93956" s="9"/>
    </row>
    <row r="93977" spans="15:15" x14ac:dyDescent="0.25">
      <c r="O93977" s="9"/>
    </row>
    <row r="93998" spans="15:15" x14ac:dyDescent="0.25">
      <c r="O93998" s="9"/>
    </row>
    <row r="94019" spans="15:15" x14ac:dyDescent="0.25">
      <c r="O94019" s="9"/>
    </row>
    <row r="94040" spans="15:15" x14ac:dyDescent="0.25">
      <c r="O94040" s="9"/>
    </row>
    <row r="94061" spans="15:15" x14ac:dyDescent="0.25">
      <c r="O94061" s="9"/>
    </row>
    <row r="94082" spans="15:15" x14ac:dyDescent="0.25">
      <c r="O94082" s="9"/>
    </row>
    <row r="94103" spans="15:15" x14ac:dyDescent="0.25">
      <c r="O94103" s="9"/>
    </row>
    <row r="94124" spans="15:15" x14ac:dyDescent="0.25">
      <c r="O94124" s="9"/>
    </row>
    <row r="94145" spans="15:15" x14ac:dyDescent="0.25">
      <c r="O94145" s="9"/>
    </row>
    <row r="94166" spans="15:15" x14ac:dyDescent="0.25">
      <c r="O94166" s="9"/>
    </row>
    <row r="94187" spans="15:15" x14ac:dyDescent="0.25">
      <c r="O94187" s="9"/>
    </row>
    <row r="94208" spans="15:15" x14ac:dyDescent="0.25">
      <c r="O94208" s="9"/>
    </row>
    <row r="94229" spans="15:15" x14ac:dyDescent="0.25">
      <c r="O94229" s="9"/>
    </row>
    <row r="94250" spans="15:15" x14ac:dyDescent="0.25">
      <c r="O94250" s="9"/>
    </row>
    <row r="94271" spans="15:15" x14ac:dyDescent="0.25">
      <c r="O94271" s="9"/>
    </row>
    <row r="94292" spans="15:15" x14ac:dyDescent="0.25">
      <c r="O94292" s="9"/>
    </row>
    <row r="94313" spans="15:15" x14ac:dyDescent="0.25">
      <c r="O94313" s="9"/>
    </row>
    <row r="94334" spans="15:15" x14ac:dyDescent="0.25">
      <c r="O94334" s="9"/>
    </row>
    <row r="94355" spans="15:15" x14ac:dyDescent="0.25">
      <c r="O94355" s="9"/>
    </row>
    <row r="94376" spans="15:15" x14ac:dyDescent="0.25">
      <c r="O94376" s="9"/>
    </row>
    <row r="94397" spans="15:15" x14ac:dyDescent="0.25">
      <c r="O94397" s="9"/>
    </row>
    <row r="94418" spans="15:15" x14ac:dyDescent="0.25">
      <c r="O94418" s="9"/>
    </row>
    <row r="94439" spans="15:15" x14ac:dyDescent="0.25">
      <c r="O94439" s="9"/>
    </row>
    <row r="94460" spans="15:15" x14ac:dyDescent="0.25">
      <c r="O94460" s="9"/>
    </row>
    <row r="94481" spans="15:15" x14ac:dyDescent="0.25">
      <c r="O94481" s="9"/>
    </row>
    <row r="94502" spans="15:15" x14ac:dyDescent="0.25">
      <c r="O94502" s="9"/>
    </row>
    <row r="94523" spans="15:15" x14ac:dyDescent="0.25">
      <c r="O94523" s="9"/>
    </row>
    <row r="94544" spans="15:15" x14ac:dyDescent="0.25">
      <c r="O94544" s="9"/>
    </row>
    <row r="94565" spans="15:15" x14ac:dyDescent="0.25">
      <c r="O94565" s="9"/>
    </row>
    <row r="94586" spans="15:15" x14ac:dyDescent="0.25">
      <c r="O94586" s="9"/>
    </row>
    <row r="94607" spans="15:15" x14ac:dyDescent="0.25">
      <c r="O94607" s="9"/>
    </row>
    <row r="94628" spans="15:15" x14ac:dyDescent="0.25">
      <c r="O94628" s="9"/>
    </row>
    <row r="94649" spans="15:15" x14ac:dyDescent="0.25">
      <c r="O94649" s="9"/>
    </row>
    <row r="94670" spans="15:15" x14ac:dyDescent="0.25">
      <c r="O94670" s="9"/>
    </row>
    <row r="94691" spans="15:15" x14ac:dyDescent="0.25">
      <c r="O94691" s="9"/>
    </row>
    <row r="94712" spans="15:15" x14ac:dyDescent="0.25">
      <c r="O94712" s="9"/>
    </row>
    <row r="94733" spans="15:15" x14ac:dyDescent="0.25">
      <c r="O94733" s="9"/>
    </row>
    <row r="94754" spans="15:15" x14ac:dyDescent="0.25">
      <c r="O94754" s="9"/>
    </row>
    <row r="94775" spans="15:15" x14ac:dyDescent="0.25">
      <c r="O94775" s="9"/>
    </row>
    <row r="94796" spans="15:15" x14ac:dyDescent="0.25">
      <c r="O94796" s="9"/>
    </row>
    <row r="94817" spans="15:15" x14ac:dyDescent="0.25">
      <c r="O94817" s="9"/>
    </row>
    <row r="94838" spans="15:15" x14ac:dyDescent="0.25">
      <c r="O94838" s="9"/>
    </row>
    <row r="94859" spans="15:15" x14ac:dyDescent="0.25">
      <c r="O94859" s="9"/>
    </row>
    <row r="94880" spans="15:15" x14ac:dyDescent="0.25">
      <c r="O94880" s="9"/>
    </row>
    <row r="94901" spans="15:15" x14ac:dyDescent="0.25">
      <c r="O94901" s="9"/>
    </row>
    <row r="94922" spans="15:15" x14ac:dyDescent="0.25">
      <c r="O94922" s="9"/>
    </row>
    <row r="94943" spans="15:15" x14ac:dyDescent="0.25">
      <c r="O94943" s="9"/>
    </row>
    <row r="94964" spans="15:15" x14ac:dyDescent="0.25">
      <c r="O94964" s="9"/>
    </row>
    <row r="94985" spans="15:15" x14ac:dyDescent="0.25">
      <c r="O94985" s="9"/>
    </row>
    <row r="95006" spans="15:15" x14ac:dyDescent="0.25">
      <c r="O95006" s="9"/>
    </row>
    <row r="95027" spans="15:15" x14ac:dyDescent="0.25">
      <c r="O95027" s="9"/>
    </row>
    <row r="95048" spans="15:15" x14ac:dyDescent="0.25">
      <c r="O95048" s="9"/>
    </row>
    <row r="95069" spans="15:15" x14ac:dyDescent="0.25">
      <c r="O95069" s="9"/>
    </row>
    <row r="95090" spans="15:15" x14ac:dyDescent="0.25">
      <c r="O95090" s="9"/>
    </row>
    <row r="95111" spans="15:15" x14ac:dyDescent="0.25">
      <c r="O95111" s="9"/>
    </row>
    <row r="95132" spans="15:15" x14ac:dyDescent="0.25">
      <c r="O95132" s="9"/>
    </row>
    <row r="95153" spans="15:15" x14ac:dyDescent="0.25">
      <c r="O95153" s="9"/>
    </row>
    <row r="95174" spans="15:15" x14ac:dyDescent="0.25">
      <c r="O95174" s="9"/>
    </row>
    <row r="95195" spans="15:15" x14ac:dyDescent="0.25">
      <c r="O95195" s="9"/>
    </row>
    <row r="95216" spans="15:15" x14ac:dyDescent="0.25">
      <c r="O95216" s="9"/>
    </row>
    <row r="95237" spans="15:15" x14ac:dyDescent="0.25">
      <c r="O95237" s="9"/>
    </row>
    <row r="95258" spans="15:15" x14ac:dyDescent="0.25">
      <c r="O95258" s="9"/>
    </row>
    <row r="95279" spans="15:15" x14ac:dyDescent="0.25">
      <c r="O95279" s="9"/>
    </row>
    <row r="95300" spans="15:15" x14ac:dyDescent="0.25">
      <c r="O95300" s="9"/>
    </row>
    <row r="95321" spans="15:15" x14ac:dyDescent="0.25">
      <c r="O95321" s="9"/>
    </row>
    <row r="95342" spans="15:15" x14ac:dyDescent="0.25">
      <c r="O95342" s="9"/>
    </row>
    <row r="95363" spans="15:15" x14ac:dyDescent="0.25">
      <c r="O95363" s="9"/>
    </row>
    <row r="95384" spans="15:15" x14ac:dyDescent="0.25">
      <c r="O95384" s="9"/>
    </row>
    <row r="95405" spans="15:15" x14ac:dyDescent="0.25">
      <c r="O95405" s="9"/>
    </row>
    <row r="95426" spans="15:15" x14ac:dyDescent="0.25">
      <c r="O95426" s="9"/>
    </row>
    <row r="95447" spans="15:15" x14ac:dyDescent="0.25">
      <c r="O95447" s="9"/>
    </row>
    <row r="95468" spans="15:15" x14ac:dyDescent="0.25">
      <c r="O95468" s="9"/>
    </row>
    <row r="95489" spans="15:15" x14ac:dyDescent="0.25">
      <c r="O95489" s="9"/>
    </row>
    <row r="95510" spans="15:15" x14ac:dyDescent="0.25">
      <c r="O95510" s="9"/>
    </row>
    <row r="95531" spans="15:15" x14ac:dyDescent="0.25">
      <c r="O95531" s="9"/>
    </row>
    <row r="95552" spans="15:15" x14ac:dyDescent="0.25">
      <c r="O95552" s="9"/>
    </row>
    <row r="95573" spans="15:15" x14ac:dyDescent="0.25">
      <c r="O95573" s="9"/>
    </row>
    <row r="95594" spans="15:15" x14ac:dyDescent="0.25">
      <c r="O95594" s="9"/>
    </row>
    <row r="95615" spans="15:15" x14ac:dyDescent="0.25">
      <c r="O95615" s="9"/>
    </row>
    <row r="95636" spans="15:15" x14ac:dyDescent="0.25">
      <c r="O95636" s="9"/>
    </row>
    <row r="95657" spans="15:15" x14ac:dyDescent="0.25">
      <c r="O95657" s="9"/>
    </row>
    <row r="95678" spans="15:15" x14ac:dyDescent="0.25">
      <c r="O95678" s="9"/>
    </row>
    <row r="95699" spans="15:15" x14ac:dyDescent="0.25">
      <c r="O95699" s="9"/>
    </row>
    <row r="95720" spans="15:15" x14ac:dyDescent="0.25">
      <c r="O95720" s="9"/>
    </row>
    <row r="95741" spans="15:15" x14ac:dyDescent="0.25">
      <c r="O95741" s="9"/>
    </row>
    <row r="95762" spans="15:15" x14ac:dyDescent="0.25">
      <c r="O95762" s="9"/>
    </row>
    <row r="95783" spans="15:15" x14ac:dyDescent="0.25">
      <c r="O95783" s="9"/>
    </row>
    <row r="95804" spans="15:15" x14ac:dyDescent="0.25">
      <c r="O95804" s="9"/>
    </row>
    <row r="95825" spans="15:15" x14ac:dyDescent="0.25">
      <c r="O95825" s="9"/>
    </row>
    <row r="95846" spans="15:15" x14ac:dyDescent="0.25">
      <c r="O95846" s="9"/>
    </row>
    <row r="95867" spans="15:15" x14ac:dyDescent="0.25">
      <c r="O95867" s="9"/>
    </row>
    <row r="95888" spans="15:15" x14ac:dyDescent="0.25">
      <c r="O95888" s="9"/>
    </row>
    <row r="95909" spans="15:15" x14ac:dyDescent="0.25">
      <c r="O95909" s="9"/>
    </row>
    <row r="95930" spans="15:15" x14ac:dyDescent="0.25">
      <c r="O95930" s="9"/>
    </row>
    <row r="95951" spans="15:15" x14ac:dyDescent="0.25">
      <c r="O95951" s="9"/>
    </row>
    <row r="95972" spans="15:15" x14ac:dyDescent="0.25">
      <c r="O95972" s="9"/>
    </row>
    <row r="95993" spans="15:15" x14ac:dyDescent="0.25">
      <c r="O95993" s="9"/>
    </row>
    <row r="96014" spans="15:15" x14ac:dyDescent="0.25">
      <c r="O96014" s="9"/>
    </row>
    <row r="96035" spans="15:15" x14ac:dyDescent="0.25">
      <c r="O96035" s="9"/>
    </row>
    <row r="96056" spans="15:15" x14ac:dyDescent="0.25">
      <c r="O96056" s="9"/>
    </row>
    <row r="96077" spans="15:15" x14ac:dyDescent="0.25">
      <c r="O96077" s="9"/>
    </row>
    <row r="96098" spans="15:15" x14ac:dyDescent="0.25">
      <c r="O96098" s="9"/>
    </row>
    <row r="96119" spans="15:15" x14ac:dyDescent="0.25">
      <c r="O96119" s="9"/>
    </row>
    <row r="96140" spans="15:15" x14ac:dyDescent="0.25">
      <c r="O96140" s="9"/>
    </row>
    <row r="96161" spans="15:15" x14ac:dyDescent="0.25">
      <c r="O96161" s="9"/>
    </row>
    <row r="96182" spans="15:15" x14ac:dyDescent="0.25">
      <c r="O96182" s="9"/>
    </row>
    <row r="96203" spans="15:15" x14ac:dyDescent="0.25">
      <c r="O96203" s="9"/>
    </row>
    <row r="96224" spans="15:15" x14ac:dyDescent="0.25">
      <c r="O96224" s="9"/>
    </row>
    <row r="96245" spans="15:15" x14ac:dyDescent="0.25">
      <c r="O96245" s="9"/>
    </row>
    <row r="96266" spans="15:15" x14ac:dyDescent="0.25">
      <c r="O96266" s="9"/>
    </row>
    <row r="96287" spans="15:15" x14ac:dyDescent="0.25">
      <c r="O96287" s="9"/>
    </row>
    <row r="96308" spans="15:15" x14ac:dyDescent="0.25">
      <c r="O96308" s="9"/>
    </row>
    <row r="96329" spans="15:15" x14ac:dyDescent="0.25">
      <c r="O96329" s="9"/>
    </row>
    <row r="96350" spans="15:15" x14ac:dyDescent="0.25">
      <c r="O96350" s="9"/>
    </row>
    <row r="96371" spans="15:15" x14ac:dyDescent="0.25">
      <c r="O96371" s="9"/>
    </row>
    <row r="96392" spans="15:15" x14ac:dyDescent="0.25">
      <c r="O96392" s="9"/>
    </row>
    <row r="96413" spans="15:15" x14ac:dyDescent="0.25">
      <c r="O96413" s="9"/>
    </row>
    <row r="96434" spans="15:15" x14ac:dyDescent="0.25">
      <c r="O96434" s="9"/>
    </row>
    <row r="96455" spans="15:15" x14ac:dyDescent="0.25">
      <c r="O96455" s="9"/>
    </row>
    <row r="96476" spans="15:15" x14ac:dyDescent="0.25">
      <c r="O96476" s="9"/>
    </row>
    <row r="96497" spans="15:15" x14ac:dyDescent="0.25">
      <c r="O96497" s="9"/>
    </row>
    <row r="96518" spans="15:15" x14ac:dyDescent="0.25">
      <c r="O96518" s="9"/>
    </row>
    <row r="96539" spans="15:15" x14ac:dyDescent="0.25">
      <c r="O96539" s="9"/>
    </row>
    <row r="96560" spans="15:15" x14ac:dyDescent="0.25">
      <c r="O96560" s="9"/>
    </row>
    <row r="96581" spans="15:15" x14ac:dyDescent="0.25">
      <c r="O96581" s="9"/>
    </row>
    <row r="96602" spans="15:15" x14ac:dyDescent="0.25">
      <c r="O96602" s="9"/>
    </row>
    <row r="96623" spans="15:15" x14ac:dyDescent="0.25">
      <c r="O96623" s="9"/>
    </row>
    <row r="96644" spans="15:15" x14ac:dyDescent="0.25">
      <c r="O96644" s="9"/>
    </row>
    <row r="96665" spans="15:15" x14ac:dyDescent="0.25">
      <c r="O96665" s="9"/>
    </row>
    <row r="96686" spans="15:15" x14ac:dyDescent="0.25">
      <c r="O96686" s="9"/>
    </row>
    <row r="96707" spans="15:15" x14ac:dyDescent="0.25">
      <c r="O96707" s="9"/>
    </row>
    <row r="96728" spans="15:15" x14ac:dyDescent="0.25">
      <c r="O96728" s="9"/>
    </row>
    <row r="96749" spans="15:15" x14ac:dyDescent="0.25">
      <c r="O96749" s="9"/>
    </row>
    <row r="96770" spans="15:15" x14ac:dyDescent="0.25">
      <c r="O96770" s="9"/>
    </row>
    <row r="96791" spans="15:15" x14ac:dyDescent="0.25">
      <c r="O96791" s="9"/>
    </row>
    <row r="96812" spans="15:15" x14ac:dyDescent="0.25">
      <c r="O96812" s="9"/>
    </row>
    <row r="96833" spans="15:15" x14ac:dyDescent="0.25">
      <c r="O96833" s="9"/>
    </row>
    <row r="96854" spans="15:15" x14ac:dyDescent="0.25">
      <c r="O96854" s="9"/>
    </row>
    <row r="96875" spans="15:15" x14ac:dyDescent="0.25">
      <c r="O96875" s="9"/>
    </row>
    <row r="96896" spans="15:15" x14ac:dyDescent="0.25">
      <c r="O96896" s="9"/>
    </row>
    <row r="96917" spans="15:15" x14ac:dyDescent="0.25">
      <c r="O96917" s="9"/>
    </row>
    <row r="96938" spans="15:15" x14ac:dyDescent="0.25">
      <c r="O96938" s="9"/>
    </row>
    <row r="96959" spans="15:15" x14ac:dyDescent="0.25">
      <c r="O96959" s="9"/>
    </row>
    <row r="96980" spans="15:15" x14ac:dyDescent="0.25">
      <c r="O96980" s="9"/>
    </row>
    <row r="97001" spans="15:15" x14ac:dyDescent="0.25">
      <c r="O97001" s="9"/>
    </row>
    <row r="97022" spans="15:15" x14ac:dyDescent="0.25">
      <c r="O97022" s="9"/>
    </row>
    <row r="97043" spans="15:15" x14ac:dyDescent="0.25">
      <c r="O97043" s="9"/>
    </row>
    <row r="97064" spans="15:15" x14ac:dyDescent="0.25">
      <c r="O97064" s="9"/>
    </row>
    <row r="97085" spans="15:15" x14ac:dyDescent="0.25">
      <c r="O97085" s="9"/>
    </row>
    <row r="97106" spans="15:15" x14ac:dyDescent="0.25">
      <c r="O97106" s="9"/>
    </row>
    <row r="97127" spans="15:15" x14ac:dyDescent="0.25">
      <c r="O97127" s="9"/>
    </row>
    <row r="97148" spans="15:15" x14ac:dyDescent="0.25">
      <c r="O97148" s="9"/>
    </row>
    <row r="97169" spans="15:15" x14ac:dyDescent="0.25">
      <c r="O97169" s="9"/>
    </row>
    <row r="97190" spans="15:15" x14ac:dyDescent="0.25">
      <c r="O97190" s="9"/>
    </row>
    <row r="97211" spans="15:15" x14ac:dyDescent="0.25">
      <c r="O97211" s="9"/>
    </row>
    <row r="97232" spans="15:15" x14ac:dyDescent="0.25">
      <c r="O97232" s="9"/>
    </row>
    <row r="97253" spans="15:15" x14ac:dyDescent="0.25">
      <c r="O97253" s="9"/>
    </row>
    <row r="97274" spans="15:15" x14ac:dyDescent="0.25">
      <c r="O97274" s="9"/>
    </row>
    <row r="97295" spans="15:15" x14ac:dyDescent="0.25">
      <c r="O97295" s="9"/>
    </row>
    <row r="97316" spans="15:15" x14ac:dyDescent="0.25">
      <c r="O97316" s="9"/>
    </row>
    <row r="97337" spans="15:15" x14ac:dyDescent="0.25">
      <c r="O97337" s="9"/>
    </row>
    <row r="97358" spans="15:15" x14ac:dyDescent="0.25">
      <c r="O97358" s="9"/>
    </row>
    <row r="97379" spans="15:15" x14ac:dyDescent="0.25">
      <c r="O97379" s="9"/>
    </row>
    <row r="97400" spans="15:15" x14ac:dyDescent="0.25">
      <c r="O97400" s="9"/>
    </row>
    <row r="97421" spans="15:15" x14ac:dyDescent="0.25">
      <c r="O97421" s="9"/>
    </row>
    <row r="97442" spans="15:15" x14ac:dyDescent="0.25">
      <c r="O97442" s="9"/>
    </row>
    <row r="97463" spans="15:15" x14ac:dyDescent="0.25">
      <c r="O97463" s="9"/>
    </row>
    <row r="97484" spans="15:15" x14ac:dyDescent="0.25">
      <c r="O97484" s="9"/>
    </row>
    <row r="97505" spans="15:15" x14ac:dyDescent="0.25">
      <c r="O97505" s="9"/>
    </row>
    <row r="97526" spans="15:15" x14ac:dyDescent="0.25">
      <c r="O97526" s="9"/>
    </row>
    <row r="97547" spans="15:15" x14ac:dyDescent="0.25">
      <c r="O97547" s="9"/>
    </row>
    <row r="97568" spans="15:15" x14ac:dyDescent="0.25">
      <c r="O97568" s="9"/>
    </row>
    <row r="97589" spans="15:15" x14ac:dyDescent="0.25">
      <c r="O97589" s="9"/>
    </row>
    <row r="97610" spans="15:15" x14ac:dyDescent="0.25">
      <c r="O97610" s="9"/>
    </row>
    <row r="97631" spans="15:15" x14ac:dyDescent="0.25">
      <c r="O97631" s="9"/>
    </row>
    <row r="97652" spans="15:15" x14ac:dyDescent="0.25">
      <c r="O97652" s="9"/>
    </row>
    <row r="97673" spans="15:15" x14ac:dyDescent="0.25">
      <c r="O97673" s="9"/>
    </row>
    <row r="97694" spans="15:15" x14ac:dyDescent="0.25">
      <c r="O97694" s="9"/>
    </row>
    <row r="97715" spans="15:15" x14ac:dyDescent="0.25">
      <c r="O97715" s="9"/>
    </row>
    <row r="97736" spans="15:15" x14ac:dyDescent="0.25">
      <c r="O97736" s="9"/>
    </row>
    <row r="97757" spans="15:15" x14ac:dyDescent="0.25">
      <c r="O97757" s="9"/>
    </row>
    <row r="97778" spans="15:15" x14ac:dyDescent="0.25">
      <c r="O97778" s="9"/>
    </row>
    <row r="97799" spans="15:15" x14ac:dyDescent="0.25">
      <c r="O97799" s="9"/>
    </row>
    <row r="97820" spans="15:15" x14ac:dyDescent="0.25">
      <c r="O97820" s="9"/>
    </row>
    <row r="97841" spans="15:15" x14ac:dyDescent="0.25">
      <c r="O97841" s="9"/>
    </row>
    <row r="97862" spans="15:15" x14ac:dyDescent="0.25">
      <c r="O97862" s="9"/>
    </row>
    <row r="97883" spans="15:15" x14ac:dyDescent="0.25">
      <c r="O97883" s="9"/>
    </row>
    <row r="97904" spans="15:15" x14ac:dyDescent="0.25">
      <c r="O97904" s="9"/>
    </row>
    <row r="97925" spans="15:15" x14ac:dyDescent="0.25">
      <c r="O97925" s="9"/>
    </row>
    <row r="97946" spans="15:15" x14ac:dyDescent="0.25">
      <c r="O97946" s="9"/>
    </row>
    <row r="97967" spans="15:15" x14ac:dyDescent="0.25">
      <c r="O97967" s="9"/>
    </row>
    <row r="97988" spans="15:15" x14ac:dyDescent="0.25">
      <c r="O97988" s="9"/>
    </row>
    <row r="98009" spans="15:15" x14ac:dyDescent="0.25">
      <c r="O98009" s="9"/>
    </row>
    <row r="98030" spans="15:15" x14ac:dyDescent="0.25">
      <c r="O98030" s="9"/>
    </row>
    <row r="98051" spans="15:15" x14ac:dyDescent="0.25">
      <c r="O98051" s="9"/>
    </row>
    <row r="98072" spans="15:15" x14ac:dyDescent="0.25">
      <c r="O98072" s="9"/>
    </row>
    <row r="98093" spans="15:15" x14ac:dyDescent="0.25">
      <c r="O98093" s="9"/>
    </row>
    <row r="98114" spans="15:15" x14ac:dyDescent="0.25">
      <c r="O98114" s="9"/>
    </row>
    <row r="98135" spans="15:15" x14ac:dyDescent="0.25">
      <c r="O98135" s="9"/>
    </row>
    <row r="98156" spans="15:15" x14ac:dyDescent="0.25">
      <c r="O98156" s="9"/>
    </row>
    <row r="98177" spans="15:15" x14ac:dyDescent="0.25">
      <c r="O98177" s="9"/>
    </row>
    <row r="98198" spans="15:15" x14ac:dyDescent="0.25">
      <c r="O98198" s="9"/>
    </row>
    <row r="98219" spans="15:15" x14ac:dyDescent="0.25">
      <c r="O98219" s="9"/>
    </row>
    <row r="98240" spans="15:15" x14ac:dyDescent="0.25">
      <c r="O98240" s="9"/>
    </row>
    <row r="98261" spans="15:15" x14ac:dyDescent="0.25">
      <c r="O98261" s="9"/>
    </row>
    <row r="98282" spans="15:15" x14ac:dyDescent="0.25">
      <c r="O98282" s="9"/>
    </row>
    <row r="98303" spans="15:15" x14ac:dyDescent="0.25">
      <c r="O98303" s="9"/>
    </row>
    <row r="98324" spans="15:15" x14ac:dyDescent="0.25">
      <c r="O98324" s="9"/>
    </row>
    <row r="98345" spans="15:15" x14ac:dyDescent="0.25">
      <c r="O98345" s="9"/>
    </row>
    <row r="98366" spans="15:15" x14ac:dyDescent="0.25">
      <c r="O98366" s="9"/>
    </row>
    <row r="98387" spans="15:15" x14ac:dyDescent="0.25">
      <c r="O98387" s="9"/>
    </row>
    <row r="98408" spans="15:15" x14ac:dyDescent="0.25">
      <c r="O98408" s="9"/>
    </row>
    <row r="98429" spans="15:15" x14ac:dyDescent="0.25">
      <c r="O98429" s="9"/>
    </row>
    <row r="98450" spans="15:15" x14ac:dyDescent="0.25">
      <c r="O98450" s="9"/>
    </row>
    <row r="98471" spans="15:15" x14ac:dyDescent="0.25">
      <c r="O98471" s="9"/>
    </row>
    <row r="98492" spans="15:15" x14ac:dyDescent="0.25">
      <c r="O98492" s="9"/>
    </row>
    <row r="98513" spans="15:15" x14ac:dyDescent="0.25">
      <c r="O98513" s="9"/>
    </row>
    <row r="98534" spans="15:15" x14ac:dyDescent="0.25">
      <c r="O98534" s="9"/>
    </row>
    <row r="98555" spans="15:15" x14ac:dyDescent="0.25">
      <c r="O98555" s="9"/>
    </row>
    <row r="98576" spans="15:15" x14ac:dyDescent="0.25">
      <c r="O98576" s="9"/>
    </row>
    <row r="98597" spans="15:15" x14ac:dyDescent="0.25">
      <c r="O98597" s="9"/>
    </row>
    <row r="98618" spans="15:15" x14ac:dyDescent="0.25">
      <c r="O98618" s="9"/>
    </row>
    <row r="98639" spans="15:15" x14ac:dyDescent="0.25">
      <c r="O98639" s="9"/>
    </row>
    <row r="98660" spans="15:15" x14ac:dyDescent="0.25">
      <c r="O98660" s="9"/>
    </row>
    <row r="98681" spans="15:15" x14ac:dyDescent="0.25">
      <c r="O98681" s="9"/>
    </row>
    <row r="98702" spans="15:15" x14ac:dyDescent="0.25">
      <c r="O98702" s="9"/>
    </row>
    <row r="98723" spans="15:15" x14ac:dyDescent="0.25">
      <c r="O98723" s="9"/>
    </row>
    <row r="98744" spans="15:15" x14ac:dyDescent="0.25">
      <c r="O98744" s="9"/>
    </row>
    <row r="98765" spans="15:15" x14ac:dyDescent="0.25">
      <c r="O98765" s="9"/>
    </row>
    <row r="98786" spans="15:15" x14ac:dyDescent="0.25">
      <c r="O98786" s="9"/>
    </row>
    <row r="98807" spans="15:15" x14ac:dyDescent="0.25">
      <c r="O98807" s="9"/>
    </row>
    <row r="98828" spans="15:15" x14ac:dyDescent="0.25">
      <c r="O98828" s="9"/>
    </row>
    <row r="98849" spans="15:15" x14ac:dyDescent="0.25">
      <c r="O98849" s="9"/>
    </row>
    <row r="98870" spans="15:15" x14ac:dyDescent="0.25">
      <c r="O98870" s="9"/>
    </row>
    <row r="98891" spans="15:15" x14ac:dyDescent="0.25">
      <c r="O98891" s="9"/>
    </row>
    <row r="98912" spans="15:15" x14ac:dyDescent="0.25">
      <c r="O98912" s="9"/>
    </row>
    <row r="98933" spans="15:15" x14ac:dyDescent="0.25">
      <c r="O98933" s="9"/>
    </row>
    <row r="98954" spans="15:15" x14ac:dyDescent="0.25">
      <c r="O98954" s="9"/>
    </row>
    <row r="98975" spans="15:15" x14ac:dyDescent="0.25">
      <c r="O98975" s="9"/>
    </row>
    <row r="98996" spans="15:15" x14ac:dyDescent="0.25">
      <c r="O98996" s="9"/>
    </row>
    <row r="99017" spans="15:15" x14ac:dyDescent="0.25">
      <c r="O99017" s="9"/>
    </row>
    <row r="99038" spans="15:15" x14ac:dyDescent="0.25">
      <c r="O99038" s="9"/>
    </row>
    <row r="99059" spans="15:15" x14ac:dyDescent="0.25">
      <c r="O99059" s="9"/>
    </row>
    <row r="99080" spans="15:15" x14ac:dyDescent="0.25">
      <c r="O99080" s="9"/>
    </row>
    <row r="99101" spans="15:15" x14ac:dyDescent="0.25">
      <c r="O99101" s="9"/>
    </row>
    <row r="99122" spans="15:15" x14ac:dyDescent="0.25">
      <c r="O99122" s="9"/>
    </row>
    <row r="99143" spans="15:15" x14ac:dyDescent="0.25">
      <c r="O99143" s="9"/>
    </row>
    <row r="99164" spans="15:15" x14ac:dyDescent="0.25">
      <c r="O99164" s="9"/>
    </row>
    <row r="99185" spans="15:15" x14ac:dyDescent="0.25">
      <c r="O99185" s="9"/>
    </row>
    <row r="99206" spans="15:15" x14ac:dyDescent="0.25">
      <c r="O99206" s="9"/>
    </row>
    <row r="99227" spans="15:15" x14ac:dyDescent="0.25">
      <c r="O99227" s="9"/>
    </row>
    <row r="99248" spans="15:15" x14ac:dyDescent="0.25">
      <c r="O99248" s="9"/>
    </row>
    <row r="99269" spans="15:15" x14ac:dyDescent="0.25">
      <c r="O99269" s="9"/>
    </row>
    <row r="99290" spans="15:15" x14ac:dyDescent="0.25">
      <c r="O99290" s="9"/>
    </row>
    <row r="99311" spans="15:15" x14ac:dyDescent="0.25">
      <c r="O99311" s="9"/>
    </row>
    <row r="99332" spans="15:15" x14ac:dyDescent="0.25">
      <c r="O99332" s="9"/>
    </row>
    <row r="99353" spans="15:15" x14ac:dyDescent="0.25">
      <c r="O99353" s="9"/>
    </row>
    <row r="99374" spans="15:15" x14ac:dyDescent="0.25">
      <c r="O99374" s="9"/>
    </row>
    <row r="99395" spans="15:15" x14ac:dyDescent="0.25">
      <c r="O99395" s="9"/>
    </row>
    <row r="99416" spans="15:15" x14ac:dyDescent="0.25">
      <c r="O99416" s="9"/>
    </row>
    <row r="99437" spans="15:15" x14ac:dyDescent="0.25">
      <c r="O99437" s="9"/>
    </row>
    <row r="99458" spans="15:15" x14ac:dyDescent="0.25">
      <c r="O99458" s="9"/>
    </row>
    <row r="99479" spans="15:15" x14ac:dyDescent="0.25">
      <c r="O99479" s="9"/>
    </row>
    <row r="99500" spans="15:15" x14ac:dyDescent="0.25">
      <c r="O99500" s="9"/>
    </row>
    <row r="99521" spans="15:15" x14ac:dyDescent="0.25">
      <c r="O99521" s="9"/>
    </row>
    <row r="99542" spans="15:15" x14ac:dyDescent="0.25">
      <c r="O99542" s="9"/>
    </row>
    <row r="99563" spans="15:15" x14ac:dyDescent="0.25">
      <c r="O99563" s="9"/>
    </row>
    <row r="99584" spans="15:15" x14ac:dyDescent="0.25">
      <c r="O99584" s="9"/>
    </row>
    <row r="99605" spans="15:15" x14ac:dyDescent="0.25">
      <c r="O99605" s="9"/>
    </row>
    <row r="99626" spans="15:15" x14ac:dyDescent="0.25">
      <c r="O99626" s="9"/>
    </row>
    <row r="99647" spans="15:15" x14ac:dyDescent="0.25">
      <c r="O99647" s="9"/>
    </row>
    <row r="99668" spans="15:15" x14ac:dyDescent="0.25">
      <c r="O99668" s="9"/>
    </row>
    <row r="99689" spans="15:15" x14ac:dyDescent="0.25">
      <c r="O99689" s="9"/>
    </row>
    <row r="99710" spans="15:15" x14ac:dyDescent="0.25">
      <c r="O99710" s="9"/>
    </row>
    <row r="99731" spans="15:15" x14ac:dyDescent="0.25">
      <c r="O99731" s="9"/>
    </row>
    <row r="99752" spans="15:15" x14ac:dyDescent="0.25">
      <c r="O99752" s="9"/>
    </row>
    <row r="99773" spans="15:15" x14ac:dyDescent="0.25">
      <c r="O99773" s="9"/>
    </row>
    <row r="99794" spans="15:15" x14ac:dyDescent="0.25">
      <c r="O99794" s="9"/>
    </row>
    <row r="99815" spans="15:15" x14ac:dyDescent="0.25">
      <c r="O99815" s="9"/>
    </row>
    <row r="99836" spans="15:15" x14ac:dyDescent="0.25">
      <c r="O99836" s="9"/>
    </row>
    <row r="99857" spans="15:15" x14ac:dyDescent="0.25">
      <c r="O99857" s="9"/>
    </row>
    <row r="99878" spans="15:15" x14ac:dyDescent="0.25">
      <c r="O99878" s="9"/>
    </row>
    <row r="99899" spans="15:15" x14ac:dyDescent="0.25">
      <c r="O99899" s="9"/>
    </row>
    <row r="99920" spans="15:15" x14ac:dyDescent="0.25">
      <c r="O99920" s="9"/>
    </row>
    <row r="99941" spans="15:15" x14ac:dyDescent="0.25">
      <c r="O99941" s="9"/>
    </row>
    <row r="99962" spans="15:15" x14ac:dyDescent="0.25">
      <c r="O99962" s="9"/>
    </row>
    <row r="99983" spans="15:15" x14ac:dyDescent="0.25">
      <c r="O99983" s="9"/>
    </row>
    <row r="100004" spans="15:15" x14ac:dyDescent="0.25">
      <c r="O100004" s="9"/>
    </row>
    <row r="100025" spans="15:15" x14ac:dyDescent="0.25">
      <c r="O100025" s="9"/>
    </row>
    <row r="100046" spans="15:15" x14ac:dyDescent="0.25">
      <c r="O100046" s="9"/>
    </row>
    <row r="100067" spans="15:15" x14ac:dyDescent="0.25">
      <c r="O100067" s="9"/>
    </row>
    <row r="100088" spans="15:15" x14ac:dyDescent="0.25">
      <c r="O100088" s="9"/>
    </row>
    <row r="100109" spans="15:15" x14ac:dyDescent="0.25">
      <c r="O100109" s="9"/>
    </row>
    <row r="100130" spans="15:15" x14ac:dyDescent="0.25">
      <c r="O100130" s="9"/>
    </row>
    <row r="100151" spans="15:15" x14ac:dyDescent="0.25">
      <c r="O100151" s="9"/>
    </row>
    <row r="100172" spans="15:15" x14ac:dyDescent="0.25">
      <c r="O100172" s="9"/>
    </row>
    <row r="100193" spans="15:15" x14ac:dyDescent="0.25">
      <c r="O100193" s="9"/>
    </row>
    <row r="100214" spans="15:15" x14ac:dyDescent="0.25">
      <c r="O100214" s="9"/>
    </row>
    <row r="100235" spans="15:15" x14ac:dyDescent="0.25">
      <c r="O100235" s="9"/>
    </row>
    <row r="100256" spans="15:15" x14ac:dyDescent="0.25">
      <c r="O100256" s="9"/>
    </row>
    <row r="100277" spans="15:15" x14ac:dyDescent="0.25">
      <c r="O100277" s="9"/>
    </row>
    <row r="100298" spans="15:15" x14ac:dyDescent="0.25">
      <c r="O100298" s="9"/>
    </row>
    <row r="100319" spans="15:15" x14ac:dyDescent="0.25">
      <c r="O100319" s="9"/>
    </row>
    <row r="100340" spans="15:15" x14ac:dyDescent="0.25">
      <c r="O100340" s="9"/>
    </row>
    <row r="100361" spans="15:15" x14ac:dyDescent="0.25">
      <c r="O100361" s="9"/>
    </row>
    <row r="100382" spans="15:15" x14ac:dyDescent="0.25">
      <c r="O100382" s="9"/>
    </row>
    <row r="100403" spans="15:15" x14ac:dyDescent="0.25">
      <c r="O100403" s="9"/>
    </row>
    <row r="100424" spans="15:15" x14ac:dyDescent="0.25">
      <c r="O100424" s="9"/>
    </row>
    <row r="100445" spans="15:15" x14ac:dyDescent="0.25">
      <c r="O100445" s="9"/>
    </row>
    <row r="100466" spans="15:15" x14ac:dyDescent="0.25">
      <c r="O100466" s="9"/>
    </row>
    <row r="100487" spans="15:15" x14ac:dyDescent="0.25">
      <c r="O100487" s="9"/>
    </row>
    <row r="100508" spans="15:15" x14ac:dyDescent="0.25">
      <c r="O100508" s="9"/>
    </row>
    <row r="100529" spans="15:15" x14ac:dyDescent="0.25">
      <c r="O100529" s="9"/>
    </row>
    <row r="100550" spans="15:15" x14ac:dyDescent="0.25">
      <c r="O100550" s="9"/>
    </row>
    <row r="100571" spans="15:15" x14ac:dyDescent="0.25">
      <c r="O100571" s="9"/>
    </row>
    <row r="100592" spans="15:15" x14ac:dyDescent="0.25">
      <c r="O100592" s="9"/>
    </row>
    <row r="100613" spans="15:15" x14ac:dyDescent="0.25">
      <c r="O100613" s="9"/>
    </row>
    <row r="100634" spans="15:15" x14ac:dyDescent="0.25">
      <c r="O100634" s="9"/>
    </row>
    <row r="100655" spans="15:15" x14ac:dyDescent="0.25">
      <c r="O100655" s="9"/>
    </row>
    <row r="100676" spans="15:15" x14ac:dyDescent="0.25">
      <c r="O100676" s="9"/>
    </row>
    <row r="100697" spans="15:15" x14ac:dyDescent="0.25">
      <c r="O100697" s="9"/>
    </row>
    <row r="100718" spans="15:15" x14ac:dyDescent="0.25">
      <c r="O100718" s="9"/>
    </row>
    <row r="100739" spans="15:15" x14ac:dyDescent="0.25">
      <c r="O100739" s="9"/>
    </row>
    <row r="100760" spans="15:15" x14ac:dyDescent="0.25">
      <c r="O100760" s="9"/>
    </row>
    <row r="100781" spans="15:15" x14ac:dyDescent="0.25">
      <c r="O100781" s="9"/>
    </row>
    <row r="100802" spans="15:15" x14ac:dyDescent="0.25">
      <c r="O100802" s="9"/>
    </row>
    <row r="100823" spans="15:15" x14ac:dyDescent="0.25">
      <c r="O100823" s="9"/>
    </row>
    <row r="100844" spans="15:15" x14ac:dyDescent="0.25">
      <c r="O100844" s="9"/>
    </row>
    <row r="100865" spans="15:15" x14ac:dyDescent="0.25">
      <c r="O100865" s="9"/>
    </row>
    <row r="100886" spans="15:15" x14ac:dyDescent="0.25">
      <c r="O100886" s="9"/>
    </row>
    <row r="100907" spans="15:15" x14ac:dyDescent="0.25">
      <c r="O100907" s="9"/>
    </row>
    <row r="100928" spans="15:15" x14ac:dyDescent="0.25">
      <c r="O100928" s="9"/>
    </row>
    <row r="100949" spans="15:15" x14ac:dyDescent="0.25">
      <c r="O100949" s="9"/>
    </row>
    <row r="100970" spans="15:15" x14ac:dyDescent="0.25">
      <c r="O100970" s="9"/>
    </row>
    <row r="100991" spans="15:15" x14ac:dyDescent="0.25">
      <c r="O100991" s="9"/>
    </row>
    <row r="101012" spans="15:15" x14ac:dyDescent="0.25">
      <c r="O101012" s="9"/>
    </row>
    <row r="101033" spans="15:15" x14ac:dyDescent="0.25">
      <c r="O101033" s="9"/>
    </row>
    <row r="101054" spans="15:15" x14ac:dyDescent="0.25">
      <c r="O101054" s="9"/>
    </row>
    <row r="101075" spans="15:15" x14ac:dyDescent="0.25">
      <c r="O101075" s="9"/>
    </row>
    <row r="101096" spans="15:15" x14ac:dyDescent="0.25">
      <c r="O101096" s="9"/>
    </row>
    <row r="101117" spans="15:15" x14ac:dyDescent="0.25">
      <c r="O101117" s="9"/>
    </row>
    <row r="101138" spans="15:15" x14ac:dyDescent="0.25">
      <c r="O101138" s="9"/>
    </row>
    <row r="101159" spans="15:15" x14ac:dyDescent="0.25">
      <c r="O101159" s="9"/>
    </row>
    <row r="101180" spans="15:15" x14ac:dyDescent="0.25">
      <c r="O101180" s="9"/>
    </row>
    <row r="101201" spans="15:15" x14ac:dyDescent="0.25">
      <c r="O101201" s="9"/>
    </row>
    <row r="101222" spans="15:15" x14ac:dyDescent="0.25">
      <c r="O101222" s="9"/>
    </row>
    <row r="101243" spans="15:15" x14ac:dyDescent="0.25">
      <c r="O101243" s="9"/>
    </row>
    <row r="101264" spans="15:15" x14ac:dyDescent="0.25">
      <c r="O101264" s="9"/>
    </row>
    <row r="101285" spans="15:15" x14ac:dyDescent="0.25">
      <c r="O101285" s="9"/>
    </row>
    <row r="101306" spans="15:15" x14ac:dyDescent="0.25">
      <c r="O101306" s="9"/>
    </row>
    <row r="101327" spans="15:15" x14ac:dyDescent="0.25">
      <c r="O101327" s="9"/>
    </row>
    <row r="101348" spans="15:15" x14ac:dyDescent="0.25">
      <c r="O101348" s="9"/>
    </row>
    <row r="101369" spans="15:15" x14ac:dyDescent="0.25">
      <c r="O101369" s="9"/>
    </row>
    <row r="101390" spans="15:15" x14ac:dyDescent="0.25">
      <c r="O101390" s="9"/>
    </row>
    <row r="101411" spans="15:15" x14ac:dyDescent="0.25">
      <c r="O101411" s="9"/>
    </row>
    <row r="101432" spans="15:15" x14ac:dyDescent="0.25">
      <c r="O101432" s="9"/>
    </row>
    <row r="101453" spans="15:15" x14ac:dyDescent="0.25">
      <c r="O101453" s="9"/>
    </row>
    <row r="101474" spans="15:15" x14ac:dyDescent="0.25">
      <c r="O101474" s="9"/>
    </row>
    <row r="101495" spans="15:15" x14ac:dyDescent="0.25">
      <c r="O101495" s="9"/>
    </row>
    <row r="101516" spans="15:15" x14ac:dyDescent="0.25">
      <c r="O101516" s="9"/>
    </row>
    <row r="101537" spans="15:15" x14ac:dyDescent="0.25">
      <c r="O101537" s="9"/>
    </row>
    <row r="101558" spans="15:15" x14ac:dyDescent="0.25">
      <c r="O101558" s="9"/>
    </row>
    <row r="101579" spans="15:15" x14ac:dyDescent="0.25">
      <c r="O101579" s="9"/>
    </row>
    <row r="101600" spans="15:15" x14ac:dyDescent="0.25">
      <c r="O101600" s="9"/>
    </row>
    <row r="101621" spans="15:15" x14ac:dyDescent="0.25">
      <c r="O101621" s="9"/>
    </row>
    <row r="101642" spans="15:15" x14ac:dyDescent="0.25">
      <c r="O101642" s="9"/>
    </row>
    <row r="101663" spans="15:15" x14ac:dyDescent="0.25">
      <c r="O101663" s="9"/>
    </row>
    <row r="101684" spans="15:15" x14ac:dyDescent="0.25">
      <c r="O101684" s="9"/>
    </row>
    <row r="101705" spans="15:15" x14ac:dyDescent="0.25">
      <c r="O101705" s="9"/>
    </row>
    <row r="101726" spans="15:15" x14ac:dyDescent="0.25">
      <c r="O101726" s="9"/>
    </row>
    <row r="101747" spans="15:15" x14ac:dyDescent="0.25">
      <c r="O101747" s="9"/>
    </row>
    <row r="101768" spans="15:15" x14ac:dyDescent="0.25">
      <c r="O101768" s="9"/>
    </row>
    <row r="101789" spans="15:15" x14ac:dyDescent="0.25">
      <c r="O101789" s="9"/>
    </row>
    <row r="101810" spans="15:15" x14ac:dyDescent="0.25">
      <c r="O101810" s="9"/>
    </row>
    <row r="101831" spans="15:15" x14ac:dyDescent="0.25">
      <c r="O101831" s="9"/>
    </row>
    <row r="101852" spans="15:15" x14ac:dyDescent="0.25">
      <c r="O101852" s="9"/>
    </row>
    <row r="101873" spans="15:15" x14ac:dyDescent="0.25">
      <c r="O101873" s="9"/>
    </row>
    <row r="101894" spans="15:15" x14ac:dyDescent="0.25">
      <c r="O101894" s="9"/>
    </row>
    <row r="101915" spans="15:15" x14ac:dyDescent="0.25">
      <c r="O101915" s="9"/>
    </row>
    <row r="101936" spans="15:15" x14ac:dyDescent="0.25">
      <c r="O101936" s="9"/>
    </row>
    <row r="101957" spans="15:15" x14ac:dyDescent="0.25">
      <c r="O101957" s="9"/>
    </row>
    <row r="101978" spans="15:15" x14ac:dyDescent="0.25">
      <c r="O101978" s="9"/>
    </row>
    <row r="101999" spans="15:15" x14ac:dyDescent="0.25">
      <c r="O101999" s="9"/>
    </row>
    <row r="102020" spans="15:15" x14ac:dyDescent="0.25">
      <c r="O102020" s="9"/>
    </row>
    <row r="102041" spans="15:15" x14ac:dyDescent="0.25">
      <c r="O102041" s="9"/>
    </row>
    <row r="102062" spans="15:15" x14ac:dyDescent="0.25">
      <c r="O102062" s="9"/>
    </row>
    <row r="102083" spans="15:15" x14ac:dyDescent="0.25">
      <c r="O102083" s="9"/>
    </row>
    <row r="102104" spans="15:15" x14ac:dyDescent="0.25">
      <c r="O102104" s="9"/>
    </row>
    <row r="102125" spans="15:15" x14ac:dyDescent="0.25">
      <c r="O102125" s="9"/>
    </row>
    <row r="102146" spans="15:15" x14ac:dyDescent="0.25">
      <c r="O102146" s="9"/>
    </row>
    <row r="102167" spans="15:15" x14ac:dyDescent="0.25">
      <c r="O102167" s="9"/>
    </row>
    <row r="102188" spans="15:15" x14ac:dyDescent="0.25">
      <c r="O102188" s="9"/>
    </row>
    <row r="102209" spans="15:15" x14ac:dyDescent="0.25">
      <c r="O102209" s="9"/>
    </row>
    <row r="102230" spans="15:15" x14ac:dyDescent="0.25">
      <c r="O102230" s="9"/>
    </row>
    <row r="102251" spans="15:15" x14ac:dyDescent="0.25">
      <c r="O102251" s="9"/>
    </row>
    <row r="102272" spans="15:15" x14ac:dyDescent="0.25">
      <c r="O102272" s="9"/>
    </row>
    <row r="102293" spans="15:15" x14ac:dyDescent="0.25">
      <c r="O102293" s="9"/>
    </row>
    <row r="102314" spans="15:15" x14ac:dyDescent="0.25">
      <c r="O102314" s="9"/>
    </row>
    <row r="102335" spans="15:15" x14ac:dyDescent="0.25">
      <c r="O102335" s="9"/>
    </row>
    <row r="102356" spans="15:15" x14ac:dyDescent="0.25">
      <c r="O102356" s="9"/>
    </row>
    <row r="102377" spans="15:15" x14ac:dyDescent="0.25">
      <c r="O102377" s="9"/>
    </row>
    <row r="102398" spans="15:15" x14ac:dyDescent="0.25">
      <c r="O102398" s="9"/>
    </row>
    <row r="102419" spans="15:15" x14ac:dyDescent="0.25">
      <c r="O102419" s="9"/>
    </row>
    <row r="102440" spans="15:15" x14ac:dyDescent="0.25">
      <c r="O102440" s="9"/>
    </row>
    <row r="102461" spans="15:15" x14ac:dyDescent="0.25">
      <c r="O102461" s="9"/>
    </row>
    <row r="102482" spans="15:15" x14ac:dyDescent="0.25">
      <c r="O102482" s="9"/>
    </row>
    <row r="102503" spans="15:15" x14ac:dyDescent="0.25">
      <c r="O102503" s="9"/>
    </row>
    <row r="102524" spans="15:15" x14ac:dyDescent="0.25">
      <c r="O102524" s="9"/>
    </row>
    <row r="102545" spans="15:15" x14ac:dyDescent="0.25">
      <c r="O102545" s="9"/>
    </row>
    <row r="102566" spans="15:15" x14ac:dyDescent="0.25">
      <c r="O102566" s="9"/>
    </row>
    <row r="102587" spans="15:15" x14ac:dyDescent="0.25">
      <c r="O102587" s="9"/>
    </row>
    <row r="102608" spans="15:15" x14ac:dyDescent="0.25">
      <c r="O102608" s="9"/>
    </row>
    <row r="102629" spans="15:15" x14ac:dyDescent="0.25">
      <c r="O102629" s="9"/>
    </row>
    <row r="102650" spans="15:15" x14ac:dyDescent="0.25">
      <c r="O102650" s="9"/>
    </row>
    <row r="102671" spans="15:15" x14ac:dyDescent="0.25">
      <c r="O102671" s="9"/>
    </row>
    <row r="102692" spans="15:15" x14ac:dyDescent="0.25">
      <c r="O102692" s="9"/>
    </row>
    <row r="102713" spans="15:15" x14ac:dyDescent="0.25">
      <c r="O102713" s="9"/>
    </row>
    <row r="102734" spans="15:15" x14ac:dyDescent="0.25">
      <c r="O102734" s="9"/>
    </row>
    <row r="102755" spans="15:15" x14ac:dyDescent="0.25">
      <c r="O102755" s="9"/>
    </row>
    <row r="102776" spans="15:15" x14ac:dyDescent="0.25">
      <c r="O102776" s="9"/>
    </row>
    <row r="102797" spans="15:15" x14ac:dyDescent="0.25">
      <c r="O102797" s="9"/>
    </row>
    <row r="102818" spans="15:15" x14ac:dyDescent="0.25">
      <c r="O102818" s="9"/>
    </row>
    <row r="102839" spans="15:15" x14ac:dyDescent="0.25">
      <c r="O102839" s="9"/>
    </row>
    <row r="102860" spans="15:15" x14ac:dyDescent="0.25">
      <c r="O102860" s="9"/>
    </row>
    <row r="102881" spans="15:15" x14ac:dyDescent="0.25">
      <c r="O102881" s="9"/>
    </row>
    <row r="102902" spans="15:15" x14ac:dyDescent="0.25">
      <c r="O102902" s="9"/>
    </row>
    <row r="102923" spans="15:15" x14ac:dyDescent="0.25">
      <c r="O102923" s="9"/>
    </row>
    <row r="102944" spans="15:15" x14ac:dyDescent="0.25">
      <c r="O102944" s="9"/>
    </row>
    <row r="102965" spans="15:15" x14ac:dyDescent="0.25">
      <c r="O102965" s="9"/>
    </row>
    <row r="102986" spans="15:15" x14ac:dyDescent="0.25">
      <c r="O102986" s="9"/>
    </row>
    <row r="103007" spans="15:15" x14ac:dyDescent="0.25">
      <c r="O103007" s="9"/>
    </row>
    <row r="103028" spans="15:15" x14ac:dyDescent="0.25">
      <c r="O103028" s="9"/>
    </row>
    <row r="103049" spans="15:15" x14ac:dyDescent="0.25">
      <c r="O103049" s="9"/>
    </row>
    <row r="103070" spans="15:15" x14ac:dyDescent="0.25">
      <c r="O103070" s="9"/>
    </row>
    <row r="103091" spans="15:15" x14ac:dyDescent="0.25">
      <c r="O103091" s="9"/>
    </row>
    <row r="103112" spans="15:15" x14ac:dyDescent="0.25">
      <c r="O103112" s="9"/>
    </row>
    <row r="103133" spans="15:15" x14ac:dyDescent="0.25">
      <c r="O103133" s="9"/>
    </row>
    <row r="103154" spans="15:15" x14ac:dyDescent="0.25">
      <c r="O103154" s="9"/>
    </row>
    <row r="103175" spans="15:15" x14ac:dyDescent="0.25">
      <c r="O103175" s="9"/>
    </row>
    <row r="103196" spans="15:15" x14ac:dyDescent="0.25">
      <c r="O103196" s="9"/>
    </row>
    <row r="103217" spans="15:15" x14ac:dyDescent="0.25">
      <c r="O103217" s="9"/>
    </row>
    <row r="103238" spans="15:15" x14ac:dyDescent="0.25">
      <c r="O103238" s="9"/>
    </row>
    <row r="103259" spans="15:15" x14ac:dyDescent="0.25">
      <c r="O103259" s="9"/>
    </row>
    <row r="103280" spans="15:15" x14ac:dyDescent="0.25">
      <c r="O103280" s="9"/>
    </row>
    <row r="103301" spans="15:15" x14ac:dyDescent="0.25">
      <c r="O103301" s="9"/>
    </row>
    <row r="103322" spans="15:15" x14ac:dyDescent="0.25">
      <c r="O103322" s="9"/>
    </row>
    <row r="103343" spans="15:15" x14ac:dyDescent="0.25">
      <c r="O103343" s="9"/>
    </row>
    <row r="103364" spans="15:15" x14ac:dyDescent="0.25">
      <c r="O103364" s="9"/>
    </row>
    <row r="103385" spans="15:15" x14ac:dyDescent="0.25">
      <c r="O103385" s="9"/>
    </row>
    <row r="103406" spans="15:15" x14ac:dyDescent="0.25">
      <c r="O103406" s="9"/>
    </row>
    <row r="103427" spans="15:15" x14ac:dyDescent="0.25">
      <c r="O103427" s="9"/>
    </row>
    <row r="103448" spans="15:15" x14ac:dyDescent="0.25">
      <c r="O103448" s="9"/>
    </row>
    <row r="103469" spans="15:15" x14ac:dyDescent="0.25">
      <c r="O103469" s="9"/>
    </row>
    <row r="103490" spans="15:15" x14ac:dyDescent="0.25">
      <c r="O103490" s="9"/>
    </row>
    <row r="103511" spans="15:15" x14ac:dyDescent="0.25">
      <c r="O103511" s="9"/>
    </row>
    <row r="103532" spans="15:15" x14ac:dyDescent="0.25">
      <c r="O103532" s="9"/>
    </row>
    <row r="103553" spans="15:15" x14ac:dyDescent="0.25">
      <c r="O103553" s="9"/>
    </row>
    <row r="103574" spans="15:15" x14ac:dyDescent="0.25">
      <c r="O103574" s="9"/>
    </row>
    <row r="103595" spans="15:15" x14ac:dyDescent="0.25">
      <c r="O103595" s="9"/>
    </row>
    <row r="103616" spans="15:15" x14ac:dyDescent="0.25">
      <c r="O103616" s="9"/>
    </row>
    <row r="103637" spans="15:15" x14ac:dyDescent="0.25">
      <c r="O103637" s="9"/>
    </row>
    <row r="103658" spans="15:15" x14ac:dyDescent="0.25">
      <c r="O103658" s="9"/>
    </row>
    <row r="103679" spans="15:15" x14ac:dyDescent="0.25">
      <c r="O103679" s="9"/>
    </row>
    <row r="103700" spans="15:15" x14ac:dyDescent="0.25">
      <c r="O103700" s="9"/>
    </row>
    <row r="103721" spans="15:15" x14ac:dyDescent="0.25">
      <c r="O103721" s="9"/>
    </row>
    <row r="103742" spans="15:15" x14ac:dyDescent="0.25">
      <c r="O103742" s="9"/>
    </row>
    <row r="103763" spans="15:15" x14ac:dyDescent="0.25">
      <c r="O103763" s="9"/>
    </row>
    <row r="103784" spans="15:15" x14ac:dyDescent="0.25">
      <c r="O103784" s="9"/>
    </row>
    <row r="103805" spans="15:15" x14ac:dyDescent="0.25">
      <c r="O103805" s="9"/>
    </row>
    <row r="103826" spans="15:15" x14ac:dyDescent="0.25">
      <c r="O103826" s="9"/>
    </row>
    <row r="103847" spans="15:15" x14ac:dyDescent="0.25">
      <c r="O103847" s="9"/>
    </row>
    <row r="103868" spans="15:15" x14ac:dyDescent="0.25">
      <c r="O103868" s="9"/>
    </row>
    <row r="103889" spans="15:15" x14ac:dyDescent="0.25">
      <c r="O103889" s="9"/>
    </row>
    <row r="103910" spans="15:15" x14ac:dyDescent="0.25">
      <c r="O103910" s="9"/>
    </row>
    <row r="103931" spans="15:15" x14ac:dyDescent="0.25">
      <c r="O103931" s="9"/>
    </row>
    <row r="103952" spans="15:15" x14ac:dyDescent="0.25">
      <c r="O103952" s="9"/>
    </row>
    <row r="103973" spans="15:15" x14ac:dyDescent="0.25">
      <c r="O103973" s="9"/>
    </row>
    <row r="103994" spans="15:15" x14ac:dyDescent="0.25">
      <c r="O103994" s="9"/>
    </row>
    <row r="104015" spans="15:15" x14ac:dyDescent="0.25">
      <c r="O104015" s="9"/>
    </row>
    <row r="104036" spans="15:15" x14ac:dyDescent="0.25">
      <c r="O104036" s="9"/>
    </row>
    <row r="104057" spans="15:15" x14ac:dyDescent="0.25">
      <c r="O104057" s="9"/>
    </row>
    <row r="104078" spans="15:15" x14ac:dyDescent="0.25">
      <c r="O104078" s="9"/>
    </row>
    <row r="104099" spans="15:15" x14ac:dyDescent="0.25">
      <c r="O104099" s="9"/>
    </row>
    <row r="104120" spans="15:15" x14ac:dyDescent="0.25">
      <c r="O104120" s="9"/>
    </row>
    <row r="104141" spans="15:15" x14ac:dyDescent="0.25">
      <c r="O104141" s="9"/>
    </row>
    <row r="104162" spans="15:15" x14ac:dyDescent="0.25">
      <c r="O104162" s="9"/>
    </row>
    <row r="104183" spans="15:15" x14ac:dyDescent="0.25">
      <c r="O104183" s="9"/>
    </row>
    <row r="104204" spans="15:15" x14ac:dyDescent="0.25">
      <c r="O104204" s="9"/>
    </row>
    <row r="104225" spans="15:15" x14ac:dyDescent="0.25">
      <c r="O104225" s="9"/>
    </row>
    <row r="104246" spans="15:15" x14ac:dyDescent="0.25">
      <c r="O104246" s="9"/>
    </row>
    <row r="104267" spans="15:15" x14ac:dyDescent="0.25">
      <c r="O104267" s="9"/>
    </row>
    <row r="104288" spans="15:15" x14ac:dyDescent="0.25">
      <c r="O104288" s="9"/>
    </row>
    <row r="104309" spans="15:15" x14ac:dyDescent="0.25">
      <c r="O104309" s="9"/>
    </row>
    <row r="104330" spans="15:15" x14ac:dyDescent="0.25">
      <c r="O104330" s="9"/>
    </row>
    <row r="104351" spans="15:15" x14ac:dyDescent="0.25">
      <c r="O104351" s="9"/>
    </row>
    <row r="104372" spans="15:15" x14ac:dyDescent="0.25">
      <c r="O104372" s="9"/>
    </row>
    <row r="104393" spans="15:15" x14ac:dyDescent="0.25">
      <c r="O104393" s="9"/>
    </row>
    <row r="104414" spans="15:15" x14ac:dyDescent="0.25">
      <c r="O104414" s="9"/>
    </row>
    <row r="104435" spans="15:15" x14ac:dyDescent="0.25">
      <c r="O104435" s="9"/>
    </row>
    <row r="104456" spans="15:15" x14ac:dyDescent="0.25">
      <c r="O104456" s="9"/>
    </row>
    <row r="104477" spans="15:15" x14ac:dyDescent="0.25">
      <c r="O104477" s="9"/>
    </row>
    <row r="104498" spans="15:15" x14ac:dyDescent="0.25">
      <c r="O104498" s="9"/>
    </row>
    <row r="104519" spans="15:15" x14ac:dyDescent="0.25">
      <c r="O104519" s="9"/>
    </row>
    <row r="104540" spans="15:15" x14ac:dyDescent="0.25">
      <c r="O104540" s="9"/>
    </row>
    <row r="104561" spans="15:15" x14ac:dyDescent="0.25">
      <c r="O104561" s="9"/>
    </row>
    <row r="104582" spans="15:15" x14ac:dyDescent="0.25">
      <c r="O104582" s="9"/>
    </row>
    <row r="104603" spans="15:15" x14ac:dyDescent="0.25">
      <c r="O104603" s="9"/>
    </row>
    <row r="104624" spans="15:15" x14ac:dyDescent="0.25">
      <c r="O104624" s="9"/>
    </row>
    <row r="104645" spans="15:15" x14ac:dyDescent="0.25">
      <c r="O104645" s="9"/>
    </row>
    <row r="104666" spans="15:15" x14ac:dyDescent="0.25">
      <c r="O104666" s="9"/>
    </row>
    <row r="104687" spans="15:15" x14ac:dyDescent="0.25">
      <c r="O104687" s="9"/>
    </row>
    <row r="104708" spans="15:15" x14ac:dyDescent="0.25">
      <c r="O104708" s="9"/>
    </row>
    <row r="104729" spans="15:15" x14ac:dyDescent="0.25">
      <c r="O104729" s="9"/>
    </row>
    <row r="104750" spans="15:15" x14ac:dyDescent="0.25">
      <c r="O104750" s="9"/>
    </row>
    <row r="104771" spans="15:15" x14ac:dyDescent="0.25">
      <c r="O104771" s="9"/>
    </row>
    <row r="104792" spans="15:15" x14ac:dyDescent="0.25">
      <c r="O104792" s="9"/>
    </row>
    <row r="104813" spans="15:15" x14ac:dyDescent="0.25">
      <c r="O104813" s="9"/>
    </row>
    <row r="104834" spans="15:15" x14ac:dyDescent="0.25">
      <c r="O104834" s="9"/>
    </row>
    <row r="104855" spans="15:15" x14ac:dyDescent="0.25">
      <c r="O104855" s="9"/>
    </row>
    <row r="104876" spans="15:15" x14ac:dyDescent="0.25">
      <c r="O104876" s="9"/>
    </row>
    <row r="104897" spans="15:15" x14ac:dyDescent="0.25">
      <c r="O104897" s="9"/>
    </row>
    <row r="104918" spans="15:15" x14ac:dyDescent="0.25">
      <c r="O104918" s="9"/>
    </row>
    <row r="104939" spans="15:15" x14ac:dyDescent="0.25">
      <c r="O104939" s="9"/>
    </row>
    <row r="104960" spans="15:15" x14ac:dyDescent="0.25">
      <c r="O104960" s="9"/>
    </row>
    <row r="104981" spans="15:15" x14ac:dyDescent="0.25">
      <c r="O104981" s="9"/>
    </row>
    <row r="105002" spans="15:15" x14ac:dyDescent="0.25">
      <c r="O105002" s="9"/>
    </row>
    <row r="105023" spans="15:15" x14ac:dyDescent="0.25">
      <c r="O105023" s="9"/>
    </row>
    <row r="105044" spans="15:15" x14ac:dyDescent="0.25">
      <c r="O105044" s="9"/>
    </row>
    <row r="105065" spans="15:15" x14ac:dyDescent="0.25">
      <c r="O105065" s="9"/>
    </row>
    <row r="105086" spans="15:15" x14ac:dyDescent="0.25">
      <c r="O105086" s="9"/>
    </row>
    <row r="105107" spans="15:15" x14ac:dyDescent="0.25">
      <c r="O105107" s="9"/>
    </row>
    <row r="105128" spans="15:15" x14ac:dyDescent="0.25">
      <c r="O105128" s="9"/>
    </row>
    <row r="105149" spans="15:15" x14ac:dyDescent="0.25">
      <c r="O105149" s="9"/>
    </row>
    <row r="105170" spans="15:15" x14ac:dyDescent="0.25">
      <c r="O105170" s="9"/>
    </row>
    <row r="105191" spans="15:15" x14ac:dyDescent="0.25">
      <c r="O105191" s="9"/>
    </row>
    <row r="105212" spans="15:15" x14ac:dyDescent="0.25">
      <c r="O105212" s="9"/>
    </row>
    <row r="105233" spans="15:15" x14ac:dyDescent="0.25">
      <c r="O105233" s="9"/>
    </row>
    <row r="105254" spans="15:15" x14ac:dyDescent="0.25">
      <c r="O105254" s="9"/>
    </row>
    <row r="105275" spans="15:15" x14ac:dyDescent="0.25">
      <c r="O105275" s="9"/>
    </row>
    <row r="105296" spans="15:15" x14ac:dyDescent="0.25">
      <c r="O105296" s="9"/>
    </row>
    <row r="105317" spans="15:15" x14ac:dyDescent="0.25">
      <c r="O105317" s="9"/>
    </row>
    <row r="105338" spans="15:15" x14ac:dyDescent="0.25">
      <c r="O105338" s="9"/>
    </row>
    <row r="105359" spans="15:15" x14ac:dyDescent="0.25">
      <c r="O105359" s="9"/>
    </row>
    <row r="105380" spans="15:15" x14ac:dyDescent="0.25">
      <c r="O105380" s="9"/>
    </row>
    <row r="105401" spans="15:15" x14ac:dyDescent="0.25">
      <c r="O105401" s="9"/>
    </row>
    <row r="105422" spans="15:15" x14ac:dyDescent="0.25">
      <c r="O105422" s="9"/>
    </row>
    <row r="105443" spans="15:15" x14ac:dyDescent="0.25">
      <c r="O105443" s="9"/>
    </row>
    <row r="105464" spans="15:15" x14ac:dyDescent="0.25">
      <c r="O105464" s="9"/>
    </row>
    <row r="105485" spans="15:15" x14ac:dyDescent="0.25">
      <c r="O105485" s="9"/>
    </row>
    <row r="105506" spans="15:15" x14ac:dyDescent="0.25">
      <c r="O105506" s="9"/>
    </row>
    <row r="105527" spans="15:15" x14ac:dyDescent="0.25">
      <c r="O105527" s="9"/>
    </row>
    <row r="105548" spans="15:15" x14ac:dyDescent="0.25">
      <c r="O105548" s="9"/>
    </row>
    <row r="105569" spans="15:15" x14ac:dyDescent="0.25">
      <c r="O105569" s="9"/>
    </row>
    <row r="105590" spans="15:15" x14ac:dyDescent="0.25">
      <c r="O105590" s="9"/>
    </row>
    <row r="105611" spans="15:15" x14ac:dyDescent="0.25">
      <c r="O105611" s="9"/>
    </row>
    <row r="105632" spans="15:15" x14ac:dyDescent="0.25">
      <c r="O105632" s="9"/>
    </row>
    <row r="105653" spans="15:15" x14ac:dyDescent="0.25">
      <c r="O105653" s="9"/>
    </row>
    <row r="105674" spans="15:15" x14ac:dyDescent="0.25">
      <c r="O105674" s="9"/>
    </row>
    <row r="105695" spans="15:15" x14ac:dyDescent="0.25">
      <c r="O105695" s="9"/>
    </row>
    <row r="105716" spans="15:15" x14ac:dyDescent="0.25">
      <c r="O105716" s="9"/>
    </row>
    <row r="105737" spans="15:15" x14ac:dyDescent="0.25">
      <c r="O105737" s="9"/>
    </row>
    <row r="105758" spans="15:15" x14ac:dyDescent="0.25">
      <c r="O105758" s="9"/>
    </row>
    <row r="105779" spans="15:15" x14ac:dyDescent="0.25">
      <c r="O105779" s="9"/>
    </row>
    <row r="105800" spans="15:15" x14ac:dyDescent="0.25">
      <c r="O105800" s="9"/>
    </row>
    <row r="105821" spans="15:15" x14ac:dyDescent="0.25">
      <c r="O105821" s="9"/>
    </row>
    <row r="105842" spans="15:15" x14ac:dyDescent="0.25">
      <c r="O105842" s="9"/>
    </row>
    <row r="105863" spans="15:15" x14ac:dyDescent="0.25">
      <c r="O105863" s="9"/>
    </row>
    <row r="105884" spans="15:15" x14ac:dyDescent="0.25">
      <c r="O105884" s="9"/>
    </row>
    <row r="105905" spans="15:15" x14ac:dyDescent="0.25">
      <c r="O105905" s="9"/>
    </row>
    <row r="105926" spans="15:15" x14ac:dyDescent="0.25">
      <c r="O105926" s="9"/>
    </row>
    <row r="105947" spans="15:15" x14ac:dyDescent="0.25">
      <c r="O105947" s="9"/>
    </row>
    <row r="105968" spans="15:15" x14ac:dyDescent="0.25">
      <c r="O105968" s="9"/>
    </row>
    <row r="105989" spans="15:15" x14ac:dyDescent="0.25">
      <c r="O105989" s="9"/>
    </row>
    <row r="106010" spans="15:15" x14ac:dyDescent="0.25">
      <c r="O106010" s="9"/>
    </row>
    <row r="106031" spans="15:15" x14ac:dyDescent="0.25">
      <c r="O106031" s="9"/>
    </row>
    <row r="106052" spans="15:15" x14ac:dyDescent="0.25">
      <c r="O106052" s="9"/>
    </row>
    <row r="106073" spans="15:15" x14ac:dyDescent="0.25">
      <c r="O106073" s="9"/>
    </row>
    <row r="106094" spans="15:15" x14ac:dyDescent="0.25">
      <c r="O106094" s="9"/>
    </row>
    <row r="106115" spans="15:15" x14ac:dyDescent="0.25">
      <c r="O106115" s="9"/>
    </row>
    <row r="106136" spans="15:15" x14ac:dyDescent="0.25">
      <c r="O106136" s="9"/>
    </row>
    <row r="106157" spans="15:15" x14ac:dyDescent="0.25">
      <c r="O106157" s="9"/>
    </row>
    <row r="106178" spans="15:15" x14ac:dyDescent="0.25">
      <c r="O106178" s="9"/>
    </row>
    <row r="106199" spans="15:15" x14ac:dyDescent="0.25">
      <c r="O106199" s="9"/>
    </row>
    <row r="106220" spans="15:15" x14ac:dyDescent="0.25">
      <c r="O106220" s="9"/>
    </row>
    <row r="106241" spans="15:15" x14ac:dyDescent="0.25">
      <c r="O106241" s="9"/>
    </row>
    <row r="106262" spans="15:15" x14ac:dyDescent="0.25">
      <c r="O106262" s="9"/>
    </row>
    <row r="106283" spans="15:15" x14ac:dyDescent="0.25">
      <c r="O106283" s="9"/>
    </row>
    <row r="106304" spans="15:15" x14ac:dyDescent="0.25">
      <c r="O106304" s="9"/>
    </row>
    <row r="106325" spans="15:15" x14ac:dyDescent="0.25">
      <c r="O106325" s="9"/>
    </row>
    <row r="106346" spans="15:15" x14ac:dyDescent="0.25">
      <c r="O106346" s="9"/>
    </row>
    <row r="106367" spans="15:15" x14ac:dyDescent="0.25">
      <c r="O106367" s="9"/>
    </row>
    <row r="106388" spans="15:15" x14ac:dyDescent="0.25">
      <c r="O106388" s="9"/>
    </row>
    <row r="106409" spans="15:15" x14ac:dyDescent="0.25">
      <c r="O106409" s="9"/>
    </row>
    <row r="106430" spans="15:15" x14ac:dyDescent="0.25">
      <c r="O106430" s="9"/>
    </row>
    <row r="106451" spans="15:15" x14ac:dyDescent="0.25">
      <c r="O106451" s="9"/>
    </row>
    <row r="106472" spans="15:15" x14ac:dyDescent="0.25">
      <c r="O106472" s="9"/>
    </row>
    <row r="106493" spans="15:15" x14ac:dyDescent="0.25">
      <c r="O106493" s="9"/>
    </row>
    <row r="106514" spans="15:15" x14ac:dyDescent="0.25">
      <c r="O106514" s="9"/>
    </row>
    <row r="106535" spans="15:15" x14ac:dyDescent="0.25">
      <c r="O106535" s="9"/>
    </row>
    <row r="106556" spans="15:15" x14ac:dyDescent="0.25">
      <c r="O106556" s="9"/>
    </row>
    <row r="106577" spans="15:15" x14ac:dyDescent="0.25">
      <c r="O106577" s="9"/>
    </row>
    <row r="106598" spans="15:15" x14ac:dyDescent="0.25">
      <c r="O106598" s="9"/>
    </row>
    <row r="106619" spans="15:15" x14ac:dyDescent="0.25">
      <c r="O106619" s="9"/>
    </row>
    <row r="106640" spans="15:15" x14ac:dyDescent="0.25">
      <c r="O106640" s="9"/>
    </row>
    <row r="106661" spans="15:15" x14ac:dyDescent="0.25">
      <c r="O106661" s="9"/>
    </row>
    <row r="106682" spans="15:15" x14ac:dyDescent="0.25">
      <c r="O106682" s="9"/>
    </row>
    <row r="106703" spans="15:15" x14ac:dyDescent="0.25">
      <c r="O106703" s="9"/>
    </row>
    <row r="106724" spans="15:15" x14ac:dyDescent="0.25">
      <c r="O106724" s="9"/>
    </row>
    <row r="106745" spans="15:15" x14ac:dyDescent="0.25">
      <c r="O106745" s="9"/>
    </row>
    <row r="106766" spans="15:15" x14ac:dyDescent="0.25">
      <c r="O106766" s="9"/>
    </row>
    <row r="106787" spans="15:15" x14ac:dyDescent="0.25">
      <c r="O106787" s="9"/>
    </row>
    <row r="106808" spans="15:15" x14ac:dyDescent="0.25">
      <c r="O106808" s="9"/>
    </row>
    <row r="106829" spans="15:15" x14ac:dyDescent="0.25">
      <c r="O106829" s="9"/>
    </row>
    <row r="106850" spans="15:15" x14ac:dyDescent="0.25">
      <c r="O106850" s="9"/>
    </row>
    <row r="106871" spans="15:15" x14ac:dyDescent="0.25">
      <c r="O106871" s="9"/>
    </row>
    <row r="106892" spans="15:15" x14ac:dyDescent="0.25">
      <c r="O106892" s="9"/>
    </row>
    <row r="106913" spans="15:15" x14ac:dyDescent="0.25">
      <c r="O106913" s="9"/>
    </row>
    <row r="106934" spans="15:15" x14ac:dyDescent="0.25">
      <c r="O106934" s="9"/>
    </row>
    <row r="106955" spans="15:15" x14ac:dyDescent="0.25">
      <c r="O106955" s="9"/>
    </row>
    <row r="106976" spans="15:15" x14ac:dyDescent="0.25">
      <c r="O106976" s="9"/>
    </row>
    <row r="106997" spans="15:15" x14ac:dyDescent="0.25">
      <c r="O106997" s="9"/>
    </row>
    <row r="107018" spans="15:15" x14ac:dyDescent="0.25">
      <c r="O107018" s="9"/>
    </row>
    <row r="107039" spans="15:15" x14ac:dyDescent="0.25">
      <c r="O107039" s="9"/>
    </row>
    <row r="107060" spans="15:15" x14ac:dyDescent="0.25">
      <c r="O107060" s="9"/>
    </row>
    <row r="107081" spans="15:15" x14ac:dyDescent="0.25">
      <c r="O107081" s="9"/>
    </row>
    <row r="107102" spans="15:15" x14ac:dyDescent="0.25">
      <c r="O107102" s="9"/>
    </row>
    <row r="107123" spans="15:15" x14ac:dyDescent="0.25">
      <c r="O107123" s="9"/>
    </row>
    <row r="107144" spans="15:15" x14ac:dyDescent="0.25">
      <c r="O107144" s="9"/>
    </row>
    <row r="107165" spans="15:15" x14ac:dyDescent="0.25">
      <c r="O107165" s="9"/>
    </row>
    <row r="107186" spans="15:15" x14ac:dyDescent="0.25">
      <c r="O107186" s="9"/>
    </row>
    <row r="107207" spans="15:15" x14ac:dyDescent="0.25">
      <c r="O107207" s="9"/>
    </row>
    <row r="107228" spans="15:15" x14ac:dyDescent="0.25">
      <c r="O107228" s="9"/>
    </row>
    <row r="107249" spans="15:15" x14ac:dyDescent="0.25">
      <c r="O107249" s="9"/>
    </row>
    <row r="107270" spans="15:15" x14ac:dyDescent="0.25">
      <c r="O107270" s="9"/>
    </row>
    <row r="107291" spans="15:15" x14ac:dyDescent="0.25">
      <c r="O107291" s="9"/>
    </row>
    <row r="107312" spans="15:15" x14ac:dyDescent="0.25">
      <c r="O107312" s="9"/>
    </row>
    <row r="107333" spans="15:15" x14ac:dyDescent="0.25">
      <c r="O107333" s="9"/>
    </row>
    <row r="107354" spans="15:15" x14ac:dyDescent="0.25">
      <c r="O107354" s="9"/>
    </row>
    <row r="107375" spans="15:15" x14ac:dyDescent="0.25">
      <c r="O107375" s="9"/>
    </row>
    <row r="107396" spans="15:15" x14ac:dyDescent="0.25">
      <c r="O107396" s="9"/>
    </row>
    <row r="107417" spans="15:15" x14ac:dyDescent="0.25">
      <c r="O107417" s="9"/>
    </row>
    <row r="107438" spans="15:15" x14ac:dyDescent="0.25">
      <c r="O107438" s="9"/>
    </row>
    <row r="107459" spans="15:15" x14ac:dyDescent="0.25">
      <c r="O107459" s="9"/>
    </row>
    <row r="107480" spans="15:15" x14ac:dyDescent="0.25">
      <c r="O107480" s="9"/>
    </row>
    <row r="107501" spans="15:15" x14ac:dyDescent="0.25">
      <c r="O107501" s="9"/>
    </row>
    <row r="107522" spans="15:15" x14ac:dyDescent="0.25">
      <c r="O107522" s="9"/>
    </row>
    <row r="107543" spans="15:15" x14ac:dyDescent="0.25">
      <c r="O107543" s="9"/>
    </row>
    <row r="107564" spans="15:15" x14ac:dyDescent="0.25">
      <c r="O107564" s="9"/>
    </row>
    <row r="107585" spans="15:15" x14ac:dyDescent="0.25">
      <c r="O107585" s="9"/>
    </row>
    <row r="107606" spans="15:15" x14ac:dyDescent="0.25">
      <c r="O107606" s="9"/>
    </row>
    <row r="107627" spans="15:15" x14ac:dyDescent="0.25">
      <c r="O107627" s="9"/>
    </row>
    <row r="107648" spans="15:15" x14ac:dyDescent="0.25">
      <c r="O107648" s="9"/>
    </row>
    <row r="107669" spans="15:15" x14ac:dyDescent="0.25">
      <c r="O107669" s="9"/>
    </row>
    <row r="107690" spans="15:15" x14ac:dyDescent="0.25">
      <c r="O107690" s="9"/>
    </row>
    <row r="107711" spans="15:15" x14ac:dyDescent="0.25">
      <c r="O107711" s="9"/>
    </row>
    <row r="107732" spans="15:15" x14ac:dyDescent="0.25">
      <c r="O107732" s="9"/>
    </row>
    <row r="107753" spans="15:15" x14ac:dyDescent="0.25">
      <c r="O107753" s="9"/>
    </row>
    <row r="107774" spans="15:15" x14ac:dyDescent="0.25">
      <c r="O107774" s="9"/>
    </row>
    <row r="107795" spans="15:15" x14ac:dyDescent="0.25">
      <c r="O107795" s="9"/>
    </row>
    <row r="107816" spans="15:15" x14ac:dyDescent="0.25">
      <c r="O107816" s="9"/>
    </row>
    <row r="107837" spans="15:15" x14ac:dyDescent="0.25">
      <c r="O107837" s="9"/>
    </row>
    <row r="107858" spans="15:15" x14ac:dyDescent="0.25">
      <c r="O107858" s="9"/>
    </row>
    <row r="107879" spans="15:15" x14ac:dyDescent="0.25">
      <c r="O107879" s="9"/>
    </row>
    <row r="107900" spans="15:15" x14ac:dyDescent="0.25">
      <c r="O107900" s="9"/>
    </row>
    <row r="107921" spans="15:15" x14ac:dyDescent="0.25">
      <c r="O107921" s="9"/>
    </row>
    <row r="107942" spans="15:15" x14ac:dyDescent="0.25">
      <c r="O107942" s="9"/>
    </row>
    <row r="107963" spans="15:15" x14ac:dyDescent="0.25">
      <c r="O107963" s="9"/>
    </row>
    <row r="107984" spans="15:15" x14ac:dyDescent="0.25">
      <c r="O107984" s="9"/>
    </row>
    <row r="108005" spans="15:15" x14ac:dyDescent="0.25">
      <c r="O108005" s="9"/>
    </row>
    <row r="108026" spans="15:15" x14ac:dyDescent="0.25">
      <c r="O108026" s="9"/>
    </row>
    <row r="108047" spans="15:15" x14ac:dyDescent="0.25">
      <c r="O108047" s="9"/>
    </row>
    <row r="108068" spans="15:15" x14ac:dyDescent="0.25">
      <c r="O108068" s="9"/>
    </row>
    <row r="108089" spans="15:15" x14ac:dyDescent="0.25">
      <c r="O108089" s="9"/>
    </row>
    <row r="108110" spans="15:15" x14ac:dyDescent="0.25">
      <c r="O108110" s="9"/>
    </row>
    <row r="108131" spans="15:15" x14ac:dyDescent="0.25">
      <c r="O108131" s="9"/>
    </row>
    <row r="108152" spans="15:15" x14ac:dyDescent="0.25">
      <c r="O108152" s="9"/>
    </row>
    <row r="108173" spans="15:15" x14ac:dyDescent="0.25">
      <c r="O108173" s="9"/>
    </row>
    <row r="108194" spans="15:15" x14ac:dyDescent="0.25">
      <c r="O108194" s="9"/>
    </row>
    <row r="108215" spans="15:15" x14ac:dyDescent="0.25">
      <c r="O108215" s="9"/>
    </row>
    <row r="108236" spans="15:15" x14ac:dyDescent="0.25">
      <c r="O108236" s="9"/>
    </row>
    <row r="108257" spans="15:15" x14ac:dyDescent="0.25">
      <c r="O108257" s="9"/>
    </row>
    <row r="108278" spans="15:15" x14ac:dyDescent="0.25">
      <c r="O108278" s="9"/>
    </row>
    <row r="108299" spans="15:15" x14ac:dyDescent="0.25">
      <c r="O108299" s="9"/>
    </row>
    <row r="108320" spans="15:15" x14ac:dyDescent="0.25">
      <c r="O108320" s="9"/>
    </row>
    <row r="108341" spans="15:15" x14ac:dyDescent="0.25">
      <c r="O108341" s="9"/>
    </row>
    <row r="108362" spans="15:15" x14ac:dyDescent="0.25">
      <c r="O108362" s="9"/>
    </row>
    <row r="108383" spans="15:15" x14ac:dyDescent="0.25">
      <c r="O108383" s="9"/>
    </row>
    <row r="108404" spans="15:15" x14ac:dyDescent="0.25">
      <c r="O108404" s="9"/>
    </row>
    <row r="108425" spans="15:15" x14ac:dyDescent="0.25">
      <c r="O108425" s="9"/>
    </row>
    <row r="108446" spans="15:15" x14ac:dyDescent="0.25">
      <c r="O108446" s="9"/>
    </row>
    <row r="108467" spans="15:15" x14ac:dyDescent="0.25">
      <c r="O108467" s="9"/>
    </row>
    <row r="108488" spans="15:15" x14ac:dyDescent="0.25">
      <c r="O108488" s="9"/>
    </row>
    <row r="108509" spans="15:15" x14ac:dyDescent="0.25">
      <c r="O108509" s="9"/>
    </row>
    <row r="108530" spans="15:15" x14ac:dyDescent="0.25">
      <c r="O108530" s="9"/>
    </row>
    <row r="108551" spans="15:15" x14ac:dyDescent="0.25">
      <c r="O108551" s="9"/>
    </row>
    <row r="108572" spans="15:15" x14ac:dyDescent="0.25">
      <c r="O108572" s="9"/>
    </row>
    <row r="108593" spans="15:15" x14ac:dyDescent="0.25">
      <c r="O108593" s="9"/>
    </row>
    <row r="108614" spans="15:15" x14ac:dyDescent="0.25">
      <c r="O108614" s="9"/>
    </row>
    <row r="108635" spans="15:15" x14ac:dyDescent="0.25">
      <c r="O108635" s="9"/>
    </row>
    <row r="108656" spans="15:15" x14ac:dyDescent="0.25">
      <c r="O108656" s="9"/>
    </row>
    <row r="108677" spans="15:15" x14ac:dyDescent="0.25">
      <c r="O108677" s="9"/>
    </row>
    <row r="108698" spans="15:15" x14ac:dyDescent="0.25">
      <c r="O108698" s="9"/>
    </row>
    <row r="108719" spans="15:15" x14ac:dyDescent="0.25">
      <c r="O108719" s="9"/>
    </row>
    <row r="108740" spans="15:15" x14ac:dyDescent="0.25">
      <c r="O108740" s="9"/>
    </row>
    <row r="108761" spans="15:15" x14ac:dyDescent="0.25">
      <c r="O108761" s="9"/>
    </row>
    <row r="108782" spans="15:15" x14ac:dyDescent="0.25">
      <c r="O108782" s="9"/>
    </row>
    <row r="108803" spans="15:15" x14ac:dyDescent="0.25">
      <c r="O108803" s="9"/>
    </row>
    <row r="108824" spans="15:15" x14ac:dyDescent="0.25">
      <c r="O108824" s="9"/>
    </row>
    <row r="108845" spans="15:15" x14ac:dyDescent="0.25">
      <c r="O108845" s="9"/>
    </row>
    <row r="108866" spans="15:15" x14ac:dyDescent="0.25">
      <c r="O108866" s="9"/>
    </row>
    <row r="108887" spans="15:15" x14ac:dyDescent="0.25">
      <c r="O108887" s="9"/>
    </row>
    <row r="108908" spans="15:15" x14ac:dyDescent="0.25">
      <c r="O108908" s="9"/>
    </row>
    <row r="108929" spans="15:15" x14ac:dyDescent="0.25">
      <c r="O108929" s="9"/>
    </row>
    <row r="108950" spans="15:15" x14ac:dyDescent="0.25">
      <c r="O108950" s="9"/>
    </row>
    <row r="108971" spans="15:15" x14ac:dyDescent="0.25">
      <c r="O108971" s="9"/>
    </row>
    <row r="108992" spans="15:15" x14ac:dyDescent="0.25">
      <c r="O108992" s="9"/>
    </row>
    <row r="109013" spans="15:15" x14ac:dyDescent="0.25">
      <c r="O109013" s="9"/>
    </row>
    <row r="109034" spans="15:15" x14ac:dyDescent="0.25">
      <c r="O109034" s="9"/>
    </row>
    <row r="109055" spans="15:15" x14ac:dyDescent="0.25">
      <c r="O109055" s="9"/>
    </row>
    <row r="109076" spans="15:15" x14ac:dyDescent="0.25">
      <c r="O109076" s="9"/>
    </row>
    <row r="109097" spans="15:15" x14ac:dyDescent="0.25">
      <c r="O109097" s="9"/>
    </row>
    <row r="109118" spans="15:15" x14ac:dyDescent="0.25">
      <c r="O109118" s="9"/>
    </row>
    <row r="109139" spans="15:15" x14ac:dyDescent="0.25">
      <c r="O109139" s="9"/>
    </row>
    <row r="109160" spans="15:15" x14ac:dyDescent="0.25">
      <c r="O109160" s="9"/>
    </row>
    <row r="109181" spans="15:15" x14ac:dyDescent="0.25">
      <c r="O109181" s="9"/>
    </row>
    <row r="109202" spans="15:15" x14ac:dyDescent="0.25">
      <c r="O109202" s="9"/>
    </row>
    <row r="109223" spans="15:15" x14ac:dyDescent="0.25">
      <c r="O109223" s="9"/>
    </row>
    <row r="109244" spans="15:15" x14ac:dyDescent="0.25">
      <c r="O109244" s="9"/>
    </row>
    <row r="109265" spans="15:15" x14ac:dyDescent="0.25">
      <c r="O109265" s="9"/>
    </row>
    <row r="109286" spans="15:15" x14ac:dyDescent="0.25">
      <c r="O109286" s="9"/>
    </row>
    <row r="109307" spans="15:15" x14ac:dyDescent="0.25">
      <c r="O109307" s="9"/>
    </row>
    <row r="109328" spans="15:15" x14ac:dyDescent="0.25">
      <c r="O109328" s="9"/>
    </row>
    <row r="109349" spans="15:15" x14ac:dyDescent="0.25">
      <c r="O109349" s="9"/>
    </row>
    <row r="109370" spans="15:15" x14ac:dyDescent="0.25">
      <c r="O109370" s="9"/>
    </row>
    <row r="109391" spans="15:15" x14ac:dyDescent="0.25">
      <c r="O109391" s="9"/>
    </row>
    <row r="109412" spans="15:15" x14ac:dyDescent="0.25">
      <c r="O109412" s="9"/>
    </row>
    <row r="109433" spans="15:15" x14ac:dyDescent="0.25">
      <c r="O109433" s="9"/>
    </row>
    <row r="109454" spans="15:15" x14ac:dyDescent="0.25">
      <c r="O109454" s="9"/>
    </row>
    <row r="109475" spans="15:15" x14ac:dyDescent="0.25">
      <c r="O109475" s="9"/>
    </row>
    <row r="109496" spans="15:15" x14ac:dyDescent="0.25">
      <c r="O109496" s="9"/>
    </row>
    <row r="109517" spans="15:15" x14ac:dyDescent="0.25">
      <c r="O109517" s="9"/>
    </row>
    <row r="109538" spans="15:15" x14ac:dyDescent="0.25">
      <c r="O109538" s="9"/>
    </row>
    <row r="109559" spans="15:15" x14ac:dyDescent="0.25">
      <c r="O109559" s="9"/>
    </row>
    <row r="109580" spans="15:15" x14ac:dyDescent="0.25">
      <c r="O109580" s="9"/>
    </row>
    <row r="109601" spans="15:15" x14ac:dyDescent="0.25">
      <c r="O109601" s="9"/>
    </row>
    <row r="109622" spans="15:15" x14ac:dyDescent="0.25">
      <c r="O109622" s="9"/>
    </row>
    <row r="109643" spans="15:15" x14ac:dyDescent="0.25">
      <c r="O109643" s="9"/>
    </row>
    <row r="109664" spans="15:15" x14ac:dyDescent="0.25">
      <c r="O109664" s="9"/>
    </row>
    <row r="109685" spans="15:15" x14ac:dyDescent="0.25">
      <c r="O109685" s="9"/>
    </row>
    <row r="109706" spans="15:15" x14ac:dyDescent="0.25">
      <c r="O109706" s="9"/>
    </row>
    <row r="109727" spans="15:15" x14ac:dyDescent="0.25">
      <c r="O109727" s="9"/>
    </row>
    <row r="109748" spans="15:15" x14ac:dyDescent="0.25">
      <c r="O109748" s="9"/>
    </row>
    <row r="109769" spans="15:15" x14ac:dyDescent="0.25">
      <c r="O109769" s="9"/>
    </row>
    <row r="109790" spans="15:15" x14ac:dyDescent="0.25">
      <c r="O109790" s="9"/>
    </row>
    <row r="109811" spans="15:15" x14ac:dyDescent="0.25">
      <c r="O109811" s="9"/>
    </row>
    <row r="109832" spans="15:15" x14ac:dyDescent="0.25">
      <c r="O109832" s="9"/>
    </row>
    <row r="109853" spans="15:15" x14ac:dyDescent="0.25">
      <c r="O109853" s="9"/>
    </row>
    <row r="109874" spans="15:15" x14ac:dyDescent="0.25">
      <c r="O109874" s="9"/>
    </row>
    <row r="109895" spans="15:15" x14ac:dyDescent="0.25">
      <c r="O109895" s="9"/>
    </row>
    <row r="109916" spans="15:15" x14ac:dyDescent="0.25">
      <c r="O109916" s="9"/>
    </row>
    <row r="109937" spans="15:15" x14ac:dyDescent="0.25">
      <c r="O109937" s="9"/>
    </row>
    <row r="109958" spans="15:15" x14ac:dyDescent="0.25">
      <c r="O109958" s="9"/>
    </row>
    <row r="109979" spans="15:15" x14ac:dyDescent="0.25">
      <c r="O109979" s="9"/>
    </row>
    <row r="110000" spans="15:15" x14ac:dyDescent="0.25">
      <c r="O110000" s="9"/>
    </row>
    <row r="110021" spans="15:15" x14ac:dyDescent="0.25">
      <c r="O110021" s="9"/>
    </row>
    <row r="110042" spans="15:15" x14ac:dyDescent="0.25">
      <c r="O110042" s="9"/>
    </row>
    <row r="110063" spans="15:15" x14ac:dyDescent="0.25">
      <c r="O110063" s="9"/>
    </row>
    <row r="110084" spans="15:15" x14ac:dyDescent="0.25">
      <c r="O110084" s="9"/>
    </row>
    <row r="110105" spans="15:15" x14ac:dyDescent="0.25">
      <c r="O110105" s="9"/>
    </row>
    <row r="110126" spans="15:15" x14ac:dyDescent="0.25">
      <c r="O110126" s="9"/>
    </row>
    <row r="110147" spans="15:15" x14ac:dyDescent="0.25">
      <c r="O110147" s="9"/>
    </row>
    <row r="110168" spans="15:15" x14ac:dyDescent="0.25">
      <c r="O110168" s="9"/>
    </row>
    <row r="110189" spans="15:15" x14ac:dyDescent="0.25">
      <c r="O110189" s="9"/>
    </row>
    <row r="110210" spans="15:15" x14ac:dyDescent="0.25">
      <c r="O110210" s="9"/>
    </row>
    <row r="110231" spans="15:15" x14ac:dyDescent="0.25">
      <c r="O110231" s="9"/>
    </row>
    <row r="110252" spans="15:15" x14ac:dyDescent="0.25">
      <c r="O110252" s="9"/>
    </row>
    <row r="110273" spans="15:15" x14ac:dyDescent="0.25">
      <c r="O110273" s="9"/>
    </row>
    <row r="110294" spans="15:15" x14ac:dyDescent="0.25">
      <c r="O110294" s="9"/>
    </row>
    <row r="110315" spans="15:15" x14ac:dyDescent="0.25">
      <c r="O110315" s="9"/>
    </row>
    <row r="110336" spans="15:15" x14ac:dyDescent="0.25">
      <c r="O110336" s="9"/>
    </row>
    <row r="110357" spans="15:15" x14ac:dyDescent="0.25">
      <c r="O110357" s="9"/>
    </row>
    <row r="110378" spans="15:15" x14ac:dyDescent="0.25">
      <c r="O110378" s="9"/>
    </row>
    <row r="110399" spans="15:15" x14ac:dyDescent="0.25">
      <c r="O110399" s="9"/>
    </row>
    <row r="110420" spans="15:15" x14ac:dyDescent="0.25">
      <c r="O110420" s="9"/>
    </row>
    <row r="110441" spans="15:15" x14ac:dyDescent="0.25">
      <c r="O110441" s="9"/>
    </row>
    <row r="110462" spans="15:15" x14ac:dyDescent="0.25">
      <c r="O110462" s="9"/>
    </row>
    <row r="110483" spans="15:15" x14ac:dyDescent="0.25">
      <c r="O110483" s="9"/>
    </row>
    <row r="110504" spans="15:15" x14ac:dyDescent="0.25">
      <c r="O110504" s="9"/>
    </row>
    <row r="110525" spans="15:15" x14ac:dyDescent="0.25">
      <c r="O110525" s="9"/>
    </row>
    <row r="110546" spans="15:15" x14ac:dyDescent="0.25">
      <c r="O110546" s="9"/>
    </row>
    <row r="110567" spans="15:15" x14ac:dyDescent="0.25">
      <c r="O110567" s="9"/>
    </row>
    <row r="110588" spans="15:15" x14ac:dyDescent="0.25">
      <c r="O110588" s="9"/>
    </row>
    <row r="110609" spans="15:15" x14ac:dyDescent="0.25">
      <c r="O110609" s="9"/>
    </row>
    <row r="110630" spans="15:15" x14ac:dyDescent="0.25">
      <c r="O110630" s="9"/>
    </row>
    <row r="110651" spans="15:15" x14ac:dyDescent="0.25">
      <c r="O110651" s="9"/>
    </row>
    <row r="110672" spans="15:15" x14ac:dyDescent="0.25">
      <c r="O110672" s="9"/>
    </row>
    <row r="110693" spans="15:15" x14ac:dyDescent="0.25">
      <c r="O110693" s="9"/>
    </row>
    <row r="110714" spans="15:15" x14ac:dyDescent="0.25">
      <c r="O110714" s="9"/>
    </row>
    <row r="110735" spans="15:15" x14ac:dyDescent="0.25">
      <c r="O110735" s="9"/>
    </row>
    <row r="110756" spans="15:15" x14ac:dyDescent="0.25">
      <c r="O110756" s="9"/>
    </row>
    <row r="110777" spans="15:15" x14ac:dyDescent="0.25">
      <c r="O110777" s="9"/>
    </row>
    <row r="110798" spans="15:15" x14ac:dyDescent="0.25">
      <c r="O110798" s="9"/>
    </row>
    <row r="110819" spans="15:15" x14ac:dyDescent="0.25">
      <c r="O110819" s="9"/>
    </row>
    <row r="110840" spans="15:15" x14ac:dyDescent="0.25">
      <c r="O110840" s="9"/>
    </row>
    <row r="110861" spans="15:15" x14ac:dyDescent="0.25">
      <c r="O110861" s="9"/>
    </row>
    <row r="110882" spans="15:15" x14ac:dyDescent="0.25">
      <c r="O110882" s="9"/>
    </row>
    <row r="110903" spans="15:15" x14ac:dyDescent="0.25">
      <c r="O110903" s="9"/>
    </row>
    <row r="110924" spans="15:15" x14ac:dyDescent="0.25">
      <c r="O110924" s="9"/>
    </row>
    <row r="110945" spans="15:15" x14ac:dyDescent="0.25">
      <c r="O110945" s="9"/>
    </row>
    <row r="110966" spans="15:15" x14ac:dyDescent="0.25">
      <c r="O110966" s="9"/>
    </row>
    <row r="110987" spans="15:15" x14ac:dyDescent="0.25">
      <c r="O110987" s="9"/>
    </row>
    <row r="111008" spans="15:15" x14ac:dyDescent="0.25">
      <c r="O111008" s="9"/>
    </row>
    <row r="111029" spans="15:15" x14ac:dyDescent="0.25">
      <c r="O111029" s="9"/>
    </row>
    <row r="111050" spans="15:15" x14ac:dyDescent="0.25">
      <c r="O111050" s="9"/>
    </row>
    <row r="111071" spans="15:15" x14ac:dyDescent="0.25">
      <c r="O111071" s="9"/>
    </row>
    <row r="111092" spans="15:15" x14ac:dyDescent="0.25">
      <c r="O111092" s="9"/>
    </row>
    <row r="111113" spans="15:15" x14ac:dyDescent="0.25">
      <c r="O111113" s="9"/>
    </row>
    <row r="111134" spans="15:15" x14ac:dyDescent="0.25">
      <c r="O111134" s="9"/>
    </row>
    <row r="111155" spans="15:15" x14ac:dyDescent="0.25">
      <c r="O111155" s="9"/>
    </row>
    <row r="111176" spans="15:15" x14ac:dyDescent="0.25">
      <c r="O111176" s="9"/>
    </row>
    <row r="111197" spans="15:15" x14ac:dyDescent="0.25">
      <c r="O111197" s="9"/>
    </row>
    <row r="111218" spans="15:15" x14ac:dyDescent="0.25">
      <c r="O111218" s="9"/>
    </row>
    <row r="111239" spans="15:15" x14ac:dyDescent="0.25">
      <c r="O111239" s="9"/>
    </row>
    <row r="111260" spans="15:15" x14ac:dyDescent="0.25">
      <c r="O111260" s="9"/>
    </row>
    <row r="111281" spans="15:15" x14ac:dyDescent="0.25">
      <c r="O111281" s="9"/>
    </row>
    <row r="111302" spans="15:15" x14ac:dyDescent="0.25">
      <c r="O111302" s="9"/>
    </row>
    <row r="111323" spans="15:15" x14ac:dyDescent="0.25">
      <c r="O111323" s="9"/>
    </row>
    <row r="111344" spans="15:15" x14ac:dyDescent="0.25">
      <c r="O111344" s="9"/>
    </row>
    <row r="111365" spans="15:15" x14ac:dyDescent="0.25">
      <c r="O111365" s="9"/>
    </row>
    <row r="111386" spans="15:15" x14ac:dyDescent="0.25">
      <c r="O111386" s="9"/>
    </row>
    <row r="111407" spans="15:15" x14ac:dyDescent="0.25">
      <c r="O111407" s="9"/>
    </row>
    <row r="111428" spans="15:15" x14ac:dyDescent="0.25">
      <c r="O111428" s="9"/>
    </row>
    <row r="111449" spans="15:15" x14ac:dyDescent="0.25">
      <c r="O111449" s="9"/>
    </row>
    <row r="111470" spans="15:15" x14ac:dyDescent="0.25">
      <c r="O111470" s="9"/>
    </row>
    <row r="111491" spans="15:15" x14ac:dyDescent="0.25">
      <c r="O111491" s="9"/>
    </row>
    <row r="111512" spans="15:15" x14ac:dyDescent="0.25">
      <c r="O111512" s="9"/>
    </row>
    <row r="111533" spans="15:15" x14ac:dyDescent="0.25">
      <c r="O111533" s="9"/>
    </row>
    <row r="111554" spans="15:15" x14ac:dyDescent="0.25">
      <c r="O111554" s="9"/>
    </row>
    <row r="111575" spans="15:15" x14ac:dyDescent="0.25">
      <c r="O111575" s="9"/>
    </row>
    <row r="111596" spans="15:15" x14ac:dyDescent="0.25">
      <c r="O111596" s="9"/>
    </row>
    <row r="111617" spans="15:15" x14ac:dyDescent="0.25">
      <c r="O111617" s="9"/>
    </row>
    <row r="111638" spans="15:15" x14ac:dyDescent="0.25">
      <c r="O111638" s="9"/>
    </row>
    <row r="111659" spans="15:15" x14ac:dyDescent="0.25">
      <c r="O111659" s="9"/>
    </row>
    <row r="111680" spans="15:15" x14ac:dyDescent="0.25">
      <c r="O111680" s="9"/>
    </row>
    <row r="111701" spans="15:15" x14ac:dyDescent="0.25">
      <c r="O111701" s="9"/>
    </row>
    <row r="111722" spans="15:15" x14ac:dyDescent="0.25">
      <c r="O111722" s="9"/>
    </row>
    <row r="111743" spans="15:15" x14ac:dyDescent="0.25">
      <c r="O111743" s="9"/>
    </row>
    <row r="111764" spans="15:15" x14ac:dyDescent="0.25">
      <c r="O111764" s="9"/>
    </row>
    <row r="111785" spans="15:15" x14ac:dyDescent="0.25">
      <c r="O111785" s="9"/>
    </row>
    <row r="111806" spans="15:15" x14ac:dyDescent="0.25">
      <c r="O111806" s="9"/>
    </row>
    <row r="111827" spans="15:15" x14ac:dyDescent="0.25">
      <c r="O111827" s="9"/>
    </row>
    <row r="111848" spans="15:15" x14ac:dyDescent="0.25">
      <c r="O111848" s="9"/>
    </row>
    <row r="111869" spans="15:15" x14ac:dyDescent="0.25">
      <c r="O111869" s="9"/>
    </row>
    <row r="111890" spans="15:15" x14ac:dyDescent="0.25">
      <c r="O111890" s="9"/>
    </row>
    <row r="111911" spans="15:15" x14ac:dyDescent="0.25">
      <c r="O111911" s="9"/>
    </row>
    <row r="111932" spans="15:15" x14ac:dyDescent="0.25">
      <c r="O111932" s="9"/>
    </row>
    <row r="111953" spans="15:15" x14ac:dyDescent="0.25">
      <c r="O111953" s="9"/>
    </row>
    <row r="111974" spans="15:15" x14ac:dyDescent="0.25">
      <c r="O111974" s="9"/>
    </row>
    <row r="111995" spans="15:15" x14ac:dyDescent="0.25">
      <c r="O111995" s="9"/>
    </row>
    <row r="112016" spans="15:15" x14ac:dyDescent="0.25">
      <c r="O112016" s="9"/>
    </row>
    <row r="112037" spans="15:15" x14ac:dyDescent="0.25">
      <c r="O112037" s="9"/>
    </row>
    <row r="112058" spans="15:15" x14ac:dyDescent="0.25">
      <c r="O112058" s="9"/>
    </row>
    <row r="112079" spans="15:15" x14ac:dyDescent="0.25">
      <c r="O112079" s="9"/>
    </row>
    <row r="112100" spans="15:15" x14ac:dyDescent="0.25">
      <c r="O112100" s="9"/>
    </row>
    <row r="112121" spans="15:15" x14ac:dyDescent="0.25">
      <c r="O112121" s="9"/>
    </row>
    <row r="112142" spans="15:15" x14ac:dyDescent="0.25">
      <c r="O112142" s="9"/>
    </row>
    <row r="112163" spans="15:15" x14ac:dyDescent="0.25">
      <c r="O112163" s="9"/>
    </row>
    <row r="112184" spans="15:15" x14ac:dyDescent="0.25">
      <c r="O112184" s="9"/>
    </row>
    <row r="112205" spans="15:15" x14ac:dyDescent="0.25">
      <c r="O112205" s="9"/>
    </row>
    <row r="112226" spans="15:15" x14ac:dyDescent="0.25">
      <c r="O112226" s="9"/>
    </row>
    <row r="112247" spans="15:15" x14ac:dyDescent="0.25">
      <c r="O112247" s="9"/>
    </row>
    <row r="112268" spans="15:15" x14ac:dyDescent="0.25">
      <c r="O112268" s="9"/>
    </row>
    <row r="112289" spans="15:15" x14ac:dyDescent="0.25">
      <c r="O112289" s="9"/>
    </row>
    <row r="112310" spans="15:15" x14ac:dyDescent="0.25">
      <c r="O112310" s="9"/>
    </row>
    <row r="112331" spans="15:15" x14ac:dyDescent="0.25">
      <c r="O112331" s="9"/>
    </row>
    <row r="112352" spans="15:15" x14ac:dyDescent="0.25">
      <c r="O112352" s="9"/>
    </row>
    <row r="112373" spans="15:15" x14ac:dyDescent="0.25">
      <c r="O112373" s="9"/>
    </row>
    <row r="112394" spans="15:15" x14ac:dyDescent="0.25">
      <c r="O112394" s="9"/>
    </row>
    <row r="112415" spans="15:15" x14ac:dyDescent="0.25">
      <c r="O112415" s="9"/>
    </row>
    <row r="112436" spans="15:15" x14ac:dyDescent="0.25">
      <c r="O112436" s="9"/>
    </row>
    <row r="112457" spans="15:15" x14ac:dyDescent="0.25">
      <c r="O112457" s="9"/>
    </row>
    <row r="112478" spans="15:15" x14ac:dyDescent="0.25">
      <c r="O112478" s="9"/>
    </row>
    <row r="112499" spans="15:15" x14ac:dyDescent="0.25">
      <c r="O112499" s="9"/>
    </row>
    <row r="112520" spans="15:15" x14ac:dyDescent="0.25">
      <c r="O112520" s="9"/>
    </row>
    <row r="112541" spans="15:15" x14ac:dyDescent="0.25">
      <c r="O112541" s="9"/>
    </row>
    <row r="112562" spans="15:15" x14ac:dyDescent="0.25">
      <c r="O112562" s="9"/>
    </row>
    <row r="112583" spans="15:15" x14ac:dyDescent="0.25">
      <c r="O112583" s="9"/>
    </row>
    <row r="112604" spans="15:15" x14ac:dyDescent="0.25">
      <c r="O112604" s="9"/>
    </row>
    <row r="112625" spans="15:15" x14ac:dyDescent="0.25">
      <c r="O112625" s="9"/>
    </row>
    <row r="112646" spans="15:15" x14ac:dyDescent="0.25">
      <c r="O112646" s="9"/>
    </row>
    <row r="112667" spans="15:15" x14ac:dyDescent="0.25">
      <c r="O112667" s="9"/>
    </row>
    <row r="112688" spans="15:15" x14ac:dyDescent="0.25">
      <c r="O112688" s="9"/>
    </row>
    <row r="112709" spans="15:15" x14ac:dyDescent="0.25">
      <c r="O112709" s="9"/>
    </row>
    <row r="112730" spans="15:15" x14ac:dyDescent="0.25">
      <c r="O112730" s="9"/>
    </row>
    <row r="112751" spans="15:15" x14ac:dyDescent="0.25">
      <c r="O112751" s="9"/>
    </row>
    <row r="112772" spans="15:15" x14ac:dyDescent="0.25">
      <c r="O112772" s="9"/>
    </row>
    <row r="112793" spans="15:15" x14ac:dyDescent="0.25">
      <c r="O112793" s="9"/>
    </row>
    <row r="112814" spans="15:15" x14ac:dyDescent="0.25">
      <c r="O112814" s="9"/>
    </row>
    <row r="112835" spans="15:15" x14ac:dyDescent="0.25">
      <c r="O112835" s="9"/>
    </row>
    <row r="112856" spans="15:15" x14ac:dyDescent="0.25">
      <c r="O112856" s="9"/>
    </row>
    <row r="112877" spans="15:15" x14ac:dyDescent="0.25">
      <c r="O112877" s="9"/>
    </row>
    <row r="112898" spans="15:15" x14ac:dyDescent="0.25">
      <c r="O112898" s="9"/>
    </row>
    <row r="112919" spans="15:15" x14ac:dyDescent="0.25">
      <c r="O112919" s="9"/>
    </row>
    <row r="112940" spans="15:15" x14ac:dyDescent="0.25">
      <c r="O112940" s="9"/>
    </row>
    <row r="112961" spans="15:15" x14ac:dyDescent="0.25">
      <c r="O112961" s="9"/>
    </row>
    <row r="112982" spans="15:15" x14ac:dyDescent="0.25">
      <c r="O112982" s="9"/>
    </row>
    <row r="113003" spans="15:15" x14ac:dyDescent="0.25">
      <c r="O113003" s="9"/>
    </row>
    <row r="113024" spans="15:15" x14ac:dyDescent="0.25">
      <c r="O113024" s="9"/>
    </row>
    <row r="113045" spans="15:15" x14ac:dyDescent="0.25">
      <c r="O113045" s="9"/>
    </row>
    <row r="113066" spans="15:15" x14ac:dyDescent="0.25">
      <c r="O113066" s="9"/>
    </row>
    <row r="113087" spans="15:15" x14ac:dyDescent="0.25">
      <c r="O113087" s="9"/>
    </row>
    <row r="113108" spans="15:15" x14ac:dyDescent="0.25">
      <c r="O113108" s="9"/>
    </row>
    <row r="113129" spans="15:15" x14ac:dyDescent="0.25">
      <c r="O113129" s="9"/>
    </row>
    <row r="113150" spans="15:15" x14ac:dyDescent="0.25">
      <c r="O113150" s="9"/>
    </row>
    <row r="113171" spans="15:15" x14ac:dyDescent="0.25">
      <c r="O113171" s="9"/>
    </row>
    <row r="113192" spans="15:15" x14ac:dyDescent="0.25">
      <c r="O113192" s="9"/>
    </row>
    <row r="113213" spans="15:15" x14ac:dyDescent="0.25">
      <c r="O113213" s="9"/>
    </row>
    <row r="113234" spans="15:15" x14ac:dyDescent="0.25">
      <c r="O113234" s="9"/>
    </row>
    <row r="113255" spans="15:15" x14ac:dyDescent="0.25">
      <c r="O113255" s="9"/>
    </row>
    <row r="113276" spans="15:15" x14ac:dyDescent="0.25">
      <c r="O113276" s="9"/>
    </row>
    <row r="113297" spans="15:15" x14ac:dyDescent="0.25">
      <c r="O113297" s="9"/>
    </row>
    <row r="113318" spans="15:15" x14ac:dyDescent="0.25">
      <c r="O113318" s="9"/>
    </row>
    <row r="113339" spans="15:15" x14ac:dyDescent="0.25">
      <c r="O113339" s="9"/>
    </row>
    <row r="113360" spans="15:15" x14ac:dyDescent="0.25">
      <c r="O113360" s="9"/>
    </row>
    <row r="113381" spans="15:15" x14ac:dyDescent="0.25">
      <c r="O113381" s="9"/>
    </row>
    <row r="113402" spans="15:15" x14ac:dyDescent="0.25">
      <c r="O113402" s="9"/>
    </row>
    <row r="113423" spans="15:15" x14ac:dyDescent="0.25">
      <c r="O113423" s="9"/>
    </row>
    <row r="113444" spans="15:15" x14ac:dyDescent="0.25">
      <c r="O113444" s="9"/>
    </row>
    <row r="113465" spans="15:15" x14ac:dyDescent="0.25">
      <c r="O113465" s="9"/>
    </row>
    <row r="113486" spans="15:15" x14ac:dyDescent="0.25">
      <c r="O113486" s="9"/>
    </row>
    <row r="113507" spans="15:15" x14ac:dyDescent="0.25">
      <c r="O113507" s="9"/>
    </row>
    <row r="113528" spans="15:15" x14ac:dyDescent="0.25">
      <c r="O113528" s="9"/>
    </row>
    <row r="113549" spans="15:15" x14ac:dyDescent="0.25">
      <c r="O113549" s="9"/>
    </row>
    <row r="113570" spans="15:15" x14ac:dyDescent="0.25">
      <c r="O113570" s="9"/>
    </row>
    <row r="113591" spans="15:15" x14ac:dyDescent="0.25">
      <c r="O113591" s="9"/>
    </row>
    <row r="113612" spans="15:15" x14ac:dyDescent="0.25">
      <c r="O113612" s="9"/>
    </row>
    <row r="113633" spans="15:15" x14ac:dyDescent="0.25">
      <c r="O113633" s="9"/>
    </row>
    <row r="113654" spans="15:15" x14ac:dyDescent="0.25">
      <c r="O113654" s="9"/>
    </row>
    <row r="113675" spans="15:15" x14ac:dyDescent="0.25">
      <c r="O113675" s="9"/>
    </row>
    <row r="113696" spans="15:15" x14ac:dyDescent="0.25">
      <c r="O113696" s="9"/>
    </row>
    <row r="113717" spans="15:15" x14ac:dyDescent="0.25">
      <c r="O113717" s="9"/>
    </row>
    <row r="113738" spans="15:15" x14ac:dyDescent="0.25">
      <c r="O113738" s="9"/>
    </row>
    <row r="113759" spans="15:15" x14ac:dyDescent="0.25">
      <c r="O113759" s="9"/>
    </row>
    <row r="113780" spans="15:15" x14ac:dyDescent="0.25">
      <c r="O113780" s="9"/>
    </row>
    <row r="113801" spans="15:15" x14ac:dyDescent="0.25">
      <c r="O113801" s="9"/>
    </row>
    <row r="113822" spans="15:15" x14ac:dyDescent="0.25">
      <c r="O113822" s="9"/>
    </row>
    <row r="113843" spans="15:15" x14ac:dyDescent="0.25">
      <c r="O113843" s="9"/>
    </row>
    <row r="113864" spans="15:15" x14ac:dyDescent="0.25">
      <c r="O113864" s="9"/>
    </row>
    <row r="113885" spans="15:15" x14ac:dyDescent="0.25">
      <c r="O113885" s="9"/>
    </row>
    <row r="113906" spans="15:15" x14ac:dyDescent="0.25">
      <c r="O113906" s="9"/>
    </row>
    <row r="113927" spans="15:15" x14ac:dyDescent="0.25">
      <c r="O113927" s="9"/>
    </row>
    <row r="113948" spans="15:15" x14ac:dyDescent="0.25">
      <c r="O113948" s="9"/>
    </row>
    <row r="113969" spans="15:15" x14ac:dyDescent="0.25">
      <c r="O113969" s="9"/>
    </row>
    <row r="113990" spans="15:15" x14ac:dyDescent="0.25">
      <c r="O113990" s="9"/>
    </row>
    <row r="114011" spans="15:15" x14ac:dyDescent="0.25">
      <c r="O114011" s="9"/>
    </row>
    <row r="114032" spans="15:15" x14ac:dyDescent="0.25">
      <c r="O114032" s="9"/>
    </row>
    <row r="114053" spans="15:15" x14ac:dyDescent="0.25">
      <c r="O114053" s="9"/>
    </row>
    <row r="114074" spans="15:15" x14ac:dyDescent="0.25">
      <c r="O114074" s="9"/>
    </row>
    <row r="114095" spans="15:15" x14ac:dyDescent="0.25">
      <c r="O114095" s="9"/>
    </row>
    <row r="114116" spans="15:15" x14ac:dyDescent="0.25">
      <c r="O114116" s="9"/>
    </row>
    <row r="114137" spans="15:15" x14ac:dyDescent="0.25">
      <c r="O114137" s="9"/>
    </row>
    <row r="114158" spans="15:15" x14ac:dyDescent="0.25">
      <c r="O114158" s="9"/>
    </row>
    <row r="114179" spans="15:15" x14ac:dyDescent="0.25">
      <c r="O114179" s="9"/>
    </row>
    <row r="114200" spans="15:15" x14ac:dyDescent="0.25">
      <c r="O114200" s="9"/>
    </row>
    <row r="114221" spans="15:15" x14ac:dyDescent="0.25">
      <c r="O114221" s="9"/>
    </row>
    <row r="114242" spans="15:15" x14ac:dyDescent="0.25">
      <c r="O114242" s="9"/>
    </row>
    <row r="114263" spans="15:15" x14ac:dyDescent="0.25">
      <c r="O114263" s="9"/>
    </row>
    <row r="114284" spans="15:15" x14ac:dyDescent="0.25">
      <c r="O114284" s="9"/>
    </row>
    <row r="114305" spans="15:15" x14ac:dyDescent="0.25">
      <c r="O114305" s="9"/>
    </row>
    <row r="114326" spans="15:15" x14ac:dyDescent="0.25">
      <c r="O114326" s="9"/>
    </row>
    <row r="114347" spans="15:15" x14ac:dyDescent="0.25">
      <c r="O114347" s="9"/>
    </row>
    <row r="114368" spans="15:15" x14ac:dyDescent="0.25">
      <c r="O114368" s="9"/>
    </row>
    <row r="114389" spans="15:15" x14ac:dyDescent="0.25">
      <c r="O114389" s="9"/>
    </row>
    <row r="114410" spans="15:15" x14ac:dyDescent="0.25">
      <c r="O114410" s="9"/>
    </row>
    <row r="114431" spans="15:15" x14ac:dyDescent="0.25">
      <c r="O114431" s="9"/>
    </row>
    <row r="114452" spans="15:15" x14ac:dyDescent="0.25">
      <c r="O114452" s="9"/>
    </row>
    <row r="114473" spans="15:15" x14ac:dyDescent="0.25">
      <c r="O114473" s="9"/>
    </row>
    <row r="114494" spans="15:15" x14ac:dyDescent="0.25">
      <c r="O114494" s="9"/>
    </row>
    <row r="114515" spans="15:15" x14ac:dyDescent="0.25">
      <c r="O114515" s="9"/>
    </row>
    <row r="114536" spans="15:15" x14ac:dyDescent="0.25">
      <c r="O114536" s="9"/>
    </row>
    <row r="114557" spans="15:15" x14ac:dyDescent="0.25">
      <c r="O114557" s="9"/>
    </row>
    <row r="114578" spans="15:15" x14ac:dyDescent="0.25">
      <c r="O114578" s="9"/>
    </row>
    <row r="114599" spans="15:15" x14ac:dyDescent="0.25">
      <c r="O114599" s="9"/>
    </row>
    <row r="114620" spans="15:15" x14ac:dyDescent="0.25">
      <c r="O114620" s="9"/>
    </row>
    <row r="114641" spans="15:15" x14ac:dyDescent="0.25">
      <c r="O114641" s="9"/>
    </row>
    <row r="114662" spans="15:15" x14ac:dyDescent="0.25">
      <c r="O114662" s="9"/>
    </row>
    <row r="114683" spans="15:15" x14ac:dyDescent="0.25">
      <c r="O114683" s="9"/>
    </row>
    <row r="114704" spans="15:15" x14ac:dyDescent="0.25">
      <c r="O114704" s="9"/>
    </row>
    <row r="114725" spans="15:15" x14ac:dyDescent="0.25">
      <c r="O114725" s="9"/>
    </row>
    <row r="114746" spans="15:15" x14ac:dyDescent="0.25">
      <c r="O114746" s="9"/>
    </row>
    <row r="114767" spans="15:15" x14ac:dyDescent="0.25">
      <c r="O114767" s="9"/>
    </row>
    <row r="114788" spans="15:15" x14ac:dyDescent="0.25">
      <c r="O114788" s="9"/>
    </row>
    <row r="114809" spans="15:15" x14ac:dyDescent="0.25">
      <c r="O114809" s="9"/>
    </row>
    <row r="114830" spans="15:15" x14ac:dyDescent="0.25">
      <c r="O114830" s="9"/>
    </row>
    <row r="114851" spans="15:15" x14ac:dyDescent="0.25">
      <c r="O114851" s="9"/>
    </row>
    <row r="114872" spans="15:15" x14ac:dyDescent="0.25">
      <c r="O114872" s="9"/>
    </row>
    <row r="114893" spans="15:15" x14ac:dyDescent="0.25">
      <c r="O114893" s="9"/>
    </row>
    <row r="114914" spans="15:15" x14ac:dyDescent="0.25">
      <c r="O114914" s="9"/>
    </row>
    <row r="114935" spans="15:15" x14ac:dyDescent="0.25">
      <c r="O114935" s="9"/>
    </row>
    <row r="114956" spans="15:15" x14ac:dyDescent="0.25">
      <c r="O114956" s="9"/>
    </row>
    <row r="114977" spans="15:15" x14ac:dyDescent="0.25">
      <c r="O114977" s="9"/>
    </row>
    <row r="114998" spans="15:15" x14ac:dyDescent="0.25">
      <c r="O114998" s="9"/>
    </row>
    <row r="115019" spans="15:15" x14ac:dyDescent="0.25">
      <c r="O115019" s="9"/>
    </row>
    <row r="115040" spans="15:15" x14ac:dyDescent="0.25">
      <c r="O115040" s="9"/>
    </row>
    <row r="115061" spans="15:15" x14ac:dyDescent="0.25">
      <c r="O115061" s="9"/>
    </row>
    <row r="115082" spans="15:15" x14ac:dyDescent="0.25">
      <c r="O115082" s="9"/>
    </row>
    <row r="115103" spans="15:15" x14ac:dyDescent="0.25">
      <c r="O115103" s="9"/>
    </row>
    <row r="115124" spans="15:15" x14ac:dyDescent="0.25">
      <c r="O115124" s="9"/>
    </row>
    <row r="115145" spans="15:15" x14ac:dyDescent="0.25">
      <c r="O115145" s="9"/>
    </row>
    <row r="115166" spans="15:15" x14ac:dyDescent="0.25">
      <c r="O115166" s="9"/>
    </row>
    <row r="115187" spans="15:15" x14ac:dyDescent="0.25">
      <c r="O115187" s="9"/>
    </row>
    <row r="115208" spans="15:15" x14ac:dyDescent="0.25">
      <c r="O115208" s="9"/>
    </row>
    <row r="115229" spans="15:15" x14ac:dyDescent="0.25">
      <c r="O115229" s="9"/>
    </row>
    <row r="115250" spans="15:15" x14ac:dyDescent="0.25">
      <c r="O115250" s="9"/>
    </row>
    <row r="115271" spans="15:15" x14ac:dyDescent="0.25">
      <c r="O115271" s="9"/>
    </row>
    <row r="115292" spans="15:15" x14ac:dyDescent="0.25">
      <c r="O115292" s="9"/>
    </row>
    <row r="115313" spans="15:15" x14ac:dyDescent="0.25">
      <c r="O115313" s="9"/>
    </row>
    <row r="115334" spans="15:15" x14ac:dyDescent="0.25">
      <c r="O115334" s="9"/>
    </row>
    <row r="115355" spans="15:15" x14ac:dyDescent="0.25">
      <c r="O115355" s="9"/>
    </row>
    <row r="115376" spans="15:15" x14ac:dyDescent="0.25">
      <c r="O115376" s="9"/>
    </row>
    <row r="115397" spans="15:15" x14ac:dyDescent="0.25">
      <c r="O115397" s="9"/>
    </row>
    <row r="115418" spans="15:15" x14ac:dyDescent="0.25">
      <c r="O115418" s="9"/>
    </row>
    <row r="115439" spans="15:15" x14ac:dyDescent="0.25">
      <c r="O115439" s="9"/>
    </row>
    <row r="115460" spans="15:15" x14ac:dyDescent="0.25">
      <c r="O115460" s="9"/>
    </row>
    <row r="115481" spans="15:15" x14ac:dyDescent="0.25">
      <c r="O115481" s="9"/>
    </row>
    <row r="115502" spans="15:15" x14ac:dyDescent="0.25">
      <c r="O115502" s="9"/>
    </row>
    <row r="115523" spans="15:15" x14ac:dyDescent="0.25">
      <c r="O115523" s="9"/>
    </row>
    <row r="115544" spans="15:15" x14ac:dyDescent="0.25">
      <c r="O115544" s="9"/>
    </row>
    <row r="115565" spans="15:15" x14ac:dyDescent="0.25">
      <c r="O115565" s="9"/>
    </row>
    <row r="115586" spans="15:15" x14ac:dyDescent="0.25">
      <c r="O115586" s="9"/>
    </row>
    <row r="115607" spans="15:15" x14ac:dyDescent="0.25">
      <c r="O115607" s="9"/>
    </row>
    <row r="115628" spans="15:15" x14ac:dyDescent="0.25">
      <c r="O115628" s="9"/>
    </row>
    <row r="115649" spans="15:15" x14ac:dyDescent="0.25">
      <c r="O115649" s="9"/>
    </row>
    <row r="115670" spans="15:15" x14ac:dyDescent="0.25">
      <c r="O115670" s="9"/>
    </row>
    <row r="115691" spans="15:15" x14ac:dyDescent="0.25">
      <c r="O115691" s="9"/>
    </row>
    <row r="115712" spans="15:15" x14ac:dyDescent="0.25">
      <c r="O115712" s="9"/>
    </row>
    <row r="115733" spans="15:15" x14ac:dyDescent="0.25">
      <c r="O115733" s="9"/>
    </row>
    <row r="115754" spans="15:15" x14ac:dyDescent="0.25">
      <c r="O115754" s="9"/>
    </row>
    <row r="115775" spans="15:15" x14ac:dyDescent="0.25">
      <c r="O115775" s="9"/>
    </row>
    <row r="115796" spans="15:15" x14ac:dyDescent="0.25">
      <c r="O115796" s="9"/>
    </row>
    <row r="115817" spans="15:15" x14ac:dyDescent="0.25">
      <c r="O115817" s="9"/>
    </row>
    <row r="115838" spans="15:15" x14ac:dyDescent="0.25">
      <c r="O115838" s="9"/>
    </row>
    <row r="115859" spans="15:15" x14ac:dyDescent="0.25">
      <c r="O115859" s="9"/>
    </row>
    <row r="115880" spans="15:15" x14ac:dyDescent="0.25">
      <c r="O115880" s="9"/>
    </row>
    <row r="115901" spans="15:15" x14ac:dyDescent="0.25">
      <c r="O115901" s="9"/>
    </row>
    <row r="115922" spans="15:15" x14ac:dyDescent="0.25">
      <c r="O115922" s="9"/>
    </row>
    <row r="115943" spans="15:15" x14ac:dyDescent="0.25">
      <c r="O115943" s="9"/>
    </row>
    <row r="115964" spans="15:15" x14ac:dyDescent="0.25">
      <c r="O115964" s="9"/>
    </row>
    <row r="115985" spans="15:15" x14ac:dyDescent="0.25">
      <c r="O115985" s="9"/>
    </row>
    <row r="116006" spans="15:15" x14ac:dyDescent="0.25">
      <c r="O116006" s="9"/>
    </row>
    <row r="116027" spans="15:15" x14ac:dyDescent="0.25">
      <c r="O116027" s="9"/>
    </row>
    <row r="116048" spans="15:15" x14ac:dyDescent="0.25">
      <c r="O116048" s="9"/>
    </row>
    <row r="116069" spans="15:15" x14ac:dyDescent="0.25">
      <c r="O116069" s="9"/>
    </row>
    <row r="116090" spans="15:15" x14ac:dyDescent="0.25">
      <c r="O116090" s="9"/>
    </row>
    <row r="116111" spans="15:15" x14ac:dyDescent="0.25">
      <c r="O116111" s="9"/>
    </row>
    <row r="116132" spans="15:15" x14ac:dyDescent="0.25">
      <c r="O116132" s="9"/>
    </row>
    <row r="116153" spans="15:15" x14ac:dyDescent="0.25">
      <c r="O116153" s="9"/>
    </row>
    <row r="116174" spans="15:15" x14ac:dyDescent="0.25">
      <c r="O116174" s="9"/>
    </row>
    <row r="116195" spans="15:15" x14ac:dyDescent="0.25">
      <c r="O116195" s="9"/>
    </row>
    <row r="116216" spans="15:15" x14ac:dyDescent="0.25">
      <c r="O116216" s="9"/>
    </row>
    <row r="116237" spans="15:15" x14ac:dyDescent="0.25">
      <c r="O116237" s="9"/>
    </row>
    <row r="116258" spans="15:15" x14ac:dyDescent="0.25">
      <c r="O116258" s="9"/>
    </row>
    <row r="116279" spans="15:15" x14ac:dyDescent="0.25">
      <c r="O116279" s="9"/>
    </row>
    <row r="116300" spans="15:15" x14ac:dyDescent="0.25">
      <c r="O116300" s="9"/>
    </row>
    <row r="116321" spans="15:15" x14ac:dyDescent="0.25">
      <c r="O116321" s="9"/>
    </row>
    <row r="116342" spans="15:15" x14ac:dyDescent="0.25">
      <c r="O116342" s="9"/>
    </row>
    <row r="116363" spans="15:15" x14ac:dyDescent="0.25">
      <c r="O116363" s="9"/>
    </row>
    <row r="116384" spans="15:15" x14ac:dyDescent="0.25">
      <c r="O116384" s="9"/>
    </row>
    <row r="116405" spans="15:15" x14ac:dyDescent="0.25">
      <c r="O116405" s="9"/>
    </row>
    <row r="116426" spans="15:15" x14ac:dyDescent="0.25">
      <c r="O116426" s="9"/>
    </row>
    <row r="116447" spans="15:15" x14ac:dyDescent="0.25">
      <c r="O116447" s="9"/>
    </row>
    <row r="116468" spans="15:15" x14ac:dyDescent="0.25">
      <c r="O116468" s="9"/>
    </row>
    <row r="116489" spans="15:15" x14ac:dyDescent="0.25">
      <c r="O116489" s="9"/>
    </row>
    <row r="116510" spans="15:15" x14ac:dyDescent="0.25">
      <c r="O116510" s="9"/>
    </row>
    <row r="116531" spans="15:15" x14ac:dyDescent="0.25">
      <c r="O116531" s="9"/>
    </row>
    <row r="116552" spans="15:15" x14ac:dyDescent="0.25">
      <c r="O116552" s="9"/>
    </row>
    <row r="116573" spans="15:15" x14ac:dyDescent="0.25">
      <c r="O116573" s="9"/>
    </row>
    <row r="116594" spans="15:15" x14ac:dyDescent="0.25">
      <c r="O116594" s="9"/>
    </row>
    <row r="116615" spans="15:15" x14ac:dyDescent="0.25">
      <c r="O116615" s="9"/>
    </row>
    <row r="116636" spans="15:15" x14ac:dyDescent="0.25">
      <c r="O116636" s="9"/>
    </row>
    <row r="116657" spans="15:15" x14ac:dyDescent="0.25">
      <c r="O116657" s="9"/>
    </row>
    <row r="116678" spans="15:15" x14ac:dyDescent="0.25">
      <c r="O116678" s="9"/>
    </row>
    <row r="116699" spans="15:15" x14ac:dyDescent="0.25">
      <c r="O116699" s="9"/>
    </row>
    <row r="116720" spans="15:15" x14ac:dyDescent="0.25">
      <c r="O116720" s="9"/>
    </row>
    <row r="116741" spans="15:15" x14ac:dyDescent="0.25">
      <c r="O116741" s="9"/>
    </row>
    <row r="116762" spans="15:15" x14ac:dyDescent="0.25">
      <c r="O116762" s="9"/>
    </row>
    <row r="116783" spans="15:15" x14ac:dyDescent="0.25">
      <c r="O116783" s="9"/>
    </row>
    <row r="116804" spans="15:15" x14ac:dyDescent="0.25">
      <c r="O116804" s="9"/>
    </row>
    <row r="116825" spans="15:15" x14ac:dyDescent="0.25">
      <c r="O116825" s="9"/>
    </row>
    <row r="116846" spans="15:15" x14ac:dyDescent="0.25">
      <c r="O116846" s="9"/>
    </row>
    <row r="116867" spans="15:15" x14ac:dyDescent="0.25">
      <c r="O116867" s="9"/>
    </row>
    <row r="116888" spans="15:15" x14ac:dyDescent="0.25">
      <c r="O116888" s="9"/>
    </row>
    <row r="116909" spans="15:15" x14ac:dyDescent="0.25">
      <c r="O116909" s="9"/>
    </row>
    <row r="116930" spans="15:15" x14ac:dyDescent="0.25">
      <c r="O116930" s="9"/>
    </row>
    <row r="116951" spans="15:15" x14ac:dyDescent="0.25">
      <c r="O116951" s="9"/>
    </row>
    <row r="116972" spans="15:15" x14ac:dyDescent="0.25">
      <c r="O116972" s="9"/>
    </row>
    <row r="116993" spans="15:15" x14ac:dyDescent="0.25">
      <c r="O116993" s="9"/>
    </row>
    <row r="117014" spans="15:15" x14ac:dyDescent="0.25">
      <c r="O117014" s="9"/>
    </row>
    <row r="117035" spans="15:15" x14ac:dyDescent="0.25">
      <c r="O117035" s="9"/>
    </row>
    <row r="117056" spans="15:15" x14ac:dyDescent="0.25">
      <c r="O117056" s="9"/>
    </row>
    <row r="117077" spans="15:15" x14ac:dyDescent="0.25">
      <c r="O117077" s="9"/>
    </row>
    <row r="117098" spans="15:15" x14ac:dyDescent="0.25">
      <c r="O117098" s="9"/>
    </row>
    <row r="117119" spans="15:15" x14ac:dyDescent="0.25">
      <c r="O117119" s="9"/>
    </row>
    <row r="117140" spans="15:15" x14ac:dyDescent="0.25">
      <c r="O117140" s="9"/>
    </row>
    <row r="117161" spans="15:15" x14ac:dyDescent="0.25">
      <c r="O117161" s="9"/>
    </row>
    <row r="117182" spans="15:15" x14ac:dyDescent="0.25">
      <c r="O117182" s="9"/>
    </row>
    <row r="117203" spans="15:15" x14ac:dyDescent="0.25">
      <c r="O117203" s="9"/>
    </row>
    <row r="117224" spans="15:15" x14ac:dyDescent="0.25">
      <c r="O117224" s="9"/>
    </row>
    <row r="117245" spans="15:15" x14ac:dyDescent="0.25">
      <c r="O117245" s="9"/>
    </row>
    <row r="117266" spans="15:15" x14ac:dyDescent="0.25">
      <c r="O117266" s="9"/>
    </row>
    <row r="117287" spans="15:15" x14ac:dyDescent="0.25">
      <c r="O117287" s="9"/>
    </row>
    <row r="117308" spans="15:15" x14ac:dyDescent="0.25">
      <c r="O117308" s="9"/>
    </row>
    <row r="117329" spans="15:15" x14ac:dyDescent="0.25">
      <c r="O117329" s="9"/>
    </row>
    <row r="117350" spans="15:15" x14ac:dyDescent="0.25">
      <c r="O117350" s="9"/>
    </row>
    <row r="117371" spans="15:15" x14ac:dyDescent="0.25">
      <c r="O117371" s="9"/>
    </row>
    <row r="117392" spans="15:15" x14ac:dyDescent="0.25">
      <c r="O117392" s="9"/>
    </row>
    <row r="117413" spans="15:15" x14ac:dyDescent="0.25">
      <c r="O117413" s="9"/>
    </row>
    <row r="117434" spans="15:15" x14ac:dyDescent="0.25">
      <c r="O117434" s="9"/>
    </row>
    <row r="117455" spans="15:15" x14ac:dyDescent="0.25">
      <c r="O117455" s="9"/>
    </row>
    <row r="117476" spans="15:15" x14ac:dyDescent="0.25">
      <c r="O117476" s="9"/>
    </row>
    <row r="117497" spans="15:15" x14ac:dyDescent="0.25">
      <c r="O117497" s="9"/>
    </row>
    <row r="117518" spans="15:15" x14ac:dyDescent="0.25">
      <c r="O117518" s="9"/>
    </row>
    <row r="117539" spans="15:15" x14ac:dyDescent="0.25">
      <c r="O117539" s="9"/>
    </row>
    <row r="117560" spans="15:15" x14ac:dyDescent="0.25">
      <c r="O117560" s="9"/>
    </row>
    <row r="117581" spans="15:15" x14ac:dyDescent="0.25">
      <c r="O117581" s="9"/>
    </row>
    <row r="117602" spans="15:15" x14ac:dyDescent="0.25">
      <c r="O117602" s="9"/>
    </row>
    <row r="117623" spans="15:15" x14ac:dyDescent="0.25">
      <c r="O117623" s="9"/>
    </row>
    <row r="117644" spans="15:15" x14ac:dyDescent="0.25">
      <c r="O117644" s="9"/>
    </row>
    <row r="117665" spans="15:15" x14ac:dyDescent="0.25">
      <c r="O117665" s="9"/>
    </row>
    <row r="117686" spans="15:15" x14ac:dyDescent="0.25">
      <c r="O117686" s="9"/>
    </row>
    <row r="117707" spans="15:15" x14ac:dyDescent="0.25">
      <c r="O117707" s="9"/>
    </row>
    <row r="117728" spans="15:15" x14ac:dyDescent="0.25">
      <c r="O117728" s="9"/>
    </row>
    <row r="117749" spans="15:15" x14ac:dyDescent="0.25">
      <c r="O117749" s="9"/>
    </row>
    <row r="117770" spans="15:15" x14ac:dyDescent="0.25">
      <c r="O117770" s="9"/>
    </row>
    <row r="117791" spans="15:15" x14ac:dyDescent="0.25">
      <c r="O117791" s="9"/>
    </row>
    <row r="117812" spans="15:15" x14ac:dyDescent="0.25">
      <c r="O117812" s="9"/>
    </row>
    <row r="117833" spans="15:15" x14ac:dyDescent="0.25">
      <c r="O117833" s="9"/>
    </row>
    <row r="117854" spans="15:15" x14ac:dyDescent="0.25">
      <c r="O117854" s="9"/>
    </row>
    <row r="117875" spans="15:15" x14ac:dyDescent="0.25">
      <c r="O117875" s="9"/>
    </row>
    <row r="117896" spans="15:15" x14ac:dyDescent="0.25">
      <c r="O117896" s="9"/>
    </row>
    <row r="117917" spans="15:15" x14ac:dyDescent="0.25">
      <c r="O117917" s="9"/>
    </row>
    <row r="117938" spans="15:15" x14ac:dyDescent="0.25">
      <c r="O117938" s="9"/>
    </row>
    <row r="117959" spans="15:15" x14ac:dyDescent="0.25">
      <c r="O117959" s="9"/>
    </row>
    <row r="117980" spans="15:15" x14ac:dyDescent="0.25">
      <c r="O117980" s="9"/>
    </row>
    <row r="118001" spans="15:15" x14ac:dyDescent="0.25">
      <c r="O118001" s="9"/>
    </row>
    <row r="118022" spans="15:15" x14ac:dyDescent="0.25">
      <c r="O118022" s="9"/>
    </row>
    <row r="118043" spans="15:15" x14ac:dyDescent="0.25">
      <c r="O118043" s="9"/>
    </row>
    <row r="118064" spans="15:15" x14ac:dyDescent="0.25">
      <c r="O118064" s="9"/>
    </row>
    <row r="118085" spans="15:15" x14ac:dyDescent="0.25">
      <c r="O118085" s="9"/>
    </row>
    <row r="118106" spans="15:15" x14ac:dyDescent="0.25">
      <c r="O118106" s="9"/>
    </row>
    <row r="118127" spans="15:15" x14ac:dyDescent="0.25">
      <c r="O118127" s="9"/>
    </row>
    <row r="118148" spans="15:15" x14ac:dyDescent="0.25">
      <c r="O118148" s="9"/>
    </row>
    <row r="118169" spans="15:15" x14ac:dyDescent="0.25">
      <c r="O118169" s="9"/>
    </row>
    <row r="118190" spans="15:15" x14ac:dyDescent="0.25">
      <c r="O118190" s="9"/>
    </row>
    <row r="118211" spans="15:15" x14ac:dyDescent="0.25">
      <c r="O118211" s="9"/>
    </row>
    <row r="118232" spans="15:15" x14ac:dyDescent="0.25">
      <c r="O118232" s="9"/>
    </row>
    <row r="118253" spans="15:15" x14ac:dyDescent="0.25">
      <c r="O118253" s="9"/>
    </row>
    <row r="118274" spans="15:15" x14ac:dyDescent="0.25">
      <c r="O118274" s="9"/>
    </row>
    <row r="118295" spans="15:15" x14ac:dyDescent="0.25">
      <c r="O118295" s="9"/>
    </row>
    <row r="118316" spans="15:15" x14ac:dyDescent="0.25">
      <c r="O118316" s="9"/>
    </row>
    <row r="118337" spans="15:15" x14ac:dyDescent="0.25">
      <c r="O118337" s="9"/>
    </row>
    <row r="118358" spans="15:15" x14ac:dyDescent="0.25">
      <c r="O118358" s="9"/>
    </row>
    <row r="118379" spans="15:15" x14ac:dyDescent="0.25">
      <c r="O118379" s="9"/>
    </row>
    <row r="118400" spans="15:15" x14ac:dyDescent="0.25">
      <c r="O118400" s="9"/>
    </row>
    <row r="118421" spans="15:15" x14ac:dyDescent="0.25">
      <c r="O118421" s="9"/>
    </row>
    <row r="118442" spans="15:15" x14ac:dyDescent="0.25">
      <c r="O118442" s="9"/>
    </row>
    <row r="118463" spans="15:15" x14ac:dyDescent="0.25">
      <c r="O118463" s="9"/>
    </row>
    <row r="118484" spans="15:15" x14ac:dyDescent="0.25">
      <c r="O118484" s="9"/>
    </row>
    <row r="118505" spans="15:15" x14ac:dyDescent="0.25">
      <c r="O118505" s="9"/>
    </row>
    <row r="118526" spans="15:15" x14ac:dyDescent="0.25">
      <c r="O118526" s="9"/>
    </row>
    <row r="118547" spans="15:15" x14ac:dyDescent="0.25">
      <c r="O118547" s="9"/>
    </row>
    <row r="118568" spans="15:15" x14ac:dyDescent="0.25">
      <c r="O118568" s="9"/>
    </row>
    <row r="118589" spans="15:15" x14ac:dyDescent="0.25">
      <c r="O118589" s="9"/>
    </row>
    <row r="118610" spans="15:15" x14ac:dyDescent="0.25">
      <c r="O118610" s="9"/>
    </row>
    <row r="118631" spans="15:15" x14ac:dyDescent="0.25">
      <c r="O118631" s="9"/>
    </row>
    <row r="118652" spans="15:15" x14ac:dyDescent="0.25">
      <c r="O118652" s="9"/>
    </row>
    <row r="118673" spans="15:15" x14ac:dyDescent="0.25">
      <c r="O118673" s="9"/>
    </row>
    <row r="118694" spans="15:15" x14ac:dyDescent="0.25">
      <c r="O118694" s="9"/>
    </row>
    <row r="118715" spans="15:15" x14ac:dyDescent="0.25">
      <c r="O118715" s="9"/>
    </row>
    <row r="118736" spans="15:15" x14ac:dyDescent="0.25">
      <c r="O118736" s="9"/>
    </row>
    <row r="118757" spans="15:15" x14ac:dyDescent="0.25">
      <c r="O118757" s="9"/>
    </row>
    <row r="118778" spans="15:15" x14ac:dyDescent="0.25">
      <c r="O118778" s="9"/>
    </row>
    <row r="118799" spans="15:15" x14ac:dyDescent="0.25">
      <c r="O118799" s="9"/>
    </row>
    <row r="118820" spans="15:15" x14ac:dyDescent="0.25">
      <c r="O118820" s="9"/>
    </row>
    <row r="118841" spans="15:15" x14ac:dyDescent="0.25">
      <c r="O118841" s="9"/>
    </row>
    <row r="118862" spans="15:15" x14ac:dyDescent="0.25">
      <c r="O118862" s="9"/>
    </row>
    <row r="118883" spans="15:15" x14ac:dyDescent="0.25">
      <c r="O118883" s="9"/>
    </row>
    <row r="118904" spans="15:15" x14ac:dyDescent="0.25">
      <c r="O118904" s="9"/>
    </row>
    <row r="118925" spans="15:15" x14ac:dyDescent="0.25">
      <c r="O118925" s="9"/>
    </row>
    <row r="118946" spans="15:15" x14ac:dyDescent="0.25">
      <c r="O118946" s="9"/>
    </row>
    <row r="118967" spans="15:15" x14ac:dyDescent="0.25">
      <c r="O118967" s="9"/>
    </row>
    <row r="118988" spans="15:15" x14ac:dyDescent="0.25">
      <c r="O118988" s="9"/>
    </row>
    <row r="119009" spans="15:15" x14ac:dyDescent="0.25">
      <c r="O119009" s="9"/>
    </row>
    <row r="119030" spans="15:15" x14ac:dyDescent="0.25">
      <c r="O119030" s="9"/>
    </row>
    <row r="119051" spans="15:15" x14ac:dyDescent="0.25">
      <c r="O119051" s="9"/>
    </row>
    <row r="119072" spans="15:15" x14ac:dyDescent="0.25">
      <c r="O119072" s="9"/>
    </row>
    <row r="119093" spans="15:15" x14ac:dyDescent="0.25">
      <c r="O119093" s="9"/>
    </row>
    <row r="119114" spans="15:15" x14ac:dyDescent="0.25">
      <c r="O119114" s="9"/>
    </row>
    <row r="119135" spans="15:15" x14ac:dyDescent="0.25">
      <c r="O119135" s="9"/>
    </row>
    <row r="119156" spans="15:15" x14ac:dyDescent="0.25">
      <c r="O119156" s="9"/>
    </row>
    <row r="119177" spans="15:15" x14ac:dyDescent="0.25">
      <c r="O119177" s="9"/>
    </row>
    <row r="119198" spans="15:15" x14ac:dyDescent="0.25">
      <c r="O119198" s="9"/>
    </row>
    <row r="119219" spans="15:15" x14ac:dyDescent="0.25">
      <c r="O119219" s="9"/>
    </row>
    <row r="119240" spans="15:15" x14ac:dyDescent="0.25">
      <c r="O119240" s="9"/>
    </row>
    <row r="119261" spans="15:15" x14ac:dyDescent="0.25">
      <c r="O119261" s="9"/>
    </row>
    <row r="119282" spans="15:15" x14ac:dyDescent="0.25">
      <c r="O119282" s="9"/>
    </row>
    <row r="119303" spans="15:15" x14ac:dyDescent="0.25">
      <c r="O119303" s="9"/>
    </row>
    <row r="119324" spans="15:15" x14ac:dyDescent="0.25">
      <c r="O119324" s="9"/>
    </row>
    <row r="119345" spans="15:15" x14ac:dyDescent="0.25">
      <c r="O119345" s="9"/>
    </row>
    <row r="119366" spans="15:15" x14ac:dyDescent="0.25">
      <c r="O119366" s="9"/>
    </row>
    <row r="119387" spans="15:15" x14ac:dyDescent="0.25">
      <c r="O119387" s="9"/>
    </row>
    <row r="119408" spans="15:15" x14ac:dyDescent="0.25">
      <c r="O119408" s="9"/>
    </row>
    <row r="119429" spans="15:15" x14ac:dyDescent="0.25">
      <c r="O119429" s="9"/>
    </row>
    <row r="119450" spans="15:15" x14ac:dyDescent="0.25">
      <c r="O119450" s="9"/>
    </row>
    <row r="119471" spans="15:15" x14ac:dyDescent="0.25">
      <c r="O119471" s="9"/>
    </row>
    <row r="119492" spans="15:15" x14ac:dyDescent="0.25">
      <c r="O119492" s="9"/>
    </row>
    <row r="119513" spans="15:15" x14ac:dyDescent="0.25">
      <c r="O119513" s="9"/>
    </row>
    <row r="119534" spans="15:15" x14ac:dyDescent="0.25">
      <c r="O119534" s="9"/>
    </row>
    <row r="119555" spans="15:15" x14ac:dyDescent="0.25">
      <c r="O119555" s="9"/>
    </row>
    <row r="119576" spans="15:15" x14ac:dyDescent="0.25">
      <c r="O119576" s="9"/>
    </row>
    <row r="119597" spans="15:15" x14ac:dyDescent="0.25">
      <c r="O119597" s="9"/>
    </row>
    <row r="119618" spans="15:15" x14ac:dyDescent="0.25">
      <c r="O119618" s="9"/>
    </row>
    <row r="119639" spans="15:15" x14ac:dyDescent="0.25">
      <c r="O119639" s="9"/>
    </row>
    <row r="119660" spans="15:15" x14ac:dyDescent="0.25">
      <c r="O119660" s="9"/>
    </row>
    <row r="119681" spans="15:15" x14ac:dyDescent="0.25">
      <c r="O119681" s="9"/>
    </row>
    <row r="119702" spans="15:15" x14ac:dyDescent="0.25">
      <c r="O119702" s="9"/>
    </row>
    <row r="119723" spans="15:15" x14ac:dyDescent="0.25">
      <c r="O119723" s="9"/>
    </row>
    <row r="119744" spans="15:15" x14ac:dyDescent="0.25">
      <c r="O119744" s="9"/>
    </row>
    <row r="119765" spans="15:15" x14ac:dyDescent="0.25">
      <c r="O119765" s="9"/>
    </row>
    <row r="119786" spans="15:15" x14ac:dyDescent="0.25">
      <c r="O119786" s="9"/>
    </row>
    <row r="119807" spans="15:15" x14ac:dyDescent="0.25">
      <c r="O119807" s="9"/>
    </row>
    <row r="119828" spans="15:15" x14ac:dyDescent="0.25">
      <c r="O119828" s="9"/>
    </row>
    <row r="119849" spans="15:15" x14ac:dyDescent="0.25">
      <c r="O119849" s="9"/>
    </row>
    <row r="119870" spans="15:15" x14ac:dyDescent="0.25">
      <c r="O119870" s="9"/>
    </row>
    <row r="119891" spans="15:15" x14ac:dyDescent="0.25">
      <c r="O119891" s="9"/>
    </row>
    <row r="119912" spans="15:15" x14ac:dyDescent="0.25">
      <c r="O119912" s="9"/>
    </row>
    <row r="119933" spans="15:15" x14ac:dyDescent="0.25">
      <c r="O119933" s="9"/>
    </row>
    <row r="119954" spans="15:15" x14ac:dyDescent="0.25">
      <c r="O119954" s="9"/>
    </row>
    <row r="119975" spans="15:15" x14ac:dyDescent="0.25">
      <c r="O119975" s="9"/>
    </row>
    <row r="119996" spans="15:15" x14ac:dyDescent="0.25">
      <c r="O119996" s="9"/>
    </row>
    <row r="120017" spans="15:15" x14ac:dyDescent="0.25">
      <c r="O120017" s="9"/>
    </row>
    <row r="120038" spans="15:15" x14ac:dyDescent="0.25">
      <c r="O120038" s="9"/>
    </row>
    <row r="120059" spans="15:15" x14ac:dyDescent="0.25">
      <c r="O120059" s="9"/>
    </row>
    <row r="120080" spans="15:15" x14ac:dyDescent="0.25">
      <c r="O120080" s="9"/>
    </row>
    <row r="120101" spans="15:15" x14ac:dyDescent="0.25">
      <c r="O120101" s="9"/>
    </row>
    <row r="120122" spans="15:15" x14ac:dyDescent="0.25">
      <c r="O120122" s="9"/>
    </row>
    <row r="120143" spans="15:15" x14ac:dyDescent="0.25">
      <c r="O120143" s="9"/>
    </row>
    <row r="120164" spans="15:15" x14ac:dyDescent="0.25">
      <c r="O120164" s="9"/>
    </row>
    <row r="120185" spans="15:15" x14ac:dyDescent="0.25">
      <c r="O120185" s="9"/>
    </row>
    <row r="120206" spans="15:15" x14ac:dyDescent="0.25">
      <c r="O120206" s="9"/>
    </row>
    <row r="120227" spans="15:15" x14ac:dyDescent="0.25">
      <c r="O120227" s="9"/>
    </row>
    <row r="120248" spans="15:15" x14ac:dyDescent="0.25">
      <c r="O120248" s="9"/>
    </row>
    <row r="120269" spans="15:15" x14ac:dyDescent="0.25">
      <c r="O120269" s="9"/>
    </row>
    <row r="120290" spans="15:15" x14ac:dyDescent="0.25">
      <c r="O120290" s="9"/>
    </row>
    <row r="120311" spans="15:15" x14ac:dyDescent="0.25">
      <c r="O120311" s="9"/>
    </row>
    <row r="120332" spans="15:15" x14ac:dyDescent="0.25">
      <c r="O120332" s="9"/>
    </row>
    <row r="120353" spans="15:15" x14ac:dyDescent="0.25">
      <c r="O120353" s="9"/>
    </row>
    <row r="120374" spans="15:15" x14ac:dyDescent="0.25">
      <c r="O120374" s="9"/>
    </row>
    <row r="120395" spans="15:15" x14ac:dyDescent="0.25">
      <c r="O120395" s="9"/>
    </row>
    <row r="120416" spans="15:15" x14ac:dyDescent="0.25">
      <c r="O120416" s="9"/>
    </row>
    <row r="120437" spans="15:15" x14ac:dyDescent="0.25">
      <c r="O120437" s="9"/>
    </row>
    <row r="120458" spans="15:15" x14ac:dyDescent="0.25">
      <c r="O120458" s="9"/>
    </row>
    <row r="120479" spans="15:15" x14ac:dyDescent="0.25">
      <c r="O120479" s="9"/>
    </row>
    <row r="120500" spans="15:15" x14ac:dyDescent="0.25">
      <c r="O120500" s="9"/>
    </row>
    <row r="120521" spans="15:15" x14ac:dyDescent="0.25">
      <c r="O120521" s="9"/>
    </row>
    <row r="120542" spans="15:15" x14ac:dyDescent="0.25">
      <c r="O120542" s="9"/>
    </row>
    <row r="120563" spans="15:15" x14ac:dyDescent="0.25">
      <c r="O120563" s="9"/>
    </row>
    <row r="120584" spans="15:15" x14ac:dyDescent="0.25">
      <c r="O120584" s="9"/>
    </row>
    <row r="120605" spans="15:15" x14ac:dyDescent="0.25">
      <c r="O120605" s="9"/>
    </row>
    <row r="120626" spans="15:15" x14ac:dyDescent="0.25">
      <c r="O120626" s="9"/>
    </row>
    <row r="120647" spans="15:15" x14ac:dyDescent="0.25">
      <c r="O120647" s="9"/>
    </row>
    <row r="120668" spans="15:15" x14ac:dyDescent="0.25">
      <c r="O120668" s="9"/>
    </row>
    <row r="120689" spans="15:15" x14ac:dyDescent="0.25">
      <c r="O120689" s="9"/>
    </row>
    <row r="120710" spans="15:15" x14ac:dyDescent="0.25">
      <c r="O120710" s="9"/>
    </row>
    <row r="120731" spans="15:15" x14ac:dyDescent="0.25">
      <c r="O120731" s="9"/>
    </row>
    <row r="120752" spans="15:15" x14ac:dyDescent="0.25">
      <c r="O120752" s="9"/>
    </row>
    <row r="120773" spans="15:15" x14ac:dyDescent="0.25">
      <c r="O120773" s="9"/>
    </row>
    <row r="120794" spans="15:15" x14ac:dyDescent="0.25">
      <c r="O120794" s="9"/>
    </row>
    <row r="120815" spans="15:15" x14ac:dyDescent="0.25">
      <c r="O120815" s="9"/>
    </row>
    <row r="120836" spans="15:15" x14ac:dyDescent="0.25">
      <c r="O120836" s="9"/>
    </row>
    <row r="120857" spans="15:15" x14ac:dyDescent="0.25">
      <c r="O120857" s="9"/>
    </row>
    <row r="120878" spans="15:15" x14ac:dyDescent="0.25">
      <c r="O120878" s="9"/>
    </row>
    <row r="120899" spans="15:15" x14ac:dyDescent="0.25">
      <c r="O120899" s="9"/>
    </row>
    <row r="120920" spans="15:15" x14ac:dyDescent="0.25">
      <c r="O120920" s="9"/>
    </row>
    <row r="120941" spans="15:15" x14ac:dyDescent="0.25">
      <c r="O120941" s="9"/>
    </row>
    <row r="120962" spans="15:15" x14ac:dyDescent="0.25">
      <c r="O120962" s="9"/>
    </row>
    <row r="120983" spans="15:15" x14ac:dyDescent="0.25">
      <c r="O120983" s="9"/>
    </row>
    <row r="121004" spans="15:15" x14ac:dyDescent="0.25">
      <c r="O121004" s="9"/>
    </row>
    <row r="121025" spans="15:15" x14ac:dyDescent="0.25">
      <c r="O121025" s="9"/>
    </row>
    <row r="121046" spans="15:15" x14ac:dyDescent="0.25">
      <c r="O121046" s="9"/>
    </row>
    <row r="121067" spans="15:15" x14ac:dyDescent="0.25">
      <c r="O121067" s="9"/>
    </row>
    <row r="121088" spans="15:15" x14ac:dyDescent="0.25">
      <c r="O121088" s="9"/>
    </row>
    <row r="121109" spans="15:15" x14ac:dyDescent="0.25">
      <c r="O121109" s="9"/>
    </row>
    <row r="121130" spans="15:15" x14ac:dyDescent="0.25">
      <c r="O121130" s="9"/>
    </row>
    <row r="121151" spans="15:15" x14ac:dyDescent="0.25">
      <c r="O121151" s="9"/>
    </row>
    <row r="121172" spans="15:15" x14ac:dyDescent="0.25">
      <c r="O121172" s="9"/>
    </row>
    <row r="121193" spans="15:15" x14ac:dyDescent="0.25">
      <c r="O121193" s="9"/>
    </row>
    <row r="121214" spans="15:15" x14ac:dyDescent="0.25">
      <c r="O121214" s="9"/>
    </row>
    <row r="121235" spans="15:15" x14ac:dyDescent="0.25">
      <c r="O121235" s="9"/>
    </row>
    <row r="121256" spans="15:15" x14ac:dyDescent="0.25">
      <c r="O121256" s="9"/>
    </row>
    <row r="121277" spans="15:15" x14ac:dyDescent="0.25">
      <c r="O121277" s="9"/>
    </row>
    <row r="121298" spans="15:15" x14ac:dyDescent="0.25">
      <c r="O121298" s="9"/>
    </row>
    <row r="121319" spans="15:15" x14ac:dyDescent="0.25">
      <c r="O121319" s="9"/>
    </row>
    <row r="121340" spans="15:15" x14ac:dyDescent="0.25">
      <c r="O121340" s="9"/>
    </row>
    <row r="121361" spans="15:15" x14ac:dyDescent="0.25">
      <c r="O121361" s="9"/>
    </row>
    <row r="121382" spans="15:15" x14ac:dyDescent="0.25">
      <c r="O121382" s="9"/>
    </row>
    <row r="121403" spans="15:15" x14ac:dyDescent="0.25">
      <c r="O121403" s="9"/>
    </row>
    <row r="121424" spans="15:15" x14ac:dyDescent="0.25">
      <c r="O121424" s="9"/>
    </row>
    <row r="121445" spans="15:15" x14ac:dyDescent="0.25">
      <c r="O121445" s="9"/>
    </row>
    <row r="121466" spans="15:15" x14ac:dyDescent="0.25">
      <c r="O121466" s="9"/>
    </row>
    <row r="121487" spans="15:15" x14ac:dyDescent="0.25">
      <c r="O121487" s="9"/>
    </row>
    <row r="121508" spans="15:15" x14ac:dyDescent="0.25">
      <c r="O121508" s="9"/>
    </row>
    <row r="121529" spans="15:15" x14ac:dyDescent="0.25">
      <c r="O121529" s="9"/>
    </row>
    <row r="121550" spans="15:15" x14ac:dyDescent="0.25">
      <c r="O121550" s="9"/>
    </row>
    <row r="121571" spans="15:15" x14ac:dyDescent="0.25">
      <c r="O121571" s="9"/>
    </row>
    <row r="121592" spans="15:15" x14ac:dyDescent="0.25">
      <c r="O121592" s="9"/>
    </row>
    <row r="121613" spans="15:15" x14ac:dyDescent="0.25">
      <c r="O121613" s="9"/>
    </row>
    <row r="121634" spans="15:15" x14ac:dyDescent="0.25">
      <c r="O121634" s="9"/>
    </row>
    <row r="121655" spans="15:15" x14ac:dyDescent="0.25">
      <c r="O121655" s="9"/>
    </row>
    <row r="121676" spans="15:15" x14ac:dyDescent="0.25">
      <c r="O121676" s="9"/>
    </row>
    <row r="121697" spans="15:15" x14ac:dyDescent="0.25">
      <c r="O121697" s="9"/>
    </row>
    <row r="121718" spans="15:15" x14ac:dyDescent="0.25">
      <c r="O121718" s="9"/>
    </row>
    <row r="121739" spans="15:15" x14ac:dyDescent="0.25">
      <c r="O121739" s="9"/>
    </row>
    <row r="121760" spans="15:15" x14ac:dyDescent="0.25">
      <c r="O121760" s="9"/>
    </row>
    <row r="121781" spans="15:15" x14ac:dyDescent="0.25">
      <c r="O121781" s="9"/>
    </row>
    <row r="121802" spans="15:15" x14ac:dyDescent="0.25">
      <c r="O121802" s="9"/>
    </row>
    <row r="121823" spans="15:15" x14ac:dyDescent="0.25">
      <c r="O121823" s="9"/>
    </row>
    <row r="121844" spans="15:15" x14ac:dyDescent="0.25">
      <c r="O121844" s="9"/>
    </row>
    <row r="121865" spans="15:15" x14ac:dyDescent="0.25">
      <c r="O121865" s="9"/>
    </row>
    <row r="121886" spans="15:15" x14ac:dyDescent="0.25">
      <c r="O121886" s="9"/>
    </row>
    <row r="121907" spans="15:15" x14ac:dyDescent="0.25">
      <c r="O121907" s="9"/>
    </row>
    <row r="121928" spans="15:15" x14ac:dyDescent="0.25">
      <c r="O121928" s="9"/>
    </row>
    <row r="121949" spans="15:15" x14ac:dyDescent="0.25">
      <c r="O121949" s="9"/>
    </row>
    <row r="121970" spans="15:15" x14ac:dyDescent="0.25">
      <c r="O121970" s="9"/>
    </row>
    <row r="121991" spans="15:15" x14ac:dyDescent="0.25">
      <c r="O121991" s="9"/>
    </row>
    <row r="122012" spans="15:15" x14ac:dyDescent="0.25">
      <c r="O122012" s="9"/>
    </row>
    <row r="122033" spans="15:15" x14ac:dyDescent="0.25">
      <c r="O122033" s="9"/>
    </row>
    <row r="122054" spans="15:15" x14ac:dyDescent="0.25">
      <c r="O122054" s="9"/>
    </row>
    <row r="122075" spans="15:15" x14ac:dyDescent="0.25">
      <c r="O122075" s="9"/>
    </row>
    <row r="122096" spans="15:15" x14ac:dyDescent="0.25">
      <c r="O122096" s="9"/>
    </row>
    <row r="122117" spans="15:15" x14ac:dyDescent="0.25">
      <c r="O122117" s="9"/>
    </row>
    <row r="122138" spans="15:15" x14ac:dyDescent="0.25">
      <c r="O122138" s="9"/>
    </row>
    <row r="122159" spans="15:15" x14ac:dyDescent="0.25">
      <c r="O122159" s="9"/>
    </row>
    <row r="122180" spans="15:15" x14ac:dyDescent="0.25">
      <c r="O122180" s="9"/>
    </row>
    <row r="122201" spans="15:15" x14ac:dyDescent="0.25">
      <c r="O122201" s="9"/>
    </row>
    <row r="122222" spans="15:15" x14ac:dyDescent="0.25">
      <c r="O122222" s="9"/>
    </row>
    <row r="122243" spans="15:15" x14ac:dyDescent="0.25">
      <c r="O122243" s="9"/>
    </row>
    <row r="122264" spans="15:15" x14ac:dyDescent="0.25">
      <c r="O122264" s="9"/>
    </row>
    <row r="122285" spans="15:15" x14ac:dyDescent="0.25">
      <c r="O122285" s="9"/>
    </row>
    <row r="122306" spans="15:15" x14ac:dyDescent="0.25">
      <c r="O122306" s="9"/>
    </row>
    <row r="122327" spans="15:15" x14ac:dyDescent="0.25">
      <c r="O122327" s="9"/>
    </row>
    <row r="122348" spans="15:15" x14ac:dyDescent="0.25">
      <c r="O122348" s="9"/>
    </row>
    <row r="122369" spans="15:15" x14ac:dyDescent="0.25">
      <c r="O122369" s="9"/>
    </row>
    <row r="122390" spans="15:15" x14ac:dyDescent="0.25">
      <c r="O122390" s="9"/>
    </row>
    <row r="122411" spans="15:15" x14ac:dyDescent="0.25">
      <c r="O122411" s="9"/>
    </row>
    <row r="122432" spans="15:15" x14ac:dyDescent="0.25">
      <c r="O122432" s="9"/>
    </row>
    <row r="122453" spans="15:15" x14ac:dyDescent="0.25">
      <c r="O122453" s="9"/>
    </row>
    <row r="122474" spans="15:15" x14ac:dyDescent="0.25">
      <c r="O122474" s="9"/>
    </row>
    <row r="122495" spans="15:15" x14ac:dyDescent="0.25">
      <c r="O122495" s="9"/>
    </row>
    <row r="122516" spans="15:15" x14ac:dyDescent="0.25">
      <c r="O122516" s="9"/>
    </row>
    <row r="122537" spans="15:15" x14ac:dyDescent="0.25">
      <c r="O122537" s="9"/>
    </row>
    <row r="122558" spans="15:15" x14ac:dyDescent="0.25">
      <c r="O122558" s="9"/>
    </row>
    <row r="122579" spans="15:15" x14ac:dyDescent="0.25">
      <c r="O122579" s="9"/>
    </row>
    <row r="122600" spans="15:15" x14ac:dyDescent="0.25">
      <c r="O122600" s="9"/>
    </row>
    <row r="122621" spans="15:15" x14ac:dyDescent="0.25">
      <c r="O122621" s="9"/>
    </row>
    <row r="122642" spans="15:15" x14ac:dyDescent="0.25">
      <c r="O122642" s="9"/>
    </row>
    <row r="122663" spans="15:15" x14ac:dyDescent="0.25">
      <c r="O122663" s="9"/>
    </row>
    <row r="122684" spans="15:15" x14ac:dyDescent="0.25">
      <c r="O122684" s="9"/>
    </row>
    <row r="122705" spans="15:15" x14ac:dyDescent="0.25">
      <c r="O122705" s="9"/>
    </row>
    <row r="122726" spans="15:15" x14ac:dyDescent="0.25">
      <c r="O122726" s="9"/>
    </row>
    <row r="122747" spans="15:15" x14ac:dyDescent="0.25">
      <c r="O122747" s="9"/>
    </row>
    <row r="122768" spans="15:15" x14ac:dyDescent="0.25">
      <c r="O122768" s="9"/>
    </row>
    <row r="122789" spans="15:15" x14ac:dyDescent="0.25">
      <c r="O122789" s="9"/>
    </row>
    <row r="122810" spans="15:15" x14ac:dyDescent="0.25">
      <c r="O122810" s="9"/>
    </row>
    <row r="122831" spans="15:15" x14ac:dyDescent="0.25">
      <c r="O122831" s="9"/>
    </row>
    <row r="122852" spans="15:15" x14ac:dyDescent="0.25">
      <c r="O122852" s="9"/>
    </row>
    <row r="122873" spans="15:15" x14ac:dyDescent="0.25">
      <c r="O122873" s="9"/>
    </row>
    <row r="122894" spans="15:15" x14ac:dyDescent="0.25">
      <c r="O122894" s="9"/>
    </row>
    <row r="122915" spans="15:15" x14ac:dyDescent="0.25">
      <c r="O122915" s="9"/>
    </row>
    <row r="122936" spans="15:15" x14ac:dyDescent="0.25">
      <c r="O122936" s="9"/>
    </row>
    <row r="122957" spans="15:15" x14ac:dyDescent="0.25">
      <c r="O122957" s="9"/>
    </row>
    <row r="122978" spans="15:15" x14ac:dyDescent="0.25">
      <c r="O122978" s="9"/>
    </row>
    <row r="122999" spans="15:15" x14ac:dyDescent="0.25">
      <c r="O122999" s="9"/>
    </row>
    <row r="123020" spans="15:15" x14ac:dyDescent="0.25">
      <c r="O123020" s="9"/>
    </row>
    <row r="123041" spans="15:15" x14ac:dyDescent="0.25">
      <c r="O123041" s="9"/>
    </row>
    <row r="123062" spans="15:15" x14ac:dyDescent="0.25">
      <c r="O123062" s="9"/>
    </row>
    <row r="123083" spans="15:15" x14ac:dyDescent="0.25">
      <c r="O123083" s="9"/>
    </row>
    <row r="123104" spans="15:15" x14ac:dyDescent="0.25">
      <c r="O123104" s="9"/>
    </row>
    <row r="123125" spans="15:15" x14ac:dyDescent="0.25">
      <c r="O123125" s="9"/>
    </row>
    <row r="123146" spans="15:15" x14ac:dyDescent="0.25">
      <c r="O123146" s="9"/>
    </row>
    <row r="123167" spans="15:15" x14ac:dyDescent="0.25">
      <c r="O123167" s="9"/>
    </row>
    <row r="123188" spans="15:15" x14ac:dyDescent="0.25">
      <c r="O123188" s="9"/>
    </row>
    <row r="123209" spans="15:15" x14ac:dyDescent="0.25">
      <c r="O123209" s="9"/>
    </row>
    <row r="123230" spans="15:15" x14ac:dyDescent="0.25">
      <c r="O123230" s="9"/>
    </row>
    <row r="123251" spans="15:15" x14ac:dyDescent="0.25">
      <c r="O123251" s="9"/>
    </row>
    <row r="123272" spans="15:15" x14ac:dyDescent="0.25">
      <c r="O123272" s="9"/>
    </row>
    <row r="123293" spans="15:15" x14ac:dyDescent="0.25">
      <c r="O123293" s="9"/>
    </row>
    <row r="123314" spans="15:15" x14ac:dyDescent="0.25">
      <c r="O123314" s="9"/>
    </row>
    <row r="123335" spans="15:15" x14ac:dyDescent="0.25">
      <c r="O123335" s="9"/>
    </row>
    <row r="123356" spans="15:15" x14ac:dyDescent="0.25">
      <c r="O123356" s="9"/>
    </row>
    <row r="123377" spans="15:15" x14ac:dyDescent="0.25">
      <c r="O123377" s="9"/>
    </row>
    <row r="123398" spans="15:15" x14ac:dyDescent="0.25">
      <c r="O123398" s="9"/>
    </row>
    <row r="123419" spans="15:15" x14ac:dyDescent="0.25">
      <c r="O123419" s="9"/>
    </row>
    <row r="123440" spans="15:15" x14ac:dyDescent="0.25">
      <c r="O123440" s="9"/>
    </row>
    <row r="123461" spans="15:15" x14ac:dyDescent="0.25">
      <c r="O123461" s="9"/>
    </row>
    <row r="123482" spans="15:15" x14ac:dyDescent="0.25">
      <c r="O123482" s="9"/>
    </row>
    <row r="123503" spans="15:15" x14ac:dyDescent="0.25">
      <c r="O123503" s="9"/>
    </row>
    <row r="123524" spans="15:15" x14ac:dyDescent="0.25">
      <c r="O123524" s="9"/>
    </row>
    <row r="123545" spans="15:15" x14ac:dyDescent="0.25">
      <c r="O123545" s="9"/>
    </row>
    <row r="123566" spans="15:15" x14ac:dyDescent="0.25">
      <c r="O123566" s="9"/>
    </row>
    <row r="123587" spans="15:15" x14ac:dyDescent="0.25">
      <c r="O123587" s="9"/>
    </row>
    <row r="123608" spans="15:15" x14ac:dyDescent="0.25">
      <c r="O123608" s="9"/>
    </row>
    <row r="123629" spans="15:15" x14ac:dyDescent="0.25">
      <c r="O123629" s="9"/>
    </row>
    <row r="123650" spans="15:15" x14ac:dyDescent="0.25">
      <c r="O123650" s="9"/>
    </row>
    <row r="123671" spans="15:15" x14ac:dyDescent="0.25">
      <c r="O123671" s="9"/>
    </row>
    <row r="123692" spans="15:15" x14ac:dyDescent="0.25">
      <c r="O123692" s="9"/>
    </row>
    <row r="123713" spans="15:15" x14ac:dyDescent="0.25">
      <c r="O123713" s="9"/>
    </row>
    <row r="123734" spans="15:15" x14ac:dyDescent="0.25">
      <c r="O123734" s="9"/>
    </row>
    <row r="123755" spans="15:15" x14ac:dyDescent="0.25">
      <c r="O123755" s="9"/>
    </row>
    <row r="123776" spans="15:15" x14ac:dyDescent="0.25">
      <c r="O123776" s="9"/>
    </row>
    <row r="123797" spans="15:15" x14ac:dyDescent="0.25">
      <c r="O123797" s="9"/>
    </row>
    <row r="123818" spans="15:15" x14ac:dyDescent="0.25">
      <c r="O123818" s="9"/>
    </row>
    <row r="123839" spans="15:15" x14ac:dyDescent="0.25">
      <c r="O123839" s="9"/>
    </row>
    <row r="123860" spans="15:15" x14ac:dyDescent="0.25">
      <c r="O123860" s="9"/>
    </row>
    <row r="123881" spans="15:15" x14ac:dyDescent="0.25">
      <c r="O123881" s="9"/>
    </row>
    <row r="123902" spans="15:15" x14ac:dyDescent="0.25">
      <c r="O123902" s="9"/>
    </row>
    <row r="123923" spans="15:15" x14ac:dyDescent="0.25">
      <c r="O123923" s="9"/>
    </row>
    <row r="123944" spans="15:15" x14ac:dyDescent="0.25">
      <c r="O123944" s="9"/>
    </row>
    <row r="123965" spans="15:15" x14ac:dyDescent="0.25">
      <c r="O123965" s="9"/>
    </row>
    <row r="123986" spans="15:15" x14ac:dyDescent="0.25">
      <c r="O123986" s="9"/>
    </row>
    <row r="124007" spans="15:15" x14ac:dyDescent="0.25">
      <c r="O124007" s="9"/>
    </row>
    <row r="124028" spans="15:15" x14ac:dyDescent="0.25">
      <c r="O124028" s="9"/>
    </row>
    <row r="124049" spans="15:15" x14ac:dyDescent="0.25">
      <c r="O124049" s="9"/>
    </row>
    <row r="124070" spans="15:15" x14ac:dyDescent="0.25">
      <c r="O124070" s="9"/>
    </row>
    <row r="124091" spans="15:15" x14ac:dyDescent="0.25">
      <c r="O124091" s="9"/>
    </row>
    <row r="124112" spans="15:15" x14ac:dyDescent="0.25">
      <c r="O124112" s="9"/>
    </row>
    <row r="124133" spans="15:15" x14ac:dyDescent="0.25">
      <c r="O124133" s="9"/>
    </row>
    <row r="124154" spans="15:15" x14ac:dyDescent="0.25">
      <c r="O124154" s="9"/>
    </row>
    <row r="124175" spans="15:15" x14ac:dyDescent="0.25">
      <c r="O124175" s="9"/>
    </row>
    <row r="124196" spans="15:15" x14ac:dyDescent="0.25">
      <c r="O124196" s="9"/>
    </row>
    <row r="124217" spans="15:15" x14ac:dyDescent="0.25">
      <c r="O124217" s="9"/>
    </row>
    <row r="124238" spans="15:15" x14ac:dyDescent="0.25">
      <c r="O124238" s="9"/>
    </row>
    <row r="124259" spans="15:15" x14ac:dyDescent="0.25">
      <c r="O124259" s="9"/>
    </row>
    <row r="124280" spans="15:15" x14ac:dyDescent="0.25">
      <c r="O124280" s="9"/>
    </row>
    <row r="124301" spans="15:15" x14ac:dyDescent="0.25">
      <c r="O124301" s="9"/>
    </row>
    <row r="124322" spans="15:15" x14ac:dyDescent="0.25">
      <c r="O124322" s="9"/>
    </row>
    <row r="124343" spans="15:15" x14ac:dyDescent="0.25">
      <c r="O124343" s="9"/>
    </row>
    <row r="124364" spans="15:15" x14ac:dyDescent="0.25">
      <c r="O124364" s="9"/>
    </row>
    <row r="124385" spans="15:15" x14ac:dyDescent="0.25">
      <c r="O124385" s="9"/>
    </row>
    <row r="124406" spans="15:15" x14ac:dyDescent="0.25">
      <c r="O124406" s="9"/>
    </row>
    <row r="124427" spans="15:15" x14ac:dyDescent="0.25">
      <c r="O124427" s="9"/>
    </row>
    <row r="124448" spans="15:15" x14ac:dyDescent="0.25">
      <c r="O124448" s="9"/>
    </row>
    <row r="124469" spans="15:15" x14ac:dyDescent="0.25">
      <c r="O124469" s="9"/>
    </row>
    <row r="124490" spans="15:15" x14ac:dyDescent="0.25">
      <c r="O124490" s="9"/>
    </row>
    <row r="124511" spans="15:15" x14ac:dyDescent="0.25">
      <c r="O124511" s="9"/>
    </row>
    <row r="124532" spans="15:15" x14ac:dyDescent="0.25">
      <c r="O124532" s="9"/>
    </row>
    <row r="124553" spans="15:15" x14ac:dyDescent="0.25">
      <c r="O124553" s="9"/>
    </row>
    <row r="124574" spans="15:15" x14ac:dyDescent="0.25">
      <c r="O124574" s="9"/>
    </row>
    <row r="124595" spans="15:15" x14ac:dyDescent="0.25">
      <c r="O124595" s="9"/>
    </row>
    <row r="124616" spans="15:15" x14ac:dyDescent="0.25">
      <c r="O124616" s="9"/>
    </row>
    <row r="124637" spans="15:15" x14ac:dyDescent="0.25">
      <c r="O124637" s="9"/>
    </row>
    <row r="124658" spans="15:15" x14ac:dyDescent="0.25">
      <c r="O124658" s="9"/>
    </row>
    <row r="124679" spans="15:15" x14ac:dyDescent="0.25">
      <c r="O124679" s="9"/>
    </row>
    <row r="124700" spans="15:15" x14ac:dyDescent="0.25">
      <c r="O124700" s="9"/>
    </row>
    <row r="124721" spans="15:15" x14ac:dyDescent="0.25">
      <c r="O124721" s="9"/>
    </row>
    <row r="124742" spans="15:15" x14ac:dyDescent="0.25">
      <c r="O124742" s="9"/>
    </row>
    <row r="124763" spans="15:15" x14ac:dyDescent="0.25">
      <c r="O124763" s="9"/>
    </row>
    <row r="124784" spans="15:15" x14ac:dyDescent="0.25">
      <c r="O124784" s="9"/>
    </row>
    <row r="124805" spans="15:15" x14ac:dyDescent="0.25">
      <c r="O124805" s="9"/>
    </row>
    <row r="124826" spans="15:15" x14ac:dyDescent="0.25">
      <c r="O124826" s="9"/>
    </row>
    <row r="124847" spans="15:15" x14ac:dyDescent="0.25">
      <c r="O124847" s="9"/>
    </row>
    <row r="124868" spans="15:15" x14ac:dyDescent="0.25">
      <c r="O124868" s="9"/>
    </row>
    <row r="124889" spans="15:15" x14ac:dyDescent="0.25">
      <c r="O124889" s="9"/>
    </row>
    <row r="124910" spans="15:15" x14ac:dyDescent="0.25">
      <c r="O124910" s="9"/>
    </row>
    <row r="124931" spans="15:15" x14ac:dyDescent="0.25">
      <c r="O124931" s="9"/>
    </row>
    <row r="124952" spans="15:15" x14ac:dyDescent="0.25">
      <c r="O124952" s="9"/>
    </row>
    <row r="124973" spans="15:15" x14ac:dyDescent="0.25">
      <c r="O124973" s="9"/>
    </row>
    <row r="124994" spans="15:15" x14ac:dyDescent="0.25">
      <c r="O124994" s="9"/>
    </row>
    <row r="125015" spans="15:15" x14ac:dyDescent="0.25">
      <c r="O125015" s="9"/>
    </row>
    <row r="125036" spans="15:15" x14ac:dyDescent="0.25">
      <c r="O125036" s="9"/>
    </row>
    <row r="125057" spans="15:15" x14ac:dyDescent="0.25">
      <c r="O125057" s="9"/>
    </row>
    <row r="125078" spans="15:15" x14ac:dyDescent="0.25">
      <c r="O125078" s="9"/>
    </row>
    <row r="125099" spans="15:15" x14ac:dyDescent="0.25">
      <c r="O125099" s="9"/>
    </row>
    <row r="125120" spans="15:15" x14ac:dyDescent="0.25">
      <c r="O125120" s="9"/>
    </row>
    <row r="125141" spans="15:15" x14ac:dyDescent="0.25">
      <c r="O125141" s="9"/>
    </row>
    <row r="125162" spans="15:15" x14ac:dyDescent="0.25">
      <c r="O125162" s="9"/>
    </row>
    <row r="125183" spans="15:15" x14ac:dyDescent="0.25">
      <c r="O125183" s="9"/>
    </row>
    <row r="125204" spans="15:15" x14ac:dyDescent="0.25">
      <c r="O125204" s="9"/>
    </row>
    <row r="125225" spans="15:15" x14ac:dyDescent="0.25">
      <c r="O125225" s="9"/>
    </row>
    <row r="125246" spans="15:15" x14ac:dyDescent="0.25">
      <c r="O125246" s="9"/>
    </row>
    <row r="125267" spans="15:15" x14ac:dyDescent="0.25">
      <c r="O125267" s="9"/>
    </row>
    <row r="125288" spans="15:15" x14ac:dyDescent="0.25">
      <c r="O125288" s="9"/>
    </row>
    <row r="125309" spans="15:15" x14ac:dyDescent="0.25">
      <c r="O125309" s="9"/>
    </row>
    <row r="125330" spans="15:15" x14ac:dyDescent="0.25">
      <c r="O125330" s="9"/>
    </row>
    <row r="125351" spans="15:15" x14ac:dyDescent="0.25">
      <c r="O125351" s="9"/>
    </row>
    <row r="125372" spans="15:15" x14ac:dyDescent="0.25">
      <c r="O125372" s="9"/>
    </row>
    <row r="125393" spans="15:15" x14ac:dyDescent="0.25">
      <c r="O125393" s="9"/>
    </row>
    <row r="125414" spans="15:15" x14ac:dyDescent="0.25">
      <c r="O125414" s="9"/>
    </row>
    <row r="125435" spans="15:15" x14ac:dyDescent="0.25">
      <c r="O125435" s="9"/>
    </row>
    <row r="125456" spans="15:15" x14ac:dyDescent="0.25">
      <c r="O125456" s="9"/>
    </row>
    <row r="125477" spans="15:15" x14ac:dyDescent="0.25">
      <c r="O125477" s="9"/>
    </row>
    <row r="125498" spans="15:15" x14ac:dyDescent="0.25">
      <c r="O125498" s="9"/>
    </row>
    <row r="125519" spans="15:15" x14ac:dyDescent="0.25">
      <c r="O125519" s="9"/>
    </row>
    <row r="125540" spans="15:15" x14ac:dyDescent="0.25">
      <c r="O125540" s="9"/>
    </row>
    <row r="125561" spans="15:15" x14ac:dyDescent="0.25">
      <c r="O125561" s="9"/>
    </row>
    <row r="125582" spans="15:15" x14ac:dyDescent="0.25">
      <c r="O125582" s="9"/>
    </row>
    <row r="125603" spans="15:15" x14ac:dyDescent="0.25">
      <c r="O125603" s="9"/>
    </row>
    <row r="125624" spans="15:15" x14ac:dyDescent="0.25">
      <c r="O125624" s="9"/>
    </row>
    <row r="125645" spans="15:15" x14ac:dyDescent="0.25">
      <c r="O125645" s="9"/>
    </row>
    <row r="125666" spans="15:15" x14ac:dyDescent="0.25">
      <c r="O125666" s="9"/>
    </row>
    <row r="125687" spans="15:15" x14ac:dyDescent="0.25">
      <c r="O125687" s="9"/>
    </row>
    <row r="125708" spans="15:15" x14ac:dyDescent="0.25">
      <c r="O125708" s="9"/>
    </row>
    <row r="125729" spans="15:15" x14ac:dyDescent="0.25">
      <c r="O125729" s="9"/>
    </row>
    <row r="125750" spans="15:15" x14ac:dyDescent="0.25">
      <c r="O125750" s="9"/>
    </row>
    <row r="125771" spans="15:15" x14ac:dyDescent="0.25">
      <c r="O125771" s="9"/>
    </row>
    <row r="125792" spans="15:15" x14ac:dyDescent="0.25">
      <c r="O125792" s="9"/>
    </row>
    <row r="125813" spans="15:15" x14ac:dyDescent="0.25">
      <c r="O125813" s="9"/>
    </row>
    <row r="125834" spans="15:15" x14ac:dyDescent="0.25">
      <c r="O125834" s="9"/>
    </row>
    <row r="125855" spans="15:15" x14ac:dyDescent="0.25">
      <c r="O125855" s="9"/>
    </row>
    <row r="125876" spans="15:15" x14ac:dyDescent="0.25">
      <c r="O125876" s="9"/>
    </row>
    <row r="125897" spans="15:15" x14ac:dyDescent="0.25">
      <c r="O125897" s="9"/>
    </row>
    <row r="125918" spans="15:15" x14ac:dyDescent="0.25">
      <c r="O125918" s="9"/>
    </row>
    <row r="125939" spans="15:15" x14ac:dyDescent="0.25">
      <c r="O125939" s="9"/>
    </row>
    <row r="125960" spans="15:15" x14ac:dyDescent="0.25">
      <c r="O125960" s="9"/>
    </row>
    <row r="125981" spans="15:15" x14ac:dyDescent="0.25">
      <c r="O125981" s="9"/>
    </row>
    <row r="126002" spans="15:15" x14ac:dyDescent="0.25">
      <c r="O126002" s="9"/>
    </row>
    <row r="126023" spans="15:15" x14ac:dyDescent="0.25">
      <c r="O126023" s="9"/>
    </row>
    <row r="126044" spans="15:15" x14ac:dyDescent="0.25">
      <c r="O126044" s="9"/>
    </row>
    <row r="126065" spans="15:15" x14ac:dyDescent="0.25">
      <c r="O126065" s="9"/>
    </row>
    <row r="126086" spans="15:15" x14ac:dyDescent="0.25">
      <c r="O126086" s="9"/>
    </row>
    <row r="126107" spans="15:15" x14ac:dyDescent="0.25">
      <c r="O126107" s="9"/>
    </row>
    <row r="126128" spans="15:15" x14ac:dyDescent="0.25">
      <c r="O126128" s="9"/>
    </row>
    <row r="126149" spans="15:15" x14ac:dyDescent="0.25">
      <c r="O126149" s="9"/>
    </row>
    <row r="126170" spans="15:15" x14ac:dyDescent="0.25">
      <c r="O126170" s="9"/>
    </row>
    <row r="126191" spans="15:15" x14ac:dyDescent="0.25">
      <c r="O126191" s="9"/>
    </row>
    <row r="126212" spans="15:15" x14ac:dyDescent="0.25">
      <c r="O126212" s="9"/>
    </row>
    <row r="126233" spans="15:15" x14ac:dyDescent="0.25">
      <c r="O126233" s="9"/>
    </row>
    <row r="126254" spans="15:15" x14ac:dyDescent="0.25">
      <c r="O126254" s="9"/>
    </row>
    <row r="126275" spans="15:15" x14ac:dyDescent="0.25">
      <c r="O126275" s="9"/>
    </row>
    <row r="126296" spans="15:15" x14ac:dyDescent="0.25">
      <c r="O126296" s="9"/>
    </row>
    <row r="126317" spans="15:15" x14ac:dyDescent="0.25">
      <c r="O126317" s="9"/>
    </row>
    <row r="126338" spans="15:15" x14ac:dyDescent="0.25">
      <c r="O126338" s="9"/>
    </row>
    <row r="126359" spans="15:15" x14ac:dyDescent="0.25">
      <c r="O126359" s="9"/>
    </row>
    <row r="126380" spans="15:15" x14ac:dyDescent="0.25">
      <c r="O126380" s="9"/>
    </row>
    <row r="126401" spans="15:15" x14ac:dyDescent="0.25">
      <c r="O126401" s="9"/>
    </row>
    <row r="126422" spans="15:15" x14ac:dyDescent="0.25">
      <c r="O126422" s="9"/>
    </row>
    <row r="126443" spans="15:15" x14ac:dyDescent="0.25">
      <c r="O126443" s="9"/>
    </row>
    <row r="126464" spans="15:15" x14ac:dyDescent="0.25">
      <c r="O126464" s="9"/>
    </row>
    <row r="126485" spans="15:15" x14ac:dyDescent="0.25">
      <c r="O126485" s="9"/>
    </row>
    <row r="126506" spans="15:15" x14ac:dyDescent="0.25">
      <c r="O126506" s="9"/>
    </row>
    <row r="126527" spans="15:15" x14ac:dyDescent="0.25">
      <c r="O126527" s="9"/>
    </row>
    <row r="126548" spans="15:15" x14ac:dyDescent="0.25">
      <c r="O126548" s="9"/>
    </row>
    <row r="126569" spans="15:15" x14ac:dyDescent="0.25">
      <c r="O126569" s="9"/>
    </row>
    <row r="126590" spans="15:15" x14ac:dyDescent="0.25">
      <c r="O126590" s="9"/>
    </row>
    <row r="126611" spans="15:15" x14ac:dyDescent="0.25">
      <c r="O126611" s="9"/>
    </row>
    <row r="126632" spans="15:15" x14ac:dyDescent="0.25">
      <c r="O126632" s="9"/>
    </row>
    <row r="126653" spans="15:15" x14ac:dyDescent="0.25">
      <c r="O126653" s="9"/>
    </row>
    <row r="126674" spans="15:15" x14ac:dyDescent="0.25">
      <c r="O126674" s="9"/>
    </row>
    <row r="126695" spans="15:15" x14ac:dyDescent="0.25">
      <c r="O126695" s="9"/>
    </row>
    <row r="126716" spans="15:15" x14ac:dyDescent="0.25">
      <c r="O126716" s="9"/>
    </row>
    <row r="126737" spans="15:15" x14ac:dyDescent="0.25">
      <c r="O126737" s="9"/>
    </row>
    <row r="126758" spans="15:15" x14ac:dyDescent="0.25">
      <c r="O126758" s="9"/>
    </row>
    <row r="126779" spans="15:15" x14ac:dyDescent="0.25">
      <c r="O126779" s="9"/>
    </row>
    <row r="126800" spans="15:15" x14ac:dyDescent="0.25">
      <c r="O126800" s="9"/>
    </row>
    <row r="126821" spans="15:15" x14ac:dyDescent="0.25">
      <c r="O126821" s="9"/>
    </row>
    <row r="126842" spans="15:15" x14ac:dyDescent="0.25">
      <c r="O126842" s="9"/>
    </row>
    <row r="126863" spans="15:15" x14ac:dyDescent="0.25">
      <c r="O126863" s="9"/>
    </row>
    <row r="126884" spans="15:15" x14ac:dyDescent="0.25">
      <c r="O126884" s="9"/>
    </row>
    <row r="126905" spans="15:15" x14ac:dyDescent="0.25">
      <c r="O126905" s="9"/>
    </row>
    <row r="126926" spans="15:15" x14ac:dyDescent="0.25">
      <c r="O126926" s="9"/>
    </row>
    <row r="126947" spans="15:15" x14ac:dyDescent="0.25">
      <c r="O126947" s="9"/>
    </row>
    <row r="126968" spans="15:15" x14ac:dyDescent="0.25">
      <c r="O126968" s="9"/>
    </row>
    <row r="126989" spans="15:15" x14ac:dyDescent="0.25">
      <c r="O126989" s="9"/>
    </row>
    <row r="127010" spans="15:15" x14ac:dyDescent="0.25">
      <c r="O127010" s="9"/>
    </row>
    <row r="127031" spans="15:15" x14ac:dyDescent="0.25">
      <c r="O127031" s="9"/>
    </row>
    <row r="127052" spans="15:15" x14ac:dyDescent="0.25">
      <c r="O127052" s="9"/>
    </row>
    <row r="127073" spans="15:15" x14ac:dyDescent="0.25">
      <c r="O127073" s="9"/>
    </row>
    <row r="127094" spans="15:15" x14ac:dyDescent="0.25">
      <c r="O127094" s="9"/>
    </row>
    <row r="127115" spans="15:15" x14ac:dyDescent="0.25">
      <c r="O127115" s="9"/>
    </row>
    <row r="127136" spans="15:15" x14ac:dyDescent="0.25">
      <c r="O127136" s="9"/>
    </row>
    <row r="127157" spans="15:15" x14ac:dyDescent="0.25">
      <c r="O127157" s="9"/>
    </row>
    <row r="127178" spans="15:15" x14ac:dyDescent="0.25">
      <c r="O127178" s="9"/>
    </row>
    <row r="127199" spans="15:15" x14ac:dyDescent="0.25">
      <c r="O127199" s="9"/>
    </row>
    <row r="127220" spans="15:15" x14ac:dyDescent="0.25">
      <c r="O127220" s="9"/>
    </row>
    <row r="127241" spans="15:15" x14ac:dyDescent="0.25">
      <c r="O127241" s="9"/>
    </row>
    <row r="127262" spans="15:15" x14ac:dyDescent="0.25">
      <c r="O127262" s="9"/>
    </row>
    <row r="127283" spans="15:15" x14ac:dyDescent="0.25">
      <c r="O127283" s="9"/>
    </row>
    <row r="127304" spans="15:15" x14ac:dyDescent="0.25">
      <c r="O127304" s="9"/>
    </row>
    <row r="127325" spans="15:15" x14ac:dyDescent="0.25">
      <c r="O127325" s="9"/>
    </row>
    <row r="127346" spans="15:15" x14ac:dyDescent="0.25">
      <c r="O127346" s="9"/>
    </row>
    <row r="127367" spans="15:15" x14ac:dyDescent="0.25">
      <c r="O127367" s="9"/>
    </row>
    <row r="127388" spans="15:15" x14ac:dyDescent="0.25">
      <c r="O127388" s="9"/>
    </row>
    <row r="127409" spans="15:15" x14ac:dyDescent="0.25">
      <c r="O127409" s="9"/>
    </row>
    <row r="127430" spans="15:15" x14ac:dyDescent="0.25">
      <c r="O127430" s="9"/>
    </row>
    <row r="127451" spans="15:15" x14ac:dyDescent="0.25">
      <c r="O127451" s="9"/>
    </row>
    <row r="127472" spans="15:15" x14ac:dyDescent="0.25">
      <c r="O127472" s="9"/>
    </row>
    <row r="127493" spans="15:15" x14ac:dyDescent="0.25">
      <c r="O127493" s="9"/>
    </row>
    <row r="127514" spans="15:15" x14ac:dyDescent="0.25">
      <c r="O127514" s="9"/>
    </row>
    <row r="127535" spans="15:15" x14ac:dyDescent="0.25">
      <c r="O127535" s="9"/>
    </row>
    <row r="127556" spans="15:15" x14ac:dyDescent="0.25">
      <c r="O127556" s="9"/>
    </row>
    <row r="127577" spans="15:15" x14ac:dyDescent="0.25">
      <c r="O127577" s="9"/>
    </row>
    <row r="127598" spans="15:15" x14ac:dyDescent="0.25">
      <c r="O127598" s="9"/>
    </row>
    <row r="127619" spans="15:15" x14ac:dyDescent="0.25">
      <c r="O127619" s="9"/>
    </row>
    <row r="127640" spans="15:15" x14ac:dyDescent="0.25">
      <c r="O127640" s="9"/>
    </row>
    <row r="127661" spans="15:15" x14ac:dyDescent="0.25">
      <c r="O127661" s="9"/>
    </row>
    <row r="127682" spans="15:15" x14ac:dyDescent="0.25">
      <c r="O127682" s="9"/>
    </row>
    <row r="127703" spans="15:15" x14ac:dyDescent="0.25">
      <c r="O127703" s="9"/>
    </row>
    <row r="127724" spans="15:15" x14ac:dyDescent="0.25">
      <c r="O127724" s="9"/>
    </row>
    <row r="127745" spans="15:15" x14ac:dyDescent="0.25">
      <c r="O127745" s="9"/>
    </row>
    <row r="127766" spans="15:15" x14ac:dyDescent="0.25">
      <c r="O127766" s="9"/>
    </row>
    <row r="127787" spans="15:15" x14ac:dyDescent="0.25">
      <c r="O127787" s="9"/>
    </row>
    <row r="127808" spans="15:15" x14ac:dyDescent="0.25">
      <c r="O127808" s="9"/>
    </row>
    <row r="127829" spans="15:15" x14ac:dyDescent="0.25">
      <c r="O127829" s="9"/>
    </row>
    <row r="127850" spans="15:15" x14ac:dyDescent="0.25">
      <c r="O127850" s="9"/>
    </row>
    <row r="127871" spans="15:15" x14ac:dyDescent="0.25">
      <c r="O127871" s="9"/>
    </row>
    <row r="127892" spans="15:15" x14ac:dyDescent="0.25">
      <c r="O127892" s="9"/>
    </row>
    <row r="127913" spans="15:15" x14ac:dyDescent="0.25">
      <c r="O127913" s="9"/>
    </row>
    <row r="127934" spans="15:15" x14ac:dyDescent="0.25">
      <c r="O127934" s="9"/>
    </row>
    <row r="127955" spans="15:15" x14ac:dyDescent="0.25">
      <c r="O127955" s="9"/>
    </row>
    <row r="127976" spans="15:15" x14ac:dyDescent="0.25">
      <c r="O127976" s="9"/>
    </row>
    <row r="127997" spans="15:15" x14ac:dyDescent="0.25">
      <c r="O127997" s="9"/>
    </row>
    <row r="128018" spans="15:15" x14ac:dyDescent="0.25">
      <c r="O128018" s="9"/>
    </row>
    <row r="128039" spans="15:15" x14ac:dyDescent="0.25">
      <c r="O128039" s="9"/>
    </row>
    <row r="128060" spans="15:15" x14ac:dyDescent="0.25">
      <c r="O128060" s="9"/>
    </row>
    <row r="128081" spans="15:15" x14ac:dyDescent="0.25">
      <c r="O128081" s="9"/>
    </row>
    <row r="128102" spans="15:15" x14ac:dyDescent="0.25">
      <c r="O128102" s="9"/>
    </row>
    <row r="128123" spans="15:15" x14ac:dyDescent="0.25">
      <c r="O128123" s="9"/>
    </row>
    <row r="128144" spans="15:15" x14ac:dyDescent="0.25">
      <c r="O128144" s="9"/>
    </row>
    <row r="128165" spans="15:15" x14ac:dyDescent="0.25">
      <c r="O128165" s="9"/>
    </row>
    <row r="128186" spans="15:15" x14ac:dyDescent="0.25">
      <c r="O128186" s="9"/>
    </row>
    <row r="128207" spans="15:15" x14ac:dyDescent="0.25">
      <c r="O128207" s="9"/>
    </row>
    <row r="128228" spans="15:15" x14ac:dyDescent="0.25">
      <c r="O128228" s="9"/>
    </row>
    <row r="128249" spans="15:15" x14ac:dyDescent="0.25">
      <c r="O128249" s="9"/>
    </row>
    <row r="128270" spans="15:15" x14ac:dyDescent="0.25">
      <c r="O128270" s="9"/>
    </row>
    <row r="128291" spans="15:15" x14ac:dyDescent="0.25">
      <c r="O128291" s="9"/>
    </row>
    <row r="128312" spans="15:15" x14ac:dyDescent="0.25">
      <c r="O128312" s="9"/>
    </row>
    <row r="128333" spans="15:15" x14ac:dyDescent="0.25">
      <c r="O128333" s="9"/>
    </row>
    <row r="128354" spans="15:15" x14ac:dyDescent="0.25">
      <c r="O128354" s="9"/>
    </row>
    <row r="128375" spans="15:15" x14ac:dyDescent="0.25">
      <c r="O128375" s="9"/>
    </row>
    <row r="128396" spans="15:15" x14ac:dyDescent="0.25">
      <c r="O128396" s="9"/>
    </row>
    <row r="128417" spans="15:15" x14ac:dyDescent="0.25">
      <c r="O128417" s="9"/>
    </row>
    <row r="128438" spans="15:15" x14ac:dyDescent="0.25">
      <c r="O128438" s="9"/>
    </row>
    <row r="128459" spans="15:15" x14ac:dyDescent="0.25">
      <c r="O128459" s="9"/>
    </row>
    <row r="128480" spans="15:15" x14ac:dyDescent="0.25">
      <c r="O128480" s="9"/>
    </row>
    <row r="128501" spans="15:15" x14ac:dyDescent="0.25">
      <c r="O128501" s="9"/>
    </row>
    <row r="128522" spans="15:15" x14ac:dyDescent="0.25">
      <c r="O128522" s="9"/>
    </row>
    <row r="128543" spans="15:15" x14ac:dyDescent="0.25">
      <c r="O128543" s="9"/>
    </row>
    <row r="128564" spans="15:15" x14ac:dyDescent="0.25">
      <c r="O128564" s="9"/>
    </row>
    <row r="128585" spans="15:15" x14ac:dyDescent="0.25">
      <c r="O128585" s="9"/>
    </row>
    <row r="128606" spans="15:15" x14ac:dyDescent="0.25">
      <c r="O128606" s="9"/>
    </row>
    <row r="128627" spans="15:15" x14ac:dyDescent="0.25">
      <c r="O128627" s="9"/>
    </row>
    <row r="128648" spans="15:15" x14ac:dyDescent="0.25">
      <c r="O128648" s="9"/>
    </row>
    <row r="128669" spans="15:15" x14ac:dyDescent="0.25">
      <c r="O128669" s="9"/>
    </row>
    <row r="128690" spans="15:15" x14ac:dyDescent="0.25">
      <c r="O128690" s="9"/>
    </row>
    <row r="128711" spans="15:15" x14ac:dyDescent="0.25">
      <c r="O128711" s="9"/>
    </row>
    <row r="128732" spans="15:15" x14ac:dyDescent="0.25">
      <c r="O128732" s="9"/>
    </row>
    <row r="128753" spans="15:15" x14ac:dyDescent="0.25">
      <c r="O128753" s="9"/>
    </row>
    <row r="128774" spans="15:15" x14ac:dyDescent="0.25">
      <c r="O128774" s="9"/>
    </row>
    <row r="128795" spans="15:15" x14ac:dyDescent="0.25">
      <c r="O128795" s="9"/>
    </row>
    <row r="128816" spans="15:15" x14ac:dyDescent="0.25">
      <c r="O128816" s="9"/>
    </row>
    <row r="128837" spans="15:15" x14ac:dyDescent="0.25">
      <c r="O128837" s="9"/>
    </row>
    <row r="128858" spans="15:15" x14ac:dyDescent="0.25">
      <c r="O128858" s="9"/>
    </row>
    <row r="128879" spans="15:15" x14ac:dyDescent="0.25">
      <c r="O128879" s="9"/>
    </row>
    <row r="128900" spans="15:15" x14ac:dyDescent="0.25">
      <c r="O128900" s="9"/>
    </row>
    <row r="128921" spans="15:15" x14ac:dyDescent="0.25">
      <c r="O128921" s="9"/>
    </row>
    <row r="128942" spans="15:15" x14ac:dyDescent="0.25">
      <c r="O128942" s="9"/>
    </row>
    <row r="128963" spans="15:15" x14ac:dyDescent="0.25">
      <c r="O128963" s="9"/>
    </row>
    <row r="128984" spans="15:15" x14ac:dyDescent="0.25">
      <c r="O128984" s="9"/>
    </row>
    <row r="129005" spans="15:15" x14ac:dyDescent="0.25">
      <c r="O129005" s="9"/>
    </row>
    <row r="129026" spans="15:15" x14ac:dyDescent="0.25">
      <c r="O129026" s="9"/>
    </row>
    <row r="129047" spans="15:15" x14ac:dyDescent="0.25">
      <c r="O129047" s="9"/>
    </row>
    <row r="129068" spans="15:15" x14ac:dyDescent="0.25">
      <c r="O129068" s="9"/>
    </row>
    <row r="129089" spans="15:15" x14ac:dyDescent="0.25">
      <c r="O129089" s="9"/>
    </row>
    <row r="129110" spans="15:15" x14ac:dyDescent="0.25">
      <c r="O129110" s="9"/>
    </row>
    <row r="129131" spans="15:15" x14ac:dyDescent="0.25">
      <c r="O129131" s="9"/>
    </row>
    <row r="129152" spans="15:15" x14ac:dyDescent="0.25">
      <c r="O129152" s="9"/>
    </row>
    <row r="129173" spans="15:15" x14ac:dyDescent="0.25">
      <c r="O129173" s="9"/>
    </row>
    <row r="129194" spans="15:15" x14ac:dyDescent="0.25">
      <c r="O129194" s="9"/>
    </row>
    <row r="129215" spans="15:15" x14ac:dyDescent="0.25">
      <c r="O129215" s="9"/>
    </row>
    <row r="129236" spans="15:15" x14ac:dyDescent="0.25">
      <c r="O129236" s="9"/>
    </row>
    <row r="129257" spans="15:15" x14ac:dyDescent="0.25">
      <c r="O129257" s="9"/>
    </row>
    <row r="129278" spans="15:15" x14ac:dyDescent="0.25">
      <c r="O129278" s="9"/>
    </row>
    <row r="129299" spans="15:15" x14ac:dyDescent="0.25">
      <c r="O129299" s="9"/>
    </row>
    <row r="129320" spans="15:15" x14ac:dyDescent="0.25">
      <c r="O129320" s="9"/>
    </row>
    <row r="129341" spans="15:15" x14ac:dyDescent="0.25">
      <c r="O129341" s="9"/>
    </row>
    <row r="129362" spans="15:15" x14ac:dyDescent="0.25">
      <c r="O129362" s="9"/>
    </row>
    <row r="129383" spans="15:15" x14ac:dyDescent="0.25">
      <c r="O129383" s="9"/>
    </row>
    <row r="129404" spans="15:15" x14ac:dyDescent="0.25">
      <c r="O129404" s="9"/>
    </row>
    <row r="129425" spans="15:15" x14ac:dyDescent="0.25">
      <c r="O129425" s="9"/>
    </row>
    <row r="129446" spans="15:15" x14ac:dyDescent="0.25">
      <c r="O129446" s="9"/>
    </row>
    <row r="129467" spans="15:15" x14ac:dyDescent="0.25">
      <c r="O129467" s="9"/>
    </row>
    <row r="129488" spans="15:15" x14ac:dyDescent="0.25">
      <c r="O129488" s="9"/>
    </row>
    <row r="129509" spans="15:15" x14ac:dyDescent="0.25">
      <c r="O129509" s="9"/>
    </row>
    <row r="129530" spans="15:15" x14ac:dyDescent="0.25">
      <c r="O129530" s="9"/>
    </row>
    <row r="129551" spans="15:15" x14ac:dyDescent="0.25">
      <c r="O129551" s="9"/>
    </row>
    <row r="129572" spans="15:15" x14ac:dyDescent="0.25">
      <c r="O129572" s="9"/>
    </row>
    <row r="129593" spans="15:15" x14ac:dyDescent="0.25">
      <c r="O129593" s="9"/>
    </row>
    <row r="129614" spans="15:15" x14ac:dyDescent="0.25">
      <c r="O129614" s="9"/>
    </row>
    <row r="129635" spans="15:15" x14ac:dyDescent="0.25">
      <c r="O129635" s="9"/>
    </row>
    <row r="129656" spans="15:15" x14ac:dyDescent="0.25">
      <c r="O129656" s="9"/>
    </row>
    <row r="129677" spans="15:15" x14ac:dyDescent="0.25">
      <c r="O129677" s="9"/>
    </row>
    <row r="129698" spans="15:15" x14ac:dyDescent="0.25">
      <c r="O129698" s="9"/>
    </row>
    <row r="129719" spans="15:15" x14ac:dyDescent="0.25">
      <c r="O129719" s="9"/>
    </row>
    <row r="129740" spans="15:15" x14ac:dyDescent="0.25">
      <c r="O129740" s="9"/>
    </row>
    <row r="129761" spans="15:15" x14ac:dyDescent="0.25">
      <c r="O129761" s="9"/>
    </row>
    <row r="129782" spans="15:15" x14ac:dyDescent="0.25">
      <c r="O129782" s="9"/>
    </row>
    <row r="129803" spans="15:15" x14ac:dyDescent="0.25">
      <c r="O129803" s="9"/>
    </row>
    <row r="129824" spans="15:15" x14ac:dyDescent="0.25">
      <c r="O129824" s="9"/>
    </row>
    <row r="129845" spans="15:15" x14ac:dyDescent="0.25">
      <c r="O129845" s="9"/>
    </row>
    <row r="129866" spans="15:15" x14ac:dyDescent="0.25">
      <c r="O129866" s="9"/>
    </row>
    <row r="129887" spans="15:15" x14ac:dyDescent="0.25">
      <c r="O129887" s="9"/>
    </row>
    <row r="129908" spans="15:15" x14ac:dyDescent="0.25">
      <c r="O129908" s="9"/>
    </row>
    <row r="129929" spans="15:15" x14ac:dyDescent="0.25">
      <c r="O129929" s="9"/>
    </row>
    <row r="129950" spans="15:15" x14ac:dyDescent="0.25">
      <c r="O129950" s="9"/>
    </row>
    <row r="129971" spans="15:15" x14ac:dyDescent="0.25">
      <c r="O129971" s="9"/>
    </row>
    <row r="129992" spans="15:15" x14ac:dyDescent="0.25">
      <c r="O129992" s="9"/>
    </row>
    <row r="130013" spans="15:15" x14ac:dyDescent="0.25">
      <c r="O130013" s="9"/>
    </row>
    <row r="130034" spans="15:15" x14ac:dyDescent="0.25">
      <c r="O130034" s="9"/>
    </row>
    <row r="130055" spans="15:15" x14ac:dyDescent="0.25">
      <c r="O130055" s="9"/>
    </row>
    <row r="130076" spans="15:15" x14ac:dyDescent="0.25">
      <c r="O130076" s="9"/>
    </row>
    <row r="130097" spans="15:15" x14ac:dyDescent="0.25">
      <c r="O130097" s="9"/>
    </row>
    <row r="130118" spans="15:15" x14ac:dyDescent="0.25">
      <c r="O130118" s="9"/>
    </row>
    <row r="130139" spans="15:15" x14ac:dyDescent="0.25">
      <c r="O130139" s="9"/>
    </row>
    <row r="130160" spans="15:15" x14ac:dyDescent="0.25">
      <c r="O130160" s="9"/>
    </row>
    <row r="130181" spans="15:15" x14ac:dyDescent="0.25">
      <c r="O130181" s="9"/>
    </row>
    <row r="130202" spans="15:15" x14ac:dyDescent="0.25">
      <c r="O130202" s="9"/>
    </row>
    <row r="130223" spans="15:15" x14ac:dyDescent="0.25">
      <c r="O130223" s="9"/>
    </row>
    <row r="130244" spans="15:15" x14ac:dyDescent="0.25">
      <c r="O130244" s="9"/>
    </row>
    <row r="130265" spans="15:15" x14ac:dyDescent="0.25">
      <c r="O130265" s="9"/>
    </row>
    <row r="130286" spans="15:15" x14ac:dyDescent="0.25">
      <c r="O130286" s="9"/>
    </row>
    <row r="130307" spans="15:15" x14ac:dyDescent="0.25">
      <c r="O130307" s="9"/>
    </row>
    <row r="130328" spans="15:15" x14ac:dyDescent="0.25">
      <c r="O130328" s="9"/>
    </row>
    <row r="130349" spans="15:15" x14ac:dyDescent="0.25">
      <c r="O130349" s="9"/>
    </row>
    <row r="130370" spans="15:15" x14ac:dyDescent="0.25">
      <c r="O130370" s="9"/>
    </row>
    <row r="130391" spans="15:15" x14ac:dyDescent="0.25">
      <c r="O130391" s="9"/>
    </row>
    <row r="130412" spans="15:15" x14ac:dyDescent="0.25">
      <c r="O130412" s="9"/>
    </row>
    <row r="130433" spans="15:15" x14ac:dyDescent="0.25">
      <c r="O130433" s="9"/>
    </row>
    <row r="130454" spans="15:15" x14ac:dyDescent="0.25">
      <c r="O130454" s="9"/>
    </row>
    <row r="130475" spans="15:15" x14ac:dyDescent="0.25">
      <c r="O130475" s="9"/>
    </row>
    <row r="130496" spans="15:15" x14ac:dyDescent="0.25">
      <c r="O130496" s="9"/>
    </row>
    <row r="130517" spans="15:15" x14ac:dyDescent="0.25">
      <c r="O130517" s="9"/>
    </row>
    <row r="130538" spans="15:15" x14ac:dyDescent="0.25">
      <c r="O130538" s="9"/>
    </row>
    <row r="130559" spans="15:15" x14ac:dyDescent="0.25">
      <c r="O130559" s="9"/>
    </row>
    <row r="130580" spans="15:15" x14ac:dyDescent="0.25">
      <c r="O130580" s="9"/>
    </row>
    <row r="130601" spans="15:15" x14ac:dyDescent="0.25">
      <c r="O130601" s="9"/>
    </row>
    <row r="130622" spans="15:15" x14ac:dyDescent="0.25">
      <c r="O130622" s="9"/>
    </row>
    <row r="130643" spans="15:15" x14ac:dyDescent="0.25">
      <c r="O130643" s="9"/>
    </row>
    <row r="130664" spans="15:15" x14ac:dyDescent="0.25">
      <c r="O130664" s="9"/>
    </row>
    <row r="130685" spans="15:15" x14ac:dyDescent="0.25">
      <c r="O130685" s="9"/>
    </row>
    <row r="130706" spans="15:15" x14ac:dyDescent="0.25">
      <c r="O130706" s="9"/>
    </row>
    <row r="130727" spans="15:15" x14ac:dyDescent="0.25">
      <c r="O130727" s="9"/>
    </row>
    <row r="130748" spans="15:15" x14ac:dyDescent="0.25">
      <c r="O130748" s="9"/>
    </row>
    <row r="130769" spans="15:15" x14ac:dyDescent="0.25">
      <c r="O130769" s="9"/>
    </row>
    <row r="130790" spans="15:15" x14ac:dyDescent="0.25">
      <c r="O130790" s="9"/>
    </row>
    <row r="130811" spans="15:15" x14ac:dyDescent="0.25">
      <c r="O130811" s="9"/>
    </row>
    <row r="130832" spans="15:15" x14ac:dyDescent="0.25">
      <c r="O130832" s="9"/>
    </row>
    <row r="130853" spans="15:15" x14ac:dyDescent="0.25">
      <c r="O130853" s="9"/>
    </row>
    <row r="130874" spans="15:15" x14ac:dyDescent="0.25">
      <c r="O130874" s="9"/>
    </row>
    <row r="130895" spans="15:15" x14ac:dyDescent="0.25">
      <c r="O130895" s="9"/>
    </row>
    <row r="130916" spans="15:15" x14ac:dyDescent="0.25">
      <c r="O130916" s="9"/>
    </row>
    <row r="130937" spans="15:15" x14ac:dyDescent="0.25">
      <c r="O130937" s="9"/>
    </row>
    <row r="130958" spans="15:15" x14ac:dyDescent="0.25">
      <c r="O130958" s="9"/>
    </row>
    <row r="130979" spans="15:15" x14ac:dyDescent="0.25">
      <c r="O130979" s="9"/>
    </row>
    <row r="131000" spans="15:15" x14ac:dyDescent="0.25">
      <c r="O131000" s="9"/>
    </row>
    <row r="131021" spans="15:15" x14ac:dyDescent="0.25">
      <c r="O131021" s="9"/>
    </row>
    <row r="131042" spans="15:15" x14ac:dyDescent="0.25">
      <c r="O131042" s="9"/>
    </row>
    <row r="131063" spans="15:15" x14ac:dyDescent="0.25">
      <c r="O131063" s="9"/>
    </row>
    <row r="131084" spans="15:15" x14ac:dyDescent="0.25">
      <c r="O131084" s="9"/>
    </row>
    <row r="131105" spans="15:15" x14ac:dyDescent="0.25">
      <c r="O131105" s="9"/>
    </row>
    <row r="131126" spans="15:15" x14ac:dyDescent="0.25">
      <c r="O131126" s="9"/>
    </row>
    <row r="131147" spans="15:15" x14ac:dyDescent="0.25">
      <c r="O131147" s="9"/>
    </row>
    <row r="131168" spans="15:15" x14ac:dyDescent="0.25">
      <c r="O131168" s="9"/>
    </row>
    <row r="131189" spans="15:15" x14ac:dyDescent="0.25">
      <c r="O131189" s="9"/>
    </row>
    <row r="131210" spans="15:15" x14ac:dyDescent="0.25">
      <c r="O131210" s="9"/>
    </row>
    <row r="131231" spans="15:15" x14ac:dyDescent="0.25">
      <c r="O131231" s="9"/>
    </row>
    <row r="131252" spans="15:15" x14ac:dyDescent="0.25">
      <c r="O131252" s="9"/>
    </row>
    <row r="131273" spans="15:15" x14ac:dyDescent="0.25">
      <c r="O131273" s="9"/>
    </row>
    <row r="131294" spans="15:15" x14ac:dyDescent="0.25">
      <c r="O131294" s="9"/>
    </row>
    <row r="131315" spans="15:15" x14ac:dyDescent="0.25">
      <c r="O131315" s="9"/>
    </row>
    <row r="131336" spans="15:15" x14ac:dyDescent="0.25">
      <c r="O131336" s="9"/>
    </row>
    <row r="131357" spans="15:15" x14ac:dyDescent="0.25">
      <c r="O131357" s="9"/>
    </row>
    <row r="131378" spans="15:15" x14ac:dyDescent="0.25">
      <c r="O131378" s="9"/>
    </row>
    <row r="131399" spans="15:15" x14ac:dyDescent="0.25">
      <c r="O131399" s="9"/>
    </row>
    <row r="131420" spans="15:15" x14ac:dyDescent="0.25">
      <c r="O131420" s="9"/>
    </row>
    <row r="131441" spans="15:15" x14ac:dyDescent="0.25">
      <c r="O131441" s="9"/>
    </row>
    <row r="131462" spans="15:15" x14ac:dyDescent="0.25">
      <c r="O131462" s="9"/>
    </row>
    <row r="131483" spans="15:15" x14ac:dyDescent="0.25">
      <c r="O131483" s="9"/>
    </row>
    <row r="131504" spans="15:15" x14ac:dyDescent="0.25">
      <c r="O131504" s="9"/>
    </row>
    <row r="131525" spans="15:15" x14ac:dyDescent="0.25">
      <c r="O131525" s="9"/>
    </row>
    <row r="131546" spans="15:15" x14ac:dyDescent="0.25">
      <c r="O131546" s="9"/>
    </row>
    <row r="131567" spans="15:15" x14ac:dyDescent="0.25">
      <c r="O131567" s="9"/>
    </row>
    <row r="131588" spans="15:15" x14ac:dyDescent="0.25">
      <c r="O131588" s="9"/>
    </row>
    <row r="131609" spans="15:15" x14ac:dyDescent="0.25">
      <c r="O131609" s="9"/>
    </row>
    <row r="131630" spans="15:15" x14ac:dyDescent="0.25">
      <c r="O131630" s="9"/>
    </row>
    <row r="131651" spans="15:15" x14ac:dyDescent="0.25">
      <c r="O131651" s="9"/>
    </row>
    <row r="131672" spans="15:15" x14ac:dyDescent="0.25">
      <c r="O131672" s="9"/>
    </row>
    <row r="131693" spans="15:15" x14ac:dyDescent="0.25">
      <c r="O131693" s="9"/>
    </row>
    <row r="131714" spans="15:15" x14ac:dyDescent="0.25">
      <c r="O131714" s="9"/>
    </row>
    <row r="131735" spans="15:15" x14ac:dyDescent="0.25">
      <c r="O131735" s="9"/>
    </row>
    <row r="131756" spans="15:15" x14ac:dyDescent="0.25">
      <c r="O131756" s="9"/>
    </row>
    <row r="131777" spans="15:15" x14ac:dyDescent="0.25">
      <c r="O131777" s="9"/>
    </row>
    <row r="131798" spans="15:15" x14ac:dyDescent="0.25">
      <c r="O131798" s="9"/>
    </row>
    <row r="131819" spans="15:15" x14ac:dyDescent="0.25">
      <c r="O131819" s="9"/>
    </row>
    <row r="131840" spans="15:15" x14ac:dyDescent="0.25">
      <c r="O131840" s="9"/>
    </row>
    <row r="131861" spans="15:15" x14ac:dyDescent="0.25">
      <c r="O131861" s="9"/>
    </row>
    <row r="131882" spans="15:15" x14ac:dyDescent="0.25">
      <c r="O131882" s="9"/>
    </row>
    <row r="131903" spans="15:15" x14ac:dyDescent="0.25">
      <c r="O131903" s="9"/>
    </row>
    <row r="131924" spans="15:15" x14ac:dyDescent="0.25">
      <c r="O131924" s="9"/>
    </row>
    <row r="131945" spans="15:15" x14ac:dyDescent="0.25">
      <c r="O131945" s="9"/>
    </row>
    <row r="131966" spans="15:15" x14ac:dyDescent="0.25">
      <c r="O131966" s="9"/>
    </row>
    <row r="131987" spans="15:15" x14ac:dyDescent="0.25">
      <c r="O131987" s="9"/>
    </row>
    <row r="132008" spans="15:15" x14ac:dyDescent="0.25">
      <c r="O132008" s="9"/>
    </row>
    <row r="132029" spans="15:15" x14ac:dyDescent="0.25">
      <c r="O132029" s="9"/>
    </row>
    <row r="132050" spans="15:15" x14ac:dyDescent="0.25">
      <c r="O132050" s="9"/>
    </row>
    <row r="132071" spans="15:15" x14ac:dyDescent="0.25">
      <c r="O132071" s="9"/>
    </row>
    <row r="132092" spans="15:15" x14ac:dyDescent="0.25">
      <c r="O132092" s="9"/>
    </row>
    <row r="132113" spans="15:15" x14ac:dyDescent="0.25">
      <c r="O132113" s="9"/>
    </row>
    <row r="132134" spans="15:15" x14ac:dyDescent="0.25">
      <c r="O132134" s="9"/>
    </row>
    <row r="132155" spans="15:15" x14ac:dyDescent="0.25">
      <c r="O132155" s="9"/>
    </row>
    <row r="132176" spans="15:15" x14ac:dyDescent="0.25">
      <c r="O132176" s="9"/>
    </row>
    <row r="132197" spans="15:15" x14ac:dyDescent="0.25">
      <c r="O132197" s="9"/>
    </row>
    <row r="132218" spans="15:15" x14ac:dyDescent="0.25">
      <c r="O132218" s="9"/>
    </row>
    <row r="132239" spans="15:15" x14ac:dyDescent="0.25">
      <c r="O132239" s="9"/>
    </row>
    <row r="132260" spans="15:15" x14ac:dyDescent="0.25">
      <c r="O132260" s="9"/>
    </row>
    <row r="132281" spans="15:15" x14ac:dyDescent="0.25">
      <c r="O132281" s="9"/>
    </row>
    <row r="132302" spans="15:15" x14ac:dyDescent="0.25">
      <c r="O132302" s="9"/>
    </row>
    <row r="132323" spans="15:15" x14ac:dyDescent="0.25">
      <c r="O132323" s="9"/>
    </row>
    <row r="132344" spans="15:15" x14ac:dyDescent="0.25">
      <c r="O132344" s="9"/>
    </row>
    <row r="132365" spans="15:15" x14ac:dyDescent="0.25">
      <c r="O132365" s="9"/>
    </row>
    <row r="132386" spans="15:15" x14ac:dyDescent="0.25">
      <c r="O132386" s="9"/>
    </row>
    <row r="132407" spans="15:15" x14ac:dyDescent="0.25">
      <c r="O132407" s="9"/>
    </row>
    <row r="132428" spans="15:15" x14ac:dyDescent="0.25">
      <c r="O132428" s="9"/>
    </row>
    <row r="132449" spans="15:15" x14ac:dyDescent="0.25">
      <c r="O132449" s="9"/>
    </row>
    <row r="132470" spans="15:15" x14ac:dyDescent="0.25">
      <c r="O132470" s="9"/>
    </row>
    <row r="132491" spans="15:15" x14ac:dyDescent="0.25">
      <c r="O132491" s="9"/>
    </row>
    <row r="132512" spans="15:15" x14ac:dyDescent="0.25">
      <c r="O132512" s="9"/>
    </row>
    <row r="132533" spans="15:15" x14ac:dyDescent="0.25">
      <c r="O132533" s="9"/>
    </row>
    <row r="132554" spans="15:15" x14ac:dyDescent="0.25">
      <c r="O132554" s="9"/>
    </row>
    <row r="132575" spans="15:15" x14ac:dyDescent="0.25">
      <c r="O132575" s="9"/>
    </row>
    <row r="132596" spans="15:15" x14ac:dyDescent="0.25">
      <c r="O132596" s="9"/>
    </row>
    <row r="132617" spans="15:15" x14ac:dyDescent="0.25">
      <c r="O132617" s="9"/>
    </row>
    <row r="132638" spans="15:15" x14ac:dyDescent="0.25">
      <c r="O132638" s="9"/>
    </row>
    <row r="132659" spans="15:15" x14ac:dyDescent="0.25">
      <c r="O132659" s="9"/>
    </row>
    <row r="132680" spans="15:15" x14ac:dyDescent="0.25">
      <c r="O132680" s="9"/>
    </row>
    <row r="132701" spans="15:15" x14ac:dyDescent="0.25">
      <c r="O132701" s="9"/>
    </row>
    <row r="132722" spans="15:15" x14ac:dyDescent="0.25">
      <c r="O132722" s="9"/>
    </row>
    <row r="132743" spans="15:15" x14ac:dyDescent="0.25">
      <c r="O132743" s="9"/>
    </row>
    <row r="132764" spans="15:15" x14ac:dyDescent="0.25">
      <c r="O132764" s="9"/>
    </row>
    <row r="132785" spans="15:15" x14ac:dyDescent="0.25">
      <c r="O132785" s="9"/>
    </row>
    <row r="132806" spans="15:15" x14ac:dyDescent="0.25">
      <c r="O132806" s="9"/>
    </row>
    <row r="132827" spans="15:15" x14ac:dyDescent="0.25">
      <c r="O132827" s="9"/>
    </row>
    <row r="132848" spans="15:15" x14ac:dyDescent="0.25">
      <c r="O132848" s="9"/>
    </row>
    <row r="132869" spans="15:15" x14ac:dyDescent="0.25">
      <c r="O132869" s="9"/>
    </row>
    <row r="132890" spans="15:15" x14ac:dyDescent="0.25">
      <c r="O132890" s="9"/>
    </row>
    <row r="132911" spans="15:15" x14ac:dyDescent="0.25">
      <c r="O132911" s="9"/>
    </row>
    <row r="132932" spans="15:15" x14ac:dyDescent="0.25">
      <c r="O132932" s="9"/>
    </row>
    <row r="132953" spans="15:15" x14ac:dyDescent="0.25">
      <c r="O132953" s="9"/>
    </row>
    <row r="132974" spans="15:15" x14ac:dyDescent="0.25">
      <c r="O132974" s="9"/>
    </row>
    <row r="132995" spans="15:15" x14ac:dyDescent="0.25">
      <c r="O132995" s="9"/>
    </row>
    <row r="133016" spans="15:15" x14ac:dyDescent="0.25">
      <c r="O133016" s="9"/>
    </row>
    <row r="133037" spans="15:15" x14ac:dyDescent="0.25">
      <c r="O133037" s="9"/>
    </row>
    <row r="133058" spans="15:15" x14ac:dyDescent="0.25">
      <c r="O133058" s="9"/>
    </row>
    <row r="133079" spans="15:15" x14ac:dyDescent="0.25">
      <c r="O133079" s="9"/>
    </row>
    <row r="133100" spans="15:15" x14ac:dyDescent="0.25">
      <c r="O133100" s="9"/>
    </row>
    <row r="133121" spans="15:15" x14ac:dyDescent="0.25">
      <c r="O133121" s="9"/>
    </row>
    <row r="133142" spans="15:15" x14ac:dyDescent="0.25">
      <c r="O133142" s="9"/>
    </row>
    <row r="133163" spans="15:15" x14ac:dyDescent="0.25">
      <c r="O133163" s="9"/>
    </row>
    <row r="133184" spans="15:15" x14ac:dyDescent="0.25">
      <c r="O133184" s="9"/>
    </row>
    <row r="133205" spans="15:15" x14ac:dyDescent="0.25">
      <c r="O133205" s="9"/>
    </row>
    <row r="133226" spans="15:15" x14ac:dyDescent="0.25">
      <c r="O133226" s="9"/>
    </row>
    <row r="133247" spans="15:15" x14ac:dyDescent="0.25">
      <c r="O133247" s="9"/>
    </row>
    <row r="133268" spans="15:15" x14ac:dyDescent="0.25">
      <c r="O133268" s="9"/>
    </row>
    <row r="133289" spans="15:15" x14ac:dyDescent="0.25">
      <c r="O133289" s="9"/>
    </row>
    <row r="133310" spans="15:15" x14ac:dyDescent="0.25">
      <c r="O133310" s="9"/>
    </row>
    <row r="133331" spans="15:15" x14ac:dyDescent="0.25">
      <c r="O133331" s="9"/>
    </row>
    <row r="133352" spans="15:15" x14ac:dyDescent="0.25">
      <c r="O133352" s="9"/>
    </row>
    <row r="133373" spans="15:15" x14ac:dyDescent="0.25">
      <c r="O133373" s="9"/>
    </row>
    <row r="133394" spans="15:15" x14ac:dyDescent="0.25">
      <c r="O133394" s="9"/>
    </row>
    <row r="133415" spans="15:15" x14ac:dyDescent="0.25">
      <c r="O133415" s="9"/>
    </row>
    <row r="133436" spans="15:15" x14ac:dyDescent="0.25">
      <c r="O133436" s="9"/>
    </row>
    <row r="133457" spans="15:15" x14ac:dyDescent="0.25">
      <c r="O133457" s="9"/>
    </row>
    <row r="133478" spans="15:15" x14ac:dyDescent="0.25">
      <c r="O133478" s="9"/>
    </row>
    <row r="133499" spans="15:15" x14ac:dyDescent="0.25">
      <c r="O133499" s="9"/>
    </row>
    <row r="133520" spans="15:15" x14ac:dyDescent="0.25">
      <c r="O133520" s="9"/>
    </row>
    <row r="133541" spans="15:15" x14ac:dyDescent="0.25">
      <c r="O133541" s="9"/>
    </row>
    <row r="133562" spans="15:15" x14ac:dyDescent="0.25">
      <c r="O133562" s="9"/>
    </row>
    <row r="133583" spans="15:15" x14ac:dyDescent="0.25">
      <c r="O133583" s="9"/>
    </row>
    <row r="133604" spans="15:15" x14ac:dyDescent="0.25">
      <c r="O133604" s="9"/>
    </row>
    <row r="133625" spans="15:15" x14ac:dyDescent="0.25">
      <c r="O133625" s="9"/>
    </row>
    <row r="133646" spans="15:15" x14ac:dyDescent="0.25">
      <c r="O133646" s="9"/>
    </row>
    <row r="133667" spans="15:15" x14ac:dyDescent="0.25">
      <c r="O133667" s="9"/>
    </row>
    <row r="133688" spans="15:15" x14ac:dyDescent="0.25">
      <c r="O133688" s="9"/>
    </row>
    <row r="133709" spans="15:15" x14ac:dyDescent="0.25">
      <c r="O133709" s="9"/>
    </row>
    <row r="133730" spans="15:15" x14ac:dyDescent="0.25">
      <c r="O133730" s="9"/>
    </row>
    <row r="133751" spans="15:15" x14ac:dyDescent="0.25">
      <c r="O133751" s="9"/>
    </row>
    <row r="133772" spans="15:15" x14ac:dyDescent="0.25">
      <c r="O133772" s="9"/>
    </row>
    <row r="133793" spans="15:15" x14ac:dyDescent="0.25">
      <c r="O133793" s="9"/>
    </row>
    <row r="133814" spans="15:15" x14ac:dyDescent="0.25">
      <c r="O133814" s="9"/>
    </row>
    <row r="133835" spans="15:15" x14ac:dyDescent="0.25">
      <c r="O133835" s="9"/>
    </row>
    <row r="133856" spans="15:15" x14ac:dyDescent="0.25">
      <c r="O133856" s="9"/>
    </row>
    <row r="133877" spans="15:15" x14ac:dyDescent="0.25">
      <c r="O133877" s="9"/>
    </row>
    <row r="133898" spans="15:15" x14ac:dyDescent="0.25">
      <c r="O133898" s="9"/>
    </row>
    <row r="133919" spans="15:15" x14ac:dyDescent="0.25">
      <c r="O133919" s="9"/>
    </row>
    <row r="133940" spans="15:15" x14ac:dyDescent="0.25">
      <c r="O133940" s="9"/>
    </row>
    <row r="133961" spans="15:15" x14ac:dyDescent="0.25">
      <c r="O133961" s="9"/>
    </row>
    <row r="133982" spans="15:15" x14ac:dyDescent="0.25">
      <c r="O133982" s="9"/>
    </row>
    <row r="134003" spans="15:15" x14ac:dyDescent="0.25">
      <c r="O134003" s="9"/>
    </row>
    <row r="134024" spans="15:15" x14ac:dyDescent="0.25">
      <c r="O134024" s="9"/>
    </row>
    <row r="134045" spans="15:15" x14ac:dyDescent="0.25">
      <c r="O134045" s="9"/>
    </row>
    <row r="134066" spans="15:15" x14ac:dyDescent="0.25">
      <c r="O134066" s="9"/>
    </row>
    <row r="134087" spans="15:15" x14ac:dyDescent="0.25">
      <c r="O134087" s="9"/>
    </row>
    <row r="134108" spans="15:15" x14ac:dyDescent="0.25">
      <c r="O134108" s="9"/>
    </row>
    <row r="134129" spans="15:15" x14ac:dyDescent="0.25">
      <c r="O134129" s="9"/>
    </row>
    <row r="134150" spans="15:15" x14ac:dyDescent="0.25">
      <c r="O134150" s="9"/>
    </row>
    <row r="134171" spans="15:15" x14ac:dyDescent="0.25">
      <c r="O134171" s="9"/>
    </row>
    <row r="134192" spans="15:15" x14ac:dyDescent="0.25">
      <c r="O134192" s="9"/>
    </row>
    <row r="134213" spans="15:15" x14ac:dyDescent="0.25">
      <c r="O134213" s="9"/>
    </row>
    <row r="134234" spans="15:15" x14ac:dyDescent="0.25">
      <c r="O134234" s="9"/>
    </row>
    <row r="134255" spans="15:15" x14ac:dyDescent="0.25">
      <c r="O134255" s="9"/>
    </row>
    <row r="134276" spans="15:15" x14ac:dyDescent="0.25">
      <c r="O134276" s="9"/>
    </row>
    <row r="134297" spans="15:15" x14ac:dyDescent="0.25">
      <c r="O134297" s="9"/>
    </row>
    <row r="134318" spans="15:15" x14ac:dyDescent="0.25">
      <c r="O134318" s="9"/>
    </row>
    <row r="134339" spans="15:15" x14ac:dyDescent="0.25">
      <c r="O134339" s="9"/>
    </row>
    <row r="134360" spans="15:15" x14ac:dyDescent="0.25">
      <c r="O134360" s="9"/>
    </row>
    <row r="134381" spans="15:15" x14ac:dyDescent="0.25">
      <c r="O134381" s="9"/>
    </row>
    <row r="134402" spans="15:15" x14ac:dyDescent="0.25">
      <c r="O134402" s="9"/>
    </row>
    <row r="134423" spans="15:15" x14ac:dyDescent="0.25">
      <c r="O134423" s="9"/>
    </row>
    <row r="134444" spans="15:15" x14ac:dyDescent="0.25">
      <c r="O134444" s="9"/>
    </row>
    <row r="134465" spans="15:15" x14ac:dyDescent="0.25">
      <c r="O134465" s="9"/>
    </row>
    <row r="134486" spans="15:15" x14ac:dyDescent="0.25">
      <c r="O134486" s="9"/>
    </row>
    <row r="134507" spans="15:15" x14ac:dyDescent="0.25">
      <c r="O134507" s="9"/>
    </row>
    <row r="134528" spans="15:15" x14ac:dyDescent="0.25">
      <c r="O134528" s="9"/>
    </row>
    <row r="134549" spans="15:15" x14ac:dyDescent="0.25">
      <c r="O134549" s="9"/>
    </row>
    <row r="134570" spans="15:15" x14ac:dyDescent="0.25">
      <c r="O134570" s="9"/>
    </row>
    <row r="134591" spans="15:15" x14ac:dyDescent="0.25">
      <c r="O134591" s="9"/>
    </row>
    <row r="134612" spans="15:15" x14ac:dyDescent="0.25">
      <c r="O134612" s="9"/>
    </row>
    <row r="134633" spans="15:15" x14ac:dyDescent="0.25">
      <c r="O134633" s="9"/>
    </row>
    <row r="134654" spans="15:15" x14ac:dyDescent="0.25">
      <c r="O134654" s="9"/>
    </row>
    <row r="134675" spans="15:15" x14ac:dyDescent="0.25">
      <c r="O134675" s="9"/>
    </row>
    <row r="134696" spans="15:15" x14ac:dyDescent="0.25">
      <c r="O134696" s="9"/>
    </row>
    <row r="134717" spans="15:15" x14ac:dyDescent="0.25">
      <c r="O134717" s="9"/>
    </row>
    <row r="134738" spans="15:15" x14ac:dyDescent="0.25">
      <c r="O134738" s="9"/>
    </row>
    <row r="134759" spans="15:15" x14ac:dyDescent="0.25">
      <c r="O134759" s="9"/>
    </row>
    <row r="134780" spans="15:15" x14ac:dyDescent="0.25">
      <c r="O134780" s="9"/>
    </row>
    <row r="134801" spans="15:15" x14ac:dyDescent="0.25">
      <c r="O134801" s="9"/>
    </row>
    <row r="134822" spans="15:15" x14ac:dyDescent="0.25">
      <c r="O134822" s="9"/>
    </row>
    <row r="134843" spans="15:15" x14ac:dyDescent="0.25">
      <c r="O134843" s="9"/>
    </row>
    <row r="134864" spans="15:15" x14ac:dyDescent="0.25">
      <c r="O134864" s="9"/>
    </row>
    <row r="134885" spans="15:15" x14ac:dyDescent="0.25">
      <c r="O134885" s="9"/>
    </row>
    <row r="134906" spans="15:15" x14ac:dyDescent="0.25">
      <c r="O134906" s="9"/>
    </row>
    <row r="134927" spans="15:15" x14ac:dyDescent="0.25">
      <c r="O134927" s="9"/>
    </row>
    <row r="134948" spans="15:15" x14ac:dyDescent="0.25">
      <c r="O134948" s="9"/>
    </row>
    <row r="134969" spans="15:15" x14ac:dyDescent="0.25">
      <c r="O134969" s="9"/>
    </row>
    <row r="134990" spans="15:15" x14ac:dyDescent="0.25">
      <c r="O134990" s="9"/>
    </row>
    <row r="135011" spans="15:15" x14ac:dyDescent="0.25">
      <c r="O135011" s="9"/>
    </row>
    <row r="135032" spans="15:15" x14ac:dyDescent="0.25">
      <c r="O135032" s="9"/>
    </row>
    <row r="135053" spans="15:15" x14ac:dyDescent="0.25">
      <c r="O135053" s="9"/>
    </row>
    <row r="135074" spans="15:15" x14ac:dyDescent="0.25">
      <c r="O135074" s="9"/>
    </row>
    <row r="135095" spans="15:15" x14ac:dyDescent="0.25">
      <c r="O135095" s="9"/>
    </row>
    <row r="135116" spans="15:15" x14ac:dyDescent="0.25">
      <c r="O135116" s="9"/>
    </row>
    <row r="135137" spans="15:15" x14ac:dyDescent="0.25">
      <c r="O135137" s="9"/>
    </row>
    <row r="135158" spans="15:15" x14ac:dyDescent="0.25">
      <c r="O135158" s="9"/>
    </row>
    <row r="135179" spans="15:15" x14ac:dyDescent="0.25">
      <c r="O135179" s="9"/>
    </row>
    <row r="135200" spans="15:15" x14ac:dyDescent="0.25">
      <c r="O135200" s="9"/>
    </row>
    <row r="135221" spans="15:15" x14ac:dyDescent="0.25">
      <c r="O135221" s="9"/>
    </row>
    <row r="135242" spans="15:15" x14ac:dyDescent="0.25">
      <c r="O135242" s="9"/>
    </row>
    <row r="135263" spans="15:15" x14ac:dyDescent="0.25">
      <c r="O135263" s="9"/>
    </row>
    <row r="135284" spans="15:15" x14ac:dyDescent="0.25">
      <c r="O135284" s="9"/>
    </row>
    <row r="135305" spans="15:15" x14ac:dyDescent="0.25">
      <c r="O135305" s="9"/>
    </row>
    <row r="135326" spans="15:15" x14ac:dyDescent="0.25">
      <c r="O135326" s="9"/>
    </row>
    <row r="135347" spans="15:15" x14ac:dyDescent="0.25">
      <c r="O135347" s="9"/>
    </row>
    <row r="135368" spans="15:15" x14ac:dyDescent="0.25">
      <c r="O135368" s="9"/>
    </row>
    <row r="135389" spans="15:15" x14ac:dyDescent="0.25">
      <c r="O135389" s="9"/>
    </row>
    <row r="135410" spans="15:15" x14ac:dyDescent="0.25">
      <c r="O135410" s="9"/>
    </row>
    <row r="135431" spans="15:15" x14ac:dyDescent="0.25">
      <c r="O135431" s="9"/>
    </row>
    <row r="135452" spans="15:15" x14ac:dyDescent="0.25">
      <c r="O135452" s="9"/>
    </row>
    <row r="135473" spans="15:15" x14ac:dyDescent="0.25">
      <c r="O135473" s="9"/>
    </row>
    <row r="135494" spans="15:15" x14ac:dyDescent="0.25">
      <c r="O135494" s="9"/>
    </row>
    <row r="135515" spans="15:15" x14ac:dyDescent="0.25">
      <c r="O135515" s="9"/>
    </row>
    <row r="135536" spans="15:15" x14ac:dyDescent="0.25">
      <c r="O135536" s="9"/>
    </row>
    <row r="135557" spans="15:15" x14ac:dyDescent="0.25">
      <c r="O135557" s="9"/>
    </row>
    <row r="135578" spans="15:15" x14ac:dyDescent="0.25">
      <c r="O135578" s="9"/>
    </row>
    <row r="135599" spans="15:15" x14ac:dyDescent="0.25">
      <c r="O135599" s="9"/>
    </row>
    <row r="135620" spans="15:15" x14ac:dyDescent="0.25">
      <c r="O135620" s="9"/>
    </row>
    <row r="135641" spans="15:15" x14ac:dyDescent="0.25">
      <c r="O135641" s="9"/>
    </row>
    <row r="135662" spans="15:15" x14ac:dyDescent="0.25">
      <c r="O135662" s="9"/>
    </row>
    <row r="135683" spans="15:15" x14ac:dyDescent="0.25">
      <c r="O135683" s="9"/>
    </row>
    <row r="135704" spans="15:15" x14ac:dyDescent="0.25">
      <c r="O135704" s="9"/>
    </row>
    <row r="135725" spans="15:15" x14ac:dyDescent="0.25">
      <c r="O135725" s="9"/>
    </row>
    <row r="135746" spans="15:15" x14ac:dyDescent="0.25">
      <c r="O135746" s="9"/>
    </row>
    <row r="135767" spans="15:15" x14ac:dyDescent="0.25">
      <c r="O135767" s="9"/>
    </row>
    <row r="135788" spans="15:15" x14ac:dyDescent="0.25">
      <c r="O135788" s="9"/>
    </row>
    <row r="135809" spans="15:15" x14ac:dyDescent="0.25">
      <c r="O135809" s="9"/>
    </row>
    <row r="135830" spans="15:15" x14ac:dyDescent="0.25">
      <c r="O135830" s="9"/>
    </row>
    <row r="135851" spans="15:15" x14ac:dyDescent="0.25">
      <c r="O135851" s="9"/>
    </row>
    <row r="135872" spans="15:15" x14ac:dyDescent="0.25">
      <c r="O135872" s="9"/>
    </row>
    <row r="135893" spans="15:15" x14ac:dyDescent="0.25">
      <c r="O135893" s="9"/>
    </row>
    <row r="135914" spans="15:15" x14ac:dyDescent="0.25">
      <c r="O135914" s="9"/>
    </row>
    <row r="135935" spans="15:15" x14ac:dyDescent="0.25">
      <c r="O135935" s="9"/>
    </row>
    <row r="135956" spans="15:15" x14ac:dyDescent="0.25">
      <c r="O135956" s="9"/>
    </row>
    <row r="135977" spans="15:15" x14ac:dyDescent="0.25">
      <c r="O135977" s="9"/>
    </row>
    <row r="135998" spans="15:15" x14ac:dyDescent="0.25">
      <c r="O135998" s="9"/>
    </row>
    <row r="136019" spans="15:15" x14ac:dyDescent="0.25">
      <c r="O136019" s="9"/>
    </row>
    <row r="136040" spans="15:15" x14ac:dyDescent="0.25">
      <c r="O136040" s="9"/>
    </row>
    <row r="136061" spans="15:15" x14ac:dyDescent="0.25">
      <c r="O136061" s="9"/>
    </row>
    <row r="136082" spans="15:15" x14ac:dyDescent="0.25">
      <c r="O136082" s="9"/>
    </row>
    <row r="136103" spans="15:15" x14ac:dyDescent="0.25">
      <c r="O136103" s="9"/>
    </row>
    <row r="136124" spans="15:15" x14ac:dyDescent="0.25">
      <c r="O136124" s="9"/>
    </row>
    <row r="136145" spans="15:15" x14ac:dyDescent="0.25">
      <c r="O136145" s="9"/>
    </row>
    <row r="136166" spans="15:15" x14ac:dyDescent="0.25">
      <c r="O136166" s="9"/>
    </row>
    <row r="136187" spans="15:15" x14ac:dyDescent="0.25">
      <c r="O136187" s="9"/>
    </row>
    <row r="136208" spans="15:15" x14ac:dyDescent="0.25">
      <c r="O136208" s="9"/>
    </row>
    <row r="136229" spans="15:15" x14ac:dyDescent="0.25">
      <c r="O136229" s="9"/>
    </row>
    <row r="136250" spans="15:15" x14ac:dyDescent="0.25">
      <c r="O136250" s="9"/>
    </row>
    <row r="136271" spans="15:15" x14ac:dyDescent="0.25">
      <c r="O136271" s="9"/>
    </row>
    <row r="136292" spans="15:15" x14ac:dyDescent="0.25">
      <c r="O136292" s="9"/>
    </row>
    <row r="136313" spans="15:15" x14ac:dyDescent="0.25">
      <c r="O136313" s="9"/>
    </row>
    <row r="136334" spans="15:15" x14ac:dyDescent="0.25">
      <c r="O136334" s="9"/>
    </row>
    <row r="136355" spans="15:15" x14ac:dyDescent="0.25">
      <c r="O136355" s="9"/>
    </row>
    <row r="136376" spans="15:15" x14ac:dyDescent="0.25">
      <c r="O136376" s="9"/>
    </row>
    <row r="136397" spans="15:15" x14ac:dyDescent="0.25">
      <c r="O136397" s="9"/>
    </row>
    <row r="136418" spans="15:15" x14ac:dyDescent="0.25">
      <c r="O136418" s="9"/>
    </row>
    <row r="136439" spans="15:15" x14ac:dyDescent="0.25">
      <c r="O136439" s="9"/>
    </row>
    <row r="136460" spans="15:15" x14ac:dyDescent="0.25">
      <c r="O136460" s="9"/>
    </row>
    <row r="136481" spans="15:15" x14ac:dyDescent="0.25">
      <c r="O136481" s="9"/>
    </row>
    <row r="136502" spans="15:15" x14ac:dyDescent="0.25">
      <c r="O136502" s="9"/>
    </row>
    <row r="136523" spans="15:15" x14ac:dyDescent="0.25">
      <c r="O136523" s="9"/>
    </row>
    <row r="136544" spans="15:15" x14ac:dyDescent="0.25">
      <c r="O136544" s="9"/>
    </row>
    <row r="136565" spans="15:15" x14ac:dyDescent="0.25">
      <c r="O136565" s="9"/>
    </row>
    <row r="136586" spans="15:15" x14ac:dyDescent="0.25">
      <c r="O136586" s="9"/>
    </row>
    <row r="136607" spans="15:15" x14ac:dyDescent="0.25">
      <c r="O136607" s="9"/>
    </row>
    <row r="136628" spans="15:15" x14ac:dyDescent="0.25">
      <c r="O136628" s="9"/>
    </row>
    <row r="136649" spans="15:15" x14ac:dyDescent="0.25">
      <c r="O136649" s="9"/>
    </row>
    <row r="136670" spans="15:15" x14ac:dyDescent="0.25">
      <c r="O136670" s="9"/>
    </row>
    <row r="136691" spans="15:15" x14ac:dyDescent="0.25">
      <c r="O136691" s="9"/>
    </row>
    <row r="136712" spans="15:15" x14ac:dyDescent="0.25">
      <c r="O136712" s="9"/>
    </row>
    <row r="136733" spans="15:15" x14ac:dyDescent="0.25">
      <c r="O136733" s="9"/>
    </row>
    <row r="136754" spans="15:15" x14ac:dyDescent="0.25">
      <c r="O136754" s="9"/>
    </row>
    <row r="136775" spans="15:15" x14ac:dyDescent="0.25">
      <c r="O136775" s="9"/>
    </row>
    <row r="136796" spans="15:15" x14ac:dyDescent="0.25">
      <c r="O136796" s="9"/>
    </row>
    <row r="136817" spans="15:15" x14ac:dyDescent="0.25">
      <c r="O136817" s="9"/>
    </row>
    <row r="136838" spans="15:15" x14ac:dyDescent="0.25">
      <c r="O136838" s="9"/>
    </row>
    <row r="136859" spans="15:15" x14ac:dyDescent="0.25">
      <c r="O136859" s="9"/>
    </row>
    <row r="136880" spans="15:15" x14ac:dyDescent="0.25">
      <c r="O136880" s="9"/>
    </row>
    <row r="136901" spans="15:15" x14ac:dyDescent="0.25">
      <c r="O136901" s="9"/>
    </row>
    <row r="136922" spans="15:15" x14ac:dyDescent="0.25">
      <c r="O136922" s="9"/>
    </row>
    <row r="136943" spans="15:15" x14ac:dyDescent="0.25">
      <c r="O136943" s="9"/>
    </row>
    <row r="136964" spans="15:15" x14ac:dyDescent="0.25">
      <c r="O136964" s="9"/>
    </row>
    <row r="136985" spans="15:15" x14ac:dyDescent="0.25">
      <c r="O136985" s="9"/>
    </row>
    <row r="137006" spans="15:15" x14ac:dyDescent="0.25">
      <c r="O137006" s="9"/>
    </row>
    <row r="137027" spans="15:15" x14ac:dyDescent="0.25">
      <c r="O137027" s="9"/>
    </row>
    <row r="137048" spans="15:15" x14ac:dyDescent="0.25">
      <c r="O137048" s="9"/>
    </row>
    <row r="137069" spans="15:15" x14ac:dyDescent="0.25">
      <c r="O137069" s="9"/>
    </row>
    <row r="137090" spans="15:15" x14ac:dyDescent="0.25">
      <c r="O137090" s="9"/>
    </row>
    <row r="137111" spans="15:15" x14ac:dyDescent="0.25">
      <c r="O137111" s="9"/>
    </row>
    <row r="137132" spans="15:15" x14ac:dyDescent="0.25">
      <c r="O137132" s="9"/>
    </row>
    <row r="137153" spans="15:15" x14ac:dyDescent="0.25">
      <c r="O137153" s="9"/>
    </row>
    <row r="137174" spans="15:15" x14ac:dyDescent="0.25">
      <c r="O137174" s="9"/>
    </row>
    <row r="137195" spans="15:15" x14ac:dyDescent="0.25">
      <c r="O137195" s="9"/>
    </row>
    <row r="137216" spans="15:15" x14ac:dyDescent="0.25">
      <c r="O137216" s="9"/>
    </row>
    <row r="137237" spans="15:15" x14ac:dyDescent="0.25">
      <c r="O137237" s="9"/>
    </row>
    <row r="137258" spans="15:15" x14ac:dyDescent="0.25">
      <c r="O137258" s="9"/>
    </row>
    <row r="137279" spans="15:15" x14ac:dyDescent="0.25">
      <c r="O137279" s="9"/>
    </row>
    <row r="137300" spans="15:15" x14ac:dyDescent="0.25">
      <c r="O137300" s="9"/>
    </row>
    <row r="137321" spans="15:15" x14ac:dyDescent="0.25">
      <c r="O137321" s="9"/>
    </row>
    <row r="137342" spans="15:15" x14ac:dyDescent="0.25">
      <c r="O137342" s="9"/>
    </row>
    <row r="137363" spans="15:15" x14ac:dyDescent="0.25">
      <c r="O137363" s="9"/>
    </row>
    <row r="137384" spans="15:15" x14ac:dyDescent="0.25">
      <c r="O137384" s="9"/>
    </row>
    <row r="137405" spans="15:15" x14ac:dyDescent="0.25">
      <c r="O137405" s="9"/>
    </row>
    <row r="137426" spans="15:15" x14ac:dyDescent="0.25">
      <c r="O137426" s="9"/>
    </row>
    <row r="137447" spans="15:15" x14ac:dyDescent="0.25">
      <c r="O137447" s="9"/>
    </row>
    <row r="137468" spans="15:15" x14ac:dyDescent="0.25">
      <c r="O137468" s="9"/>
    </row>
    <row r="137489" spans="15:15" x14ac:dyDescent="0.25">
      <c r="O137489" s="9"/>
    </row>
    <row r="137510" spans="15:15" x14ac:dyDescent="0.25">
      <c r="O137510" s="9"/>
    </row>
    <row r="137531" spans="15:15" x14ac:dyDescent="0.25">
      <c r="O137531" s="9"/>
    </row>
    <row r="137552" spans="15:15" x14ac:dyDescent="0.25">
      <c r="O137552" s="9"/>
    </row>
    <row r="137573" spans="15:15" x14ac:dyDescent="0.25">
      <c r="O137573" s="9"/>
    </row>
    <row r="137594" spans="15:15" x14ac:dyDescent="0.25">
      <c r="O137594" s="9"/>
    </row>
    <row r="137615" spans="15:15" x14ac:dyDescent="0.25">
      <c r="O137615" s="9"/>
    </row>
    <row r="137636" spans="15:15" x14ac:dyDescent="0.25">
      <c r="O137636" s="9"/>
    </row>
    <row r="137657" spans="15:15" x14ac:dyDescent="0.25">
      <c r="O137657" s="9"/>
    </row>
    <row r="137678" spans="15:15" x14ac:dyDescent="0.25">
      <c r="O137678" s="9"/>
    </row>
    <row r="137699" spans="15:15" x14ac:dyDescent="0.25">
      <c r="O137699" s="9"/>
    </row>
    <row r="137720" spans="15:15" x14ac:dyDescent="0.25">
      <c r="O137720" s="9"/>
    </row>
    <row r="137741" spans="15:15" x14ac:dyDescent="0.25">
      <c r="O137741" s="9"/>
    </row>
    <row r="137762" spans="15:15" x14ac:dyDescent="0.25">
      <c r="O137762" s="9"/>
    </row>
    <row r="137783" spans="15:15" x14ac:dyDescent="0.25">
      <c r="O137783" s="9"/>
    </row>
    <row r="137804" spans="15:15" x14ac:dyDescent="0.25">
      <c r="O137804" s="9"/>
    </row>
    <row r="137825" spans="15:15" x14ac:dyDescent="0.25">
      <c r="O137825" s="9"/>
    </row>
    <row r="137846" spans="15:15" x14ac:dyDescent="0.25">
      <c r="O137846" s="9"/>
    </row>
    <row r="137867" spans="15:15" x14ac:dyDescent="0.25">
      <c r="O137867" s="9"/>
    </row>
    <row r="137888" spans="15:15" x14ac:dyDescent="0.25">
      <c r="O137888" s="9"/>
    </row>
    <row r="137909" spans="15:15" x14ac:dyDescent="0.25">
      <c r="O137909" s="9"/>
    </row>
    <row r="137930" spans="15:15" x14ac:dyDescent="0.25">
      <c r="O137930" s="9"/>
    </row>
    <row r="137951" spans="15:15" x14ac:dyDescent="0.25">
      <c r="O137951" s="9"/>
    </row>
    <row r="137972" spans="15:15" x14ac:dyDescent="0.25">
      <c r="O137972" s="9"/>
    </row>
    <row r="137993" spans="15:15" x14ac:dyDescent="0.25">
      <c r="O137993" s="9"/>
    </row>
    <row r="138014" spans="15:15" x14ac:dyDescent="0.25">
      <c r="O138014" s="9"/>
    </row>
    <row r="138035" spans="15:15" x14ac:dyDescent="0.25">
      <c r="O138035" s="9"/>
    </row>
    <row r="138056" spans="15:15" x14ac:dyDescent="0.25">
      <c r="O138056" s="9"/>
    </row>
    <row r="138077" spans="15:15" x14ac:dyDescent="0.25">
      <c r="O138077" s="9"/>
    </row>
    <row r="138098" spans="15:15" x14ac:dyDescent="0.25">
      <c r="O138098" s="9"/>
    </row>
    <row r="138119" spans="15:15" x14ac:dyDescent="0.25">
      <c r="O138119" s="9"/>
    </row>
    <row r="138140" spans="15:15" x14ac:dyDescent="0.25">
      <c r="O138140" s="9"/>
    </row>
    <row r="138161" spans="15:15" x14ac:dyDescent="0.25">
      <c r="O138161" s="9"/>
    </row>
    <row r="138182" spans="15:15" x14ac:dyDescent="0.25">
      <c r="O138182" s="9"/>
    </row>
    <row r="138203" spans="15:15" x14ac:dyDescent="0.25">
      <c r="O138203" s="9"/>
    </row>
    <row r="138224" spans="15:15" x14ac:dyDescent="0.25">
      <c r="O138224" s="9"/>
    </row>
    <row r="138245" spans="15:15" x14ac:dyDescent="0.25">
      <c r="O138245" s="9"/>
    </row>
    <row r="138266" spans="15:15" x14ac:dyDescent="0.25">
      <c r="O138266" s="9"/>
    </row>
    <row r="138287" spans="15:15" x14ac:dyDescent="0.25">
      <c r="O138287" s="9"/>
    </row>
    <row r="138308" spans="15:15" x14ac:dyDescent="0.25">
      <c r="O138308" s="9"/>
    </row>
    <row r="138329" spans="15:15" x14ac:dyDescent="0.25">
      <c r="O138329" s="9"/>
    </row>
    <row r="138350" spans="15:15" x14ac:dyDescent="0.25">
      <c r="O138350" s="9"/>
    </row>
    <row r="138371" spans="15:15" x14ac:dyDescent="0.25">
      <c r="O138371" s="9"/>
    </row>
    <row r="138392" spans="15:15" x14ac:dyDescent="0.25">
      <c r="O138392" s="9"/>
    </row>
    <row r="138413" spans="15:15" x14ac:dyDescent="0.25">
      <c r="O138413" s="9"/>
    </row>
    <row r="138434" spans="15:15" x14ac:dyDescent="0.25">
      <c r="O138434" s="9"/>
    </row>
    <row r="138455" spans="15:15" x14ac:dyDescent="0.25">
      <c r="O138455" s="9"/>
    </row>
    <row r="138476" spans="15:15" x14ac:dyDescent="0.25">
      <c r="O138476" s="9"/>
    </row>
    <row r="138497" spans="15:15" x14ac:dyDescent="0.25">
      <c r="O138497" s="9"/>
    </row>
    <row r="138518" spans="15:15" x14ac:dyDescent="0.25">
      <c r="O138518" s="9"/>
    </row>
    <row r="138539" spans="15:15" x14ac:dyDescent="0.25">
      <c r="O138539" s="9"/>
    </row>
    <row r="138560" spans="15:15" x14ac:dyDescent="0.25">
      <c r="O138560" s="9"/>
    </row>
    <row r="138581" spans="15:15" x14ac:dyDescent="0.25">
      <c r="O138581" s="9"/>
    </row>
    <row r="138602" spans="15:15" x14ac:dyDescent="0.25">
      <c r="O138602" s="9"/>
    </row>
    <row r="138623" spans="15:15" x14ac:dyDescent="0.25">
      <c r="O138623" s="9"/>
    </row>
    <row r="138644" spans="15:15" x14ac:dyDescent="0.25">
      <c r="O138644" s="9"/>
    </row>
    <row r="138665" spans="15:15" x14ac:dyDescent="0.25">
      <c r="O138665" s="9"/>
    </row>
    <row r="138686" spans="15:15" x14ac:dyDescent="0.25">
      <c r="O138686" s="9"/>
    </row>
    <row r="138707" spans="15:15" x14ac:dyDescent="0.25">
      <c r="O138707" s="9"/>
    </row>
    <row r="138728" spans="15:15" x14ac:dyDescent="0.25">
      <c r="O138728" s="9"/>
    </row>
    <row r="138749" spans="15:15" x14ac:dyDescent="0.25">
      <c r="O138749" s="9"/>
    </row>
    <row r="138770" spans="15:15" x14ac:dyDescent="0.25">
      <c r="O138770" s="9"/>
    </row>
    <row r="138791" spans="15:15" x14ac:dyDescent="0.25">
      <c r="O138791" s="9"/>
    </row>
    <row r="138812" spans="15:15" x14ac:dyDescent="0.25">
      <c r="O138812" s="9"/>
    </row>
    <row r="138833" spans="15:15" x14ac:dyDescent="0.25">
      <c r="O138833" s="9"/>
    </row>
    <row r="138854" spans="15:15" x14ac:dyDescent="0.25">
      <c r="O138854" s="9"/>
    </row>
    <row r="138875" spans="15:15" x14ac:dyDescent="0.25">
      <c r="O138875" s="9"/>
    </row>
    <row r="138896" spans="15:15" x14ac:dyDescent="0.25">
      <c r="O138896" s="9"/>
    </row>
    <row r="138917" spans="15:15" x14ac:dyDescent="0.25">
      <c r="O138917" s="9"/>
    </row>
    <row r="138938" spans="15:15" x14ac:dyDescent="0.25">
      <c r="O138938" s="9"/>
    </row>
    <row r="138959" spans="15:15" x14ac:dyDescent="0.25">
      <c r="O138959" s="9"/>
    </row>
    <row r="138980" spans="15:15" x14ac:dyDescent="0.25">
      <c r="O138980" s="9"/>
    </row>
    <row r="139001" spans="15:15" x14ac:dyDescent="0.25">
      <c r="O139001" s="9"/>
    </row>
    <row r="139022" spans="15:15" x14ac:dyDescent="0.25">
      <c r="O139022" s="9"/>
    </row>
    <row r="139043" spans="15:15" x14ac:dyDescent="0.25">
      <c r="O139043" s="9"/>
    </row>
    <row r="139064" spans="15:15" x14ac:dyDescent="0.25">
      <c r="O139064" s="9"/>
    </row>
    <row r="139085" spans="15:15" x14ac:dyDescent="0.25">
      <c r="O139085" s="9"/>
    </row>
    <row r="139106" spans="15:15" x14ac:dyDescent="0.25">
      <c r="O139106" s="9"/>
    </row>
    <row r="139127" spans="15:15" x14ac:dyDescent="0.25">
      <c r="O139127" s="9"/>
    </row>
    <row r="139148" spans="15:15" x14ac:dyDescent="0.25">
      <c r="O139148" s="9"/>
    </row>
    <row r="139169" spans="15:15" x14ac:dyDescent="0.25">
      <c r="O139169" s="9"/>
    </row>
    <row r="139190" spans="15:15" x14ac:dyDescent="0.25">
      <c r="O139190" s="9"/>
    </row>
    <row r="139211" spans="15:15" x14ac:dyDescent="0.25">
      <c r="O139211" s="9"/>
    </row>
    <row r="139232" spans="15:15" x14ac:dyDescent="0.25">
      <c r="O139232" s="9"/>
    </row>
    <row r="139253" spans="15:15" x14ac:dyDescent="0.25">
      <c r="O139253" s="9"/>
    </row>
    <row r="139274" spans="15:15" x14ac:dyDescent="0.25">
      <c r="O139274" s="9"/>
    </row>
    <row r="139295" spans="15:15" x14ac:dyDescent="0.25">
      <c r="O139295" s="9"/>
    </row>
    <row r="139316" spans="15:15" x14ac:dyDescent="0.25">
      <c r="O139316" s="9"/>
    </row>
    <row r="139337" spans="15:15" x14ac:dyDescent="0.25">
      <c r="O139337" s="9"/>
    </row>
    <row r="139358" spans="15:15" x14ac:dyDescent="0.25">
      <c r="O139358" s="9"/>
    </row>
    <row r="139379" spans="15:15" x14ac:dyDescent="0.25">
      <c r="O139379" s="9"/>
    </row>
    <row r="139400" spans="15:15" x14ac:dyDescent="0.25">
      <c r="O139400" s="9"/>
    </row>
    <row r="139421" spans="15:15" x14ac:dyDescent="0.25">
      <c r="O139421" s="9"/>
    </row>
    <row r="139442" spans="15:15" x14ac:dyDescent="0.25">
      <c r="O139442" s="9"/>
    </row>
    <row r="139463" spans="15:15" x14ac:dyDescent="0.25">
      <c r="O139463" s="9"/>
    </row>
    <row r="139484" spans="15:15" x14ac:dyDescent="0.25">
      <c r="O139484" s="9"/>
    </row>
    <row r="139505" spans="15:15" x14ac:dyDescent="0.25">
      <c r="O139505" s="9"/>
    </row>
    <row r="139526" spans="15:15" x14ac:dyDescent="0.25">
      <c r="O139526" s="9"/>
    </row>
    <row r="139547" spans="15:15" x14ac:dyDescent="0.25">
      <c r="O139547" s="9"/>
    </row>
    <row r="139568" spans="15:15" x14ac:dyDescent="0.25">
      <c r="O139568" s="9"/>
    </row>
    <row r="139589" spans="15:15" x14ac:dyDescent="0.25">
      <c r="O139589" s="9"/>
    </row>
    <row r="139610" spans="15:15" x14ac:dyDescent="0.25">
      <c r="O139610" s="9"/>
    </row>
    <row r="139631" spans="15:15" x14ac:dyDescent="0.25">
      <c r="O139631" s="9"/>
    </row>
    <row r="139652" spans="15:15" x14ac:dyDescent="0.25">
      <c r="O139652" s="9"/>
    </row>
    <row r="139673" spans="15:15" x14ac:dyDescent="0.25">
      <c r="O139673" s="9"/>
    </row>
    <row r="139694" spans="15:15" x14ac:dyDescent="0.25">
      <c r="O139694" s="9"/>
    </row>
    <row r="139715" spans="15:15" x14ac:dyDescent="0.25">
      <c r="O139715" s="9"/>
    </row>
    <row r="139736" spans="15:15" x14ac:dyDescent="0.25">
      <c r="O139736" s="9"/>
    </row>
    <row r="139757" spans="15:15" x14ac:dyDescent="0.25">
      <c r="O139757" s="9"/>
    </row>
    <row r="139778" spans="15:15" x14ac:dyDescent="0.25">
      <c r="O139778" s="9"/>
    </row>
    <row r="139799" spans="15:15" x14ac:dyDescent="0.25">
      <c r="O139799" s="9"/>
    </row>
    <row r="139820" spans="15:15" x14ac:dyDescent="0.25">
      <c r="O139820" s="9"/>
    </row>
    <row r="139841" spans="15:15" x14ac:dyDescent="0.25">
      <c r="O139841" s="9"/>
    </row>
    <row r="139862" spans="15:15" x14ac:dyDescent="0.25">
      <c r="O139862" s="9"/>
    </row>
    <row r="139883" spans="15:15" x14ac:dyDescent="0.25">
      <c r="O139883" s="9"/>
    </row>
    <row r="139904" spans="15:15" x14ac:dyDescent="0.25">
      <c r="O139904" s="9"/>
    </row>
    <row r="139925" spans="15:15" x14ac:dyDescent="0.25">
      <c r="O139925" s="9"/>
    </row>
    <row r="139946" spans="15:15" x14ac:dyDescent="0.25">
      <c r="O139946" s="9"/>
    </row>
    <row r="139967" spans="15:15" x14ac:dyDescent="0.25">
      <c r="O139967" s="9"/>
    </row>
    <row r="139988" spans="15:15" x14ac:dyDescent="0.25">
      <c r="O139988" s="9"/>
    </row>
    <row r="140009" spans="15:15" x14ac:dyDescent="0.25">
      <c r="O140009" s="9"/>
    </row>
    <row r="140030" spans="15:15" x14ac:dyDescent="0.25">
      <c r="O140030" s="9"/>
    </row>
    <row r="140051" spans="15:15" x14ac:dyDescent="0.25">
      <c r="O140051" s="9"/>
    </row>
    <row r="140072" spans="15:15" x14ac:dyDescent="0.25">
      <c r="O140072" s="9"/>
    </row>
    <row r="140093" spans="15:15" x14ac:dyDescent="0.25">
      <c r="O140093" s="9"/>
    </row>
    <row r="140114" spans="15:15" x14ac:dyDescent="0.25">
      <c r="O140114" s="9"/>
    </row>
    <row r="140135" spans="15:15" x14ac:dyDescent="0.25">
      <c r="O140135" s="9"/>
    </row>
    <row r="140156" spans="15:15" x14ac:dyDescent="0.25">
      <c r="O140156" s="9"/>
    </row>
    <row r="140177" spans="15:15" x14ac:dyDescent="0.25">
      <c r="O140177" s="9"/>
    </row>
    <row r="140198" spans="15:15" x14ac:dyDescent="0.25">
      <c r="O140198" s="9"/>
    </row>
    <row r="140219" spans="15:15" x14ac:dyDescent="0.25">
      <c r="O140219" s="9"/>
    </row>
    <row r="140240" spans="15:15" x14ac:dyDescent="0.25">
      <c r="O140240" s="9"/>
    </row>
    <row r="140261" spans="15:15" x14ac:dyDescent="0.25">
      <c r="O140261" s="9"/>
    </row>
    <row r="140282" spans="15:15" x14ac:dyDescent="0.25">
      <c r="O140282" s="9"/>
    </row>
    <row r="140303" spans="15:15" x14ac:dyDescent="0.25">
      <c r="O140303" s="9"/>
    </row>
    <row r="140324" spans="15:15" x14ac:dyDescent="0.25">
      <c r="O140324" s="9"/>
    </row>
    <row r="140345" spans="15:15" x14ac:dyDescent="0.25">
      <c r="O140345" s="9"/>
    </row>
    <row r="140366" spans="15:15" x14ac:dyDescent="0.25">
      <c r="O140366" s="9"/>
    </row>
    <row r="140387" spans="15:15" x14ac:dyDescent="0.25">
      <c r="O140387" s="9"/>
    </row>
    <row r="140408" spans="15:15" x14ac:dyDescent="0.25">
      <c r="O140408" s="9"/>
    </row>
    <row r="140429" spans="15:15" x14ac:dyDescent="0.25">
      <c r="O140429" s="9"/>
    </row>
    <row r="140450" spans="15:15" x14ac:dyDescent="0.25">
      <c r="O140450" s="9"/>
    </row>
    <row r="140471" spans="15:15" x14ac:dyDescent="0.25">
      <c r="O140471" s="9"/>
    </row>
    <row r="140492" spans="15:15" x14ac:dyDescent="0.25">
      <c r="O140492" s="9"/>
    </row>
    <row r="140513" spans="15:15" x14ac:dyDescent="0.25">
      <c r="O140513" s="9"/>
    </row>
    <row r="140534" spans="15:15" x14ac:dyDescent="0.25">
      <c r="O140534" s="9"/>
    </row>
    <row r="140555" spans="15:15" x14ac:dyDescent="0.25">
      <c r="O140555" s="9"/>
    </row>
    <row r="140576" spans="15:15" x14ac:dyDescent="0.25">
      <c r="O140576" s="9"/>
    </row>
    <row r="140597" spans="15:15" x14ac:dyDescent="0.25">
      <c r="O140597" s="9"/>
    </row>
    <row r="140618" spans="15:15" x14ac:dyDescent="0.25">
      <c r="O140618" s="9"/>
    </row>
    <row r="140639" spans="15:15" x14ac:dyDescent="0.25">
      <c r="O140639" s="9"/>
    </row>
    <row r="140660" spans="15:15" x14ac:dyDescent="0.25">
      <c r="O140660" s="9"/>
    </row>
    <row r="140681" spans="15:15" x14ac:dyDescent="0.25">
      <c r="O140681" s="9"/>
    </row>
    <row r="140702" spans="15:15" x14ac:dyDescent="0.25">
      <c r="O140702" s="9"/>
    </row>
    <row r="140723" spans="15:15" x14ac:dyDescent="0.25">
      <c r="O140723" s="9"/>
    </row>
    <row r="140744" spans="15:15" x14ac:dyDescent="0.25">
      <c r="O140744" s="9"/>
    </row>
    <row r="140765" spans="15:15" x14ac:dyDescent="0.25">
      <c r="O140765" s="9"/>
    </row>
    <row r="140786" spans="15:15" x14ac:dyDescent="0.25">
      <c r="O140786" s="9"/>
    </row>
    <row r="140807" spans="15:15" x14ac:dyDescent="0.25">
      <c r="O140807" s="9"/>
    </row>
    <row r="140828" spans="15:15" x14ac:dyDescent="0.25">
      <c r="O140828" s="9"/>
    </row>
    <row r="140849" spans="15:15" x14ac:dyDescent="0.25">
      <c r="O140849" s="9"/>
    </row>
    <row r="140870" spans="15:15" x14ac:dyDescent="0.25">
      <c r="O140870" s="9"/>
    </row>
    <row r="140891" spans="15:15" x14ac:dyDescent="0.25">
      <c r="O140891" s="9"/>
    </row>
    <row r="140912" spans="15:15" x14ac:dyDescent="0.25">
      <c r="O140912" s="9"/>
    </row>
    <row r="140933" spans="15:15" x14ac:dyDescent="0.25">
      <c r="O140933" s="9"/>
    </row>
    <row r="140954" spans="15:15" x14ac:dyDescent="0.25">
      <c r="O140954" s="9"/>
    </row>
    <row r="140975" spans="15:15" x14ac:dyDescent="0.25">
      <c r="O140975" s="9"/>
    </row>
    <row r="140996" spans="15:15" x14ac:dyDescent="0.25">
      <c r="O140996" s="9"/>
    </row>
    <row r="141017" spans="15:15" x14ac:dyDescent="0.25">
      <c r="O141017" s="9"/>
    </row>
    <row r="141038" spans="15:15" x14ac:dyDescent="0.25">
      <c r="O141038" s="9"/>
    </row>
    <row r="141059" spans="15:15" x14ac:dyDescent="0.25">
      <c r="O141059" s="9"/>
    </row>
    <row r="141080" spans="15:15" x14ac:dyDescent="0.25">
      <c r="O141080" s="9"/>
    </row>
    <row r="141101" spans="15:15" x14ac:dyDescent="0.25">
      <c r="O141101" s="9"/>
    </row>
    <row r="141122" spans="15:15" x14ac:dyDescent="0.25">
      <c r="O141122" s="9"/>
    </row>
    <row r="141143" spans="15:15" x14ac:dyDescent="0.25">
      <c r="O141143" s="9"/>
    </row>
    <row r="141164" spans="15:15" x14ac:dyDescent="0.25">
      <c r="O141164" s="9"/>
    </row>
    <row r="141185" spans="15:15" x14ac:dyDescent="0.25">
      <c r="O141185" s="9"/>
    </row>
    <row r="141206" spans="15:15" x14ac:dyDescent="0.25">
      <c r="O141206" s="9"/>
    </row>
    <row r="141227" spans="15:15" x14ac:dyDescent="0.25">
      <c r="O141227" s="9"/>
    </row>
    <row r="141248" spans="15:15" x14ac:dyDescent="0.25">
      <c r="O141248" s="9"/>
    </row>
    <row r="141269" spans="15:15" x14ac:dyDescent="0.25">
      <c r="O141269" s="9"/>
    </row>
    <row r="141290" spans="15:15" x14ac:dyDescent="0.25">
      <c r="O141290" s="9"/>
    </row>
    <row r="141311" spans="15:15" x14ac:dyDescent="0.25">
      <c r="O141311" s="9"/>
    </row>
    <row r="141332" spans="15:15" x14ac:dyDescent="0.25">
      <c r="O141332" s="9"/>
    </row>
    <row r="141353" spans="15:15" x14ac:dyDescent="0.25">
      <c r="O141353" s="9"/>
    </row>
    <row r="141374" spans="15:15" x14ac:dyDescent="0.25">
      <c r="O141374" s="9"/>
    </row>
    <row r="141395" spans="15:15" x14ac:dyDescent="0.25">
      <c r="O141395" s="9"/>
    </row>
    <row r="141416" spans="15:15" x14ac:dyDescent="0.25">
      <c r="O141416" s="9"/>
    </row>
    <row r="141437" spans="15:15" x14ac:dyDescent="0.25">
      <c r="O141437" s="9"/>
    </row>
    <row r="141458" spans="15:15" x14ac:dyDescent="0.25">
      <c r="O141458" s="9"/>
    </row>
    <row r="141479" spans="15:15" x14ac:dyDescent="0.25">
      <c r="O141479" s="9"/>
    </row>
    <row r="141500" spans="15:15" x14ac:dyDescent="0.25">
      <c r="O141500" s="9"/>
    </row>
    <row r="141521" spans="15:15" x14ac:dyDescent="0.25">
      <c r="O141521" s="9"/>
    </row>
    <row r="141542" spans="15:15" x14ac:dyDescent="0.25">
      <c r="O141542" s="9"/>
    </row>
    <row r="141563" spans="15:15" x14ac:dyDescent="0.25">
      <c r="O141563" s="9"/>
    </row>
    <row r="141584" spans="15:15" x14ac:dyDescent="0.25">
      <c r="O141584" s="9"/>
    </row>
    <row r="141605" spans="15:15" x14ac:dyDescent="0.25">
      <c r="O141605" s="9"/>
    </row>
    <row r="141626" spans="15:15" x14ac:dyDescent="0.25">
      <c r="O141626" s="9"/>
    </row>
    <row r="141647" spans="15:15" x14ac:dyDescent="0.25">
      <c r="O141647" s="9"/>
    </row>
    <row r="141668" spans="15:15" x14ac:dyDescent="0.25">
      <c r="O141668" s="9"/>
    </row>
    <row r="141689" spans="15:15" x14ac:dyDescent="0.25">
      <c r="O141689" s="9"/>
    </row>
    <row r="141710" spans="15:15" x14ac:dyDescent="0.25">
      <c r="O141710" s="9"/>
    </row>
    <row r="141731" spans="15:15" x14ac:dyDescent="0.25">
      <c r="O141731" s="9"/>
    </row>
    <row r="141752" spans="15:15" x14ac:dyDescent="0.25">
      <c r="O141752" s="9"/>
    </row>
    <row r="141773" spans="15:15" x14ac:dyDescent="0.25">
      <c r="O141773" s="9"/>
    </row>
    <row r="141794" spans="15:15" x14ac:dyDescent="0.25">
      <c r="O141794" s="9"/>
    </row>
    <row r="141815" spans="15:15" x14ac:dyDescent="0.25">
      <c r="O141815" s="9"/>
    </row>
    <row r="141836" spans="15:15" x14ac:dyDescent="0.25">
      <c r="O141836" s="9"/>
    </row>
    <row r="141857" spans="15:15" x14ac:dyDescent="0.25">
      <c r="O141857" s="9"/>
    </row>
    <row r="141878" spans="15:15" x14ac:dyDescent="0.25">
      <c r="O141878" s="9"/>
    </row>
    <row r="141899" spans="15:15" x14ac:dyDescent="0.25">
      <c r="O141899" s="9"/>
    </row>
    <row r="141920" spans="15:15" x14ac:dyDescent="0.25">
      <c r="O141920" s="9"/>
    </row>
    <row r="141941" spans="15:15" x14ac:dyDescent="0.25">
      <c r="O141941" s="9"/>
    </row>
    <row r="141962" spans="15:15" x14ac:dyDescent="0.25">
      <c r="O141962" s="9"/>
    </row>
    <row r="141983" spans="15:15" x14ac:dyDescent="0.25">
      <c r="O141983" s="9"/>
    </row>
    <row r="142004" spans="15:15" x14ac:dyDescent="0.25">
      <c r="O142004" s="9"/>
    </row>
    <row r="142025" spans="15:15" x14ac:dyDescent="0.25">
      <c r="O142025" s="9"/>
    </row>
    <row r="142046" spans="15:15" x14ac:dyDescent="0.25">
      <c r="O142046" s="9"/>
    </row>
    <row r="142067" spans="15:15" x14ac:dyDescent="0.25">
      <c r="O142067" s="9"/>
    </row>
    <row r="142088" spans="15:15" x14ac:dyDescent="0.25">
      <c r="O142088" s="9"/>
    </row>
    <row r="142109" spans="15:15" x14ac:dyDescent="0.25">
      <c r="O142109" s="9"/>
    </row>
    <row r="142130" spans="15:15" x14ac:dyDescent="0.25">
      <c r="O142130" s="9"/>
    </row>
    <row r="142151" spans="15:15" x14ac:dyDescent="0.25">
      <c r="O142151" s="9"/>
    </row>
    <row r="142172" spans="15:15" x14ac:dyDescent="0.25">
      <c r="O142172" s="9"/>
    </row>
    <row r="142193" spans="15:15" x14ac:dyDescent="0.25">
      <c r="O142193" s="9"/>
    </row>
    <row r="142214" spans="15:15" x14ac:dyDescent="0.25">
      <c r="O142214" s="9"/>
    </row>
    <row r="142235" spans="15:15" x14ac:dyDescent="0.25">
      <c r="O142235" s="9"/>
    </row>
    <row r="142256" spans="15:15" x14ac:dyDescent="0.25">
      <c r="O142256" s="9"/>
    </row>
    <row r="142277" spans="15:15" x14ac:dyDescent="0.25">
      <c r="O142277" s="9"/>
    </row>
    <row r="142298" spans="15:15" x14ac:dyDescent="0.25">
      <c r="O142298" s="9"/>
    </row>
    <row r="142319" spans="15:15" x14ac:dyDescent="0.25">
      <c r="O142319" s="9"/>
    </row>
    <row r="142340" spans="15:15" x14ac:dyDescent="0.25">
      <c r="O142340" s="9"/>
    </row>
    <row r="142361" spans="15:15" x14ac:dyDescent="0.25">
      <c r="O142361" s="9"/>
    </row>
    <row r="142382" spans="15:15" x14ac:dyDescent="0.25">
      <c r="O142382" s="9"/>
    </row>
    <row r="142403" spans="15:15" x14ac:dyDescent="0.25">
      <c r="O142403" s="9"/>
    </row>
    <row r="142424" spans="15:15" x14ac:dyDescent="0.25">
      <c r="O142424" s="9"/>
    </row>
    <row r="142445" spans="15:15" x14ac:dyDescent="0.25">
      <c r="O142445" s="9"/>
    </row>
    <row r="142466" spans="15:15" x14ac:dyDescent="0.25">
      <c r="O142466" s="9"/>
    </row>
    <row r="142487" spans="15:15" x14ac:dyDescent="0.25">
      <c r="O142487" s="9"/>
    </row>
    <row r="142508" spans="15:15" x14ac:dyDescent="0.25">
      <c r="O142508" s="9"/>
    </row>
    <row r="142529" spans="15:15" x14ac:dyDescent="0.25">
      <c r="O142529" s="9"/>
    </row>
    <row r="142550" spans="15:15" x14ac:dyDescent="0.25">
      <c r="O142550" s="9"/>
    </row>
    <row r="142571" spans="15:15" x14ac:dyDescent="0.25">
      <c r="O142571" s="9"/>
    </row>
    <row r="142592" spans="15:15" x14ac:dyDescent="0.25">
      <c r="O142592" s="9"/>
    </row>
    <row r="142613" spans="15:15" x14ac:dyDescent="0.25">
      <c r="O142613" s="9"/>
    </row>
    <row r="142634" spans="15:15" x14ac:dyDescent="0.25">
      <c r="O142634" s="9"/>
    </row>
    <row r="142655" spans="15:15" x14ac:dyDescent="0.25">
      <c r="O142655" s="9"/>
    </row>
    <row r="142676" spans="15:15" x14ac:dyDescent="0.25">
      <c r="O142676" s="9"/>
    </row>
    <row r="142697" spans="15:15" x14ac:dyDescent="0.25">
      <c r="O142697" s="9"/>
    </row>
    <row r="142718" spans="15:15" x14ac:dyDescent="0.25">
      <c r="O142718" s="9"/>
    </row>
    <row r="142739" spans="15:15" x14ac:dyDescent="0.25">
      <c r="O142739" s="9"/>
    </row>
    <row r="142760" spans="15:15" x14ac:dyDescent="0.25">
      <c r="O142760" s="9"/>
    </row>
    <row r="142781" spans="15:15" x14ac:dyDescent="0.25">
      <c r="O142781" s="9"/>
    </row>
    <row r="142802" spans="15:15" x14ac:dyDescent="0.25">
      <c r="O142802" s="9"/>
    </row>
    <row r="142823" spans="15:15" x14ac:dyDescent="0.25">
      <c r="O142823" s="9"/>
    </row>
    <row r="142844" spans="15:15" x14ac:dyDescent="0.25">
      <c r="O142844" s="9"/>
    </row>
    <row r="142865" spans="15:15" x14ac:dyDescent="0.25">
      <c r="O142865" s="9"/>
    </row>
    <row r="142886" spans="15:15" x14ac:dyDescent="0.25">
      <c r="O142886" s="9"/>
    </row>
    <row r="142907" spans="15:15" x14ac:dyDescent="0.25">
      <c r="O142907" s="9"/>
    </row>
    <row r="142928" spans="15:15" x14ac:dyDescent="0.25">
      <c r="O142928" s="9"/>
    </row>
    <row r="142949" spans="15:15" x14ac:dyDescent="0.25">
      <c r="O142949" s="9"/>
    </row>
    <row r="142970" spans="15:15" x14ac:dyDescent="0.25">
      <c r="O142970" s="9"/>
    </row>
    <row r="142991" spans="15:15" x14ac:dyDescent="0.25">
      <c r="O142991" s="9"/>
    </row>
    <row r="143012" spans="15:15" x14ac:dyDescent="0.25">
      <c r="O143012" s="9"/>
    </row>
    <row r="143033" spans="15:15" x14ac:dyDescent="0.25">
      <c r="O143033" s="9"/>
    </row>
    <row r="143054" spans="15:15" x14ac:dyDescent="0.25">
      <c r="O143054" s="9"/>
    </row>
    <row r="143075" spans="15:15" x14ac:dyDescent="0.25">
      <c r="O143075" s="9"/>
    </row>
    <row r="143096" spans="15:15" x14ac:dyDescent="0.25">
      <c r="O143096" s="9"/>
    </row>
    <row r="143117" spans="15:15" x14ac:dyDescent="0.25">
      <c r="O143117" s="9"/>
    </row>
    <row r="143138" spans="15:15" x14ac:dyDescent="0.25">
      <c r="O143138" s="9"/>
    </row>
    <row r="143159" spans="15:15" x14ac:dyDescent="0.25">
      <c r="O143159" s="9"/>
    </row>
    <row r="143180" spans="15:15" x14ac:dyDescent="0.25">
      <c r="O143180" s="9"/>
    </row>
    <row r="143201" spans="15:15" x14ac:dyDescent="0.25">
      <c r="O143201" s="9"/>
    </row>
    <row r="143222" spans="15:15" x14ac:dyDescent="0.25">
      <c r="O143222" s="9"/>
    </row>
    <row r="143243" spans="15:15" x14ac:dyDescent="0.25">
      <c r="O143243" s="9"/>
    </row>
    <row r="143264" spans="15:15" x14ac:dyDescent="0.25">
      <c r="O143264" s="9"/>
    </row>
    <row r="143285" spans="15:15" x14ac:dyDescent="0.25">
      <c r="O143285" s="9"/>
    </row>
    <row r="143306" spans="15:15" x14ac:dyDescent="0.25">
      <c r="O143306" s="9"/>
    </row>
    <row r="143327" spans="15:15" x14ac:dyDescent="0.25">
      <c r="O143327" s="9"/>
    </row>
    <row r="143348" spans="15:15" x14ac:dyDescent="0.25">
      <c r="O143348" s="9"/>
    </row>
    <row r="143369" spans="15:15" x14ac:dyDescent="0.25">
      <c r="O143369" s="9"/>
    </row>
    <row r="143390" spans="15:15" x14ac:dyDescent="0.25">
      <c r="O143390" s="9"/>
    </row>
    <row r="143411" spans="15:15" x14ac:dyDescent="0.25">
      <c r="O143411" s="9"/>
    </row>
    <row r="143432" spans="15:15" x14ac:dyDescent="0.25">
      <c r="O143432" s="9"/>
    </row>
    <row r="143453" spans="15:15" x14ac:dyDescent="0.25">
      <c r="O143453" s="9"/>
    </row>
    <row r="143474" spans="15:15" x14ac:dyDescent="0.25">
      <c r="O143474" s="9"/>
    </row>
    <row r="143495" spans="15:15" x14ac:dyDescent="0.25">
      <c r="O143495" s="9"/>
    </row>
    <row r="143516" spans="15:15" x14ac:dyDescent="0.25">
      <c r="O143516" s="9"/>
    </row>
    <row r="143537" spans="15:15" x14ac:dyDescent="0.25">
      <c r="O143537" s="9"/>
    </row>
    <row r="143558" spans="15:15" x14ac:dyDescent="0.25">
      <c r="O143558" s="9"/>
    </row>
    <row r="143579" spans="15:15" x14ac:dyDescent="0.25">
      <c r="O143579" s="9"/>
    </row>
    <row r="143600" spans="15:15" x14ac:dyDescent="0.25">
      <c r="O143600" s="9"/>
    </row>
    <row r="143621" spans="15:15" x14ac:dyDescent="0.25">
      <c r="O143621" s="9"/>
    </row>
    <row r="143642" spans="15:15" x14ac:dyDescent="0.25">
      <c r="O143642" s="9"/>
    </row>
    <row r="143663" spans="15:15" x14ac:dyDescent="0.25">
      <c r="O143663" s="9"/>
    </row>
    <row r="143684" spans="15:15" x14ac:dyDescent="0.25">
      <c r="O143684" s="9"/>
    </row>
    <row r="143705" spans="15:15" x14ac:dyDescent="0.25">
      <c r="O143705" s="9"/>
    </row>
    <row r="143726" spans="15:15" x14ac:dyDescent="0.25">
      <c r="O143726" s="9"/>
    </row>
    <row r="143747" spans="15:15" x14ac:dyDescent="0.25">
      <c r="O143747" s="9"/>
    </row>
    <row r="143768" spans="15:15" x14ac:dyDescent="0.25">
      <c r="O143768" s="9"/>
    </row>
    <row r="143789" spans="15:15" x14ac:dyDescent="0.25">
      <c r="O143789" s="9"/>
    </row>
    <row r="143810" spans="15:15" x14ac:dyDescent="0.25">
      <c r="O143810" s="9"/>
    </row>
    <row r="143831" spans="15:15" x14ac:dyDescent="0.25">
      <c r="O143831" s="9"/>
    </row>
    <row r="143852" spans="15:15" x14ac:dyDescent="0.25">
      <c r="O143852" s="9"/>
    </row>
    <row r="143873" spans="15:15" x14ac:dyDescent="0.25">
      <c r="O143873" s="9"/>
    </row>
    <row r="143894" spans="15:15" x14ac:dyDescent="0.25">
      <c r="O143894" s="9"/>
    </row>
    <row r="143915" spans="15:15" x14ac:dyDescent="0.25">
      <c r="O143915" s="9"/>
    </row>
    <row r="143936" spans="15:15" x14ac:dyDescent="0.25">
      <c r="O143936" s="9"/>
    </row>
    <row r="143957" spans="15:15" x14ac:dyDescent="0.25">
      <c r="O143957" s="9"/>
    </row>
    <row r="143978" spans="15:15" x14ac:dyDescent="0.25">
      <c r="O143978" s="9"/>
    </row>
    <row r="143999" spans="15:15" x14ac:dyDescent="0.25">
      <c r="O143999" s="9"/>
    </row>
    <row r="144020" spans="15:15" x14ac:dyDescent="0.25">
      <c r="O144020" s="9"/>
    </row>
    <row r="144041" spans="15:15" x14ac:dyDescent="0.25">
      <c r="O144041" s="9"/>
    </row>
    <row r="144062" spans="15:15" x14ac:dyDescent="0.25">
      <c r="O144062" s="9"/>
    </row>
    <row r="144083" spans="15:15" x14ac:dyDescent="0.25">
      <c r="O144083" s="9"/>
    </row>
    <row r="144104" spans="15:15" x14ac:dyDescent="0.25">
      <c r="O144104" s="9"/>
    </row>
    <row r="144125" spans="15:15" x14ac:dyDescent="0.25">
      <c r="O144125" s="9"/>
    </row>
    <row r="144146" spans="15:15" x14ac:dyDescent="0.25">
      <c r="O144146" s="9"/>
    </row>
    <row r="144167" spans="15:15" x14ac:dyDescent="0.25">
      <c r="O144167" s="9"/>
    </row>
    <row r="144188" spans="15:15" x14ac:dyDescent="0.25">
      <c r="O144188" s="9"/>
    </row>
    <row r="144209" spans="15:15" x14ac:dyDescent="0.25">
      <c r="O144209" s="9"/>
    </row>
    <row r="144230" spans="15:15" x14ac:dyDescent="0.25">
      <c r="O144230" s="9"/>
    </row>
    <row r="144251" spans="15:15" x14ac:dyDescent="0.25">
      <c r="O144251" s="9"/>
    </row>
    <row r="144272" spans="15:15" x14ac:dyDescent="0.25">
      <c r="O144272" s="9"/>
    </row>
    <row r="144293" spans="15:15" x14ac:dyDescent="0.25">
      <c r="O144293" s="9"/>
    </row>
    <row r="144314" spans="15:15" x14ac:dyDescent="0.25">
      <c r="O144314" s="9"/>
    </row>
    <row r="144335" spans="15:15" x14ac:dyDescent="0.25">
      <c r="O144335" s="9"/>
    </row>
    <row r="144356" spans="15:15" x14ac:dyDescent="0.25">
      <c r="O144356" s="9"/>
    </row>
    <row r="144377" spans="15:15" x14ac:dyDescent="0.25">
      <c r="O144377" s="9"/>
    </row>
    <row r="144398" spans="15:15" x14ac:dyDescent="0.25">
      <c r="O144398" s="9"/>
    </row>
    <row r="144419" spans="15:15" x14ac:dyDescent="0.25">
      <c r="O144419" s="9"/>
    </row>
    <row r="144440" spans="15:15" x14ac:dyDescent="0.25">
      <c r="O144440" s="9"/>
    </row>
    <row r="144461" spans="15:15" x14ac:dyDescent="0.25">
      <c r="O144461" s="9"/>
    </row>
    <row r="144482" spans="15:15" x14ac:dyDescent="0.25">
      <c r="O144482" s="9"/>
    </row>
    <row r="144503" spans="15:15" x14ac:dyDescent="0.25">
      <c r="O144503" s="9"/>
    </row>
    <row r="144524" spans="15:15" x14ac:dyDescent="0.25">
      <c r="O144524" s="9"/>
    </row>
    <row r="144545" spans="15:15" x14ac:dyDescent="0.25">
      <c r="O144545" s="9"/>
    </row>
    <row r="144566" spans="15:15" x14ac:dyDescent="0.25">
      <c r="O144566" s="9"/>
    </row>
    <row r="144587" spans="15:15" x14ac:dyDescent="0.25">
      <c r="O144587" s="9"/>
    </row>
    <row r="144608" spans="15:15" x14ac:dyDescent="0.25">
      <c r="O144608" s="9"/>
    </row>
    <row r="144629" spans="15:15" x14ac:dyDescent="0.25">
      <c r="O144629" s="9"/>
    </row>
    <row r="144650" spans="15:15" x14ac:dyDescent="0.25">
      <c r="O144650" s="9"/>
    </row>
    <row r="144671" spans="15:15" x14ac:dyDescent="0.25">
      <c r="O144671" s="9"/>
    </row>
    <row r="144692" spans="15:15" x14ac:dyDescent="0.25">
      <c r="O144692" s="9"/>
    </row>
    <row r="144713" spans="15:15" x14ac:dyDescent="0.25">
      <c r="O144713" s="9"/>
    </row>
    <row r="144734" spans="15:15" x14ac:dyDescent="0.25">
      <c r="O144734" s="9"/>
    </row>
    <row r="144755" spans="15:15" x14ac:dyDescent="0.25">
      <c r="O144755" s="9"/>
    </row>
    <row r="144776" spans="15:15" x14ac:dyDescent="0.25">
      <c r="O144776" s="9"/>
    </row>
    <row r="144797" spans="15:15" x14ac:dyDescent="0.25">
      <c r="O144797" s="9"/>
    </row>
    <row r="144818" spans="15:15" x14ac:dyDescent="0.25">
      <c r="O144818" s="9"/>
    </row>
    <row r="144839" spans="15:15" x14ac:dyDescent="0.25">
      <c r="O144839" s="9"/>
    </row>
    <row r="144860" spans="15:15" x14ac:dyDescent="0.25">
      <c r="O144860" s="9"/>
    </row>
    <row r="144881" spans="15:15" x14ac:dyDescent="0.25">
      <c r="O144881" s="9"/>
    </row>
    <row r="144902" spans="15:15" x14ac:dyDescent="0.25">
      <c r="O144902" s="9"/>
    </row>
    <row r="144923" spans="15:15" x14ac:dyDescent="0.25">
      <c r="O144923" s="9"/>
    </row>
    <row r="144944" spans="15:15" x14ac:dyDescent="0.25">
      <c r="O144944" s="9"/>
    </row>
    <row r="144965" spans="15:15" x14ac:dyDescent="0.25">
      <c r="O144965" s="9"/>
    </row>
    <row r="144986" spans="15:15" x14ac:dyDescent="0.25">
      <c r="O144986" s="9"/>
    </row>
    <row r="145007" spans="15:15" x14ac:dyDescent="0.25">
      <c r="O145007" s="9"/>
    </row>
    <row r="145028" spans="15:15" x14ac:dyDescent="0.25">
      <c r="O145028" s="9"/>
    </row>
    <row r="145049" spans="15:15" x14ac:dyDescent="0.25">
      <c r="O145049" s="9"/>
    </row>
    <row r="145070" spans="15:15" x14ac:dyDescent="0.25">
      <c r="O145070" s="9"/>
    </row>
    <row r="145091" spans="15:15" x14ac:dyDescent="0.25">
      <c r="O145091" s="9"/>
    </row>
    <row r="145112" spans="15:15" x14ac:dyDescent="0.25">
      <c r="O145112" s="9"/>
    </row>
    <row r="145133" spans="15:15" x14ac:dyDescent="0.25">
      <c r="O145133" s="9"/>
    </row>
    <row r="145154" spans="15:15" x14ac:dyDescent="0.25">
      <c r="O145154" s="9"/>
    </row>
    <row r="145175" spans="15:15" x14ac:dyDescent="0.25">
      <c r="O145175" s="9"/>
    </row>
    <row r="145196" spans="15:15" x14ac:dyDescent="0.25">
      <c r="O145196" s="9"/>
    </row>
    <row r="145217" spans="15:15" x14ac:dyDescent="0.25">
      <c r="O145217" s="9"/>
    </row>
    <row r="145238" spans="15:15" x14ac:dyDescent="0.25">
      <c r="O145238" s="9"/>
    </row>
    <row r="145259" spans="15:15" x14ac:dyDescent="0.25">
      <c r="O145259" s="9"/>
    </row>
    <row r="145280" spans="15:15" x14ac:dyDescent="0.25">
      <c r="O145280" s="9"/>
    </row>
    <row r="145301" spans="15:15" x14ac:dyDescent="0.25">
      <c r="O145301" s="9"/>
    </row>
    <row r="145322" spans="15:15" x14ac:dyDescent="0.25">
      <c r="O145322" s="9"/>
    </row>
    <row r="145343" spans="15:15" x14ac:dyDescent="0.25">
      <c r="O145343" s="9"/>
    </row>
    <row r="145364" spans="15:15" x14ac:dyDescent="0.25">
      <c r="O145364" s="9"/>
    </row>
    <row r="145385" spans="15:15" x14ac:dyDescent="0.25">
      <c r="O145385" s="9"/>
    </row>
    <row r="145406" spans="15:15" x14ac:dyDescent="0.25">
      <c r="O145406" s="9"/>
    </row>
    <row r="145427" spans="15:15" x14ac:dyDescent="0.25">
      <c r="O145427" s="9"/>
    </row>
    <row r="145448" spans="15:15" x14ac:dyDescent="0.25">
      <c r="O145448" s="9"/>
    </row>
    <row r="145469" spans="15:15" x14ac:dyDescent="0.25">
      <c r="O145469" s="9"/>
    </row>
    <row r="145490" spans="15:15" x14ac:dyDescent="0.25">
      <c r="O145490" s="9"/>
    </row>
    <row r="145511" spans="15:15" x14ac:dyDescent="0.25">
      <c r="O145511" s="9"/>
    </row>
    <row r="145532" spans="15:15" x14ac:dyDescent="0.25">
      <c r="O145532" s="9"/>
    </row>
    <row r="145553" spans="15:15" x14ac:dyDescent="0.25">
      <c r="O145553" s="9"/>
    </row>
    <row r="145574" spans="15:15" x14ac:dyDescent="0.25">
      <c r="O145574" s="9"/>
    </row>
    <row r="145595" spans="15:15" x14ac:dyDescent="0.25">
      <c r="O145595" s="9"/>
    </row>
    <row r="145616" spans="15:15" x14ac:dyDescent="0.25">
      <c r="O145616" s="9"/>
    </row>
    <row r="145637" spans="15:15" x14ac:dyDescent="0.25">
      <c r="O145637" s="9"/>
    </row>
    <row r="145658" spans="15:15" x14ac:dyDescent="0.25">
      <c r="O145658" s="9"/>
    </row>
    <row r="145679" spans="15:15" x14ac:dyDescent="0.25">
      <c r="O145679" s="9"/>
    </row>
    <row r="145700" spans="15:15" x14ac:dyDescent="0.25">
      <c r="O145700" s="9"/>
    </row>
    <row r="145721" spans="15:15" x14ac:dyDescent="0.25">
      <c r="O145721" s="9"/>
    </row>
    <row r="145742" spans="15:15" x14ac:dyDescent="0.25">
      <c r="O145742" s="9"/>
    </row>
    <row r="145763" spans="15:15" x14ac:dyDescent="0.25">
      <c r="O145763" s="9"/>
    </row>
    <row r="145784" spans="15:15" x14ac:dyDescent="0.25">
      <c r="O145784" s="9"/>
    </row>
    <row r="145805" spans="15:15" x14ac:dyDescent="0.25">
      <c r="O145805" s="9"/>
    </row>
    <row r="145826" spans="15:15" x14ac:dyDescent="0.25">
      <c r="O145826" s="9"/>
    </row>
    <row r="145847" spans="15:15" x14ac:dyDescent="0.25">
      <c r="O145847" s="9"/>
    </row>
    <row r="145868" spans="15:15" x14ac:dyDescent="0.25">
      <c r="O145868" s="9"/>
    </row>
    <row r="145889" spans="15:15" x14ac:dyDescent="0.25">
      <c r="O145889" s="9"/>
    </row>
    <row r="145910" spans="15:15" x14ac:dyDescent="0.25">
      <c r="O145910" s="9"/>
    </row>
    <row r="145931" spans="15:15" x14ac:dyDescent="0.25">
      <c r="O145931" s="9"/>
    </row>
    <row r="145952" spans="15:15" x14ac:dyDescent="0.25">
      <c r="O145952" s="9"/>
    </row>
    <row r="145973" spans="15:15" x14ac:dyDescent="0.25">
      <c r="O145973" s="9"/>
    </row>
    <row r="145994" spans="15:15" x14ac:dyDescent="0.25">
      <c r="O145994" s="9"/>
    </row>
    <row r="146015" spans="15:15" x14ac:dyDescent="0.25">
      <c r="O146015" s="9"/>
    </row>
    <row r="146036" spans="15:15" x14ac:dyDescent="0.25">
      <c r="O146036" s="9"/>
    </row>
    <row r="146057" spans="15:15" x14ac:dyDescent="0.25">
      <c r="O146057" s="9"/>
    </row>
    <row r="146078" spans="15:15" x14ac:dyDescent="0.25">
      <c r="O146078" s="9"/>
    </row>
    <row r="146099" spans="15:15" x14ac:dyDescent="0.25">
      <c r="O146099" s="9"/>
    </row>
    <row r="146120" spans="15:15" x14ac:dyDescent="0.25">
      <c r="O146120" s="9"/>
    </row>
    <row r="146141" spans="15:15" x14ac:dyDescent="0.25">
      <c r="O146141" s="9"/>
    </row>
    <row r="146162" spans="15:15" x14ac:dyDescent="0.25">
      <c r="O146162" s="9"/>
    </row>
    <row r="146183" spans="15:15" x14ac:dyDescent="0.25">
      <c r="O146183" s="9"/>
    </row>
    <row r="146204" spans="15:15" x14ac:dyDescent="0.25">
      <c r="O146204" s="9"/>
    </row>
    <row r="146225" spans="15:15" x14ac:dyDescent="0.25">
      <c r="O146225" s="9"/>
    </row>
    <row r="146246" spans="15:15" x14ac:dyDescent="0.25">
      <c r="O146246" s="9"/>
    </row>
    <row r="146267" spans="15:15" x14ac:dyDescent="0.25">
      <c r="O146267" s="9"/>
    </row>
    <row r="146288" spans="15:15" x14ac:dyDescent="0.25">
      <c r="O146288" s="9"/>
    </row>
    <row r="146309" spans="15:15" x14ac:dyDescent="0.25">
      <c r="O146309" s="9"/>
    </row>
    <row r="146330" spans="15:15" x14ac:dyDescent="0.25">
      <c r="O146330" s="9"/>
    </row>
    <row r="146351" spans="15:15" x14ac:dyDescent="0.25">
      <c r="O146351" s="9"/>
    </row>
    <row r="146372" spans="15:15" x14ac:dyDescent="0.25">
      <c r="O146372" s="9"/>
    </row>
    <row r="146393" spans="15:15" x14ac:dyDescent="0.25">
      <c r="O146393" s="9"/>
    </row>
    <row r="146414" spans="15:15" x14ac:dyDescent="0.25">
      <c r="O146414" s="9"/>
    </row>
    <row r="146435" spans="15:15" x14ac:dyDescent="0.25">
      <c r="O146435" s="9"/>
    </row>
    <row r="146456" spans="15:15" x14ac:dyDescent="0.25">
      <c r="O146456" s="9"/>
    </row>
    <row r="146477" spans="15:15" x14ac:dyDescent="0.25">
      <c r="O146477" s="9"/>
    </row>
    <row r="146498" spans="15:15" x14ac:dyDescent="0.25">
      <c r="O146498" s="9"/>
    </row>
    <row r="146519" spans="15:15" x14ac:dyDescent="0.25">
      <c r="O146519" s="9"/>
    </row>
    <row r="146540" spans="15:15" x14ac:dyDescent="0.25">
      <c r="O146540" s="9"/>
    </row>
    <row r="146561" spans="15:15" x14ac:dyDescent="0.25">
      <c r="O146561" s="9"/>
    </row>
    <row r="146582" spans="15:15" x14ac:dyDescent="0.25">
      <c r="O146582" s="9"/>
    </row>
    <row r="146603" spans="15:15" x14ac:dyDescent="0.25">
      <c r="O146603" s="9"/>
    </row>
    <row r="146624" spans="15:15" x14ac:dyDescent="0.25">
      <c r="O146624" s="9"/>
    </row>
    <row r="146645" spans="15:15" x14ac:dyDescent="0.25">
      <c r="O146645" s="9"/>
    </row>
    <row r="146666" spans="15:15" x14ac:dyDescent="0.25">
      <c r="O146666" s="9"/>
    </row>
    <row r="146687" spans="15:15" x14ac:dyDescent="0.25">
      <c r="O146687" s="9"/>
    </row>
    <row r="146708" spans="15:15" x14ac:dyDescent="0.25">
      <c r="O146708" s="9"/>
    </row>
    <row r="146729" spans="15:15" x14ac:dyDescent="0.25">
      <c r="O146729" s="9"/>
    </row>
    <row r="146750" spans="15:15" x14ac:dyDescent="0.25">
      <c r="O146750" s="9"/>
    </row>
    <row r="146771" spans="15:15" x14ac:dyDescent="0.25">
      <c r="O146771" s="9"/>
    </row>
    <row r="146792" spans="15:15" x14ac:dyDescent="0.25">
      <c r="O146792" s="9"/>
    </row>
    <row r="146813" spans="15:15" x14ac:dyDescent="0.25">
      <c r="O146813" s="9"/>
    </row>
    <row r="146834" spans="15:15" x14ac:dyDescent="0.25">
      <c r="O146834" s="9"/>
    </row>
    <row r="146855" spans="15:15" x14ac:dyDescent="0.25">
      <c r="O146855" s="9"/>
    </row>
    <row r="146876" spans="15:15" x14ac:dyDescent="0.25">
      <c r="O146876" s="9"/>
    </row>
    <row r="146897" spans="15:15" x14ac:dyDescent="0.25">
      <c r="O146897" s="9"/>
    </row>
    <row r="146918" spans="15:15" x14ac:dyDescent="0.25">
      <c r="O146918" s="9"/>
    </row>
    <row r="146939" spans="15:15" x14ac:dyDescent="0.25">
      <c r="O146939" s="9"/>
    </row>
    <row r="146960" spans="15:15" x14ac:dyDescent="0.25">
      <c r="O146960" s="9"/>
    </row>
    <row r="146981" spans="15:15" x14ac:dyDescent="0.25">
      <c r="O146981" s="9"/>
    </row>
    <row r="147002" spans="15:15" x14ac:dyDescent="0.25">
      <c r="O147002" s="9"/>
    </row>
    <row r="147023" spans="15:15" x14ac:dyDescent="0.25">
      <c r="O147023" s="9"/>
    </row>
    <row r="147044" spans="15:15" x14ac:dyDescent="0.25">
      <c r="O147044" s="9"/>
    </row>
    <row r="147065" spans="15:15" x14ac:dyDescent="0.25">
      <c r="O147065" s="9"/>
    </row>
    <row r="147086" spans="15:15" x14ac:dyDescent="0.25">
      <c r="O147086" s="9"/>
    </row>
    <row r="147107" spans="15:15" x14ac:dyDescent="0.25">
      <c r="O147107" s="9"/>
    </row>
    <row r="147128" spans="15:15" x14ac:dyDescent="0.25">
      <c r="O147128" s="9"/>
    </row>
    <row r="147149" spans="15:15" x14ac:dyDescent="0.25">
      <c r="O147149" s="9"/>
    </row>
    <row r="147170" spans="15:15" x14ac:dyDescent="0.25">
      <c r="O147170" s="9"/>
    </row>
    <row r="147191" spans="15:15" x14ac:dyDescent="0.25">
      <c r="O147191" s="9"/>
    </row>
    <row r="147212" spans="15:15" x14ac:dyDescent="0.25">
      <c r="O147212" s="9"/>
    </row>
    <row r="147233" spans="15:15" x14ac:dyDescent="0.25">
      <c r="O147233" s="9"/>
    </row>
    <row r="147254" spans="15:15" x14ac:dyDescent="0.25">
      <c r="O147254" s="9"/>
    </row>
    <row r="147275" spans="15:15" x14ac:dyDescent="0.25">
      <c r="O147275" s="9"/>
    </row>
    <row r="147296" spans="15:15" x14ac:dyDescent="0.25">
      <c r="O147296" s="9"/>
    </row>
    <row r="147317" spans="15:15" x14ac:dyDescent="0.25">
      <c r="O147317" s="9"/>
    </row>
    <row r="147338" spans="15:15" x14ac:dyDescent="0.25">
      <c r="O147338" s="9"/>
    </row>
    <row r="147359" spans="15:15" x14ac:dyDescent="0.25">
      <c r="O147359" s="9"/>
    </row>
    <row r="147380" spans="15:15" x14ac:dyDescent="0.25">
      <c r="O147380" s="9"/>
    </row>
    <row r="147401" spans="15:15" x14ac:dyDescent="0.25">
      <c r="O147401" s="9"/>
    </row>
    <row r="147422" spans="15:15" x14ac:dyDescent="0.25">
      <c r="O147422" s="9"/>
    </row>
    <row r="147443" spans="15:15" x14ac:dyDescent="0.25">
      <c r="O147443" s="9"/>
    </row>
    <row r="147464" spans="15:15" x14ac:dyDescent="0.25">
      <c r="O147464" s="9"/>
    </row>
    <row r="147485" spans="15:15" x14ac:dyDescent="0.25">
      <c r="O147485" s="9"/>
    </row>
    <row r="147506" spans="15:15" x14ac:dyDescent="0.25">
      <c r="O147506" s="9"/>
    </row>
    <row r="147527" spans="15:15" x14ac:dyDescent="0.25">
      <c r="O147527" s="9"/>
    </row>
    <row r="147548" spans="15:15" x14ac:dyDescent="0.25">
      <c r="O147548" s="9"/>
    </row>
    <row r="147569" spans="15:15" x14ac:dyDescent="0.25">
      <c r="O147569" s="9"/>
    </row>
    <row r="147590" spans="15:15" x14ac:dyDescent="0.25">
      <c r="O147590" s="9"/>
    </row>
    <row r="147611" spans="15:15" x14ac:dyDescent="0.25">
      <c r="O147611" s="9"/>
    </row>
    <row r="147632" spans="15:15" x14ac:dyDescent="0.25">
      <c r="O147632" s="9"/>
    </row>
    <row r="147653" spans="15:15" x14ac:dyDescent="0.25">
      <c r="O147653" s="9"/>
    </row>
    <row r="147674" spans="15:15" x14ac:dyDescent="0.25">
      <c r="O147674" s="9"/>
    </row>
    <row r="147695" spans="15:15" x14ac:dyDescent="0.25">
      <c r="O147695" s="9"/>
    </row>
    <row r="147716" spans="15:15" x14ac:dyDescent="0.25">
      <c r="O147716" s="9"/>
    </row>
    <row r="147737" spans="15:15" x14ac:dyDescent="0.25">
      <c r="O147737" s="9"/>
    </row>
    <row r="147758" spans="15:15" x14ac:dyDescent="0.25">
      <c r="O147758" s="9"/>
    </row>
    <row r="147779" spans="15:15" x14ac:dyDescent="0.25">
      <c r="O147779" s="9"/>
    </row>
    <row r="147800" spans="15:15" x14ac:dyDescent="0.25">
      <c r="O147800" s="9"/>
    </row>
    <row r="147821" spans="15:15" x14ac:dyDescent="0.25">
      <c r="O147821" s="9"/>
    </row>
    <row r="147842" spans="15:15" x14ac:dyDescent="0.25">
      <c r="O147842" s="9"/>
    </row>
    <row r="147863" spans="15:15" x14ac:dyDescent="0.25">
      <c r="O147863" s="9"/>
    </row>
    <row r="147884" spans="15:15" x14ac:dyDescent="0.25">
      <c r="O147884" s="9"/>
    </row>
    <row r="147905" spans="15:15" x14ac:dyDescent="0.25">
      <c r="O147905" s="9"/>
    </row>
    <row r="147926" spans="15:15" x14ac:dyDescent="0.25">
      <c r="O147926" s="9"/>
    </row>
    <row r="147947" spans="15:15" x14ac:dyDescent="0.25">
      <c r="O147947" s="9"/>
    </row>
    <row r="147968" spans="15:15" x14ac:dyDescent="0.25">
      <c r="O147968" s="9"/>
    </row>
    <row r="147989" spans="15:15" x14ac:dyDescent="0.25">
      <c r="O147989" s="9"/>
    </row>
    <row r="148010" spans="15:15" x14ac:dyDescent="0.25">
      <c r="O148010" s="9"/>
    </row>
    <row r="148031" spans="15:15" x14ac:dyDescent="0.25">
      <c r="O148031" s="9"/>
    </row>
    <row r="148052" spans="15:15" x14ac:dyDescent="0.25">
      <c r="O148052" s="9"/>
    </row>
    <row r="148073" spans="15:15" x14ac:dyDescent="0.25">
      <c r="O148073" s="9"/>
    </row>
    <row r="148094" spans="15:15" x14ac:dyDescent="0.25">
      <c r="O148094" s="9"/>
    </row>
    <row r="148115" spans="15:15" x14ac:dyDescent="0.25">
      <c r="O148115" s="9"/>
    </row>
    <row r="148136" spans="15:15" x14ac:dyDescent="0.25">
      <c r="O148136" s="9"/>
    </row>
    <row r="148157" spans="15:15" x14ac:dyDescent="0.25">
      <c r="O148157" s="9"/>
    </row>
    <row r="148178" spans="15:15" x14ac:dyDescent="0.25">
      <c r="O148178" s="9"/>
    </row>
    <row r="148199" spans="15:15" x14ac:dyDescent="0.25">
      <c r="O148199" s="9"/>
    </row>
    <row r="148220" spans="15:15" x14ac:dyDescent="0.25">
      <c r="O148220" s="9"/>
    </row>
    <row r="148241" spans="15:15" x14ac:dyDescent="0.25">
      <c r="O148241" s="9"/>
    </row>
    <row r="148262" spans="15:15" x14ac:dyDescent="0.25">
      <c r="O148262" s="9"/>
    </row>
    <row r="148283" spans="15:15" x14ac:dyDescent="0.25">
      <c r="O148283" s="9"/>
    </row>
    <row r="148304" spans="15:15" x14ac:dyDescent="0.25">
      <c r="O148304" s="9"/>
    </row>
    <row r="148325" spans="15:15" x14ac:dyDescent="0.25">
      <c r="O148325" s="9"/>
    </row>
    <row r="148346" spans="15:15" x14ac:dyDescent="0.25">
      <c r="O148346" s="9"/>
    </row>
    <row r="148367" spans="15:15" x14ac:dyDescent="0.25">
      <c r="O148367" s="9"/>
    </row>
    <row r="148388" spans="15:15" x14ac:dyDescent="0.25">
      <c r="O148388" s="9"/>
    </row>
    <row r="148409" spans="15:15" x14ac:dyDescent="0.25">
      <c r="O148409" s="9"/>
    </row>
    <row r="148430" spans="15:15" x14ac:dyDescent="0.25">
      <c r="O148430" s="9"/>
    </row>
    <row r="148451" spans="15:15" x14ac:dyDescent="0.25">
      <c r="O148451" s="9"/>
    </row>
    <row r="148472" spans="15:15" x14ac:dyDescent="0.25">
      <c r="O148472" s="9"/>
    </row>
    <row r="148493" spans="15:15" x14ac:dyDescent="0.25">
      <c r="O148493" s="9"/>
    </row>
    <row r="148514" spans="15:15" x14ac:dyDescent="0.25">
      <c r="O148514" s="9"/>
    </row>
    <row r="148535" spans="15:15" x14ac:dyDescent="0.25">
      <c r="O148535" s="9"/>
    </row>
    <row r="148556" spans="15:15" x14ac:dyDescent="0.25">
      <c r="O148556" s="9"/>
    </row>
    <row r="148577" spans="15:15" x14ac:dyDescent="0.25">
      <c r="O148577" s="9"/>
    </row>
    <row r="148598" spans="15:15" x14ac:dyDescent="0.25">
      <c r="O148598" s="9"/>
    </row>
    <row r="148619" spans="15:15" x14ac:dyDescent="0.25">
      <c r="O148619" s="9"/>
    </row>
    <row r="148640" spans="15:15" x14ac:dyDescent="0.25">
      <c r="O148640" s="9"/>
    </row>
    <row r="148661" spans="15:15" x14ac:dyDescent="0.25">
      <c r="O148661" s="9"/>
    </row>
    <row r="148682" spans="15:15" x14ac:dyDescent="0.25">
      <c r="O148682" s="9"/>
    </row>
    <row r="148703" spans="15:15" x14ac:dyDescent="0.25">
      <c r="O148703" s="9"/>
    </row>
    <row r="148724" spans="15:15" x14ac:dyDescent="0.25">
      <c r="O148724" s="9"/>
    </row>
    <row r="148745" spans="15:15" x14ac:dyDescent="0.25">
      <c r="O148745" s="9"/>
    </row>
    <row r="148766" spans="15:15" x14ac:dyDescent="0.25">
      <c r="O148766" s="9"/>
    </row>
    <row r="148787" spans="15:15" x14ac:dyDescent="0.25">
      <c r="O148787" s="9"/>
    </row>
    <row r="148808" spans="15:15" x14ac:dyDescent="0.25">
      <c r="O148808" s="9"/>
    </row>
    <row r="148829" spans="15:15" x14ac:dyDescent="0.25">
      <c r="O148829" s="9"/>
    </row>
    <row r="148850" spans="15:15" x14ac:dyDescent="0.25">
      <c r="O148850" s="9"/>
    </row>
    <row r="148871" spans="15:15" x14ac:dyDescent="0.25">
      <c r="O148871" s="9"/>
    </row>
    <row r="148892" spans="15:15" x14ac:dyDescent="0.25">
      <c r="O148892" s="9"/>
    </row>
    <row r="148913" spans="15:15" x14ac:dyDescent="0.25">
      <c r="O148913" s="9"/>
    </row>
    <row r="148934" spans="15:15" x14ac:dyDescent="0.25">
      <c r="O148934" s="9"/>
    </row>
    <row r="148955" spans="15:15" x14ac:dyDescent="0.25">
      <c r="O148955" s="9"/>
    </row>
    <row r="148976" spans="15:15" x14ac:dyDescent="0.25">
      <c r="O148976" s="9"/>
    </row>
    <row r="148997" spans="15:15" x14ac:dyDescent="0.25">
      <c r="O148997" s="9"/>
    </row>
    <row r="149018" spans="15:15" x14ac:dyDescent="0.25">
      <c r="O149018" s="9"/>
    </row>
    <row r="149039" spans="15:15" x14ac:dyDescent="0.25">
      <c r="O149039" s="9"/>
    </row>
    <row r="149060" spans="15:15" x14ac:dyDescent="0.25">
      <c r="O149060" s="9"/>
    </row>
    <row r="149081" spans="15:15" x14ac:dyDescent="0.25">
      <c r="O149081" s="9"/>
    </row>
    <row r="149102" spans="15:15" x14ac:dyDescent="0.25">
      <c r="O149102" s="9"/>
    </row>
    <row r="149123" spans="15:15" x14ac:dyDescent="0.25">
      <c r="O149123" s="9"/>
    </row>
    <row r="149144" spans="15:15" x14ac:dyDescent="0.25">
      <c r="O149144" s="9"/>
    </row>
    <row r="149165" spans="15:15" x14ac:dyDescent="0.25">
      <c r="O149165" s="9"/>
    </row>
    <row r="149186" spans="15:15" x14ac:dyDescent="0.25">
      <c r="O149186" s="9"/>
    </row>
    <row r="149207" spans="15:15" x14ac:dyDescent="0.25">
      <c r="O149207" s="9"/>
    </row>
    <row r="149228" spans="15:15" x14ac:dyDescent="0.25">
      <c r="O149228" s="9"/>
    </row>
    <row r="149249" spans="15:15" x14ac:dyDescent="0.25">
      <c r="O149249" s="9"/>
    </row>
    <row r="149270" spans="15:15" x14ac:dyDescent="0.25">
      <c r="O149270" s="9"/>
    </row>
    <row r="149291" spans="15:15" x14ac:dyDescent="0.25">
      <c r="O149291" s="9"/>
    </row>
    <row r="149312" spans="15:15" x14ac:dyDescent="0.25">
      <c r="O149312" s="9"/>
    </row>
    <row r="149333" spans="15:15" x14ac:dyDescent="0.25">
      <c r="O149333" s="9"/>
    </row>
    <row r="149354" spans="15:15" x14ac:dyDescent="0.25">
      <c r="O149354" s="9"/>
    </row>
    <row r="149375" spans="15:15" x14ac:dyDescent="0.25">
      <c r="O149375" s="9"/>
    </row>
    <row r="149396" spans="15:15" x14ac:dyDescent="0.25">
      <c r="O149396" s="9"/>
    </row>
    <row r="149417" spans="15:15" x14ac:dyDescent="0.25">
      <c r="O149417" s="9"/>
    </row>
    <row r="149438" spans="15:15" x14ac:dyDescent="0.25">
      <c r="O149438" s="9"/>
    </row>
    <row r="149459" spans="15:15" x14ac:dyDescent="0.25">
      <c r="O149459" s="9"/>
    </row>
    <row r="149480" spans="15:15" x14ac:dyDescent="0.25">
      <c r="O149480" s="9"/>
    </row>
    <row r="149501" spans="15:15" x14ac:dyDescent="0.25">
      <c r="O149501" s="9"/>
    </row>
    <row r="149522" spans="15:15" x14ac:dyDescent="0.25">
      <c r="O149522" s="9"/>
    </row>
    <row r="149543" spans="15:15" x14ac:dyDescent="0.25">
      <c r="O149543" s="9"/>
    </row>
    <row r="149564" spans="15:15" x14ac:dyDescent="0.25">
      <c r="O149564" s="9"/>
    </row>
    <row r="149585" spans="15:15" x14ac:dyDescent="0.25">
      <c r="O149585" s="9"/>
    </row>
    <row r="149606" spans="15:15" x14ac:dyDescent="0.25">
      <c r="O149606" s="9"/>
    </row>
    <row r="149627" spans="15:15" x14ac:dyDescent="0.25">
      <c r="O149627" s="9"/>
    </row>
    <row r="149648" spans="15:15" x14ac:dyDescent="0.25">
      <c r="O149648" s="9"/>
    </row>
    <row r="149669" spans="15:15" x14ac:dyDescent="0.25">
      <c r="O149669" s="9"/>
    </row>
    <row r="149690" spans="15:15" x14ac:dyDescent="0.25">
      <c r="O149690" s="9"/>
    </row>
    <row r="149711" spans="15:15" x14ac:dyDescent="0.25">
      <c r="O149711" s="9"/>
    </row>
    <row r="149732" spans="15:15" x14ac:dyDescent="0.25">
      <c r="O149732" s="9"/>
    </row>
    <row r="149753" spans="15:15" x14ac:dyDescent="0.25">
      <c r="O149753" s="9"/>
    </row>
    <row r="149774" spans="15:15" x14ac:dyDescent="0.25">
      <c r="O149774" s="9"/>
    </row>
    <row r="149795" spans="15:15" x14ac:dyDescent="0.25">
      <c r="O149795" s="9"/>
    </row>
    <row r="149816" spans="15:15" x14ac:dyDescent="0.25">
      <c r="O149816" s="9"/>
    </row>
    <row r="149837" spans="15:15" x14ac:dyDescent="0.25">
      <c r="O149837" s="9"/>
    </row>
    <row r="149858" spans="15:15" x14ac:dyDescent="0.25">
      <c r="O149858" s="9"/>
    </row>
    <row r="149879" spans="15:15" x14ac:dyDescent="0.25">
      <c r="O149879" s="9"/>
    </row>
    <row r="149900" spans="15:15" x14ac:dyDescent="0.25">
      <c r="O149900" s="9"/>
    </row>
    <row r="149921" spans="15:15" x14ac:dyDescent="0.25">
      <c r="O149921" s="9"/>
    </row>
    <row r="149942" spans="15:15" x14ac:dyDescent="0.25">
      <c r="O149942" s="9"/>
    </row>
    <row r="149963" spans="15:15" x14ac:dyDescent="0.25">
      <c r="O149963" s="9"/>
    </row>
    <row r="149984" spans="15:15" x14ac:dyDescent="0.25">
      <c r="O149984" s="9"/>
    </row>
    <row r="150005" spans="15:15" x14ac:dyDescent="0.25">
      <c r="O150005" s="9"/>
    </row>
    <row r="150026" spans="15:15" x14ac:dyDescent="0.25">
      <c r="O150026" s="9"/>
    </row>
    <row r="150047" spans="15:15" x14ac:dyDescent="0.25">
      <c r="O150047" s="9"/>
    </row>
    <row r="150068" spans="15:15" x14ac:dyDescent="0.25">
      <c r="O150068" s="9"/>
    </row>
    <row r="150089" spans="15:15" x14ac:dyDescent="0.25">
      <c r="O150089" s="9"/>
    </row>
    <row r="150110" spans="15:15" x14ac:dyDescent="0.25">
      <c r="O150110" s="9"/>
    </row>
    <row r="150131" spans="15:15" x14ac:dyDescent="0.25">
      <c r="O150131" s="9"/>
    </row>
    <row r="150152" spans="15:15" x14ac:dyDescent="0.25">
      <c r="O150152" s="9"/>
    </row>
    <row r="150173" spans="15:15" x14ac:dyDescent="0.25">
      <c r="O150173" s="9"/>
    </row>
    <row r="150194" spans="15:15" x14ac:dyDescent="0.25">
      <c r="O150194" s="9"/>
    </row>
    <row r="150215" spans="15:15" x14ac:dyDescent="0.25">
      <c r="O150215" s="9"/>
    </row>
    <row r="150236" spans="15:15" x14ac:dyDescent="0.25">
      <c r="O150236" s="9"/>
    </row>
    <row r="150257" spans="15:15" x14ac:dyDescent="0.25">
      <c r="O150257" s="9"/>
    </row>
    <row r="150278" spans="15:15" x14ac:dyDescent="0.25">
      <c r="O150278" s="9"/>
    </row>
    <row r="150299" spans="15:15" x14ac:dyDescent="0.25">
      <c r="O150299" s="9"/>
    </row>
    <row r="150320" spans="15:15" x14ac:dyDescent="0.25">
      <c r="O150320" s="9"/>
    </row>
    <row r="150341" spans="15:15" x14ac:dyDescent="0.25">
      <c r="O150341" s="9"/>
    </row>
    <row r="150362" spans="15:15" x14ac:dyDescent="0.25">
      <c r="O150362" s="9"/>
    </row>
    <row r="150383" spans="15:15" x14ac:dyDescent="0.25">
      <c r="O150383" s="9"/>
    </row>
    <row r="150404" spans="15:15" x14ac:dyDescent="0.25">
      <c r="O150404" s="9"/>
    </row>
    <row r="150425" spans="15:15" x14ac:dyDescent="0.25">
      <c r="O150425" s="9"/>
    </row>
    <row r="150446" spans="15:15" x14ac:dyDescent="0.25">
      <c r="O150446" s="9"/>
    </row>
    <row r="150467" spans="15:15" x14ac:dyDescent="0.25">
      <c r="O150467" s="9"/>
    </row>
    <row r="150488" spans="15:15" x14ac:dyDescent="0.25">
      <c r="O150488" s="9"/>
    </row>
    <row r="150509" spans="15:15" x14ac:dyDescent="0.25">
      <c r="O150509" s="9"/>
    </row>
    <row r="150530" spans="15:15" x14ac:dyDescent="0.25">
      <c r="O150530" s="9"/>
    </row>
    <row r="150551" spans="15:15" x14ac:dyDescent="0.25">
      <c r="O150551" s="9"/>
    </row>
    <row r="150572" spans="15:15" x14ac:dyDescent="0.25">
      <c r="O150572" s="9"/>
    </row>
    <row r="150593" spans="15:15" x14ac:dyDescent="0.25">
      <c r="O150593" s="9"/>
    </row>
    <row r="150614" spans="15:15" x14ac:dyDescent="0.25">
      <c r="O150614" s="9"/>
    </row>
    <row r="150635" spans="15:15" x14ac:dyDescent="0.25">
      <c r="O150635" s="9"/>
    </row>
    <row r="150656" spans="15:15" x14ac:dyDescent="0.25">
      <c r="O150656" s="9"/>
    </row>
    <row r="150677" spans="15:15" x14ac:dyDescent="0.25">
      <c r="O150677" s="9"/>
    </row>
    <row r="150698" spans="15:15" x14ac:dyDescent="0.25">
      <c r="O150698" s="9"/>
    </row>
    <row r="150719" spans="15:15" x14ac:dyDescent="0.25">
      <c r="O150719" s="9"/>
    </row>
    <row r="150740" spans="15:15" x14ac:dyDescent="0.25">
      <c r="O150740" s="9"/>
    </row>
    <row r="150761" spans="15:15" x14ac:dyDescent="0.25">
      <c r="O150761" s="9"/>
    </row>
    <row r="150782" spans="15:15" x14ac:dyDescent="0.25">
      <c r="O150782" s="9"/>
    </row>
    <row r="150803" spans="15:15" x14ac:dyDescent="0.25">
      <c r="O150803" s="9"/>
    </row>
    <row r="150824" spans="15:15" x14ac:dyDescent="0.25">
      <c r="O150824" s="9"/>
    </row>
    <row r="150845" spans="15:15" x14ac:dyDescent="0.25">
      <c r="O150845" s="9"/>
    </row>
    <row r="150866" spans="15:15" x14ac:dyDescent="0.25">
      <c r="O150866" s="9"/>
    </row>
    <row r="150887" spans="15:15" x14ac:dyDescent="0.25">
      <c r="O150887" s="9"/>
    </row>
    <row r="150908" spans="15:15" x14ac:dyDescent="0.25">
      <c r="O150908" s="9"/>
    </row>
    <row r="150929" spans="15:15" x14ac:dyDescent="0.25">
      <c r="O150929" s="9"/>
    </row>
    <row r="150950" spans="15:15" x14ac:dyDescent="0.25">
      <c r="O150950" s="9"/>
    </row>
    <row r="150971" spans="15:15" x14ac:dyDescent="0.25">
      <c r="O150971" s="9"/>
    </row>
    <row r="150992" spans="15:15" x14ac:dyDescent="0.25">
      <c r="O150992" s="9"/>
    </row>
    <row r="151013" spans="15:15" x14ac:dyDescent="0.25">
      <c r="O151013" s="9"/>
    </row>
    <row r="151034" spans="15:15" x14ac:dyDescent="0.25">
      <c r="O151034" s="9"/>
    </row>
    <row r="151055" spans="15:15" x14ac:dyDescent="0.25">
      <c r="O151055" s="9"/>
    </row>
    <row r="151076" spans="15:15" x14ac:dyDescent="0.25">
      <c r="O151076" s="9"/>
    </row>
    <row r="151097" spans="15:15" x14ac:dyDescent="0.25">
      <c r="O151097" s="9"/>
    </row>
    <row r="151118" spans="15:15" x14ac:dyDescent="0.25">
      <c r="O151118" s="9"/>
    </row>
    <row r="151139" spans="15:15" x14ac:dyDescent="0.25">
      <c r="O151139" s="9"/>
    </row>
    <row r="151160" spans="15:15" x14ac:dyDescent="0.25">
      <c r="O151160" s="9"/>
    </row>
    <row r="151181" spans="15:15" x14ac:dyDescent="0.25">
      <c r="O151181" s="9"/>
    </row>
    <row r="151202" spans="15:15" x14ac:dyDescent="0.25">
      <c r="O151202" s="9"/>
    </row>
    <row r="151223" spans="15:15" x14ac:dyDescent="0.25">
      <c r="O151223" s="9"/>
    </row>
    <row r="151244" spans="15:15" x14ac:dyDescent="0.25">
      <c r="O151244" s="9"/>
    </row>
    <row r="151265" spans="15:15" x14ac:dyDescent="0.25">
      <c r="O151265" s="9"/>
    </row>
    <row r="151286" spans="15:15" x14ac:dyDescent="0.25">
      <c r="O151286" s="9"/>
    </row>
    <row r="151307" spans="15:15" x14ac:dyDescent="0.25">
      <c r="O151307" s="9"/>
    </row>
    <row r="151328" spans="15:15" x14ac:dyDescent="0.25">
      <c r="O151328" s="9"/>
    </row>
    <row r="151349" spans="15:15" x14ac:dyDescent="0.25">
      <c r="O151349" s="9"/>
    </row>
    <row r="151370" spans="15:15" x14ac:dyDescent="0.25">
      <c r="O151370" s="9"/>
    </row>
    <row r="151391" spans="15:15" x14ac:dyDescent="0.25">
      <c r="O151391" s="9"/>
    </row>
    <row r="151412" spans="15:15" x14ac:dyDescent="0.25">
      <c r="O151412" s="9"/>
    </row>
    <row r="151433" spans="15:15" x14ac:dyDescent="0.25">
      <c r="O151433" s="9"/>
    </row>
    <row r="151454" spans="15:15" x14ac:dyDescent="0.25">
      <c r="O151454" s="9"/>
    </row>
    <row r="151475" spans="15:15" x14ac:dyDescent="0.25">
      <c r="O151475" s="9"/>
    </row>
    <row r="151496" spans="15:15" x14ac:dyDescent="0.25">
      <c r="O151496" s="9"/>
    </row>
    <row r="151517" spans="15:15" x14ac:dyDescent="0.25">
      <c r="O151517" s="9"/>
    </row>
    <row r="151538" spans="15:15" x14ac:dyDescent="0.25">
      <c r="O151538" s="9"/>
    </row>
    <row r="151559" spans="15:15" x14ac:dyDescent="0.25">
      <c r="O151559" s="9"/>
    </row>
    <row r="151580" spans="15:15" x14ac:dyDescent="0.25">
      <c r="O151580" s="9"/>
    </row>
    <row r="151601" spans="15:15" x14ac:dyDescent="0.25">
      <c r="O151601" s="9"/>
    </row>
    <row r="151622" spans="15:15" x14ac:dyDescent="0.25">
      <c r="O151622" s="9"/>
    </row>
    <row r="151643" spans="15:15" x14ac:dyDescent="0.25">
      <c r="O151643" s="9"/>
    </row>
    <row r="151664" spans="15:15" x14ac:dyDescent="0.25">
      <c r="O151664" s="9"/>
    </row>
    <row r="151685" spans="15:15" x14ac:dyDescent="0.25">
      <c r="O151685" s="9"/>
    </row>
    <row r="151706" spans="15:15" x14ac:dyDescent="0.25">
      <c r="O151706" s="9"/>
    </row>
    <row r="151727" spans="15:15" x14ac:dyDescent="0.25">
      <c r="O151727" s="9"/>
    </row>
    <row r="151748" spans="15:15" x14ac:dyDescent="0.25">
      <c r="O151748" s="9"/>
    </row>
    <row r="151769" spans="15:15" x14ac:dyDescent="0.25">
      <c r="O151769" s="9"/>
    </row>
    <row r="151790" spans="15:15" x14ac:dyDescent="0.25">
      <c r="O151790" s="9"/>
    </row>
    <row r="151811" spans="15:15" x14ac:dyDescent="0.25">
      <c r="O151811" s="9"/>
    </row>
    <row r="151832" spans="15:15" x14ac:dyDescent="0.25">
      <c r="O151832" s="9"/>
    </row>
    <row r="151853" spans="15:15" x14ac:dyDescent="0.25">
      <c r="O151853" s="9"/>
    </row>
    <row r="151874" spans="15:15" x14ac:dyDescent="0.25">
      <c r="O151874" s="9"/>
    </row>
    <row r="151895" spans="15:15" x14ac:dyDescent="0.25">
      <c r="O151895" s="9"/>
    </row>
    <row r="151916" spans="15:15" x14ac:dyDescent="0.25">
      <c r="O151916" s="9"/>
    </row>
    <row r="151937" spans="15:15" x14ac:dyDescent="0.25">
      <c r="O151937" s="9"/>
    </row>
    <row r="151958" spans="15:15" x14ac:dyDescent="0.25">
      <c r="O151958" s="9"/>
    </row>
    <row r="151979" spans="15:15" x14ac:dyDescent="0.25">
      <c r="O151979" s="9"/>
    </row>
    <row r="152000" spans="15:15" x14ac:dyDescent="0.25">
      <c r="O152000" s="9"/>
    </row>
    <row r="152021" spans="15:15" x14ac:dyDescent="0.25">
      <c r="O152021" s="9"/>
    </row>
    <row r="152042" spans="15:15" x14ac:dyDescent="0.25">
      <c r="O152042" s="9"/>
    </row>
    <row r="152063" spans="15:15" x14ac:dyDescent="0.25">
      <c r="O152063" s="9"/>
    </row>
    <row r="152084" spans="15:15" x14ac:dyDescent="0.25">
      <c r="O152084" s="9"/>
    </row>
    <row r="152105" spans="15:15" x14ac:dyDescent="0.25">
      <c r="O152105" s="9"/>
    </row>
    <row r="152126" spans="15:15" x14ac:dyDescent="0.25">
      <c r="O152126" s="9"/>
    </row>
    <row r="152147" spans="15:15" x14ac:dyDescent="0.25">
      <c r="O152147" s="9"/>
    </row>
    <row r="152168" spans="15:15" x14ac:dyDescent="0.25">
      <c r="O152168" s="9"/>
    </row>
    <row r="152189" spans="15:15" x14ac:dyDescent="0.25">
      <c r="O152189" s="9"/>
    </row>
    <row r="152210" spans="15:15" x14ac:dyDescent="0.25">
      <c r="O152210" s="9"/>
    </row>
    <row r="152231" spans="15:15" x14ac:dyDescent="0.25">
      <c r="O152231" s="9"/>
    </row>
    <row r="152252" spans="15:15" x14ac:dyDescent="0.25">
      <c r="O152252" s="9"/>
    </row>
    <row r="152273" spans="15:15" x14ac:dyDescent="0.25">
      <c r="O152273" s="9"/>
    </row>
    <row r="152294" spans="15:15" x14ac:dyDescent="0.25">
      <c r="O152294" s="9"/>
    </row>
    <row r="152315" spans="15:15" x14ac:dyDescent="0.25">
      <c r="O152315" s="9"/>
    </row>
    <row r="152336" spans="15:15" x14ac:dyDescent="0.25">
      <c r="O152336" s="9"/>
    </row>
    <row r="152357" spans="15:15" x14ac:dyDescent="0.25">
      <c r="O152357" s="9"/>
    </row>
    <row r="152378" spans="15:15" x14ac:dyDescent="0.25">
      <c r="O152378" s="9"/>
    </row>
    <row r="152399" spans="15:15" x14ac:dyDescent="0.25">
      <c r="O152399" s="9"/>
    </row>
    <row r="152420" spans="15:15" x14ac:dyDescent="0.25">
      <c r="O152420" s="9"/>
    </row>
    <row r="152441" spans="15:15" x14ac:dyDescent="0.25">
      <c r="O152441" s="9"/>
    </row>
    <row r="152462" spans="15:15" x14ac:dyDescent="0.25">
      <c r="O152462" s="9"/>
    </row>
    <row r="152483" spans="15:15" x14ac:dyDescent="0.25">
      <c r="O152483" s="9"/>
    </row>
    <row r="152504" spans="15:15" x14ac:dyDescent="0.25">
      <c r="O152504" s="9"/>
    </row>
    <row r="152525" spans="15:15" x14ac:dyDescent="0.25">
      <c r="O152525" s="9"/>
    </row>
    <row r="152546" spans="15:15" x14ac:dyDescent="0.25">
      <c r="O152546" s="9"/>
    </row>
    <row r="152567" spans="15:15" x14ac:dyDescent="0.25">
      <c r="O152567" s="9"/>
    </row>
    <row r="152588" spans="15:15" x14ac:dyDescent="0.25">
      <c r="O152588" s="9"/>
    </row>
    <row r="152609" spans="15:15" x14ac:dyDescent="0.25">
      <c r="O152609" s="9"/>
    </row>
    <row r="152630" spans="15:15" x14ac:dyDescent="0.25">
      <c r="O152630" s="9"/>
    </row>
    <row r="152651" spans="15:15" x14ac:dyDescent="0.25">
      <c r="O152651" s="9"/>
    </row>
    <row r="152672" spans="15:15" x14ac:dyDescent="0.25">
      <c r="O152672" s="9"/>
    </row>
    <row r="152693" spans="15:15" x14ac:dyDescent="0.25">
      <c r="O152693" s="9"/>
    </row>
    <row r="152714" spans="15:15" x14ac:dyDescent="0.25">
      <c r="O152714" s="9"/>
    </row>
    <row r="152735" spans="15:15" x14ac:dyDescent="0.25">
      <c r="O152735" s="9"/>
    </row>
    <row r="152756" spans="15:15" x14ac:dyDescent="0.25">
      <c r="O152756" s="9"/>
    </row>
    <row r="152777" spans="15:15" x14ac:dyDescent="0.25">
      <c r="O152777" s="9"/>
    </row>
    <row r="152798" spans="15:15" x14ac:dyDescent="0.25">
      <c r="O152798" s="9"/>
    </row>
    <row r="152819" spans="15:15" x14ac:dyDescent="0.25">
      <c r="O152819" s="9"/>
    </row>
    <row r="152840" spans="15:15" x14ac:dyDescent="0.25">
      <c r="O152840" s="9"/>
    </row>
    <row r="152861" spans="15:15" x14ac:dyDescent="0.25">
      <c r="O152861" s="9"/>
    </row>
    <row r="152882" spans="15:15" x14ac:dyDescent="0.25">
      <c r="O152882" s="9"/>
    </row>
    <row r="152903" spans="15:15" x14ac:dyDescent="0.25">
      <c r="O152903" s="9"/>
    </row>
    <row r="152924" spans="15:15" x14ac:dyDescent="0.25">
      <c r="O152924" s="9"/>
    </row>
    <row r="152945" spans="15:15" x14ac:dyDescent="0.25">
      <c r="O152945" s="9"/>
    </row>
    <row r="152966" spans="15:15" x14ac:dyDescent="0.25">
      <c r="O152966" s="9"/>
    </row>
    <row r="152987" spans="15:15" x14ac:dyDescent="0.25">
      <c r="O152987" s="9"/>
    </row>
    <row r="153008" spans="15:15" x14ac:dyDescent="0.25">
      <c r="O153008" s="9"/>
    </row>
    <row r="153029" spans="15:15" x14ac:dyDescent="0.25">
      <c r="O153029" s="9"/>
    </row>
    <row r="153050" spans="15:15" x14ac:dyDescent="0.25">
      <c r="O153050" s="9"/>
    </row>
    <row r="153071" spans="15:15" x14ac:dyDescent="0.25">
      <c r="O153071" s="9"/>
    </row>
    <row r="153092" spans="15:15" x14ac:dyDescent="0.25">
      <c r="O153092" s="9"/>
    </row>
    <row r="153113" spans="15:15" x14ac:dyDescent="0.25">
      <c r="O153113" s="9"/>
    </row>
    <row r="153134" spans="15:15" x14ac:dyDescent="0.25">
      <c r="O153134" s="9"/>
    </row>
    <row r="153155" spans="15:15" x14ac:dyDescent="0.25">
      <c r="O153155" s="9"/>
    </row>
    <row r="153176" spans="15:15" x14ac:dyDescent="0.25">
      <c r="O153176" s="9"/>
    </row>
    <row r="153197" spans="15:15" x14ac:dyDescent="0.25">
      <c r="O153197" s="9"/>
    </row>
    <row r="153218" spans="15:15" x14ac:dyDescent="0.25">
      <c r="O153218" s="9"/>
    </row>
    <row r="153239" spans="15:15" x14ac:dyDescent="0.25">
      <c r="O153239" s="9"/>
    </row>
    <row r="153260" spans="15:15" x14ac:dyDescent="0.25">
      <c r="O153260" s="9"/>
    </row>
    <row r="153281" spans="15:15" x14ac:dyDescent="0.25">
      <c r="O153281" s="9"/>
    </row>
    <row r="153302" spans="15:15" x14ac:dyDescent="0.25">
      <c r="O153302" s="9"/>
    </row>
    <row r="153323" spans="15:15" x14ac:dyDescent="0.25">
      <c r="O153323" s="9"/>
    </row>
    <row r="153344" spans="15:15" x14ac:dyDescent="0.25">
      <c r="O153344" s="9"/>
    </row>
    <row r="153365" spans="15:15" x14ac:dyDescent="0.25">
      <c r="O153365" s="9"/>
    </row>
    <row r="153386" spans="15:15" x14ac:dyDescent="0.25">
      <c r="O153386" s="9"/>
    </row>
    <row r="153407" spans="15:15" x14ac:dyDescent="0.25">
      <c r="O153407" s="9"/>
    </row>
    <row r="153428" spans="15:15" x14ac:dyDescent="0.25">
      <c r="O153428" s="9"/>
    </row>
    <row r="153449" spans="15:15" x14ac:dyDescent="0.25">
      <c r="O153449" s="9"/>
    </row>
    <row r="153470" spans="15:15" x14ac:dyDescent="0.25">
      <c r="O153470" s="9"/>
    </row>
    <row r="153491" spans="15:15" x14ac:dyDescent="0.25">
      <c r="O153491" s="9"/>
    </row>
    <row r="153512" spans="15:15" x14ac:dyDescent="0.25">
      <c r="O153512" s="9"/>
    </row>
    <row r="153533" spans="15:15" x14ac:dyDescent="0.25">
      <c r="O153533" s="9"/>
    </row>
    <row r="153554" spans="15:15" x14ac:dyDescent="0.25">
      <c r="O153554" s="9"/>
    </row>
    <row r="153575" spans="15:15" x14ac:dyDescent="0.25">
      <c r="O153575" s="9"/>
    </row>
    <row r="153596" spans="15:15" x14ac:dyDescent="0.25">
      <c r="O153596" s="9"/>
    </row>
    <row r="153617" spans="15:15" x14ac:dyDescent="0.25">
      <c r="O153617" s="9"/>
    </row>
    <row r="153638" spans="15:15" x14ac:dyDescent="0.25">
      <c r="O153638" s="9"/>
    </row>
    <row r="153659" spans="15:15" x14ac:dyDescent="0.25">
      <c r="O153659" s="9"/>
    </row>
    <row r="153680" spans="15:15" x14ac:dyDescent="0.25">
      <c r="O153680" s="9"/>
    </row>
    <row r="153701" spans="15:15" x14ac:dyDescent="0.25">
      <c r="O153701" s="9"/>
    </row>
    <row r="153722" spans="15:15" x14ac:dyDescent="0.25">
      <c r="O153722" s="9"/>
    </row>
    <row r="153743" spans="15:15" x14ac:dyDescent="0.25">
      <c r="O153743" s="9"/>
    </row>
    <row r="153764" spans="15:15" x14ac:dyDescent="0.25">
      <c r="O153764" s="9"/>
    </row>
    <row r="153785" spans="15:15" x14ac:dyDescent="0.25">
      <c r="O153785" s="9"/>
    </row>
    <row r="153806" spans="15:15" x14ac:dyDescent="0.25">
      <c r="O153806" s="9"/>
    </row>
    <row r="153827" spans="15:15" x14ac:dyDescent="0.25">
      <c r="O153827" s="9"/>
    </row>
    <row r="153848" spans="15:15" x14ac:dyDescent="0.25">
      <c r="O153848" s="9"/>
    </row>
    <row r="153869" spans="15:15" x14ac:dyDescent="0.25">
      <c r="O153869" s="9"/>
    </row>
    <row r="153890" spans="15:15" x14ac:dyDescent="0.25">
      <c r="O153890" s="9"/>
    </row>
    <row r="153911" spans="15:15" x14ac:dyDescent="0.25">
      <c r="O153911" s="9"/>
    </row>
    <row r="153932" spans="15:15" x14ac:dyDescent="0.25">
      <c r="O153932" s="9"/>
    </row>
    <row r="153953" spans="15:15" x14ac:dyDescent="0.25">
      <c r="O153953" s="9"/>
    </row>
    <row r="153974" spans="15:15" x14ac:dyDescent="0.25">
      <c r="O153974" s="9"/>
    </row>
    <row r="153995" spans="15:15" x14ac:dyDescent="0.25">
      <c r="O153995" s="9"/>
    </row>
    <row r="154016" spans="15:15" x14ac:dyDescent="0.25">
      <c r="O154016" s="9"/>
    </row>
    <row r="154037" spans="15:15" x14ac:dyDescent="0.25">
      <c r="O154037" s="9"/>
    </row>
    <row r="154058" spans="15:15" x14ac:dyDescent="0.25">
      <c r="O154058" s="9"/>
    </row>
    <row r="154079" spans="15:15" x14ac:dyDescent="0.25">
      <c r="O154079" s="9"/>
    </row>
    <row r="154100" spans="15:15" x14ac:dyDescent="0.25">
      <c r="O154100" s="9"/>
    </row>
    <row r="154121" spans="15:15" x14ac:dyDescent="0.25">
      <c r="O154121" s="9"/>
    </row>
    <row r="154142" spans="15:15" x14ac:dyDescent="0.25">
      <c r="O154142" s="9"/>
    </row>
    <row r="154163" spans="15:15" x14ac:dyDescent="0.25">
      <c r="O154163" s="9"/>
    </row>
    <row r="154184" spans="15:15" x14ac:dyDescent="0.25">
      <c r="O154184" s="9"/>
    </row>
    <row r="154205" spans="15:15" x14ac:dyDescent="0.25">
      <c r="O154205" s="9"/>
    </row>
    <row r="154226" spans="15:15" x14ac:dyDescent="0.25">
      <c r="O154226" s="9"/>
    </row>
    <row r="154247" spans="15:15" x14ac:dyDescent="0.25">
      <c r="O154247" s="9"/>
    </row>
    <row r="154268" spans="15:15" x14ac:dyDescent="0.25">
      <c r="O154268" s="9"/>
    </row>
    <row r="154289" spans="15:15" x14ac:dyDescent="0.25">
      <c r="O154289" s="9"/>
    </row>
    <row r="154310" spans="15:15" x14ac:dyDescent="0.25">
      <c r="O154310" s="9"/>
    </row>
    <row r="154331" spans="15:15" x14ac:dyDescent="0.25">
      <c r="O154331" s="9"/>
    </row>
    <row r="154352" spans="15:15" x14ac:dyDescent="0.25">
      <c r="O154352" s="9"/>
    </row>
    <row r="154373" spans="15:15" x14ac:dyDescent="0.25">
      <c r="O154373" s="9"/>
    </row>
    <row r="154394" spans="15:15" x14ac:dyDescent="0.25">
      <c r="O154394" s="9"/>
    </row>
    <row r="154415" spans="15:15" x14ac:dyDescent="0.25">
      <c r="O154415" s="9"/>
    </row>
    <row r="154436" spans="15:15" x14ac:dyDescent="0.25">
      <c r="O154436" s="9"/>
    </row>
    <row r="154457" spans="15:15" x14ac:dyDescent="0.25">
      <c r="O154457" s="9"/>
    </row>
    <row r="154478" spans="15:15" x14ac:dyDescent="0.25">
      <c r="O154478" s="9"/>
    </row>
    <row r="154499" spans="15:15" x14ac:dyDescent="0.25">
      <c r="O154499" s="9"/>
    </row>
    <row r="154520" spans="15:15" x14ac:dyDescent="0.25">
      <c r="O154520" s="9"/>
    </row>
    <row r="154541" spans="15:15" x14ac:dyDescent="0.25">
      <c r="O154541" s="9"/>
    </row>
    <row r="154562" spans="15:15" x14ac:dyDescent="0.25">
      <c r="O154562" s="9"/>
    </row>
    <row r="154583" spans="15:15" x14ac:dyDescent="0.25">
      <c r="O154583" s="9"/>
    </row>
    <row r="154604" spans="15:15" x14ac:dyDescent="0.25">
      <c r="O154604" s="9"/>
    </row>
    <row r="154625" spans="15:15" x14ac:dyDescent="0.25">
      <c r="O154625" s="9"/>
    </row>
    <row r="154646" spans="15:15" x14ac:dyDescent="0.25">
      <c r="O154646" s="9"/>
    </row>
    <row r="154667" spans="15:15" x14ac:dyDescent="0.25">
      <c r="O154667" s="9"/>
    </row>
    <row r="154688" spans="15:15" x14ac:dyDescent="0.25">
      <c r="O154688" s="9"/>
    </row>
    <row r="154709" spans="15:15" x14ac:dyDescent="0.25">
      <c r="O154709" s="9"/>
    </row>
    <row r="154730" spans="15:15" x14ac:dyDescent="0.25">
      <c r="O154730" s="9"/>
    </row>
    <row r="154751" spans="15:15" x14ac:dyDescent="0.25">
      <c r="O154751" s="9"/>
    </row>
    <row r="154772" spans="15:15" x14ac:dyDescent="0.25">
      <c r="O154772" s="9"/>
    </row>
    <row r="154793" spans="15:15" x14ac:dyDescent="0.25">
      <c r="O154793" s="9"/>
    </row>
    <row r="154814" spans="15:15" x14ac:dyDescent="0.25">
      <c r="O154814" s="9"/>
    </row>
    <row r="154835" spans="15:15" x14ac:dyDescent="0.25">
      <c r="O154835" s="9"/>
    </row>
    <row r="154856" spans="15:15" x14ac:dyDescent="0.25">
      <c r="O154856" s="9"/>
    </row>
    <row r="154877" spans="15:15" x14ac:dyDescent="0.25">
      <c r="O154877" s="9"/>
    </row>
    <row r="154898" spans="15:15" x14ac:dyDescent="0.25">
      <c r="O154898" s="9"/>
    </row>
    <row r="154919" spans="15:15" x14ac:dyDescent="0.25">
      <c r="O154919" s="9"/>
    </row>
    <row r="154940" spans="15:15" x14ac:dyDescent="0.25">
      <c r="O154940" s="9"/>
    </row>
    <row r="154961" spans="15:15" x14ac:dyDescent="0.25">
      <c r="O154961" s="9"/>
    </row>
    <row r="154982" spans="15:15" x14ac:dyDescent="0.25">
      <c r="O154982" s="9"/>
    </row>
    <row r="155003" spans="15:15" x14ac:dyDescent="0.25">
      <c r="O155003" s="9"/>
    </row>
    <row r="155024" spans="15:15" x14ac:dyDescent="0.25">
      <c r="O155024" s="9"/>
    </row>
    <row r="155045" spans="15:15" x14ac:dyDescent="0.25">
      <c r="O155045" s="9"/>
    </row>
    <row r="155066" spans="15:15" x14ac:dyDescent="0.25">
      <c r="O155066" s="9"/>
    </row>
    <row r="155087" spans="15:15" x14ac:dyDescent="0.25">
      <c r="O155087" s="9"/>
    </row>
    <row r="155108" spans="15:15" x14ac:dyDescent="0.25">
      <c r="O155108" s="9"/>
    </row>
    <row r="155129" spans="15:15" x14ac:dyDescent="0.25">
      <c r="O155129" s="9"/>
    </row>
    <row r="155150" spans="15:15" x14ac:dyDescent="0.25">
      <c r="O155150" s="9"/>
    </row>
    <row r="155171" spans="15:15" x14ac:dyDescent="0.25">
      <c r="O155171" s="9"/>
    </row>
    <row r="155192" spans="15:15" x14ac:dyDescent="0.25">
      <c r="O155192" s="9"/>
    </row>
    <row r="155213" spans="15:15" x14ac:dyDescent="0.25">
      <c r="O155213" s="9"/>
    </row>
    <row r="155234" spans="15:15" x14ac:dyDescent="0.25">
      <c r="O155234" s="9"/>
    </row>
    <row r="155255" spans="15:15" x14ac:dyDescent="0.25">
      <c r="O155255" s="9"/>
    </row>
    <row r="155276" spans="15:15" x14ac:dyDescent="0.25">
      <c r="O155276" s="9"/>
    </row>
    <row r="155297" spans="15:15" x14ac:dyDescent="0.25">
      <c r="O155297" s="9"/>
    </row>
    <row r="155318" spans="15:15" x14ac:dyDescent="0.25">
      <c r="O155318" s="9"/>
    </row>
    <row r="155339" spans="15:15" x14ac:dyDescent="0.25">
      <c r="O155339" s="9"/>
    </row>
    <row r="155360" spans="15:15" x14ac:dyDescent="0.25">
      <c r="O155360" s="9"/>
    </row>
    <row r="155381" spans="15:15" x14ac:dyDescent="0.25">
      <c r="O155381" s="9"/>
    </row>
    <row r="155402" spans="15:15" x14ac:dyDescent="0.25">
      <c r="O155402" s="9"/>
    </row>
    <row r="155423" spans="15:15" x14ac:dyDescent="0.25">
      <c r="O155423" s="9"/>
    </row>
    <row r="155444" spans="15:15" x14ac:dyDescent="0.25">
      <c r="O155444" s="9"/>
    </row>
    <row r="155465" spans="15:15" x14ac:dyDescent="0.25">
      <c r="O155465" s="9"/>
    </row>
    <row r="155486" spans="15:15" x14ac:dyDescent="0.25">
      <c r="O155486" s="9"/>
    </row>
    <row r="155507" spans="15:15" x14ac:dyDescent="0.25">
      <c r="O155507" s="9"/>
    </row>
    <row r="155528" spans="15:15" x14ac:dyDescent="0.25">
      <c r="O155528" s="9"/>
    </row>
    <row r="155549" spans="15:15" x14ac:dyDescent="0.25">
      <c r="O155549" s="9"/>
    </row>
    <row r="155570" spans="15:15" x14ac:dyDescent="0.25">
      <c r="O155570" s="9"/>
    </row>
    <row r="155591" spans="15:15" x14ac:dyDescent="0.25">
      <c r="O155591" s="9"/>
    </row>
    <row r="155612" spans="15:15" x14ac:dyDescent="0.25">
      <c r="O155612" s="9"/>
    </row>
    <row r="155633" spans="15:15" x14ac:dyDescent="0.25">
      <c r="O155633" s="9"/>
    </row>
    <row r="155654" spans="15:15" x14ac:dyDescent="0.25">
      <c r="O155654" s="9"/>
    </row>
    <row r="155675" spans="15:15" x14ac:dyDescent="0.25">
      <c r="O155675" s="9"/>
    </row>
    <row r="155696" spans="15:15" x14ac:dyDescent="0.25">
      <c r="O155696" s="9"/>
    </row>
    <row r="155717" spans="15:15" x14ac:dyDescent="0.25">
      <c r="O155717" s="9"/>
    </row>
    <row r="155738" spans="15:15" x14ac:dyDescent="0.25">
      <c r="O155738" s="9"/>
    </row>
    <row r="155759" spans="15:15" x14ac:dyDescent="0.25">
      <c r="O155759" s="9"/>
    </row>
    <row r="155780" spans="15:15" x14ac:dyDescent="0.25">
      <c r="O155780" s="9"/>
    </row>
    <row r="155801" spans="15:15" x14ac:dyDescent="0.25">
      <c r="O155801" s="9"/>
    </row>
    <row r="155822" spans="15:15" x14ac:dyDescent="0.25">
      <c r="O155822" s="9"/>
    </row>
    <row r="155843" spans="15:15" x14ac:dyDescent="0.25">
      <c r="O155843" s="9"/>
    </row>
    <row r="155864" spans="15:15" x14ac:dyDescent="0.25">
      <c r="O155864" s="9"/>
    </row>
    <row r="155885" spans="15:15" x14ac:dyDescent="0.25">
      <c r="O155885" s="9"/>
    </row>
    <row r="155906" spans="15:15" x14ac:dyDescent="0.25">
      <c r="O155906" s="9"/>
    </row>
    <row r="155927" spans="15:15" x14ac:dyDescent="0.25">
      <c r="O155927" s="9"/>
    </row>
    <row r="155948" spans="15:15" x14ac:dyDescent="0.25">
      <c r="O155948" s="9"/>
    </row>
    <row r="155969" spans="15:15" x14ac:dyDescent="0.25">
      <c r="O155969" s="9"/>
    </row>
    <row r="155990" spans="15:15" x14ac:dyDescent="0.25">
      <c r="O155990" s="9"/>
    </row>
    <row r="156011" spans="15:15" x14ac:dyDescent="0.25">
      <c r="O156011" s="9"/>
    </row>
    <row r="156032" spans="15:15" x14ac:dyDescent="0.25">
      <c r="O156032" s="9"/>
    </row>
    <row r="156053" spans="15:15" x14ac:dyDescent="0.25">
      <c r="O156053" s="9"/>
    </row>
    <row r="156074" spans="15:15" x14ac:dyDescent="0.25">
      <c r="O156074" s="9"/>
    </row>
    <row r="156095" spans="15:15" x14ac:dyDescent="0.25">
      <c r="O156095" s="9"/>
    </row>
    <row r="156116" spans="15:15" x14ac:dyDescent="0.25">
      <c r="O156116" s="9"/>
    </row>
    <row r="156137" spans="15:15" x14ac:dyDescent="0.25">
      <c r="O156137" s="9"/>
    </row>
    <row r="156158" spans="15:15" x14ac:dyDescent="0.25">
      <c r="O156158" s="9"/>
    </row>
    <row r="156179" spans="15:15" x14ac:dyDescent="0.25">
      <c r="O156179" s="9"/>
    </row>
    <row r="156200" spans="15:15" x14ac:dyDescent="0.25">
      <c r="O156200" s="9"/>
    </row>
    <row r="156221" spans="15:15" x14ac:dyDescent="0.25">
      <c r="O156221" s="9"/>
    </row>
    <row r="156242" spans="15:15" x14ac:dyDescent="0.25">
      <c r="O156242" s="9"/>
    </row>
    <row r="156263" spans="15:15" x14ac:dyDescent="0.25">
      <c r="O156263" s="9"/>
    </row>
    <row r="156284" spans="15:15" x14ac:dyDescent="0.25">
      <c r="O156284" s="9"/>
    </row>
    <row r="156305" spans="15:15" x14ac:dyDescent="0.25">
      <c r="O156305" s="9"/>
    </row>
    <row r="156326" spans="15:15" x14ac:dyDescent="0.25">
      <c r="O156326" s="9"/>
    </row>
    <row r="156347" spans="15:15" x14ac:dyDescent="0.25">
      <c r="O156347" s="9"/>
    </row>
    <row r="156368" spans="15:15" x14ac:dyDescent="0.25">
      <c r="O156368" s="9"/>
    </row>
    <row r="156389" spans="15:15" x14ac:dyDescent="0.25">
      <c r="O156389" s="9"/>
    </row>
    <row r="156410" spans="15:15" x14ac:dyDescent="0.25">
      <c r="O156410" s="9"/>
    </row>
    <row r="156431" spans="15:15" x14ac:dyDescent="0.25">
      <c r="O156431" s="9"/>
    </row>
    <row r="156452" spans="15:15" x14ac:dyDescent="0.25">
      <c r="O156452" s="9"/>
    </row>
    <row r="156473" spans="15:15" x14ac:dyDescent="0.25">
      <c r="O156473" s="9"/>
    </row>
    <row r="156494" spans="15:15" x14ac:dyDescent="0.25">
      <c r="O156494" s="9"/>
    </row>
    <row r="156515" spans="15:15" x14ac:dyDescent="0.25">
      <c r="O156515" s="9"/>
    </row>
    <row r="156536" spans="15:15" x14ac:dyDescent="0.25">
      <c r="O156536" s="9"/>
    </row>
    <row r="156557" spans="15:15" x14ac:dyDescent="0.25">
      <c r="O156557" s="9"/>
    </row>
    <row r="156578" spans="15:15" x14ac:dyDescent="0.25">
      <c r="O156578" s="9"/>
    </row>
    <row r="156599" spans="15:15" x14ac:dyDescent="0.25">
      <c r="O156599" s="9"/>
    </row>
    <row r="156620" spans="15:15" x14ac:dyDescent="0.25">
      <c r="O156620" s="9"/>
    </row>
    <row r="156641" spans="15:15" x14ac:dyDescent="0.25">
      <c r="O156641" s="9"/>
    </row>
    <row r="156662" spans="15:15" x14ac:dyDescent="0.25">
      <c r="O156662" s="9"/>
    </row>
    <row r="156683" spans="15:15" x14ac:dyDescent="0.25">
      <c r="O156683" s="9"/>
    </row>
    <row r="156704" spans="15:15" x14ac:dyDescent="0.25">
      <c r="O156704" s="9"/>
    </row>
    <row r="156725" spans="15:15" x14ac:dyDescent="0.25">
      <c r="O156725" s="9"/>
    </row>
    <row r="156746" spans="15:15" x14ac:dyDescent="0.25">
      <c r="O156746" s="9"/>
    </row>
    <row r="156767" spans="15:15" x14ac:dyDescent="0.25">
      <c r="O156767" s="9"/>
    </row>
    <row r="156788" spans="15:15" x14ac:dyDescent="0.25">
      <c r="O156788" s="9"/>
    </row>
    <row r="156809" spans="15:15" x14ac:dyDescent="0.25">
      <c r="O156809" s="9"/>
    </row>
    <row r="156830" spans="15:15" x14ac:dyDescent="0.25">
      <c r="O156830" s="9"/>
    </row>
    <row r="156851" spans="15:15" x14ac:dyDescent="0.25">
      <c r="O156851" s="9"/>
    </row>
    <row r="156872" spans="15:15" x14ac:dyDescent="0.25">
      <c r="O156872" s="9"/>
    </row>
    <row r="156893" spans="15:15" x14ac:dyDescent="0.25">
      <c r="O156893" s="9"/>
    </row>
    <row r="156914" spans="15:15" x14ac:dyDescent="0.25">
      <c r="O156914" s="9"/>
    </row>
    <row r="156935" spans="15:15" x14ac:dyDescent="0.25">
      <c r="O156935" s="9"/>
    </row>
    <row r="156956" spans="15:15" x14ac:dyDescent="0.25">
      <c r="O156956" s="9"/>
    </row>
    <row r="156977" spans="15:15" x14ac:dyDescent="0.25">
      <c r="O156977" s="9"/>
    </row>
    <row r="156998" spans="15:15" x14ac:dyDescent="0.25">
      <c r="O156998" s="9"/>
    </row>
    <row r="157019" spans="15:15" x14ac:dyDescent="0.25">
      <c r="O157019" s="9"/>
    </row>
    <row r="157040" spans="15:15" x14ac:dyDescent="0.25">
      <c r="O157040" s="9"/>
    </row>
    <row r="157061" spans="15:15" x14ac:dyDescent="0.25">
      <c r="O157061" s="9"/>
    </row>
    <row r="157082" spans="15:15" x14ac:dyDescent="0.25">
      <c r="O157082" s="9"/>
    </row>
    <row r="157103" spans="15:15" x14ac:dyDescent="0.25">
      <c r="O157103" s="9"/>
    </row>
    <row r="157124" spans="15:15" x14ac:dyDescent="0.25">
      <c r="O157124" s="9"/>
    </row>
    <row r="157145" spans="15:15" x14ac:dyDescent="0.25">
      <c r="O157145" s="9"/>
    </row>
    <row r="157166" spans="15:15" x14ac:dyDescent="0.25">
      <c r="O157166" s="9"/>
    </row>
    <row r="157187" spans="15:15" x14ac:dyDescent="0.25">
      <c r="O157187" s="9"/>
    </row>
    <row r="157208" spans="15:15" x14ac:dyDescent="0.25">
      <c r="O157208" s="9"/>
    </row>
    <row r="157229" spans="15:15" x14ac:dyDescent="0.25">
      <c r="O157229" s="9"/>
    </row>
    <row r="157250" spans="15:15" x14ac:dyDescent="0.25">
      <c r="O157250" s="9"/>
    </row>
    <row r="157271" spans="15:15" x14ac:dyDescent="0.25">
      <c r="O157271" s="9"/>
    </row>
    <row r="157292" spans="15:15" x14ac:dyDescent="0.25">
      <c r="O157292" s="9"/>
    </row>
    <row r="157313" spans="15:15" x14ac:dyDescent="0.25">
      <c r="O157313" s="9"/>
    </row>
    <row r="157334" spans="15:15" x14ac:dyDescent="0.25">
      <c r="O157334" s="9"/>
    </row>
    <row r="157355" spans="15:15" x14ac:dyDescent="0.25">
      <c r="O157355" s="9"/>
    </row>
    <row r="157376" spans="15:15" x14ac:dyDescent="0.25">
      <c r="O157376" s="9"/>
    </row>
    <row r="157397" spans="15:15" x14ac:dyDescent="0.25">
      <c r="O157397" s="9"/>
    </row>
    <row r="157418" spans="15:15" x14ac:dyDescent="0.25">
      <c r="O157418" s="9"/>
    </row>
    <row r="157439" spans="15:15" x14ac:dyDescent="0.25">
      <c r="O157439" s="9"/>
    </row>
    <row r="157460" spans="15:15" x14ac:dyDescent="0.25">
      <c r="O157460" s="9"/>
    </row>
    <row r="157481" spans="15:15" x14ac:dyDescent="0.25">
      <c r="O157481" s="9"/>
    </row>
    <row r="157502" spans="15:15" x14ac:dyDescent="0.25">
      <c r="O157502" s="9"/>
    </row>
    <row r="157523" spans="15:15" x14ac:dyDescent="0.25">
      <c r="O157523" s="9"/>
    </row>
    <row r="157544" spans="15:15" x14ac:dyDescent="0.25">
      <c r="O157544" s="9"/>
    </row>
    <row r="157565" spans="15:15" x14ac:dyDescent="0.25">
      <c r="O157565" s="9"/>
    </row>
    <row r="157586" spans="15:15" x14ac:dyDescent="0.25">
      <c r="O157586" s="9"/>
    </row>
    <row r="157607" spans="15:15" x14ac:dyDescent="0.25">
      <c r="O157607" s="9"/>
    </row>
    <row r="157628" spans="15:15" x14ac:dyDescent="0.25">
      <c r="O157628" s="9"/>
    </row>
    <row r="157649" spans="15:15" x14ac:dyDescent="0.25">
      <c r="O157649" s="9"/>
    </row>
    <row r="157670" spans="15:15" x14ac:dyDescent="0.25">
      <c r="O157670" s="9"/>
    </row>
    <row r="157691" spans="15:15" x14ac:dyDescent="0.25">
      <c r="O157691" s="9"/>
    </row>
    <row r="157712" spans="15:15" x14ac:dyDescent="0.25">
      <c r="O157712" s="9"/>
    </row>
    <row r="157733" spans="15:15" x14ac:dyDescent="0.25">
      <c r="O157733" s="9"/>
    </row>
    <row r="157754" spans="15:15" x14ac:dyDescent="0.25">
      <c r="O157754" s="9"/>
    </row>
    <row r="157775" spans="15:15" x14ac:dyDescent="0.25">
      <c r="O157775" s="9"/>
    </row>
    <row r="157796" spans="15:15" x14ac:dyDescent="0.25">
      <c r="O157796" s="9"/>
    </row>
    <row r="157817" spans="15:15" x14ac:dyDescent="0.25">
      <c r="O157817" s="9"/>
    </row>
    <row r="157838" spans="15:15" x14ac:dyDescent="0.25">
      <c r="O157838" s="9"/>
    </row>
    <row r="157859" spans="15:15" x14ac:dyDescent="0.25">
      <c r="O157859" s="9"/>
    </row>
    <row r="157880" spans="15:15" x14ac:dyDescent="0.25">
      <c r="O157880" s="9"/>
    </row>
    <row r="157901" spans="15:15" x14ac:dyDescent="0.25">
      <c r="O157901" s="9"/>
    </row>
    <row r="157922" spans="15:15" x14ac:dyDescent="0.25">
      <c r="O157922" s="9"/>
    </row>
    <row r="157943" spans="15:15" x14ac:dyDescent="0.25">
      <c r="O157943" s="9"/>
    </row>
    <row r="157964" spans="15:15" x14ac:dyDescent="0.25">
      <c r="O157964" s="9"/>
    </row>
    <row r="157985" spans="15:15" x14ac:dyDescent="0.25">
      <c r="O157985" s="9"/>
    </row>
    <row r="158006" spans="15:15" x14ac:dyDescent="0.25">
      <c r="O158006" s="9"/>
    </row>
    <row r="158027" spans="15:15" x14ac:dyDescent="0.25">
      <c r="O158027" s="9"/>
    </row>
    <row r="158048" spans="15:15" x14ac:dyDescent="0.25">
      <c r="O158048" s="9"/>
    </row>
    <row r="158069" spans="15:15" x14ac:dyDescent="0.25">
      <c r="O158069" s="9"/>
    </row>
    <row r="158090" spans="15:15" x14ac:dyDescent="0.25">
      <c r="O158090" s="9"/>
    </row>
    <row r="158111" spans="15:15" x14ac:dyDescent="0.25">
      <c r="O158111" s="9"/>
    </row>
    <row r="158132" spans="15:15" x14ac:dyDescent="0.25">
      <c r="O158132" s="9"/>
    </row>
    <row r="158153" spans="15:15" x14ac:dyDescent="0.25">
      <c r="O158153" s="9"/>
    </row>
    <row r="158174" spans="15:15" x14ac:dyDescent="0.25">
      <c r="O158174" s="9"/>
    </row>
    <row r="158195" spans="15:15" x14ac:dyDescent="0.25">
      <c r="O158195" s="9"/>
    </row>
    <row r="158216" spans="15:15" x14ac:dyDescent="0.25">
      <c r="O158216" s="9"/>
    </row>
    <row r="158237" spans="15:15" x14ac:dyDescent="0.25">
      <c r="O158237" s="9"/>
    </row>
    <row r="158258" spans="15:15" x14ac:dyDescent="0.25">
      <c r="O158258" s="9"/>
    </row>
    <row r="158279" spans="15:15" x14ac:dyDescent="0.25">
      <c r="O158279" s="9"/>
    </row>
    <row r="158300" spans="15:15" x14ac:dyDescent="0.25">
      <c r="O158300" s="9"/>
    </row>
    <row r="158321" spans="15:15" x14ac:dyDescent="0.25">
      <c r="O158321" s="9"/>
    </row>
    <row r="158342" spans="15:15" x14ac:dyDescent="0.25">
      <c r="O158342" s="9"/>
    </row>
    <row r="158363" spans="15:15" x14ac:dyDescent="0.25">
      <c r="O158363" s="9"/>
    </row>
    <row r="158384" spans="15:15" x14ac:dyDescent="0.25">
      <c r="O158384" s="9"/>
    </row>
    <row r="158405" spans="15:15" x14ac:dyDescent="0.25">
      <c r="O158405" s="9"/>
    </row>
    <row r="158426" spans="15:15" x14ac:dyDescent="0.25">
      <c r="O158426" s="9"/>
    </row>
    <row r="158447" spans="15:15" x14ac:dyDescent="0.25">
      <c r="O158447" s="9"/>
    </row>
    <row r="158468" spans="15:15" x14ac:dyDescent="0.25">
      <c r="O158468" s="9"/>
    </row>
    <row r="158489" spans="15:15" x14ac:dyDescent="0.25">
      <c r="O158489" s="9"/>
    </row>
    <row r="158510" spans="15:15" x14ac:dyDescent="0.25">
      <c r="O158510" s="9"/>
    </row>
    <row r="158531" spans="15:15" x14ac:dyDescent="0.25">
      <c r="O158531" s="9"/>
    </row>
    <row r="158552" spans="15:15" x14ac:dyDescent="0.25">
      <c r="O158552" s="9"/>
    </row>
    <row r="158573" spans="15:15" x14ac:dyDescent="0.25">
      <c r="O158573" s="9"/>
    </row>
    <row r="158594" spans="15:15" x14ac:dyDescent="0.25">
      <c r="O158594" s="9"/>
    </row>
    <row r="158615" spans="15:15" x14ac:dyDescent="0.25">
      <c r="O158615" s="9"/>
    </row>
    <row r="158636" spans="15:15" x14ac:dyDescent="0.25">
      <c r="O158636" s="9"/>
    </row>
    <row r="158657" spans="15:15" x14ac:dyDescent="0.25">
      <c r="O158657" s="9"/>
    </row>
    <row r="158678" spans="15:15" x14ac:dyDescent="0.25">
      <c r="O158678" s="9"/>
    </row>
    <row r="158699" spans="15:15" x14ac:dyDescent="0.25">
      <c r="O158699" s="9"/>
    </row>
    <row r="158720" spans="15:15" x14ac:dyDescent="0.25">
      <c r="O158720" s="9"/>
    </row>
    <row r="158741" spans="15:15" x14ac:dyDescent="0.25">
      <c r="O158741" s="9"/>
    </row>
    <row r="158762" spans="15:15" x14ac:dyDescent="0.25">
      <c r="O158762" s="9"/>
    </row>
    <row r="158783" spans="15:15" x14ac:dyDescent="0.25">
      <c r="O158783" s="9"/>
    </row>
    <row r="158804" spans="15:15" x14ac:dyDescent="0.25">
      <c r="O158804" s="9"/>
    </row>
    <row r="158825" spans="15:15" x14ac:dyDescent="0.25">
      <c r="O158825" s="9"/>
    </row>
    <row r="158846" spans="15:15" x14ac:dyDescent="0.25">
      <c r="O158846" s="9"/>
    </row>
    <row r="158867" spans="15:15" x14ac:dyDescent="0.25">
      <c r="O158867" s="9"/>
    </row>
    <row r="158888" spans="15:15" x14ac:dyDescent="0.25">
      <c r="O158888" s="9"/>
    </row>
    <row r="158909" spans="15:15" x14ac:dyDescent="0.25">
      <c r="O158909" s="9"/>
    </row>
    <row r="158930" spans="15:15" x14ac:dyDescent="0.25">
      <c r="O158930" s="9"/>
    </row>
    <row r="158951" spans="15:15" x14ac:dyDescent="0.25">
      <c r="O158951" s="9"/>
    </row>
    <row r="158972" spans="15:15" x14ac:dyDescent="0.25">
      <c r="O158972" s="9"/>
    </row>
    <row r="158993" spans="15:15" x14ac:dyDescent="0.25">
      <c r="O158993" s="9"/>
    </row>
    <row r="159014" spans="15:15" x14ac:dyDescent="0.25">
      <c r="O159014" s="9"/>
    </row>
    <row r="159035" spans="15:15" x14ac:dyDescent="0.25">
      <c r="O159035" s="9"/>
    </row>
    <row r="159056" spans="15:15" x14ac:dyDescent="0.25">
      <c r="O159056" s="9"/>
    </row>
    <row r="159077" spans="15:15" x14ac:dyDescent="0.25">
      <c r="O159077" s="9"/>
    </row>
    <row r="159098" spans="15:15" x14ac:dyDescent="0.25">
      <c r="O159098" s="9"/>
    </row>
    <row r="159119" spans="15:15" x14ac:dyDescent="0.25">
      <c r="O159119" s="9"/>
    </row>
    <row r="159140" spans="15:15" x14ac:dyDescent="0.25">
      <c r="O159140" s="9"/>
    </row>
    <row r="159161" spans="15:15" x14ac:dyDescent="0.25">
      <c r="O159161" s="9"/>
    </row>
    <row r="159182" spans="15:15" x14ac:dyDescent="0.25">
      <c r="O159182" s="9"/>
    </row>
    <row r="159203" spans="15:15" x14ac:dyDescent="0.25">
      <c r="O159203" s="9"/>
    </row>
    <row r="159224" spans="15:15" x14ac:dyDescent="0.25">
      <c r="O159224" s="9"/>
    </row>
    <row r="159245" spans="15:15" x14ac:dyDescent="0.25">
      <c r="O159245" s="9"/>
    </row>
    <row r="159266" spans="15:15" x14ac:dyDescent="0.25">
      <c r="O159266" s="9"/>
    </row>
    <row r="159287" spans="15:15" x14ac:dyDescent="0.25">
      <c r="O159287" s="9"/>
    </row>
    <row r="159308" spans="15:15" x14ac:dyDescent="0.25">
      <c r="O159308" s="9"/>
    </row>
    <row r="159329" spans="15:15" x14ac:dyDescent="0.25">
      <c r="O159329" s="9"/>
    </row>
    <row r="159350" spans="15:15" x14ac:dyDescent="0.25">
      <c r="O159350" s="9"/>
    </row>
    <row r="159371" spans="15:15" x14ac:dyDescent="0.25">
      <c r="O159371" s="9"/>
    </row>
    <row r="159392" spans="15:15" x14ac:dyDescent="0.25">
      <c r="O159392" s="9"/>
    </row>
    <row r="159413" spans="15:15" x14ac:dyDescent="0.25">
      <c r="O159413" s="9"/>
    </row>
    <row r="159434" spans="15:15" x14ac:dyDescent="0.25">
      <c r="O159434" s="9"/>
    </row>
    <row r="159455" spans="15:15" x14ac:dyDescent="0.25">
      <c r="O159455" s="9"/>
    </row>
    <row r="159476" spans="15:15" x14ac:dyDescent="0.25">
      <c r="O159476" s="9"/>
    </row>
    <row r="159497" spans="15:15" x14ac:dyDescent="0.25">
      <c r="O159497" s="9"/>
    </row>
    <row r="159518" spans="15:15" x14ac:dyDescent="0.25">
      <c r="O159518" s="9"/>
    </row>
    <row r="159539" spans="15:15" x14ac:dyDescent="0.25">
      <c r="O159539" s="9"/>
    </row>
    <row r="159560" spans="15:15" x14ac:dyDescent="0.25">
      <c r="O159560" s="9"/>
    </row>
    <row r="159581" spans="15:15" x14ac:dyDescent="0.25">
      <c r="O159581" s="9"/>
    </row>
    <row r="159602" spans="15:15" x14ac:dyDescent="0.25">
      <c r="O159602" s="9"/>
    </row>
    <row r="159623" spans="15:15" x14ac:dyDescent="0.25">
      <c r="O159623" s="9"/>
    </row>
    <row r="159644" spans="15:15" x14ac:dyDescent="0.25">
      <c r="O159644" s="9"/>
    </row>
    <row r="159665" spans="15:15" x14ac:dyDescent="0.25">
      <c r="O159665" s="9"/>
    </row>
    <row r="159686" spans="15:15" x14ac:dyDescent="0.25">
      <c r="O159686" s="9"/>
    </row>
    <row r="159707" spans="15:15" x14ac:dyDescent="0.25">
      <c r="O159707" s="9"/>
    </row>
    <row r="159728" spans="15:15" x14ac:dyDescent="0.25">
      <c r="O159728" s="9"/>
    </row>
    <row r="159749" spans="15:15" x14ac:dyDescent="0.25">
      <c r="O159749" s="9"/>
    </row>
    <row r="159770" spans="15:15" x14ac:dyDescent="0.25">
      <c r="O159770" s="9"/>
    </row>
    <row r="159791" spans="15:15" x14ac:dyDescent="0.25">
      <c r="O159791" s="9"/>
    </row>
    <row r="159812" spans="15:15" x14ac:dyDescent="0.25">
      <c r="O159812" s="9"/>
    </row>
    <row r="159833" spans="15:15" x14ac:dyDescent="0.25">
      <c r="O159833" s="9"/>
    </row>
    <row r="159854" spans="15:15" x14ac:dyDescent="0.25">
      <c r="O159854" s="9"/>
    </row>
    <row r="159875" spans="15:15" x14ac:dyDescent="0.25">
      <c r="O159875" s="9"/>
    </row>
    <row r="159896" spans="15:15" x14ac:dyDescent="0.25">
      <c r="O159896" s="9"/>
    </row>
    <row r="159917" spans="15:15" x14ac:dyDescent="0.25">
      <c r="O159917" s="9"/>
    </row>
    <row r="159938" spans="15:15" x14ac:dyDescent="0.25">
      <c r="O159938" s="9"/>
    </row>
    <row r="159959" spans="15:15" x14ac:dyDescent="0.25">
      <c r="O159959" s="9"/>
    </row>
    <row r="159980" spans="15:15" x14ac:dyDescent="0.25">
      <c r="O159980" s="9"/>
    </row>
    <row r="160001" spans="15:15" x14ac:dyDescent="0.25">
      <c r="O160001" s="9"/>
    </row>
    <row r="160022" spans="15:15" x14ac:dyDescent="0.25">
      <c r="O160022" s="9"/>
    </row>
    <row r="160043" spans="15:15" x14ac:dyDescent="0.25">
      <c r="O160043" s="9"/>
    </row>
    <row r="160064" spans="15:15" x14ac:dyDescent="0.25">
      <c r="O160064" s="9"/>
    </row>
    <row r="160085" spans="15:15" x14ac:dyDescent="0.25">
      <c r="O160085" s="9"/>
    </row>
    <row r="160106" spans="15:15" x14ac:dyDescent="0.25">
      <c r="O160106" s="9"/>
    </row>
    <row r="160127" spans="15:15" x14ac:dyDescent="0.25">
      <c r="O160127" s="9"/>
    </row>
    <row r="160148" spans="15:15" x14ac:dyDescent="0.25">
      <c r="O160148" s="9"/>
    </row>
    <row r="160169" spans="15:15" x14ac:dyDescent="0.25">
      <c r="O160169" s="9"/>
    </row>
    <row r="160190" spans="15:15" x14ac:dyDescent="0.25">
      <c r="O160190" s="9"/>
    </row>
    <row r="160211" spans="15:15" x14ac:dyDescent="0.25">
      <c r="O160211" s="9"/>
    </row>
    <row r="160232" spans="15:15" x14ac:dyDescent="0.25">
      <c r="O160232" s="9"/>
    </row>
    <row r="160253" spans="15:15" x14ac:dyDescent="0.25">
      <c r="O160253" s="9"/>
    </row>
    <row r="160274" spans="15:15" x14ac:dyDescent="0.25">
      <c r="O160274" s="9"/>
    </row>
    <row r="160295" spans="15:15" x14ac:dyDescent="0.25">
      <c r="O160295" s="9"/>
    </row>
    <row r="160316" spans="15:15" x14ac:dyDescent="0.25">
      <c r="O160316" s="9"/>
    </row>
    <row r="160337" spans="15:15" x14ac:dyDescent="0.25">
      <c r="O160337" s="9"/>
    </row>
    <row r="160358" spans="15:15" x14ac:dyDescent="0.25">
      <c r="O160358" s="9"/>
    </row>
    <row r="160379" spans="15:15" x14ac:dyDescent="0.25">
      <c r="O160379" s="9"/>
    </row>
    <row r="160400" spans="15:15" x14ac:dyDescent="0.25">
      <c r="O160400" s="9"/>
    </row>
    <row r="160421" spans="15:15" x14ac:dyDescent="0.25">
      <c r="O160421" s="9"/>
    </row>
    <row r="160442" spans="15:15" x14ac:dyDescent="0.25">
      <c r="O160442" s="9"/>
    </row>
    <row r="160463" spans="15:15" x14ac:dyDescent="0.25">
      <c r="O160463" s="9"/>
    </row>
    <row r="160484" spans="15:15" x14ac:dyDescent="0.25">
      <c r="O160484" s="9"/>
    </row>
    <row r="160505" spans="15:15" x14ac:dyDescent="0.25">
      <c r="O160505" s="9"/>
    </row>
    <row r="160526" spans="15:15" x14ac:dyDescent="0.25">
      <c r="O160526" s="9"/>
    </row>
    <row r="160547" spans="15:15" x14ac:dyDescent="0.25">
      <c r="O160547" s="9"/>
    </row>
    <row r="160568" spans="15:15" x14ac:dyDescent="0.25">
      <c r="O160568" s="9"/>
    </row>
    <row r="160589" spans="15:15" x14ac:dyDescent="0.25">
      <c r="O160589" s="9"/>
    </row>
    <row r="160610" spans="15:15" x14ac:dyDescent="0.25">
      <c r="O160610" s="9"/>
    </row>
    <row r="160631" spans="15:15" x14ac:dyDescent="0.25">
      <c r="O160631" s="9"/>
    </row>
    <row r="160652" spans="15:15" x14ac:dyDescent="0.25">
      <c r="O160652" s="9"/>
    </row>
    <row r="160673" spans="15:15" x14ac:dyDescent="0.25">
      <c r="O160673" s="9"/>
    </row>
    <row r="160694" spans="15:15" x14ac:dyDescent="0.25">
      <c r="O160694" s="9"/>
    </row>
    <row r="160715" spans="15:15" x14ac:dyDescent="0.25">
      <c r="O160715" s="9"/>
    </row>
    <row r="160736" spans="15:15" x14ac:dyDescent="0.25">
      <c r="O160736" s="9"/>
    </row>
    <row r="160757" spans="15:15" x14ac:dyDescent="0.25">
      <c r="O160757" s="9"/>
    </row>
    <row r="160778" spans="15:15" x14ac:dyDescent="0.25">
      <c r="O160778" s="9"/>
    </row>
    <row r="160799" spans="15:15" x14ac:dyDescent="0.25">
      <c r="O160799" s="9"/>
    </row>
    <row r="160820" spans="15:15" x14ac:dyDescent="0.25">
      <c r="O160820" s="9"/>
    </row>
    <row r="160841" spans="15:15" x14ac:dyDescent="0.25">
      <c r="O160841" s="9"/>
    </row>
    <row r="160862" spans="15:15" x14ac:dyDescent="0.25">
      <c r="O160862" s="9"/>
    </row>
    <row r="160883" spans="15:15" x14ac:dyDescent="0.25">
      <c r="O160883" s="9"/>
    </row>
    <row r="160904" spans="15:15" x14ac:dyDescent="0.25">
      <c r="O160904" s="9"/>
    </row>
    <row r="160925" spans="15:15" x14ac:dyDescent="0.25">
      <c r="O160925" s="9"/>
    </row>
    <row r="160946" spans="15:15" x14ac:dyDescent="0.25">
      <c r="O160946" s="9"/>
    </row>
    <row r="160967" spans="15:15" x14ac:dyDescent="0.25">
      <c r="O160967" s="9"/>
    </row>
    <row r="160988" spans="15:15" x14ac:dyDescent="0.25">
      <c r="O160988" s="9"/>
    </row>
    <row r="161009" spans="15:15" x14ac:dyDescent="0.25">
      <c r="O161009" s="9"/>
    </row>
    <row r="161030" spans="15:15" x14ac:dyDescent="0.25">
      <c r="O161030" s="9"/>
    </row>
    <row r="161051" spans="15:15" x14ac:dyDescent="0.25">
      <c r="O161051" s="9"/>
    </row>
    <row r="161072" spans="15:15" x14ac:dyDescent="0.25">
      <c r="O161072" s="9"/>
    </row>
    <row r="161093" spans="15:15" x14ac:dyDescent="0.25">
      <c r="O161093" s="9"/>
    </row>
    <row r="161114" spans="15:15" x14ac:dyDescent="0.25">
      <c r="O161114" s="9"/>
    </row>
    <row r="161135" spans="15:15" x14ac:dyDescent="0.25">
      <c r="O161135" s="9"/>
    </row>
    <row r="161156" spans="15:15" x14ac:dyDescent="0.25">
      <c r="O161156" s="9"/>
    </row>
    <row r="161177" spans="15:15" x14ac:dyDescent="0.25">
      <c r="O161177" s="9"/>
    </row>
    <row r="161198" spans="15:15" x14ac:dyDescent="0.25">
      <c r="O161198" s="9"/>
    </row>
    <row r="161219" spans="15:15" x14ac:dyDescent="0.25">
      <c r="O161219" s="9"/>
    </row>
    <row r="161240" spans="15:15" x14ac:dyDescent="0.25">
      <c r="O161240" s="9"/>
    </row>
    <row r="161261" spans="15:15" x14ac:dyDescent="0.25">
      <c r="O161261" s="9"/>
    </row>
    <row r="161282" spans="15:15" x14ac:dyDescent="0.25">
      <c r="O161282" s="9"/>
    </row>
    <row r="161303" spans="15:15" x14ac:dyDescent="0.25">
      <c r="O161303" s="9"/>
    </row>
    <row r="161324" spans="15:15" x14ac:dyDescent="0.25">
      <c r="O161324" s="9"/>
    </row>
    <row r="161345" spans="15:15" x14ac:dyDescent="0.25">
      <c r="O161345" s="9"/>
    </row>
    <row r="161366" spans="15:15" x14ac:dyDescent="0.25">
      <c r="O161366" s="9"/>
    </row>
    <row r="161387" spans="15:15" x14ac:dyDescent="0.25">
      <c r="O161387" s="9"/>
    </row>
    <row r="161408" spans="15:15" x14ac:dyDescent="0.25">
      <c r="O161408" s="9"/>
    </row>
    <row r="161429" spans="15:15" x14ac:dyDescent="0.25">
      <c r="O161429" s="9"/>
    </row>
    <row r="161450" spans="15:15" x14ac:dyDescent="0.25">
      <c r="O161450" s="9"/>
    </row>
    <row r="161471" spans="15:15" x14ac:dyDescent="0.25">
      <c r="O161471" s="9"/>
    </row>
    <row r="161492" spans="15:15" x14ac:dyDescent="0.25">
      <c r="O161492" s="9"/>
    </row>
    <row r="161513" spans="15:15" x14ac:dyDescent="0.25">
      <c r="O161513" s="9"/>
    </row>
    <row r="161534" spans="15:15" x14ac:dyDescent="0.25">
      <c r="O161534" s="9"/>
    </row>
    <row r="161555" spans="15:15" x14ac:dyDescent="0.25">
      <c r="O161555" s="9"/>
    </row>
    <row r="161576" spans="15:15" x14ac:dyDescent="0.25">
      <c r="O161576" s="9"/>
    </row>
    <row r="161597" spans="15:15" x14ac:dyDescent="0.25">
      <c r="O161597" s="9"/>
    </row>
    <row r="161618" spans="15:15" x14ac:dyDescent="0.25">
      <c r="O161618" s="9"/>
    </row>
    <row r="161639" spans="15:15" x14ac:dyDescent="0.25">
      <c r="O161639" s="9"/>
    </row>
    <row r="161660" spans="15:15" x14ac:dyDescent="0.25">
      <c r="O161660" s="9"/>
    </row>
    <row r="161681" spans="15:15" x14ac:dyDescent="0.25">
      <c r="O161681" s="9"/>
    </row>
    <row r="161702" spans="15:15" x14ac:dyDescent="0.25">
      <c r="O161702" s="9"/>
    </row>
    <row r="161723" spans="15:15" x14ac:dyDescent="0.25">
      <c r="O161723" s="9"/>
    </row>
    <row r="161744" spans="15:15" x14ac:dyDescent="0.25">
      <c r="O161744" s="9"/>
    </row>
    <row r="161765" spans="15:15" x14ac:dyDescent="0.25">
      <c r="O161765" s="9"/>
    </row>
    <row r="161786" spans="15:15" x14ac:dyDescent="0.25">
      <c r="O161786" s="9"/>
    </row>
    <row r="161807" spans="15:15" x14ac:dyDescent="0.25">
      <c r="O161807" s="9"/>
    </row>
    <row r="161828" spans="15:15" x14ac:dyDescent="0.25">
      <c r="O161828" s="9"/>
    </row>
    <row r="161849" spans="15:15" x14ac:dyDescent="0.25">
      <c r="O161849" s="9"/>
    </row>
    <row r="161870" spans="15:15" x14ac:dyDescent="0.25">
      <c r="O161870" s="9"/>
    </row>
    <row r="161891" spans="15:15" x14ac:dyDescent="0.25">
      <c r="O161891" s="9"/>
    </row>
    <row r="161912" spans="15:15" x14ac:dyDescent="0.25">
      <c r="O161912" s="9"/>
    </row>
    <row r="161933" spans="15:15" x14ac:dyDescent="0.25">
      <c r="O161933" s="9"/>
    </row>
    <row r="161954" spans="15:15" x14ac:dyDescent="0.25">
      <c r="O161954" s="9"/>
    </row>
    <row r="161975" spans="15:15" x14ac:dyDescent="0.25">
      <c r="O161975" s="9"/>
    </row>
    <row r="161996" spans="15:15" x14ac:dyDescent="0.25">
      <c r="O161996" s="9"/>
    </row>
    <row r="162017" spans="15:15" x14ac:dyDescent="0.25">
      <c r="O162017" s="9"/>
    </row>
    <row r="162038" spans="15:15" x14ac:dyDescent="0.25">
      <c r="O162038" s="9"/>
    </row>
    <row r="162059" spans="15:15" x14ac:dyDescent="0.25">
      <c r="O162059" s="9"/>
    </row>
    <row r="162080" spans="15:15" x14ac:dyDescent="0.25">
      <c r="O162080" s="9"/>
    </row>
    <row r="162101" spans="15:15" x14ac:dyDescent="0.25">
      <c r="O162101" s="9"/>
    </row>
    <row r="162122" spans="15:15" x14ac:dyDescent="0.25">
      <c r="O162122" s="9"/>
    </row>
    <row r="162143" spans="15:15" x14ac:dyDescent="0.25">
      <c r="O162143" s="9"/>
    </row>
    <row r="162164" spans="15:15" x14ac:dyDescent="0.25">
      <c r="O162164" s="9"/>
    </row>
    <row r="162185" spans="15:15" x14ac:dyDescent="0.25">
      <c r="O162185" s="9"/>
    </row>
    <row r="162206" spans="15:15" x14ac:dyDescent="0.25">
      <c r="O162206" s="9"/>
    </row>
    <row r="162227" spans="15:15" x14ac:dyDescent="0.25">
      <c r="O162227" s="9"/>
    </row>
    <row r="162248" spans="15:15" x14ac:dyDescent="0.25">
      <c r="O162248" s="9"/>
    </row>
    <row r="162269" spans="15:15" x14ac:dyDescent="0.25">
      <c r="O162269" s="9"/>
    </row>
    <row r="162290" spans="15:15" x14ac:dyDescent="0.25">
      <c r="O162290" s="9"/>
    </row>
    <row r="162311" spans="15:15" x14ac:dyDescent="0.25">
      <c r="O162311" s="9"/>
    </row>
    <row r="162332" spans="15:15" x14ac:dyDescent="0.25">
      <c r="O162332" s="9"/>
    </row>
    <row r="162353" spans="15:15" x14ac:dyDescent="0.25">
      <c r="O162353" s="9"/>
    </row>
    <row r="162374" spans="15:15" x14ac:dyDescent="0.25">
      <c r="O162374" s="9"/>
    </row>
    <row r="162395" spans="15:15" x14ac:dyDescent="0.25">
      <c r="O162395" s="9"/>
    </row>
    <row r="162416" spans="15:15" x14ac:dyDescent="0.25">
      <c r="O162416" s="9"/>
    </row>
    <row r="162437" spans="15:15" x14ac:dyDescent="0.25">
      <c r="O162437" s="9"/>
    </row>
    <row r="162458" spans="15:15" x14ac:dyDescent="0.25">
      <c r="O162458" s="9"/>
    </row>
    <row r="162479" spans="15:15" x14ac:dyDescent="0.25">
      <c r="O162479" s="9"/>
    </row>
    <row r="162500" spans="15:15" x14ac:dyDescent="0.25">
      <c r="O162500" s="9"/>
    </row>
    <row r="162521" spans="15:15" x14ac:dyDescent="0.25">
      <c r="O162521" s="9"/>
    </row>
    <row r="162542" spans="15:15" x14ac:dyDescent="0.25">
      <c r="O162542" s="9"/>
    </row>
    <row r="162563" spans="15:15" x14ac:dyDescent="0.25">
      <c r="O162563" s="9"/>
    </row>
    <row r="162584" spans="15:15" x14ac:dyDescent="0.25">
      <c r="O162584" s="9"/>
    </row>
    <row r="162605" spans="15:15" x14ac:dyDescent="0.25">
      <c r="O162605" s="9"/>
    </row>
    <row r="162626" spans="15:15" x14ac:dyDescent="0.25">
      <c r="O162626" s="9"/>
    </row>
    <row r="162647" spans="15:15" x14ac:dyDescent="0.25">
      <c r="O162647" s="9"/>
    </row>
    <row r="162668" spans="15:15" x14ac:dyDescent="0.25">
      <c r="O162668" s="9"/>
    </row>
    <row r="162689" spans="15:15" x14ac:dyDescent="0.25">
      <c r="O162689" s="9"/>
    </row>
    <row r="162710" spans="15:15" x14ac:dyDescent="0.25">
      <c r="O162710" s="9"/>
    </row>
    <row r="162731" spans="15:15" x14ac:dyDescent="0.25">
      <c r="O162731" s="9"/>
    </row>
    <row r="162752" spans="15:15" x14ac:dyDescent="0.25">
      <c r="O162752" s="9"/>
    </row>
    <row r="162773" spans="15:15" x14ac:dyDescent="0.25">
      <c r="O162773" s="9"/>
    </row>
    <row r="162794" spans="15:15" x14ac:dyDescent="0.25">
      <c r="O162794" s="9"/>
    </row>
    <row r="162815" spans="15:15" x14ac:dyDescent="0.25">
      <c r="O162815" s="9"/>
    </row>
    <row r="162836" spans="15:15" x14ac:dyDescent="0.25">
      <c r="O162836" s="9"/>
    </row>
    <row r="162857" spans="15:15" x14ac:dyDescent="0.25">
      <c r="O162857" s="9"/>
    </row>
    <row r="162878" spans="15:15" x14ac:dyDescent="0.25">
      <c r="O162878" s="9"/>
    </row>
    <row r="162899" spans="15:15" x14ac:dyDescent="0.25">
      <c r="O162899" s="9"/>
    </row>
    <row r="162920" spans="15:15" x14ac:dyDescent="0.25">
      <c r="O162920" s="9"/>
    </row>
    <row r="162941" spans="15:15" x14ac:dyDescent="0.25">
      <c r="O162941" s="9"/>
    </row>
    <row r="162962" spans="15:15" x14ac:dyDescent="0.25">
      <c r="O162962" s="9"/>
    </row>
    <row r="162983" spans="15:15" x14ac:dyDescent="0.25">
      <c r="O162983" s="9"/>
    </row>
    <row r="163004" spans="15:15" x14ac:dyDescent="0.25">
      <c r="O163004" s="9"/>
    </row>
    <row r="163025" spans="15:15" x14ac:dyDescent="0.25">
      <c r="O163025" s="9"/>
    </row>
    <row r="163046" spans="15:15" x14ac:dyDescent="0.25">
      <c r="O163046" s="9"/>
    </row>
    <row r="163067" spans="15:15" x14ac:dyDescent="0.25">
      <c r="O163067" s="9"/>
    </row>
    <row r="163088" spans="15:15" x14ac:dyDescent="0.25">
      <c r="O163088" s="9"/>
    </row>
    <row r="163109" spans="15:15" x14ac:dyDescent="0.25">
      <c r="O163109" s="9"/>
    </row>
    <row r="163130" spans="15:15" x14ac:dyDescent="0.25">
      <c r="O163130" s="9"/>
    </row>
    <row r="163151" spans="15:15" x14ac:dyDescent="0.25">
      <c r="O163151" s="9"/>
    </row>
    <row r="163172" spans="15:15" x14ac:dyDescent="0.25">
      <c r="O163172" s="9"/>
    </row>
    <row r="163193" spans="15:15" x14ac:dyDescent="0.25">
      <c r="O163193" s="9"/>
    </row>
    <row r="163214" spans="15:15" x14ac:dyDescent="0.25">
      <c r="O163214" s="9"/>
    </row>
    <row r="163235" spans="15:15" x14ac:dyDescent="0.25">
      <c r="O163235" s="9"/>
    </row>
    <row r="163256" spans="15:15" x14ac:dyDescent="0.25">
      <c r="O163256" s="9"/>
    </row>
    <row r="163277" spans="15:15" x14ac:dyDescent="0.25">
      <c r="O163277" s="9"/>
    </row>
    <row r="163298" spans="15:15" x14ac:dyDescent="0.25">
      <c r="O163298" s="9"/>
    </row>
    <row r="163319" spans="15:15" x14ac:dyDescent="0.25">
      <c r="O163319" s="9"/>
    </row>
    <row r="163340" spans="15:15" x14ac:dyDescent="0.25">
      <c r="O163340" s="9"/>
    </row>
    <row r="163361" spans="15:15" x14ac:dyDescent="0.25">
      <c r="O163361" s="9"/>
    </row>
    <row r="163382" spans="15:15" x14ac:dyDescent="0.25">
      <c r="O163382" s="9"/>
    </row>
    <row r="163403" spans="15:15" x14ac:dyDescent="0.25">
      <c r="O163403" s="9"/>
    </row>
    <row r="163424" spans="15:15" x14ac:dyDescent="0.25">
      <c r="O163424" s="9"/>
    </row>
    <row r="163445" spans="15:15" x14ac:dyDescent="0.25">
      <c r="O163445" s="9"/>
    </row>
    <row r="163466" spans="15:15" x14ac:dyDescent="0.25">
      <c r="O163466" s="9"/>
    </row>
    <row r="163487" spans="15:15" x14ac:dyDescent="0.25">
      <c r="O163487" s="9"/>
    </row>
    <row r="163508" spans="15:15" x14ac:dyDescent="0.25">
      <c r="O163508" s="9"/>
    </row>
    <row r="163529" spans="15:15" x14ac:dyDescent="0.25">
      <c r="O163529" s="9"/>
    </row>
    <row r="163550" spans="15:15" x14ac:dyDescent="0.25">
      <c r="O163550" s="9"/>
    </row>
    <row r="163571" spans="15:15" x14ac:dyDescent="0.25">
      <c r="O163571" s="9"/>
    </row>
    <row r="163592" spans="15:15" x14ac:dyDescent="0.25">
      <c r="O163592" s="9"/>
    </row>
    <row r="163613" spans="15:15" x14ac:dyDescent="0.25">
      <c r="O163613" s="9"/>
    </row>
    <row r="163634" spans="15:15" x14ac:dyDescent="0.25">
      <c r="O163634" s="9"/>
    </row>
    <row r="163655" spans="15:15" x14ac:dyDescent="0.25">
      <c r="O163655" s="9"/>
    </row>
    <row r="163676" spans="15:15" x14ac:dyDescent="0.25">
      <c r="O163676" s="9"/>
    </row>
    <row r="163697" spans="15:15" x14ac:dyDescent="0.25">
      <c r="O163697" s="9"/>
    </row>
    <row r="163718" spans="15:15" x14ac:dyDescent="0.25">
      <c r="O163718" s="9"/>
    </row>
    <row r="163739" spans="15:15" x14ac:dyDescent="0.25">
      <c r="O163739" s="9"/>
    </row>
    <row r="163760" spans="15:15" x14ac:dyDescent="0.25">
      <c r="O163760" s="9"/>
    </row>
    <row r="163781" spans="15:15" x14ac:dyDescent="0.25">
      <c r="O163781" s="9"/>
    </row>
    <row r="163802" spans="15:15" x14ac:dyDescent="0.25">
      <c r="O163802" s="9"/>
    </row>
    <row r="163823" spans="15:15" x14ac:dyDescent="0.25">
      <c r="O163823" s="9"/>
    </row>
    <row r="163844" spans="15:15" x14ac:dyDescent="0.25">
      <c r="O163844" s="9"/>
    </row>
    <row r="163865" spans="15:15" x14ac:dyDescent="0.25">
      <c r="O163865" s="9"/>
    </row>
    <row r="163886" spans="15:15" x14ac:dyDescent="0.25">
      <c r="O163886" s="9"/>
    </row>
    <row r="163907" spans="15:15" x14ac:dyDescent="0.25">
      <c r="O163907" s="9"/>
    </row>
    <row r="163928" spans="15:15" x14ac:dyDescent="0.25">
      <c r="O163928" s="9"/>
    </row>
    <row r="163949" spans="15:15" x14ac:dyDescent="0.25">
      <c r="O163949" s="9"/>
    </row>
    <row r="163970" spans="15:15" x14ac:dyDescent="0.25">
      <c r="O163970" s="9"/>
    </row>
    <row r="163991" spans="15:15" x14ac:dyDescent="0.25">
      <c r="O163991" s="9"/>
    </row>
    <row r="164012" spans="15:15" x14ac:dyDescent="0.25">
      <c r="O164012" s="9"/>
    </row>
    <row r="164033" spans="15:15" x14ac:dyDescent="0.25">
      <c r="O164033" s="9"/>
    </row>
    <row r="164054" spans="15:15" x14ac:dyDescent="0.25">
      <c r="O164054" s="9"/>
    </row>
    <row r="164075" spans="15:15" x14ac:dyDescent="0.25">
      <c r="O164075" s="9"/>
    </row>
    <row r="164096" spans="15:15" x14ac:dyDescent="0.25">
      <c r="O164096" s="9"/>
    </row>
    <row r="164117" spans="15:15" x14ac:dyDescent="0.25">
      <c r="O164117" s="9"/>
    </row>
    <row r="164138" spans="15:15" x14ac:dyDescent="0.25">
      <c r="O164138" s="9"/>
    </row>
    <row r="164159" spans="15:15" x14ac:dyDescent="0.25">
      <c r="O164159" s="9"/>
    </row>
    <row r="164180" spans="15:15" x14ac:dyDescent="0.25">
      <c r="O164180" s="9"/>
    </row>
    <row r="164201" spans="15:15" x14ac:dyDescent="0.25">
      <c r="O164201" s="9"/>
    </row>
    <row r="164222" spans="15:15" x14ac:dyDescent="0.25">
      <c r="O164222" s="9"/>
    </row>
    <row r="164243" spans="15:15" x14ac:dyDescent="0.25">
      <c r="O164243" s="9"/>
    </row>
    <row r="164264" spans="15:15" x14ac:dyDescent="0.25">
      <c r="O164264" s="9"/>
    </row>
    <row r="164285" spans="15:15" x14ac:dyDescent="0.25">
      <c r="O164285" s="9"/>
    </row>
    <row r="164306" spans="15:15" x14ac:dyDescent="0.25">
      <c r="O164306" s="9"/>
    </row>
    <row r="164327" spans="15:15" x14ac:dyDescent="0.25">
      <c r="O164327" s="9"/>
    </row>
    <row r="164348" spans="15:15" x14ac:dyDescent="0.25">
      <c r="O164348" s="9"/>
    </row>
    <row r="164369" spans="15:15" x14ac:dyDescent="0.25">
      <c r="O164369" s="9"/>
    </row>
    <row r="164390" spans="15:15" x14ac:dyDescent="0.25">
      <c r="O164390" s="9"/>
    </row>
    <row r="164411" spans="15:15" x14ac:dyDescent="0.25">
      <c r="O164411" s="9"/>
    </row>
    <row r="164432" spans="15:15" x14ac:dyDescent="0.25">
      <c r="O164432" s="9"/>
    </row>
    <row r="164453" spans="15:15" x14ac:dyDescent="0.25">
      <c r="O164453" s="9"/>
    </row>
    <row r="164474" spans="15:15" x14ac:dyDescent="0.25">
      <c r="O164474" s="9"/>
    </row>
    <row r="164495" spans="15:15" x14ac:dyDescent="0.25">
      <c r="O164495" s="9"/>
    </row>
    <row r="164516" spans="15:15" x14ac:dyDescent="0.25">
      <c r="O164516" s="9"/>
    </row>
    <row r="164537" spans="15:15" x14ac:dyDescent="0.25">
      <c r="O164537" s="9"/>
    </row>
    <row r="164558" spans="15:15" x14ac:dyDescent="0.25">
      <c r="O164558" s="9"/>
    </row>
    <row r="164579" spans="15:15" x14ac:dyDescent="0.25">
      <c r="O164579" s="9"/>
    </row>
    <row r="164600" spans="15:15" x14ac:dyDescent="0.25">
      <c r="O164600" s="9"/>
    </row>
    <row r="164621" spans="15:15" x14ac:dyDescent="0.25">
      <c r="O164621" s="9"/>
    </row>
    <row r="164642" spans="15:15" x14ac:dyDescent="0.25">
      <c r="O164642" s="9"/>
    </row>
    <row r="164663" spans="15:15" x14ac:dyDescent="0.25">
      <c r="O164663" s="9"/>
    </row>
    <row r="164684" spans="15:15" x14ac:dyDescent="0.25">
      <c r="O164684" s="9"/>
    </row>
    <row r="164705" spans="15:15" x14ac:dyDescent="0.25">
      <c r="O164705" s="9"/>
    </row>
    <row r="164726" spans="15:15" x14ac:dyDescent="0.25">
      <c r="O164726" s="9"/>
    </row>
    <row r="164747" spans="15:15" x14ac:dyDescent="0.25">
      <c r="O164747" s="9"/>
    </row>
    <row r="164768" spans="15:15" x14ac:dyDescent="0.25">
      <c r="O164768" s="9"/>
    </row>
    <row r="164789" spans="15:15" x14ac:dyDescent="0.25">
      <c r="O164789" s="9"/>
    </row>
    <row r="164810" spans="15:15" x14ac:dyDescent="0.25">
      <c r="O164810" s="9"/>
    </row>
    <row r="164831" spans="15:15" x14ac:dyDescent="0.25">
      <c r="O164831" s="9"/>
    </row>
    <row r="164852" spans="15:15" x14ac:dyDescent="0.25">
      <c r="O164852" s="9"/>
    </row>
    <row r="164873" spans="15:15" x14ac:dyDescent="0.25">
      <c r="O164873" s="9"/>
    </row>
    <row r="164894" spans="15:15" x14ac:dyDescent="0.25">
      <c r="O164894" s="9"/>
    </row>
    <row r="164915" spans="15:15" x14ac:dyDescent="0.25">
      <c r="O164915" s="9"/>
    </row>
    <row r="164936" spans="15:15" x14ac:dyDescent="0.25">
      <c r="O164936" s="9"/>
    </row>
    <row r="164957" spans="15:15" x14ac:dyDescent="0.25">
      <c r="O164957" s="9"/>
    </row>
    <row r="164978" spans="15:15" x14ac:dyDescent="0.25">
      <c r="O164978" s="9"/>
    </row>
    <row r="164999" spans="15:15" x14ac:dyDescent="0.25">
      <c r="O164999" s="9"/>
    </row>
    <row r="165020" spans="15:15" x14ac:dyDescent="0.25">
      <c r="O165020" s="9"/>
    </row>
    <row r="165041" spans="15:15" x14ac:dyDescent="0.25">
      <c r="O165041" s="9"/>
    </row>
    <row r="165062" spans="15:15" x14ac:dyDescent="0.25">
      <c r="O165062" s="9"/>
    </row>
    <row r="165083" spans="15:15" x14ac:dyDescent="0.25">
      <c r="O165083" s="9"/>
    </row>
    <row r="165104" spans="15:15" x14ac:dyDescent="0.25">
      <c r="O165104" s="9"/>
    </row>
    <row r="165125" spans="15:15" x14ac:dyDescent="0.25">
      <c r="O165125" s="9"/>
    </row>
    <row r="165146" spans="15:15" x14ac:dyDescent="0.25">
      <c r="O165146" s="9"/>
    </row>
    <row r="165167" spans="15:15" x14ac:dyDescent="0.25">
      <c r="O165167" s="9"/>
    </row>
    <row r="165188" spans="15:15" x14ac:dyDescent="0.25">
      <c r="O165188" s="9"/>
    </row>
    <row r="165209" spans="15:15" x14ac:dyDescent="0.25">
      <c r="O165209" s="9"/>
    </row>
    <row r="165230" spans="15:15" x14ac:dyDescent="0.25">
      <c r="O165230" s="9"/>
    </row>
    <row r="165251" spans="15:15" x14ac:dyDescent="0.25">
      <c r="O165251" s="9"/>
    </row>
    <row r="165272" spans="15:15" x14ac:dyDescent="0.25">
      <c r="O165272" s="9"/>
    </row>
    <row r="165293" spans="15:15" x14ac:dyDescent="0.25">
      <c r="O165293" s="9"/>
    </row>
    <row r="165314" spans="15:15" x14ac:dyDescent="0.25">
      <c r="O165314" s="9"/>
    </row>
    <row r="165335" spans="15:15" x14ac:dyDescent="0.25">
      <c r="O165335" s="9"/>
    </row>
    <row r="165356" spans="15:15" x14ac:dyDescent="0.25">
      <c r="O165356" s="9"/>
    </row>
    <row r="165377" spans="15:15" x14ac:dyDescent="0.25">
      <c r="O165377" s="9"/>
    </row>
    <row r="165398" spans="15:15" x14ac:dyDescent="0.25">
      <c r="O165398" s="9"/>
    </row>
    <row r="165419" spans="15:15" x14ac:dyDescent="0.25">
      <c r="O165419" s="9"/>
    </row>
    <row r="165440" spans="15:15" x14ac:dyDescent="0.25">
      <c r="O165440" s="9"/>
    </row>
    <row r="165461" spans="15:15" x14ac:dyDescent="0.25">
      <c r="O165461" s="9"/>
    </row>
    <row r="165482" spans="15:15" x14ac:dyDescent="0.25">
      <c r="O165482" s="9"/>
    </row>
    <row r="165503" spans="15:15" x14ac:dyDescent="0.25">
      <c r="O165503" s="9"/>
    </row>
    <row r="165524" spans="15:15" x14ac:dyDescent="0.25">
      <c r="O165524" s="9"/>
    </row>
    <row r="165545" spans="15:15" x14ac:dyDescent="0.25">
      <c r="O165545" s="9"/>
    </row>
    <row r="165566" spans="15:15" x14ac:dyDescent="0.25">
      <c r="O165566" s="9"/>
    </row>
    <row r="165587" spans="15:15" x14ac:dyDescent="0.25">
      <c r="O165587" s="9"/>
    </row>
    <row r="165608" spans="15:15" x14ac:dyDescent="0.25">
      <c r="O165608" s="9"/>
    </row>
    <row r="165629" spans="15:15" x14ac:dyDescent="0.25">
      <c r="O165629" s="9"/>
    </row>
    <row r="165650" spans="15:15" x14ac:dyDescent="0.25">
      <c r="O165650" s="9"/>
    </row>
    <row r="165671" spans="15:15" x14ac:dyDescent="0.25">
      <c r="O165671" s="9"/>
    </row>
    <row r="165692" spans="15:15" x14ac:dyDescent="0.25">
      <c r="O165692" s="9"/>
    </row>
    <row r="165713" spans="15:15" x14ac:dyDescent="0.25">
      <c r="O165713" s="9"/>
    </row>
    <row r="165734" spans="15:15" x14ac:dyDescent="0.25">
      <c r="O165734" s="9"/>
    </row>
    <row r="165755" spans="15:15" x14ac:dyDescent="0.25">
      <c r="O165755" s="9"/>
    </row>
    <row r="165776" spans="15:15" x14ac:dyDescent="0.25">
      <c r="O165776" s="9"/>
    </row>
    <row r="165797" spans="15:15" x14ac:dyDescent="0.25">
      <c r="O165797" s="9"/>
    </row>
    <row r="165818" spans="15:15" x14ac:dyDescent="0.25">
      <c r="O165818" s="9"/>
    </row>
    <row r="165839" spans="15:15" x14ac:dyDescent="0.25">
      <c r="O165839" s="9"/>
    </row>
    <row r="165860" spans="15:15" x14ac:dyDescent="0.25">
      <c r="O165860" s="9"/>
    </row>
    <row r="165881" spans="15:15" x14ac:dyDescent="0.25">
      <c r="O165881" s="9"/>
    </row>
    <row r="165902" spans="15:15" x14ac:dyDescent="0.25">
      <c r="O165902" s="9"/>
    </row>
    <row r="165923" spans="15:15" x14ac:dyDescent="0.25">
      <c r="O165923" s="9"/>
    </row>
    <row r="165944" spans="15:15" x14ac:dyDescent="0.25">
      <c r="O165944" s="9"/>
    </row>
    <row r="165965" spans="15:15" x14ac:dyDescent="0.25">
      <c r="O165965" s="9"/>
    </row>
    <row r="165986" spans="15:15" x14ac:dyDescent="0.25">
      <c r="O165986" s="9"/>
    </row>
    <row r="166007" spans="15:15" x14ac:dyDescent="0.25">
      <c r="O166007" s="9"/>
    </row>
    <row r="166028" spans="15:15" x14ac:dyDescent="0.25">
      <c r="O166028" s="9"/>
    </row>
    <row r="166049" spans="15:15" x14ac:dyDescent="0.25">
      <c r="O166049" s="9"/>
    </row>
    <row r="166070" spans="15:15" x14ac:dyDescent="0.25">
      <c r="O166070" s="9"/>
    </row>
    <row r="166091" spans="15:15" x14ac:dyDescent="0.25">
      <c r="O166091" s="9"/>
    </row>
    <row r="166112" spans="15:15" x14ac:dyDescent="0.25">
      <c r="O166112" s="9"/>
    </row>
    <row r="166133" spans="15:15" x14ac:dyDescent="0.25">
      <c r="O166133" s="9"/>
    </row>
    <row r="166154" spans="15:15" x14ac:dyDescent="0.25">
      <c r="O166154" s="9"/>
    </row>
    <row r="166175" spans="15:15" x14ac:dyDescent="0.25">
      <c r="O166175" s="9"/>
    </row>
    <row r="166196" spans="15:15" x14ac:dyDescent="0.25">
      <c r="O166196" s="9"/>
    </row>
    <row r="166217" spans="15:15" x14ac:dyDescent="0.25">
      <c r="O166217" s="9"/>
    </row>
    <row r="166238" spans="15:15" x14ac:dyDescent="0.25">
      <c r="O166238" s="9"/>
    </row>
    <row r="166259" spans="15:15" x14ac:dyDescent="0.25">
      <c r="O166259" s="9"/>
    </row>
    <row r="166280" spans="15:15" x14ac:dyDescent="0.25">
      <c r="O166280" s="9"/>
    </row>
    <row r="166301" spans="15:15" x14ac:dyDescent="0.25">
      <c r="O166301" s="9"/>
    </row>
    <row r="166322" spans="15:15" x14ac:dyDescent="0.25">
      <c r="O166322" s="9"/>
    </row>
    <row r="166343" spans="15:15" x14ac:dyDescent="0.25">
      <c r="O166343" s="9"/>
    </row>
    <row r="166364" spans="15:15" x14ac:dyDescent="0.25">
      <c r="O166364" s="9"/>
    </row>
    <row r="166385" spans="15:15" x14ac:dyDescent="0.25">
      <c r="O166385" s="9"/>
    </row>
    <row r="166406" spans="15:15" x14ac:dyDescent="0.25">
      <c r="O166406" s="9"/>
    </row>
    <row r="166427" spans="15:15" x14ac:dyDescent="0.25">
      <c r="O166427" s="9"/>
    </row>
    <row r="166448" spans="15:15" x14ac:dyDescent="0.25">
      <c r="O166448" s="9"/>
    </row>
    <row r="166469" spans="15:15" x14ac:dyDescent="0.25">
      <c r="O166469" s="9"/>
    </row>
    <row r="166490" spans="15:15" x14ac:dyDescent="0.25">
      <c r="O166490" s="9"/>
    </row>
    <row r="166511" spans="15:15" x14ac:dyDescent="0.25">
      <c r="O166511" s="9"/>
    </row>
    <row r="166532" spans="15:15" x14ac:dyDescent="0.25">
      <c r="O166532" s="9"/>
    </row>
    <row r="166553" spans="15:15" x14ac:dyDescent="0.25">
      <c r="O166553" s="9"/>
    </row>
    <row r="166574" spans="15:15" x14ac:dyDescent="0.25">
      <c r="O166574" s="9"/>
    </row>
    <row r="166595" spans="15:15" x14ac:dyDescent="0.25">
      <c r="O166595" s="9"/>
    </row>
    <row r="166616" spans="15:15" x14ac:dyDescent="0.25">
      <c r="O166616" s="9"/>
    </row>
    <row r="166637" spans="15:15" x14ac:dyDescent="0.25">
      <c r="O166637" s="9"/>
    </row>
    <row r="166658" spans="15:15" x14ac:dyDescent="0.25">
      <c r="O166658" s="9"/>
    </row>
    <row r="166679" spans="15:15" x14ac:dyDescent="0.25">
      <c r="O166679" s="9"/>
    </row>
    <row r="166700" spans="15:15" x14ac:dyDescent="0.25">
      <c r="O166700" s="9"/>
    </row>
    <row r="166721" spans="15:15" x14ac:dyDescent="0.25">
      <c r="O166721" s="9"/>
    </row>
    <row r="166742" spans="15:15" x14ac:dyDescent="0.25">
      <c r="O166742" s="9"/>
    </row>
    <row r="166763" spans="15:15" x14ac:dyDescent="0.25">
      <c r="O166763" s="9"/>
    </row>
    <row r="166784" spans="15:15" x14ac:dyDescent="0.25">
      <c r="O166784" s="9"/>
    </row>
    <row r="166805" spans="15:15" x14ac:dyDescent="0.25">
      <c r="O166805" s="9"/>
    </row>
    <row r="166826" spans="15:15" x14ac:dyDescent="0.25">
      <c r="O166826" s="9"/>
    </row>
    <row r="166847" spans="15:15" x14ac:dyDescent="0.25">
      <c r="O166847" s="9"/>
    </row>
    <row r="166868" spans="15:15" x14ac:dyDescent="0.25">
      <c r="O166868" s="9"/>
    </row>
    <row r="166889" spans="15:15" x14ac:dyDescent="0.25">
      <c r="O166889" s="9"/>
    </row>
    <row r="166910" spans="15:15" x14ac:dyDescent="0.25">
      <c r="O166910" s="9"/>
    </row>
    <row r="166931" spans="15:15" x14ac:dyDescent="0.25">
      <c r="O166931" s="9"/>
    </row>
    <row r="166952" spans="15:15" x14ac:dyDescent="0.25">
      <c r="O166952" s="9"/>
    </row>
    <row r="166973" spans="15:15" x14ac:dyDescent="0.25">
      <c r="O166973" s="9"/>
    </row>
    <row r="166994" spans="15:15" x14ac:dyDescent="0.25">
      <c r="O166994" s="9"/>
    </row>
    <row r="167015" spans="15:15" x14ac:dyDescent="0.25">
      <c r="O167015" s="9"/>
    </row>
    <row r="167036" spans="15:15" x14ac:dyDescent="0.25">
      <c r="O167036" s="9"/>
    </row>
    <row r="167057" spans="15:15" x14ac:dyDescent="0.25">
      <c r="O167057" s="9"/>
    </row>
    <row r="167078" spans="15:15" x14ac:dyDescent="0.25">
      <c r="O167078" s="9"/>
    </row>
    <row r="167099" spans="15:15" x14ac:dyDescent="0.25">
      <c r="O167099" s="9"/>
    </row>
    <row r="167120" spans="15:15" x14ac:dyDescent="0.25">
      <c r="O167120" s="9"/>
    </row>
    <row r="167141" spans="15:15" x14ac:dyDescent="0.25">
      <c r="O167141" s="9"/>
    </row>
    <row r="167162" spans="15:15" x14ac:dyDescent="0.25">
      <c r="O167162" s="9"/>
    </row>
    <row r="167183" spans="15:15" x14ac:dyDescent="0.25">
      <c r="O167183" s="9"/>
    </row>
    <row r="167204" spans="15:15" x14ac:dyDescent="0.25">
      <c r="O167204" s="9"/>
    </row>
    <row r="167225" spans="15:15" x14ac:dyDescent="0.25">
      <c r="O167225" s="9"/>
    </row>
    <row r="167246" spans="15:15" x14ac:dyDescent="0.25">
      <c r="O167246" s="9"/>
    </row>
    <row r="167267" spans="15:15" x14ac:dyDescent="0.25">
      <c r="O167267" s="9"/>
    </row>
    <row r="167288" spans="15:15" x14ac:dyDescent="0.25">
      <c r="O167288" s="9"/>
    </row>
    <row r="167309" spans="15:15" x14ac:dyDescent="0.25">
      <c r="O167309" s="9"/>
    </row>
    <row r="167330" spans="15:15" x14ac:dyDescent="0.25">
      <c r="O167330" s="9"/>
    </row>
    <row r="167351" spans="15:15" x14ac:dyDescent="0.25">
      <c r="O167351" s="9"/>
    </row>
    <row r="167372" spans="15:15" x14ac:dyDescent="0.25">
      <c r="O167372" s="9"/>
    </row>
    <row r="167393" spans="15:15" x14ac:dyDescent="0.25">
      <c r="O167393" s="9"/>
    </row>
    <row r="167414" spans="15:15" x14ac:dyDescent="0.25">
      <c r="O167414" s="9"/>
    </row>
    <row r="167435" spans="15:15" x14ac:dyDescent="0.25">
      <c r="O167435" s="9"/>
    </row>
    <row r="167456" spans="15:15" x14ac:dyDescent="0.25">
      <c r="O167456" s="9"/>
    </row>
    <row r="167477" spans="15:15" x14ac:dyDescent="0.25">
      <c r="O167477" s="9"/>
    </row>
    <row r="167498" spans="15:15" x14ac:dyDescent="0.25">
      <c r="O167498" s="9"/>
    </row>
    <row r="167519" spans="15:15" x14ac:dyDescent="0.25">
      <c r="O167519" s="9"/>
    </row>
    <row r="167540" spans="15:15" x14ac:dyDescent="0.25">
      <c r="O167540" s="9"/>
    </row>
    <row r="167561" spans="15:15" x14ac:dyDescent="0.25">
      <c r="O167561" s="9"/>
    </row>
    <row r="167582" spans="15:15" x14ac:dyDescent="0.25">
      <c r="O167582" s="9"/>
    </row>
    <row r="167603" spans="15:15" x14ac:dyDescent="0.25">
      <c r="O167603" s="9"/>
    </row>
    <row r="167624" spans="15:15" x14ac:dyDescent="0.25">
      <c r="O167624" s="9"/>
    </row>
    <row r="167645" spans="15:15" x14ac:dyDescent="0.25">
      <c r="O167645" s="9"/>
    </row>
    <row r="167666" spans="15:15" x14ac:dyDescent="0.25">
      <c r="O167666" s="9"/>
    </row>
    <row r="167687" spans="15:15" x14ac:dyDescent="0.25">
      <c r="O167687" s="9"/>
    </row>
    <row r="167708" spans="15:15" x14ac:dyDescent="0.25">
      <c r="O167708" s="9"/>
    </row>
    <row r="167729" spans="15:15" x14ac:dyDescent="0.25">
      <c r="O167729" s="9"/>
    </row>
    <row r="167750" spans="15:15" x14ac:dyDescent="0.25">
      <c r="O167750" s="9"/>
    </row>
    <row r="167771" spans="15:15" x14ac:dyDescent="0.25">
      <c r="O167771" s="9"/>
    </row>
    <row r="167792" spans="15:15" x14ac:dyDescent="0.25">
      <c r="O167792" s="9"/>
    </row>
    <row r="167813" spans="15:15" x14ac:dyDescent="0.25">
      <c r="O167813" s="9"/>
    </row>
    <row r="167834" spans="15:15" x14ac:dyDescent="0.25">
      <c r="O167834" s="9"/>
    </row>
    <row r="167855" spans="15:15" x14ac:dyDescent="0.25">
      <c r="O167855" s="9"/>
    </row>
    <row r="167876" spans="15:15" x14ac:dyDescent="0.25">
      <c r="O167876" s="9"/>
    </row>
    <row r="167897" spans="15:15" x14ac:dyDescent="0.25">
      <c r="O167897" s="9"/>
    </row>
    <row r="167918" spans="15:15" x14ac:dyDescent="0.25">
      <c r="O167918" s="9"/>
    </row>
    <row r="167939" spans="15:15" x14ac:dyDescent="0.25">
      <c r="O167939" s="9"/>
    </row>
    <row r="167960" spans="15:15" x14ac:dyDescent="0.25">
      <c r="O167960" s="9"/>
    </row>
    <row r="167981" spans="15:15" x14ac:dyDescent="0.25">
      <c r="O167981" s="9"/>
    </row>
    <row r="168002" spans="15:15" x14ac:dyDescent="0.25">
      <c r="O168002" s="9"/>
    </row>
    <row r="168023" spans="15:15" x14ac:dyDescent="0.25">
      <c r="O168023" s="9"/>
    </row>
    <row r="168044" spans="15:15" x14ac:dyDescent="0.25">
      <c r="O168044" s="9"/>
    </row>
    <row r="168065" spans="15:15" x14ac:dyDescent="0.25">
      <c r="O168065" s="9"/>
    </row>
    <row r="168086" spans="15:15" x14ac:dyDescent="0.25">
      <c r="O168086" s="9"/>
    </row>
    <row r="168107" spans="15:15" x14ac:dyDescent="0.25">
      <c r="O168107" s="9"/>
    </row>
    <row r="168128" spans="15:15" x14ac:dyDescent="0.25">
      <c r="O168128" s="9"/>
    </row>
    <row r="168149" spans="15:15" x14ac:dyDescent="0.25">
      <c r="O168149" s="9"/>
    </row>
    <row r="168170" spans="15:15" x14ac:dyDescent="0.25">
      <c r="O168170" s="9"/>
    </row>
    <row r="168191" spans="15:15" x14ac:dyDescent="0.25">
      <c r="O168191" s="9"/>
    </row>
    <row r="168212" spans="15:15" x14ac:dyDescent="0.25">
      <c r="O168212" s="9"/>
    </row>
    <row r="168233" spans="15:15" x14ac:dyDescent="0.25">
      <c r="O168233" s="9"/>
    </row>
    <row r="168254" spans="15:15" x14ac:dyDescent="0.25">
      <c r="O168254" s="9"/>
    </row>
    <row r="168275" spans="15:15" x14ac:dyDescent="0.25">
      <c r="O168275" s="9"/>
    </row>
    <row r="168296" spans="15:15" x14ac:dyDescent="0.25">
      <c r="O168296" s="9"/>
    </row>
    <row r="168317" spans="15:15" x14ac:dyDescent="0.25">
      <c r="O168317" s="9"/>
    </row>
    <row r="168338" spans="15:15" x14ac:dyDescent="0.25">
      <c r="O168338" s="9"/>
    </row>
    <row r="168359" spans="15:15" x14ac:dyDescent="0.25">
      <c r="O168359" s="9"/>
    </row>
    <row r="168380" spans="15:15" x14ac:dyDescent="0.25">
      <c r="O168380" s="9"/>
    </row>
    <row r="168401" spans="15:15" x14ac:dyDescent="0.25">
      <c r="O168401" s="9"/>
    </row>
    <row r="168422" spans="15:15" x14ac:dyDescent="0.25">
      <c r="O168422" s="9"/>
    </row>
    <row r="168443" spans="15:15" x14ac:dyDescent="0.25">
      <c r="O168443" s="9"/>
    </row>
    <row r="168464" spans="15:15" x14ac:dyDescent="0.25">
      <c r="O168464" s="9"/>
    </row>
    <row r="168485" spans="15:15" x14ac:dyDescent="0.25">
      <c r="O168485" s="9"/>
    </row>
    <row r="168506" spans="15:15" x14ac:dyDescent="0.25">
      <c r="O168506" s="9"/>
    </row>
    <row r="168527" spans="15:15" x14ac:dyDescent="0.25">
      <c r="O168527" s="9"/>
    </row>
    <row r="168548" spans="15:15" x14ac:dyDescent="0.25">
      <c r="O168548" s="9"/>
    </row>
    <row r="168569" spans="15:15" x14ac:dyDescent="0.25">
      <c r="O168569" s="9"/>
    </row>
    <row r="168590" spans="15:15" x14ac:dyDescent="0.25">
      <c r="O168590" s="9"/>
    </row>
    <row r="168611" spans="15:15" x14ac:dyDescent="0.25">
      <c r="O168611" s="9"/>
    </row>
    <row r="168632" spans="15:15" x14ac:dyDescent="0.25">
      <c r="O168632" s="9"/>
    </row>
    <row r="168653" spans="15:15" x14ac:dyDescent="0.25">
      <c r="O168653" s="9"/>
    </row>
    <row r="168674" spans="15:15" x14ac:dyDescent="0.25">
      <c r="O168674" s="9"/>
    </row>
    <row r="168695" spans="15:15" x14ac:dyDescent="0.25">
      <c r="O168695" s="9"/>
    </row>
    <row r="168716" spans="15:15" x14ac:dyDescent="0.25">
      <c r="O168716" s="9"/>
    </row>
    <row r="168737" spans="15:15" x14ac:dyDescent="0.25">
      <c r="O168737" s="9"/>
    </row>
    <row r="168758" spans="15:15" x14ac:dyDescent="0.25">
      <c r="O168758" s="9"/>
    </row>
    <row r="168779" spans="15:15" x14ac:dyDescent="0.25">
      <c r="O168779" s="9"/>
    </row>
    <row r="168800" spans="15:15" x14ac:dyDescent="0.25">
      <c r="O168800" s="9"/>
    </row>
    <row r="168821" spans="15:15" x14ac:dyDescent="0.25">
      <c r="O168821" s="9"/>
    </row>
    <row r="168842" spans="15:15" x14ac:dyDescent="0.25">
      <c r="O168842" s="9"/>
    </row>
    <row r="168863" spans="15:15" x14ac:dyDescent="0.25">
      <c r="O168863" s="9"/>
    </row>
    <row r="168884" spans="15:15" x14ac:dyDescent="0.25">
      <c r="O168884" s="9"/>
    </row>
    <row r="168905" spans="15:15" x14ac:dyDescent="0.25">
      <c r="O168905" s="9"/>
    </row>
    <row r="168926" spans="15:15" x14ac:dyDescent="0.25">
      <c r="O168926" s="9"/>
    </row>
    <row r="168947" spans="15:15" x14ac:dyDescent="0.25">
      <c r="O168947" s="9"/>
    </row>
    <row r="168968" spans="15:15" x14ac:dyDescent="0.25">
      <c r="O168968" s="9"/>
    </row>
    <row r="168989" spans="15:15" x14ac:dyDescent="0.25">
      <c r="O168989" s="9"/>
    </row>
    <row r="169010" spans="15:15" x14ac:dyDescent="0.25">
      <c r="O169010" s="9"/>
    </row>
    <row r="169031" spans="15:15" x14ac:dyDescent="0.25">
      <c r="O169031" s="9"/>
    </row>
    <row r="169052" spans="15:15" x14ac:dyDescent="0.25">
      <c r="O169052" s="9"/>
    </row>
    <row r="169073" spans="15:15" x14ac:dyDescent="0.25">
      <c r="O169073" s="9"/>
    </row>
    <row r="169094" spans="15:15" x14ac:dyDescent="0.25">
      <c r="O169094" s="9"/>
    </row>
    <row r="169115" spans="15:15" x14ac:dyDescent="0.25">
      <c r="O169115" s="9"/>
    </row>
    <row r="169136" spans="15:15" x14ac:dyDescent="0.25">
      <c r="O169136" s="9"/>
    </row>
    <row r="169157" spans="15:15" x14ac:dyDescent="0.25">
      <c r="O169157" s="9"/>
    </row>
    <row r="169178" spans="15:15" x14ac:dyDescent="0.25">
      <c r="O169178" s="9"/>
    </row>
    <row r="169199" spans="15:15" x14ac:dyDescent="0.25">
      <c r="O169199" s="9"/>
    </row>
    <row r="169220" spans="15:15" x14ac:dyDescent="0.25">
      <c r="O169220" s="9"/>
    </row>
    <row r="169241" spans="15:15" x14ac:dyDescent="0.25">
      <c r="O169241" s="9"/>
    </row>
    <row r="169262" spans="15:15" x14ac:dyDescent="0.25">
      <c r="O169262" s="9"/>
    </row>
    <row r="169283" spans="15:15" x14ac:dyDescent="0.25">
      <c r="O169283" s="9"/>
    </row>
    <row r="169304" spans="15:15" x14ac:dyDescent="0.25">
      <c r="O169304" s="9"/>
    </row>
    <row r="169325" spans="15:15" x14ac:dyDescent="0.25">
      <c r="O169325" s="9"/>
    </row>
    <row r="169346" spans="15:15" x14ac:dyDescent="0.25">
      <c r="O169346" s="9"/>
    </row>
    <row r="169367" spans="15:15" x14ac:dyDescent="0.25">
      <c r="O169367" s="9"/>
    </row>
    <row r="169388" spans="15:15" x14ac:dyDescent="0.25">
      <c r="O169388" s="9"/>
    </row>
    <row r="169409" spans="15:15" x14ac:dyDescent="0.25">
      <c r="O169409" s="9"/>
    </row>
    <row r="169430" spans="15:15" x14ac:dyDescent="0.25">
      <c r="O169430" s="9"/>
    </row>
    <row r="169451" spans="15:15" x14ac:dyDescent="0.25">
      <c r="O169451" s="9"/>
    </row>
    <row r="169472" spans="15:15" x14ac:dyDescent="0.25">
      <c r="O169472" s="9"/>
    </row>
    <row r="169493" spans="15:15" x14ac:dyDescent="0.25">
      <c r="O169493" s="9"/>
    </row>
    <row r="169514" spans="15:15" x14ac:dyDescent="0.25">
      <c r="O169514" s="9"/>
    </row>
    <row r="169535" spans="15:15" x14ac:dyDescent="0.25">
      <c r="O169535" s="9"/>
    </row>
    <row r="169556" spans="15:15" x14ac:dyDescent="0.25">
      <c r="O169556" s="9"/>
    </row>
    <row r="169577" spans="15:15" x14ac:dyDescent="0.25">
      <c r="O169577" s="9"/>
    </row>
    <row r="169598" spans="15:15" x14ac:dyDescent="0.25">
      <c r="O169598" s="9"/>
    </row>
    <row r="169619" spans="15:15" x14ac:dyDescent="0.25">
      <c r="O169619" s="9"/>
    </row>
    <row r="169640" spans="15:15" x14ac:dyDescent="0.25">
      <c r="O169640" s="9"/>
    </row>
    <row r="169661" spans="15:15" x14ac:dyDescent="0.25">
      <c r="O169661" s="9"/>
    </row>
    <row r="169682" spans="15:15" x14ac:dyDescent="0.25">
      <c r="O169682" s="9"/>
    </row>
    <row r="169703" spans="15:15" x14ac:dyDescent="0.25">
      <c r="O169703" s="9"/>
    </row>
    <row r="169724" spans="15:15" x14ac:dyDescent="0.25">
      <c r="O169724" s="9"/>
    </row>
    <row r="169745" spans="15:15" x14ac:dyDescent="0.25">
      <c r="O169745" s="9"/>
    </row>
    <row r="169766" spans="15:15" x14ac:dyDescent="0.25">
      <c r="O169766" s="9"/>
    </row>
    <row r="169787" spans="15:15" x14ac:dyDescent="0.25">
      <c r="O169787" s="9"/>
    </row>
    <row r="169808" spans="15:15" x14ac:dyDescent="0.25">
      <c r="O169808" s="9"/>
    </row>
    <row r="169829" spans="15:15" x14ac:dyDescent="0.25">
      <c r="O169829" s="9"/>
    </row>
    <row r="169850" spans="15:15" x14ac:dyDescent="0.25">
      <c r="O169850" s="9"/>
    </row>
    <row r="169871" spans="15:15" x14ac:dyDescent="0.25">
      <c r="O169871" s="9"/>
    </row>
    <row r="169892" spans="15:15" x14ac:dyDescent="0.25">
      <c r="O169892" s="9"/>
    </row>
    <row r="169913" spans="15:15" x14ac:dyDescent="0.25">
      <c r="O169913" s="9"/>
    </row>
    <row r="169934" spans="15:15" x14ac:dyDescent="0.25">
      <c r="O169934" s="9"/>
    </row>
    <row r="169955" spans="15:15" x14ac:dyDescent="0.25">
      <c r="O169955" s="9"/>
    </row>
    <row r="169976" spans="15:15" x14ac:dyDescent="0.25">
      <c r="O169976" s="9"/>
    </row>
    <row r="169997" spans="15:15" x14ac:dyDescent="0.25">
      <c r="O169997" s="9"/>
    </row>
    <row r="170018" spans="15:15" x14ac:dyDescent="0.25">
      <c r="O170018" s="9"/>
    </row>
    <row r="170039" spans="15:15" x14ac:dyDescent="0.25">
      <c r="O170039" s="9"/>
    </row>
    <row r="170060" spans="15:15" x14ac:dyDescent="0.25">
      <c r="O170060" s="9"/>
    </row>
    <row r="170081" spans="15:15" x14ac:dyDescent="0.25">
      <c r="O170081" s="9"/>
    </row>
    <row r="170102" spans="15:15" x14ac:dyDescent="0.25">
      <c r="O170102" s="9"/>
    </row>
    <row r="170123" spans="15:15" x14ac:dyDescent="0.25">
      <c r="O170123" s="9"/>
    </row>
    <row r="170144" spans="15:15" x14ac:dyDescent="0.25">
      <c r="O170144" s="9"/>
    </row>
    <row r="170165" spans="15:15" x14ac:dyDescent="0.25">
      <c r="O170165" s="9"/>
    </row>
    <row r="170186" spans="15:15" x14ac:dyDescent="0.25">
      <c r="O170186" s="9"/>
    </row>
    <row r="170207" spans="15:15" x14ac:dyDescent="0.25">
      <c r="O170207" s="9"/>
    </row>
    <row r="170228" spans="15:15" x14ac:dyDescent="0.25">
      <c r="O170228" s="9"/>
    </row>
    <row r="170249" spans="15:15" x14ac:dyDescent="0.25">
      <c r="O170249" s="9"/>
    </row>
    <row r="170270" spans="15:15" x14ac:dyDescent="0.25">
      <c r="O170270" s="9"/>
    </row>
    <row r="170291" spans="15:15" x14ac:dyDescent="0.25">
      <c r="O170291" s="9"/>
    </row>
    <row r="170312" spans="15:15" x14ac:dyDescent="0.25">
      <c r="O170312" s="9"/>
    </row>
    <row r="170333" spans="15:15" x14ac:dyDescent="0.25">
      <c r="O170333" s="9"/>
    </row>
    <row r="170354" spans="15:15" x14ac:dyDescent="0.25">
      <c r="O170354" s="9"/>
    </row>
    <row r="170375" spans="15:15" x14ac:dyDescent="0.25">
      <c r="O170375" s="9"/>
    </row>
    <row r="170396" spans="15:15" x14ac:dyDescent="0.25">
      <c r="O170396" s="9"/>
    </row>
    <row r="170417" spans="15:15" x14ac:dyDescent="0.25">
      <c r="O170417" s="9"/>
    </row>
    <row r="170438" spans="15:15" x14ac:dyDescent="0.25">
      <c r="O170438" s="9"/>
    </row>
    <row r="170459" spans="15:15" x14ac:dyDescent="0.25">
      <c r="O170459" s="9"/>
    </row>
    <row r="170480" spans="15:15" x14ac:dyDescent="0.25">
      <c r="O170480" s="9"/>
    </row>
    <row r="170501" spans="15:15" x14ac:dyDescent="0.25">
      <c r="O170501" s="9"/>
    </row>
    <row r="170522" spans="15:15" x14ac:dyDescent="0.25">
      <c r="O170522" s="9"/>
    </row>
    <row r="170543" spans="15:15" x14ac:dyDescent="0.25">
      <c r="O170543" s="9"/>
    </row>
    <row r="170564" spans="15:15" x14ac:dyDescent="0.25">
      <c r="O170564" s="9"/>
    </row>
    <row r="170585" spans="15:15" x14ac:dyDescent="0.25">
      <c r="O170585" s="9"/>
    </row>
    <row r="170606" spans="15:15" x14ac:dyDescent="0.25">
      <c r="O170606" s="9"/>
    </row>
    <row r="170627" spans="15:15" x14ac:dyDescent="0.25">
      <c r="O170627" s="9"/>
    </row>
    <row r="170648" spans="15:15" x14ac:dyDescent="0.25">
      <c r="O170648" s="9"/>
    </row>
    <row r="170669" spans="15:15" x14ac:dyDescent="0.25">
      <c r="O170669" s="9"/>
    </row>
    <row r="170690" spans="15:15" x14ac:dyDescent="0.25">
      <c r="O170690" s="9"/>
    </row>
    <row r="170711" spans="15:15" x14ac:dyDescent="0.25">
      <c r="O170711" s="9"/>
    </row>
    <row r="170732" spans="15:15" x14ac:dyDescent="0.25">
      <c r="O170732" s="9"/>
    </row>
    <row r="170753" spans="15:15" x14ac:dyDescent="0.25">
      <c r="O170753" s="9"/>
    </row>
    <row r="170774" spans="15:15" x14ac:dyDescent="0.25">
      <c r="O170774" s="9"/>
    </row>
    <row r="170795" spans="15:15" x14ac:dyDescent="0.25">
      <c r="O170795" s="9"/>
    </row>
    <row r="170816" spans="15:15" x14ac:dyDescent="0.25">
      <c r="O170816" s="9"/>
    </row>
    <row r="170837" spans="15:15" x14ac:dyDescent="0.25">
      <c r="O170837" s="9"/>
    </row>
    <row r="170858" spans="15:15" x14ac:dyDescent="0.25">
      <c r="O170858" s="9"/>
    </row>
    <row r="170879" spans="15:15" x14ac:dyDescent="0.25">
      <c r="O170879" s="9"/>
    </row>
    <row r="170900" spans="15:15" x14ac:dyDescent="0.25">
      <c r="O170900" s="9"/>
    </row>
    <row r="170921" spans="15:15" x14ac:dyDescent="0.25">
      <c r="O170921" s="9"/>
    </row>
    <row r="170942" spans="15:15" x14ac:dyDescent="0.25">
      <c r="O170942" s="9"/>
    </row>
    <row r="170963" spans="15:15" x14ac:dyDescent="0.25">
      <c r="O170963" s="9"/>
    </row>
    <row r="170984" spans="15:15" x14ac:dyDescent="0.25">
      <c r="O170984" s="9"/>
    </row>
    <row r="171005" spans="15:15" x14ac:dyDescent="0.25">
      <c r="O171005" s="9"/>
    </row>
    <row r="171026" spans="15:15" x14ac:dyDescent="0.25">
      <c r="O171026" s="9"/>
    </row>
    <row r="171047" spans="15:15" x14ac:dyDescent="0.25">
      <c r="O171047" s="9"/>
    </row>
    <row r="171068" spans="15:15" x14ac:dyDescent="0.25">
      <c r="O171068" s="9"/>
    </row>
    <row r="171089" spans="15:15" x14ac:dyDescent="0.25">
      <c r="O171089" s="9"/>
    </row>
    <row r="171110" spans="15:15" x14ac:dyDescent="0.25">
      <c r="O171110" s="9"/>
    </row>
    <row r="171131" spans="15:15" x14ac:dyDescent="0.25">
      <c r="O171131" s="9"/>
    </row>
    <row r="171152" spans="15:15" x14ac:dyDescent="0.25">
      <c r="O171152" s="9"/>
    </row>
    <row r="171173" spans="15:15" x14ac:dyDescent="0.25">
      <c r="O171173" s="9"/>
    </row>
    <row r="171194" spans="15:15" x14ac:dyDescent="0.25">
      <c r="O171194" s="9"/>
    </row>
    <row r="171215" spans="15:15" x14ac:dyDescent="0.25">
      <c r="O171215" s="9"/>
    </row>
    <row r="171236" spans="15:15" x14ac:dyDescent="0.25">
      <c r="O171236" s="9"/>
    </row>
    <row r="171257" spans="15:15" x14ac:dyDescent="0.25">
      <c r="O171257" s="9"/>
    </row>
    <row r="171278" spans="15:15" x14ac:dyDescent="0.25">
      <c r="O171278" s="9"/>
    </row>
    <row r="171299" spans="15:15" x14ac:dyDescent="0.25">
      <c r="O171299" s="9"/>
    </row>
    <row r="171320" spans="15:15" x14ac:dyDescent="0.25">
      <c r="O171320" s="9"/>
    </row>
    <row r="171341" spans="15:15" x14ac:dyDescent="0.25">
      <c r="O171341" s="9"/>
    </row>
    <row r="171362" spans="15:15" x14ac:dyDescent="0.25">
      <c r="O171362" s="9"/>
    </row>
    <row r="171383" spans="15:15" x14ac:dyDescent="0.25">
      <c r="O171383" s="9"/>
    </row>
    <row r="171404" spans="15:15" x14ac:dyDescent="0.25">
      <c r="O171404" s="9"/>
    </row>
    <row r="171425" spans="15:15" x14ac:dyDescent="0.25">
      <c r="O171425" s="9"/>
    </row>
    <row r="171446" spans="15:15" x14ac:dyDescent="0.25">
      <c r="O171446" s="9"/>
    </row>
    <row r="171467" spans="15:15" x14ac:dyDescent="0.25">
      <c r="O171467" s="9"/>
    </row>
    <row r="171488" spans="15:15" x14ac:dyDescent="0.25">
      <c r="O171488" s="9"/>
    </row>
    <row r="171509" spans="15:15" x14ac:dyDescent="0.25">
      <c r="O171509" s="9"/>
    </row>
    <row r="171530" spans="15:15" x14ac:dyDescent="0.25">
      <c r="O171530" s="9"/>
    </row>
    <row r="171551" spans="15:15" x14ac:dyDescent="0.25">
      <c r="O171551" s="9"/>
    </row>
    <row r="171572" spans="15:15" x14ac:dyDescent="0.25">
      <c r="O171572" s="9"/>
    </row>
    <row r="171593" spans="15:15" x14ac:dyDescent="0.25">
      <c r="O171593" s="9"/>
    </row>
    <row r="171614" spans="15:15" x14ac:dyDescent="0.25">
      <c r="O171614" s="9"/>
    </row>
    <row r="171635" spans="15:15" x14ac:dyDescent="0.25">
      <c r="O171635" s="9"/>
    </row>
    <row r="171656" spans="15:15" x14ac:dyDescent="0.25">
      <c r="O171656" s="9"/>
    </row>
    <row r="171677" spans="15:15" x14ac:dyDescent="0.25">
      <c r="O171677" s="9"/>
    </row>
    <row r="171698" spans="15:15" x14ac:dyDescent="0.25">
      <c r="O171698" s="9"/>
    </row>
    <row r="171719" spans="15:15" x14ac:dyDescent="0.25">
      <c r="O171719" s="9"/>
    </row>
    <row r="171740" spans="15:15" x14ac:dyDescent="0.25">
      <c r="O171740" s="9"/>
    </row>
    <row r="171761" spans="15:15" x14ac:dyDescent="0.25">
      <c r="O171761" s="9"/>
    </row>
    <row r="171782" spans="15:15" x14ac:dyDescent="0.25">
      <c r="O171782" s="9"/>
    </row>
    <row r="171803" spans="15:15" x14ac:dyDescent="0.25">
      <c r="O171803" s="9"/>
    </row>
    <row r="171824" spans="15:15" x14ac:dyDescent="0.25">
      <c r="O171824" s="9"/>
    </row>
    <row r="171845" spans="15:15" x14ac:dyDescent="0.25">
      <c r="O171845" s="9"/>
    </row>
    <row r="171866" spans="15:15" x14ac:dyDescent="0.25">
      <c r="O171866" s="9"/>
    </row>
    <row r="171887" spans="15:15" x14ac:dyDescent="0.25">
      <c r="O171887" s="9"/>
    </row>
    <row r="171908" spans="15:15" x14ac:dyDescent="0.25">
      <c r="O171908" s="9"/>
    </row>
    <row r="171929" spans="15:15" x14ac:dyDescent="0.25">
      <c r="O171929" s="9"/>
    </row>
    <row r="171950" spans="15:15" x14ac:dyDescent="0.25">
      <c r="O171950" s="9"/>
    </row>
    <row r="171971" spans="15:15" x14ac:dyDescent="0.25">
      <c r="O171971" s="9"/>
    </row>
    <row r="171992" spans="15:15" x14ac:dyDescent="0.25">
      <c r="O171992" s="9"/>
    </row>
    <row r="172013" spans="15:15" x14ac:dyDescent="0.25">
      <c r="O172013" s="9"/>
    </row>
    <row r="172034" spans="15:15" x14ac:dyDescent="0.25">
      <c r="O172034" s="9"/>
    </row>
    <row r="172055" spans="15:15" x14ac:dyDescent="0.25">
      <c r="O172055" s="9"/>
    </row>
    <row r="172076" spans="15:15" x14ac:dyDescent="0.25">
      <c r="O172076" s="9"/>
    </row>
    <row r="172097" spans="15:15" x14ac:dyDescent="0.25">
      <c r="O172097" s="9"/>
    </row>
    <row r="172118" spans="15:15" x14ac:dyDescent="0.25">
      <c r="O172118" s="9"/>
    </row>
    <row r="172139" spans="15:15" x14ac:dyDescent="0.25">
      <c r="O172139" s="9"/>
    </row>
    <row r="172160" spans="15:15" x14ac:dyDescent="0.25">
      <c r="O172160" s="9"/>
    </row>
    <row r="172181" spans="15:15" x14ac:dyDescent="0.25">
      <c r="O172181" s="9"/>
    </row>
    <row r="172202" spans="15:15" x14ac:dyDescent="0.25">
      <c r="O172202" s="9"/>
    </row>
    <row r="172223" spans="15:15" x14ac:dyDescent="0.25">
      <c r="O172223" s="9"/>
    </row>
    <row r="172244" spans="15:15" x14ac:dyDescent="0.25">
      <c r="O172244" s="9"/>
    </row>
    <row r="172265" spans="15:15" x14ac:dyDescent="0.25">
      <c r="O172265" s="9"/>
    </row>
    <row r="172286" spans="15:15" x14ac:dyDescent="0.25">
      <c r="O172286" s="9"/>
    </row>
    <row r="172307" spans="15:15" x14ac:dyDescent="0.25">
      <c r="O172307" s="9"/>
    </row>
    <row r="172328" spans="15:15" x14ac:dyDescent="0.25">
      <c r="O172328" s="9"/>
    </row>
    <row r="172349" spans="15:15" x14ac:dyDescent="0.25">
      <c r="O172349" s="9"/>
    </row>
    <row r="172370" spans="15:15" x14ac:dyDescent="0.25">
      <c r="O172370" s="9"/>
    </row>
    <row r="172391" spans="15:15" x14ac:dyDescent="0.25">
      <c r="O172391" s="9"/>
    </row>
    <row r="172412" spans="15:15" x14ac:dyDescent="0.25">
      <c r="O172412" s="9"/>
    </row>
    <row r="172433" spans="15:15" x14ac:dyDescent="0.25">
      <c r="O172433" s="9"/>
    </row>
    <row r="172454" spans="15:15" x14ac:dyDescent="0.25">
      <c r="O172454" s="9"/>
    </row>
    <row r="172475" spans="15:15" x14ac:dyDescent="0.25">
      <c r="O172475" s="9"/>
    </row>
    <row r="172496" spans="15:15" x14ac:dyDescent="0.25">
      <c r="O172496" s="9"/>
    </row>
    <row r="172517" spans="15:15" x14ac:dyDescent="0.25">
      <c r="O172517" s="9"/>
    </row>
    <row r="172538" spans="15:15" x14ac:dyDescent="0.25">
      <c r="O172538" s="9"/>
    </row>
    <row r="172559" spans="15:15" x14ac:dyDescent="0.25">
      <c r="O172559" s="9"/>
    </row>
    <row r="172580" spans="15:15" x14ac:dyDescent="0.25">
      <c r="O172580" s="9"/>
    </row>
    <row r="172601" spans="15:15" x14ac:dyDescent="0.25">
      <c r="O172601" s="9"/>
    </row>
    <row r="172622" spans="15:15" x14ac:dyDescent="0.25">
      <c r="O172622" s="9"/>
    </row>
    <row r="172643" spans="15:15" x14ac:dyDescent="0.25">
      <c r="O172643" s="9"/>
    </row>
    <row r="172664" spans="15:15" x14ac:dyDescent="0.25">
      <c r="O172664" s="9"/>
    </row>
    <row r="172685" spans="15:15" x14ac:dyDescent="0.25">
      <c r="O172685" s="9"/>
    </row>
    <row r="172706" spans="15:15" x14ac:dyDescent="0.25">
      <c r="O172706" s="9"/>
    </row>
    <row r="172727" spans="15:15" x14ac:dyDescent="0.25">
      <c r="O172727" s="9"/>
    </row>
    <row r="172748" spans="15:15" x14ac:dyDescent="0.25">
      <c r="O172748" s="9"/>
    </row>
    <row r="172769" spans="15:15" x14ac:dyDescent="0.25">
      <c r="O172769" s="9"/>
    </row>
    <row r="172790" spans="15:15" x14ac:dyDescent="0.25">
      <c r="O172790" s="9"/>
    </row>
    <row r="172811" spans="15:15" x14ac:dyDescent="0.25">
      <c r="O172811" s="9"/>
    </row>
    <row r="172832" spans="15:15" x14ac:dyDescent="0.25">
      <c r="O172832" s="9"/>
    </row>
    <row r="172853" spans="15:15" x14ac:dyDescent="0.25">
      <c r="O172853" s="9"/>
    </row>
    <row r="172874" spans="15:15" x14ac:dyDescent="0.25">
      <c r="O172874" s="9"/>
    </row>
    <row r="172895" spans="15:15" x14ac:dyDescent="0.25">
      <c r="O172895" s="9"/>
    </row>
    <row r="172916" spans="15:15" x14ac:dyDescent="0.25">
      <c r="O172916" s="9"/>
    </row>
    <row r="172937" spans="15:15" x14ac:dyDescent="0.25">
      <c r="O172937" s="9"/>
    </row>
    <row r="172958" spans="15:15" x14ac:dyDescent="0.25">
      <c r="O172958" s="9"/>
    </row>
    <row r="172979" spans="15:15" x14ac:dyDescent="0.25">
      <c r="O172979" s="9"/>
    </row>
    <row r="173000" spans="15:15" x14ac:dyDescent="0.25">
      <c r="O173000" s="9"/>
    </row>
    <row r="173021" spans="15:15" x14ac:dyDescent="0.25">
      <c r="O173021" s="9"/>
    </row>
    <row r="173042" spans="15:15" x14ac:dyDescent="0.25">
      <c r="O173042" s="9"/>
    </row>
    <row r="173063" spans="15:15" x14ac:dyDescent="0.25">
      <c r="O173063" s="9"/>
    </row>
    <row r="173084" spans="15:15" x14ac:dyDescent="0.25">
      <c r="O173084" s="9"/>
    </row>
    <row r="173105" spans="15:15" x14ac:dyDescent="0.25">
      <c r="O173105" s="9"/>
    </row>
    <row r="173126" spans="15:15" x14ac:dyDescent="0.25">
      <c r="O173126" s="9"/>
    </row>
    <row r="173147" spans="15:15" x14ac:dyDescent="0.25">
      <c r="O173147" s="9"/>
    </row>
    <row r="173168" spans="15:15" x14ac:dyDescent="0.25">
      <c r="O173168" s="9"/>
    </row>
    <row r="173189" spans="15:15" x14ac:dyDescent="0.25">
      <c r="O173189" s="9"/>
    </row>
    <row r="173210" spans="15:15" x14ac:dyDescent="0.25">
      <c r="O173210" s="9"/>
    </row>
    <row r="173231" spans="15:15" x14ac:dyDescent="0.25">
      <c r="O173231" s="9"/>
    </row>
    <row r="173252" spans="15:15" x14ac:dyDescent="0.25">
      <c r="O173252" s="9"/>
    </row>
    <row r="173273" spans="15:15" x14ac:dyDescent="0.25">
      <c r="O173273" s="9"/>
    </row>
    <row r="173294" spans="15:15" x14ac:dyDescent="0.25">
      <c r="O173294" s="9"/>
    </row>
    <row r="173315" spans="15:15" x14ac:dyDescent="0.25">
      <c r="O173315" s="9"/>
    </row>
    <row r="173336" spans="15:15" x14ac:dyDescent="0.25">
      <c r="O173336" s="9"/>
    </row>
    <row r="173357" spans="15:15" x14ac:dyDescent="0.25">
      <c r="O173357" s="9"/>
    </row>
    <row r="173378" spans="15:15" x14ac:dyDescent="0.25">
      <c r="O173378" s="9"/>
    </row>
    <row r="173399" spans="15:15" x14ac:dyDescent="0.25">
      <c r="O173399" s="9"/>
    </row>
    <row r="173420" spans="15:15" x14ac:dyDescent="0.25">
      <c r="O173420" s="9"/>
    </row>
    <row r="173441" spans="15:15" x14ac:dyDescent="0.25">
      <c r="O173441" s="9"/>
    </row>
    <row r="173462" spans="15:15" x14ac:dyDescent="0.25">
      <c r="O173462" s="9"/>
    </row>
    <row r="173483" spans="15:15" x14ac:dyDescent="0.25">
      <c r="O173483" s="9"/>
    </row>
    <row r="173504" spans="15:15" x14ac:dyDescent="0.25">
      <c r="O173504" s="9"/>
    </row>
    <row r="173525" spans="15:15" x14ac:dyDescent="0.25">
      <c r="O173525" s="9"/>
    </row>
    <row r="173546" spans="15:15" x14ac:dyDescent="0.25">
      <c r="O173546" s="9"/>
    </row>
    <row r="173567" spans="15:15" x14ac:dyDescent="0.25">
      <c r="O173567" s="9"/>
    </row>
    <row r="173588" spans="15:15" x14ac:dyDescent="0.25">
      <c r="O173588" s="9"/>
    </row>
    <row r="173609" spans="15:15" x14ac:dyDescent="0.25">
      <c r="O173609" s="9"/>
    </row>
    <row r="173630" spans="15:15" x14ac:dyDescent="0.25">
      <c r="O173630" s="9"/>
    </row>
    <row r="173651" spans="15:15" x14ac:dyDescent="0.25">
      <c r="O173651" s="9"/>
    </row>
    <row r="173672" spans="15:15" x14ac:dyDescent="0.25">
      <c r="O173672" s="9"/>
    </row>
    <row r="173693" spans="15:15" x14ac:dyDescent="0.25">
      <c r="O173693" s="9"/>
    </row>
    <row r="173714" spans="15:15" x14ac:dyDescent="0.25">
      <c r="O173714" s="9"/>
    </row>
    <row r="173735" spans="15:15" x14ac:dyDescent="0.25">
      <c r="O173735" s="9"/>
    </row>
    <row r="173756" spans="15:15" x14ac:dyDescent="0.25">
      <c r="O173756" s="9"/>
    </row>
    <row r="173777" spans="15:15" x14ac:dyDescent="0.25">
      <c r="O173777" s="9"/>
    </row>
    <row r="173798" spans="15:15" x14ac:dyDescent="0.25">
      <c r="O173798" s="9"/>
    </row>
    <row r="173819" spans="15:15" x14ac:dyDescent="0.25">
      <c r="O173819" s="9"/>
    </row>
    <row r="173840" spans="15:15" x14ac:dyDescent="0.25">
      <c r="O173840" s="9"/>
    </row>
    <row r="173861" spans="15:15" x14ac:dyDescent="0.25">
      <c r="O173861" s="9"/>
    </row>
    <row r="173882" spans="15:15" x14ac:dyDescent="0.25">
      <c r="O173882" s="9"/>
    </row>
    <row r="173903" spans="15:15" x14ac:dyDescent="0.25">
      <c r="O173903" s="9"/>
    </row>
    <row r="173924" spans="15:15" x14ac:dyDescent="0.25">
      <c r="O173924" s="9"/>
    </row>
    <row r="173945" spans="15:15" x14ac:dyDescent="0.25">
      <c r="O173945" s="9"/>
    </row>
    <row r="173966" spans="15:15" x14ac:dyDescent="0.25">
      <c r="O173966" s="9"/>
    </row>
    <row r="173987" spans="15:15" x14ac:dyDescent="0.25">
      <c r="O173987" s="9"/>
    </row>
    <row r="174008" spans="15:15" x14ac:dyDescent="0.25">
      <c r="O174008" s="9"/>
    </row>
    <row r="174029" spans="15:15" x14ac:dyDescent="0.25">
      <c r="O174029" s="9"/>
    </row>
    <row r="174050" spans="15:15" x14ac:dyDescent="0.25">
      <c r="O174050" s="9"/>
    </row>
    <row r="174071" spans="15:15" x14ac:dyDescent="0.25">
      <c r="O174071" s="9"/>
    </row>
    <row r="174092" spans="15:15" x14ac:dyDescent="0.25">
      <c r="O174092" s="9"/>
    </row>
    <row r="174113" spans="15:15" x14ac:dyDescent="0.25">
      <c r="O174113" s="9"/>
    </row>
    <row r="174134" spans="15:15" x14ac:dyDescent="0.25">
      <c r="O174134" s="9"/>
    </row>
    <row r="174155" spans="15:15" x14ac:dyDescent="0.25">
      <c r="O174155" s="9"/>
    </row>
    <row r="174176" spans="15:15" x14ac:dyDescent="0.25">
      <c r="O174176" s="9"/>
    </row>
    <row r="174197" spans="15:15" x14ac:dyDescent="0.25">
      <c r="O174197" s="9"/>
    </row>
    <row r="174218" spans="15:15" x14ac:dyDescent="0.25">
      <c r="O174218" s="9"/>
    </row>
    <row r="174239" spans="15:15" x14ac:dyDescent="0.25">
      <c r="O174239" s="9"/>
    </row>
    <row r="174260" spans="15:15" x14ac:dyDescent="0.25">
      <c r="O174260" s="9"/>
    </row>
    <row r="174281" spans="15:15" x14ac:dyDescent="0.25">
      <c r="O174281" s="9"/>
    </row>
    <row r="174302" spans="15:15" x14ac:dyDescent="0.25">
      <c r="O174302" s="9"/>
    </row>
    <row r="174323" spans="15:15" x14ac:dyDescent="0.25">
      <c r="O174323" s="9"/>
    </row>
    <row r="174344" spans="15:15" x14ac:dyDescent="0.25">
      <c r="O174344" s="9"/>
    </row>
    <row r="174365" spans="15:15" x14ac:dyDescent="0.25">
      <c r="O174365" s="9"/>
    </row>
    <row r="174386" spans="15:15" x14ac:dyDescent="0.25">
      <c r="O174386" s="9"/>
    </row>
    <row r="174407" spans="15:15" x14ac:dyDescent="0.25">
      <c r="O174407" s="9"/>
    </row>
    <row r="174428" spans="15:15" x14ac:dyDescent="0.25">
      <c r="O174428" s="9"/>
    </row>
    <row r="174449" spans="15:15" x14ac:dyDescent="0.25">
      <c r="O174449" s="9"/>
    </row>
    <row r="174470" spans="15:15" x14ac:dyDescent="0.25">
      <c r="O174470" s="9"/>
    </row>
    <row r="174491" spans="15:15" x14ac:dyDescent="0.25">
      <c r="O174491" s="9"/>
    </row>
    <row r="174512" spans="15:15" x14ac:dyDescent="0.25">
      <c r="O174512" s="9"/>
    </row>
    <row r="174533" spans="15:15" x14ac:dyDescent="0.25">
      <c r="O174533" s="9"/>
    </row>
    <row r="174554" spans="15:15" x14ac:dyDescent="0.25">
      <c r="O174554" s="9"/>
    </row>
    <row r="174575" spans="15:15" x14ac:dyDescent="0.25">
      <c r="O174575" s="9"/>
    </row>
    <row r="174596" spans="15:15" x14ac:dyDescent="0.25">
      <c r="O174596" s="9"/>
    </row>
    <row r="174617" spans="15:15" x14ac:dyDescent="0.25">
      <c r="O174617" s="9"/>
    </row>
    <row r="174638" spans="15:15" x14ac:dyDescent="0.25">
      <c r="O174638" s="9"/>
    </row>
    <row r="174659" spans="15:15" x14ac:dyDescent="0.25">
      <c r="O174659" s="9"/>
    </row>
    <row r="174680" spans="15:15" x14ac:dyDescent="0.25">
      <c r="O174680" s="9"/>
    </row>
    <row r="174701" spans="15:15" x14ac:dyDescent="0.25">
      <c r="O174701" s="9"/>
    </row>
    <row r="174722" spans="15:15" x14ac:dyDescent="0.25">
      <c r="O174722" s="9"/>
    </row>
    <row r="174743" spans="15:15" x14ac:dyDescent="0.25">
      <c r="O174743" s="9"/>
    </row>
    <row r="174764" spans="15:15" x14ac:dyDescent="0.25">
      <c r="O174764" s="9"/>
    </row>
    <row r="174785" spans="15:15" x14ac:dyDescent="0.25">
      <c r="O174785" s="9"/>
    </row>
    <row r="174806" spans="15:15" x14ac:dyDescent="0.25">
      <c r="O174806" s="9"/>
    </row>
    <row r="174827" spans="15:15" x14ac:dyDescent="0.25">
      <c r="O174827" s="9"/>
    </row>
    <row r="174848" spans="15:15" x14ac:dyDescent="0.25">
      <c r="O174848" s="9"/>
    </row>
    <row r="174869" spans="15:15" x14ac:dyDescent="0.25">
      <c r="O174869" s="9"/>
    </row>
    <row r="174890" spans="15:15" x14ac:dyDescent="0.25">
      <c r="O174890" s="9"/>
    </row>
    <row r="174911" spans="15:15" x14ac:dyDescent="0.25">
      <c r="O174911" s="9"/>
    </row>
    <row r="174932" spans="15:15" x14ac:dyDescent="0.25">
      <c r="O174932" s="9"/>
    </row>
    <row r="174953" spans="15:15" x14ac:dyDescent="0.25">
      <c r="O174953" s="9"/>
    </row>
    <row r="174974" spans="15:15" x14ac:dyDescent="0.25">
      <c r="O174974" s="9"/>
    </row>
    <row r="174995" spans="15:15" x14ac:dyDescent="0.25">
      <c r="O174995" s="9"/>
    </row>
    <row r="175016" spans="15:15" x14ac:dyDescent="0.25">
      <c r="O175016" s="9"/>
    </row>
    <row r="175037" spans="15:15" x14ac:dyDescent="0.25">
      <c r="O175037" s="9"/>
    </row>
    <row r="175058" spans="15:15" x14ac:dyDescent="0.25">
      <c r="O175058" s="9"/>
    </row>
    <row r="175079" spans="15:15" x14ac:dyDescent="0.25">
      <c r="O175079" s="9"/>
    </row>
    <row r="175100" spans="15:15" x14ac:dyDescent="0.25">
      <c r="O175100" s="9"/>
    </row>
    <row r="175121" spans="15:15" x14ac:dyDescent="0.25">
      <c r="O175121" s="9"/>
    </row>
    <row r="175142" spans="15:15" x14ac:dyDescent="0.25">
      <c r="O175142" s="9"/>
    </row>
    <row r="175163" spans="15:15" x14ac:dyDescent="0.25">
      <c r="O175163" s="9"/>
    </row>
    <row r="175184" spans="15:15" x14ac:dyDescent="0.25">
      <c r="O175184" s="9"/>
    </row>
    <row r="175205" spans="15:15" x14ac:dyDescent="0.25">
      <c r="O175205" s="9"/>
    </row>
    <row r="175226" spans="15:15" x14ac:dyDescent="0.25">
      <c r="O175226" s="9"/>
    </row>
    <row r="175247" spans="15:15" x14ac:dyDescent="0.25">
      <c r="O175247" s="9"/>
    </row>
    <row r="175268" spans="15:15" x14ac:dyDescent="0.25">
      <c r="O175268" s="9"/>
    </row>
    <row r="175289" spans="15:15" x14ac:dyDescent="0.25">
      <c r="O175289" s="9"/>
    </row>
    <row r="175310" spans="15:15" x14ac:dyDescent="0.25">
      <c r="O175310" s="9"/>
    </row>
    <row r="175331" spans="15:15" x14ac:dyDescent="0.25">
      <c r="O175331" s="9"/>
    </row>
    <row r="175352" spans="15:15" x14ac:dyDescent="0.25">
      <c r="O175352" s="9"/>
    </row>
    <row r="175373" spans="15:15" x14ac:dyDescent="0.25">
      <c r="O175373" s="9"/>
    </row>
    <row r="175394" spans="15:15" x14ac:dyDescent="0.25">
      <c r="O175394" s="9"/>
    </row>
    <row r="175415" spans="15:15" x14ac:dyDescent="0.25">
      <c r="O175415" s="9"/>
    </row>
    <row r="175436" spans="15:15" x14ac:dyDescent="0.25">
      <c r="O175436" s="9"/>
    </row>
    <row r="175457" spans="15:15" x14ac:dyDescent="0.25">
      <c r="O175457" s="9"/>
    </row>
    <row r="175478" spans="15:15" x14ac:dyDescent="0.25">
      <c r="O175478" s="9"/>
    </row>
    <row r="175499" spans="15:15" x14ac:dyDescent="0.25">
      <c r="O175499" s="9"/>
    </row>
    <row r="175520" spans="15:15" x14ac:dyDescent="0.25">
      <c r="O175520" s="9"/>
    </row>
    <row r="175541" spans="15:15" x14ac:dyDescent="0.25">
      <c r="O175541" s="9"/>
    </row>
    <row r="175562" spans="15:15" x14ac:dyDescent="0.25">
      <c r="O175562" s="9"/>
    </row>
    <row r="175583" spans="15:15" x14ac:dyDescent="0.25">
      <c r="O175583" s="9"/>
    </row>
    <row r="175604" spans="15:15" x14ac:dyDescent="0.25">
      <c r="O175604" s="9"/>
    </row>
    <row r="175625" spans="15:15" x14ac:dyDescent="0.25">
      <c r="O175625" s="9"/>
    </row>
    <row r="175646" spans="15:15" x14ac:dyDescent="0.25">
      <c r="O175646" s="9"/>
    </row>
    <row r="175667" spans="15:15" x14ac:dyDescent="0.25">
      <c r="O175667" s="9"/>
    </row>
    <row r="175688" spans="15:15" x14ac:dyDescent="0.25">
      <c r="O175688" s="9"/>
    </row>
    <row r="175709" spans="15:15" x14ac:dyDescent="0.25">
      <c r="O175709" s="9"/>
    </row>
    <row r="175730" spans="15:15" x14ac:dyDescent="0.25">
      <c r="O175730" s="9"/>
    </row>
    <row r="175751" spans="15:15" x14ac:dyDescent="0.25">
      <c r="O175751" s="9"/>
    </row>
    <row r="175772" spans="15:15" x14ac:dyDescent="0.25">
      <c r="O175772" s="9"/>
    </row>
    <row r="175793" spans="15:15" x14ac:dyDescent="0.25">
      <c r="O175793" s="9"/>
    </row>
    <row r="175814" spans="15:15" x14ac:dyDescent="0.25">
      <c r="O175814" s="9"/>
    </row>
    <row r="175835" spans="15:15" x14ac:dyDescent="0.25">
      <c r="O175835" s="9"/>
    </row>
    <row r="175856" spans="15:15" x14ac:dyDescent="0.25">
      <c r="O175856" s="9"/>
    </row>
    <row r="175877" spans="15:15" x14ac:dyDescent="0.25">
      <c r="O175877" s="9"/>
    </row>
    <row r="175898" spans="15:15" x14ac:dyDescent="0.25">
      <c r="O175898" s="9"/>
    </row>
    <row r="175919" spans="15:15" x14ac:dyDescent="0.25">
      <c r="O175919" s="9"/>
    </row>
    <row r="175940" spans="15:15" x14ac:dyDescent="0.25">
      <c r="O175940" s="9"/>
    </row>
    <row r="175961" spans="15:15" x14ac:dyDescent="0.25">
      <c r="O175961" s="9"/>
    </row>
    <row r="175982" spans="15:15" x14ac:dyDescent="0.25">
      <c r="O175982" s="9"/>
    </row>
    <row r="176003" spans="15:15" x14ac:dyDescent="0.25">
      <c r="O176003" s="9"/>
    </row>
    <row r="176024" spans="15:15" x14ac:dyDescent="0.25">
      <c r="O176024" s="9"/>
    </row>
    <row r="176045" spans="15:15" x14ac:dyDescent="0.25">
      <c r="O176045" s="9"/>
    </row>
    <row r="176066" spans="15:15" x14ac:dyDescent="0.25">
      <c r="O176066" s="9"/>
    </row>
    <row r="176087" spans="15:15" x14ac:dyDescent="0.25">
      <c r="O176087" s="9"/>
    </row>
    <row r="176108" spans="15:15" x14ac:dyDescent="0.25">
      <c r="O176108" s="9"/>
    </row>
    <row r="176129" spans="15:15" x14ac:dyDescent="0.25">
      <c r="O176129" s="9"/>
    </row>
    <row r="176150" spans="15:15" x14ac:dyDescent="0.25">
      <c r="O176150" s="9"/>
    </row>
    <row r="176171" spans="15:15" x14ac:dyDescent="0.25">
      <c r="O176171" s="9"/>
    </row>
    <row r="176192" spans="15:15" x14ac:dyDescent="0.25">
      <c r="O176192" s="9"/>
    </row>
    <row r="176213" spans="15:15" x14ac:dyDescent="0.25">
      <c r="O176213" s="9"/>
    </row>
    <row r="176234" spans="15:15" x14ac:dyDescent="0.25">
      <c r="O176234" s="9"/>
    </row>
    <row r="176255" spans="15:15" x14ac:dyDescent="0.25">
      <c r="O176255" s="9"/>
    </row>
    <row r="176276" spans="15:15" x14ac:dyDescent="0.25">
      <c r="O176276" s="9"/>
    </row>
    <row r="176297" spans="15:15" x14ac:dyDescent="0.25">
      <c r="O176297" s="9"/>
    </row>
    <row r="176318" spans="15:15" x14ac:dyDescent="0.25">
      <c r="O176318" s="9"/>
    </row>
    <row r="176339" spans="15:15" x14ac:dyDescent="0.25">
      <c r="O176339" s="9"/>
    </row>
    <row r="176360" spans="15:15" x14ac:dyDescent="0.25">
      <c r="O176360" s="9"/>
    </row>
    <row r="176381" spans="15:15" x14ac:dyDescent="0.25">
      <c r="O176381" s="9"/>
    </row>
    <row r="176402" spans="15:15" x14ac:dyDescent="0.25">
      <c r="O176402" s="9"/>
    </row>
    <row r="176423" spans="15:15" x14ac:dyDescent="0.25">
      <c r="O176423" s="9"/>
    </row>
    <row r="176444" spans="15:15" x14ac:dyDescent="0.25">
      <c r="O176444" s="9"/>
    </row>
    <row r="176465" spans="15:15" x14ac:dyDescent="0.25">
      <c r="O176465" s="9"/>
    </row>
    <row r="176486" spans="15:15" x14ac:dyDescent="0.25">
      <c r="O176486" s="9"/>
    </row>
    <row r="176507" spans="15:15" x14ac:dyDescent="0.25">
      <c r="O176507" s="9"/>
    </row>
    <row r="176528" spans="15:15" x14ac:dyDescent="0.25">
      <c r="O176528" s="9"/>
    </row>
    <row r="176549" spans="15:15" x14ac:dyDescent="0.25">
      <c r="O176549" s="9"/>
    </row>
    <row r="176570" spans="15:15" x14ac:dyDescent="0.25">
      <c r="O176570" s="9"/>
    </row>
    <row r="176591" spans="15:15" x14ac:dyDescent="0.25">
      <c r="O176591" s="9"/>
    </row>
    <row r="176612" spans="15:15" x14ac:dyDescent="0.25">
      <c r="O176612" s="9"/>
    </row>
    <row r="176633" spans="15:15" x14ac:dyDescent="0.25">
      <c r="O176633" s="9"/>
    </row>
    <row r="176654" spans="15:15" x14ac:dyDescent="0.25">
      <c r="O176654" s="9"/>
    </row>
    <row r="176675" spans="15:15" x14ac:dyDescent="0.25">
      <c r="O176675" s="9"/>
    </row>
    <row r="176696" spans="15:15" x14ac:dyDescent="0.25">
      <c r="O176696" s="9"/>
    </row>
    <row r="176717" spans="15:15" x14ac:dyDescent="0.25">
      <c r="O176717" s="9"/>
    </row>
    <row r="176738" spans="15:15" x14ac:dyDescent="0.25">
      <c r="O176738" s="9"/>
    </row>
    <row r="176759" spans="15:15" x14ac:dyDescent="0.25">
      <c r="O176759" s="9"/>
    </row>
    <row r="176780" spans="15:15" x14ac:dyDescent="0.25">
      <c r="O176780" s="9"/>
    </row>
    <row r="176801" spans="15:15" x14ac:dyDescent="0.25">
      <c r="O176801" s="9"/>
    </row>
    <row r="176822" spans="15:15" x14ac:dyDescent="0.25">
      <c r="O176822" s="9"/>
    </row>
    <row r="176843" spans="15:15" x14ac:dyDescent="0.25">
      <c r="O176843" s="9"/>
    </row>
    <row r="176864" spans="15:15" x14ac:dyDescent="0.25">
      <c r="O176864" s="9"/>
    </row>
    <row r="176885" spans="15:15" x14ac:dyDescent="0.25">
      <c r="O176885" s="9"/>
    </row>
    <row r="176906" spans="15:15" x14ac:dyDescent="0.25">
      <c r="O176906" s="9"/>
    </row>
    <row r="176927" spans="15:15" x14ac:dyDescent="0.25">
      <c r="O176927" s="9"/>
    </row>
    <row r="176948" spans="15:15" x14ac:dyDescent="0.25">
      <c r="O176948" s="9"/>
    </row>
    <row r="176969" spans="15:15" x14ac:dyDescent="0.25">
      <c r="O176969" s="9"/>
    </row>
    <row r="176990" spans="15:15" x14ac:dyDescent="0.25">
      <c r="O176990" s="9"/>
    </row>
    <row r="177011" spans="15:15" x14ac:dyDescent="0.25">
      <c r="O177011" s="9"/>
    </row>
    <row r="177032" spans="15:15" x14ac:dyDescent="0.25">
      <c r="O177032" s="9"/>
    </row>
    <row r="177053" spans="15:15" x14ac:dyDescent="0.25">
      <c r="O177053" s="9"/>
    </row>
    <row r="177074" spans="15:15" x14ac:dyDescent="0.25">
      <c r="O177074" s="9"/>
    </row>
    <row r="177095" spans="15:15" x14ac:dyDescent="0.25">
      <c r="O177095" s="9"/>
    </row>
    <row r="177116" spans="15:15" x14ac:dyDescent="0.25">
      <c r="O177116" s="9"/>
    </row>
    <row r="177137" spans="15:15" x14ac:dyDescent="0.25">
      <c r="O177137" s="9"/>
    </row>
    <row r="177158" spans="15:15" x14ac:dyDescent="0.25">
      <c r="O177158" s="9"/>
    </row>
    <row r="177179" spans="15:15" x14ac:dyDescent="0.25">
      <c r="O177179" s="9"/>
    </row>
    <row r="177200" spans="15:15" x14ac:dyDescent="0.25">
      <c r="O177200" s="9"/>
    </row>
    <row r="177221" spans="15:15" x14ac:dyDescent="0.25">
      <c r="O177221" s="9"/>
    </row>
    <row r="177242" spans="15:15" x14ac:dyDescent="0.25">
      <c r="O177242" s="9"/>
    </row>
    <row r="177263" spans="15:15" x14ac:dyDescent="0.25">
      <c r="O177263" s="9"/>
    </row>
    <row r="177284" spans="15:15" x14ac:dyDescent="0.25">
      <c r="O177284" s="9"/>
    </row>
    <row r="177305" spans="15:15" x14ac:dyDescent="0.25">
      <c r="O177305" s="9"/>
    </row>
    <row r="177326" spans="15:15" x14ac:dyDescent="0.25">
      <c r="O177326" s="9"/>
    </row>
    <row r="177347" spans="15:15" x14ac:dyDescent="0.25">
      <c r="O177347" s="9"/>
    </row>
    <row r="177368" spans="15:15" x14ac:dyDescent="0.25">
      <c r="O177368" s="9"/>
    </row>
    <row r="177389" spans="15:15" x14ac:dyDescent="0.25">
      <c r="O177389" s="9"/>
    </row>
    <row r="177410" spans="15:15" x14ac:dyDescent="0.25">
      <c r="O177410" s="9"/>
    </row>
    <row r="177431" spans="15:15" x14ac:dyDescent="0.25">
      <c r="O177431" s="9"/>
    </row>
    <row r="177452" spans="15:15" x14ac:dyDescent="0.25">
      <c r="O177452" s="9"/>
    </row>
    <row r="177473" spans="15:15" x14ac:dyDescent="0.25">
      <c r="O177473" s="9"/>
    </row>
    <row r="177494" spans="15:15" x14ac:dyDescent="0.25">
      <c r="O177494" s="9"/>
    </row>
    <row r="177515" spans="15:15" x14ac:dyDescent="0.25">
      <c r="O177515" s="9"/>
    </row>
    <row r="177536" spans="15:15" x14ac:dyDescent="0.25">
      <c r="O177536" s="9"/>
    </row>
    <row r="177557" spans="15:15" x14ac:dyDescent="0.25">
      <c r="O177557" s="9"/>
    </row>
    <row r="177578" spans="15:15" x14ac:dyDescent="0.25">
      <c r="O177578" s="9"/>
    </row>
    <row r="177599" spans="15:15" x14ac:dyDescent="0.25">
      <c r="O177599" s="9"/>
    </row>
    <row r="177620" spans="15:15" x14ac:dyDescent="0.25">
      <c r="O177620" s="9"/>
    </row>
    <row r="177641" spans="15:15" x14ac:dyDescent="0.25">
      <c r="O177641" s="9"/>
    </row>
    <row r="177662" spans="15:15" x14ac:dyDescent="0.25">
      <c r="O177662" s="9"/>
    </row>
    <row r="177683" spans="15:15" x14ac:dyDescent="0.25">
      <c r="O177683" s="9"/>
    </row>
    <row r="177704" spans="15:15" x14ac:dyDescent="0.25">
      <c r="O177704" s="9"/>
    </row>
    <row r="177725" spans="15:15" x14ac:dyDescent="0.25">
      <c r="O177725" s="9"/>
    </row>
    <row r="177746" spans="15:15" x14ac:dyDescent="0.25">
      <c r="O177746" s="9"/>
    </row>
    <row r="177767" spans="15:15" x14ac:dyDescent="0.25">
      <c r="O177767" s="9"/>
    </row>
    <row r="177788" spans="15:15" x14ac:dyDescent="0.25">
      <c r="O177788" s="9"/>
    </row>
    <row r="177809" spans="15:15" x14ac:dyDescent="0.25">
      <c r="O177809" s="9"/>
    </row>
    <row r="177830" spans="15:15" x14ac:dyDescent="0.25">
      <c r="O177830" s="9"/>
    </row>
    <row r="177851" spans="15:15" x14ac:dyDescent="0.25">
      <c r="O177851" s="9"/>
    </row>
    <row r="177872" spans="15:15" x14ac:dyDescent="0.25">
      <c r="O177872" s="9"/>
    </row>
    <row r="177893" spans="15:15" x14ac:dyDescent="0.25">
      <c r="O177893" s="9"/>
    </row>
    <row r="177914" spans="15:15" x14ac:dyDescent="0.25">
      <c r="O177914" s="9"/>
    </row>
    <row r="177935" spans="15:15" x14ac:dyDescent="0.25">
      <c r="O177935" s="9"/>
    </row>
    <row r="177956" spans="15:15" x14ac:dyDescent="0.25">
      <c r="O177956" s="9"/>
    </row>
    <row r="177977" spans="15:15" x14ac:dyDescent="0.25">
      <c r="O177977" s="9"/>
    </row>
    <row r="177998" spans="15:15" x14ac:dyDescent="0.25">
      <c r="O177998" s="9"/>
    </row>
    <row r="178019" spans="15:15" x14ac:dyDescent="0.25">
      <c r="O178019" s="9"/>
    </row>
    <row r="178040" spans="15:15" x14ac:dyDescent="0.25">
      <c r="O178040" s="9"/>
    </row>
    <row r="178061" spans="15:15" x14ac:dyDescent="0.25">
      <c r="O178061" s="9"/>
    </row>
    <row r="178082" spans="15:15" x14ac:dyDescent="0.25">
      <c r="O178082" s="9"/>
    </row>
    <row r="178103" spans="15:15" x14ac:dyDescent="0.25">
      <c r="O178103" s="9"/>
    </row>
    <row r="178124" spans="15:15" x14ac:dyDescent="0.25">
      <c r="O178124" s="9"/>
    </row>
    <row r="178145" spans="15:15" x14ac:dyDescent="0.25">
      <c r="O178145" s="9"/>
    </row>
    <row r="178166" spans="15:15" x14ac:dyDescent="0.25">
      <c r="O178166" s="9"/>
    </row>
    <row r="178187" spans="15:15" x14ac:dyDescent="0.25">
      <c r="O178187" s="9"/>
    </row>
    <row r="178208" spans="15:15" x14ac:dyDescent="0.25">
      <c r="O178208" s="9"/>
    </row>
    <row r="178229" spans="15:15" x14ac:dyDescent="0.25">
      <c r="O178229" s="9"/>
    </row>
    <row r="178250" spans="15:15" x14ac:dyDescent="0.25">
      <c r="O178250" s="9"/>
    </row>
    <row r="178271" spans="15:15" x14ac:dyDescent="0.25">
      <c r="O178271" s="9"/>
    </row>
    <row r="178292" spans="15:15" x14ac:dyDescent="0.25">
      <c r="O178292" s="9"/>
    </row>
    <row r="178313" spans="15:15" x14ac:dyDescent="0.25">
      <c r="O178313" s="9"/>
    </row>
    <row r="178334" spans="15:15" x14ac:dyDescent="0.25">
      <c r="O178334" s="9"/>
    </row>
    <row r="178355" spans="15:15" x14ac:dyDescent="0.25">
      <c r="O178355" s="9"/>
    </row>
    <row r="178376" spans="15:15" x14ac:dyDescent="0.25">
      <c r="O178376" s="9"/>
    </row>
    <row r="178397" spans="15:15" x14ac:dyDescent="0.25">
      <c r="O178397" s="9"/>
    </row>
    <row r="178418" spans="15:15" x14ac:dyDescent="0.25">
      <c r="O178418" s="9"/>
    </row>
    <row r="178439" spans="15:15" x14ac:dyDescent="0.25">
      <c r="O178439" s="9"/>
    </row>
    <row r="178460" spans="15:15" x14ac:dyDescent="0.25">
      <c r="O178460" s="9"/>
    </row>
    <row r="178481" spans="15:15" x14ac:dyDescent="0.25">
      <c r="O178481" s="9"/>
    </row>
    <row r="178502" spans="15:15" x14ac:dyDescent="0.25">
      <c r="O178502" s="9"/>
    </row>
    <row r="178523" spans="15:15" x14ac:dyDescent="0.25">
      <c r="O178523" s="9"/>
    </row>
    <row r="178544" spans="15:15" x14ac:dyDescent="0.25">
      <c r="O178544" s="9"/>
    </row>
    <row r="178565" spans="15:15" x14ac:dyDescent="0.25">
      <c r="O178565" s="9"/>
    </row>
    <row r="178586" spans="15:15" x14ac:dyDescent="0.25">
      <c r="O178586" s="9"/>
    </row>
    <row r="178607" spans="15:15" x14ac:dyDescent="0.25">
      <c r="O178607" s="9"/>
    </row>
    <row r="178628" spans="15:15" x14ac:dyDescent="0.25">
      <c r="O178628" s="9"/>
    </row>
    <row r="178649" spans="15:15" x14ac:dyDescent="0.25">
      <c r="O178649" s="9"/>
    </row>
    <row r="178670" spans="15:15" x14ac:dyDescent="0.25">
      <c r="O178670" s="9"/>
    </row>
    <row r="178691" spans="15:15" x14ac:dyDescent="0.25">
      <c r="O178691" s="9"/>
    </row>
    <row r="178712" spans="15:15" x14ac:dyDescent="0.25">
      <c r="O178712" s="9"/>
    </row>
    <row r="178733" spans="15:15" x14ac:dyDescent="0.25">
      <c r="O178733" s="9"/>
    </row>
    <row r="178754" spans="15:15" x14ac:dyDescent="0.25">
      <c r="O178754" s="9"/>
    </row>
    <row r="178775" spans="15:15" x14ac:dyDescent="0.25">
      <c r="O178775" s="9"/>
    </row>
    <row r="178796" spans="15:15" x14ac:dyDescent="0.25">
      <c r="O178796" s="9"/>
    </row>
    <row r="178817" spans="15:15" x14ac:dyDescent="0.25">
      <c r="O178817" s="9"/>
    </row>
    <row r="178838" spans="15:15" x14ac:dyDescent="0.25">
      <c r="O178838" s="9"/>
    </row>
    <row r="178859" spans="15:15" x14ac:dyDescent="0.25">
      <c r="O178859" s="9"/>
    </row>
    <row r="178880" spans="15:15" x14ac:dyDescent="0.25">
      <c r="O178880" s="9"/>
    </row>
    <row r="178901" spans="15:15" x14ac:dyDescent="0.25">
      <c r="O178901" s="9"/>
    </row>
    <row r="178922" spans="15:15" x14ac:dyDescent="0.25">
      <c r="O178922" s="9"/>
    </row>
    <row r="178943" spans="15:15" x14ac:dyDescent="0.25">
      <c r="O178943" s="9"/>
    </row>
    <row r="178964" spans="15:15" x14ac:dyDescent="0.25">
      <c r="O178964" s="9"/>
    </row>
    <row r="178985" spans="15:15" x14ac:dyDescent="0.25">
      <c r="O178985" s="9"/>
    </row>
    <row r="179006" spans="15:15" x14ac:dyDescent="0.25">
      <c r="O179006" s="9"/>
    </row>
    <row r="179027" spans="15:15" x14ac:dyDescent="0.25">
      <c r="O179027" s="9"/>
    </row>
    <row r="179048" spans="15:15" x14ac:dyDescent="0.25">
      <c r="O179048" s="9"/>
    </row>
    <row r="179069" spans="15:15" x14ac:dyDescent="0.25">
      <c r="O179069" s="9"/>
    </row>
    <row r="179090" spans="15:15" x14ac:dyDescent="0.25">
      <c r="O179090" s="9"/>
    </row>
    <row r="179111" spans="15:15" x14ac:dyDescent="0.25">
      <c r="O179111" s="9"/>
    </row>
    <row r="179132" spans="15:15" x14ac:dyDescent="0.25">
      <c r="O179132" s="9"/>
    </row>
    <row r="179153" spans="15:15" x14ac:dyDescent="0.25">
      <c r="O179153" s="9"/>
    </row>
    <row r="179174" spans="15:15" x14ac:dyDescent="0.25">
      <c r="O179174" s="9"/>
    </row>
    <row r="179195" spans="15:15" x14ac:dyDescent="0.25">
      <c r="O179195" s="9"/>
    </row>
    <row r="179216" spans="15:15" x14ac:dyDescent="0.25">
      <c r="O179216" s="9"/>
    </row>
    <row r="179237" spans="15:15" x14ac:dyDescent="0.25">
      <c r="O179237" s="9"/>
    </row>
    <row r="179258" spans="15:15" x14ac:dyDescent="0.25">
      <c r="O179258" s="9"/>
    </row>
    <row r="179279" spans="15:15" x14ac:dyDescent="0.25">
      <c r="O179279" s="9"/>
    </row>
    <row r="179300" spans="15:15" x14ac:dyDescent="0.25">
      <c r="O179300" s="9"/>
    </row>
    <row r="179321" spans="15:15" x14ac:dyDescent="0.25">
      <c r="O179321" s="9"/>
    </row>
    <row r="179342" spans="15:15" x14ac:dyDescent="0.25">
      <c r="O179342" s="9"/>
    </row>
    <row r="179363" spans="15:15" x14ac:dyDescent="0.25">
      <c r="O179363" s="9"/>
    </row>
    <row r="179384" spans="15:15" x14ac:dyDescent="0.25">
      <c r="O179384" s="9"/>
    </row>
    <row r="179405" spans="15:15" x14ac:dyDescent="0.25">
      <c r="O179405" s="9"/>
    </row>
    <row r="179426" spans="15:15" x14ac:dyDescent="0.25">
      <c r="O179426" s="9"/>
    </row>
    <row r="179447" spans="15:15" x14ac:dyDescent="0.25">
      <c r="O179447" s="9"/>
    </row>
    <row r="179468" spans="15:15" x14ac:dyDescent="0.25">
      <c r="O179468" s="9"/>
    </row>
    <row r="179489" spans="15:15" x14ac:dyDescent="0.25">
      <c r="O179489" s="9"/>
    </row>
    <row r="179510" spans="15:15" x14ac:dyDescent="0.25">
      <c r="O179510" s="9"/>
    </row>
    <row r="179531" spans="15:15" x14ac:dyDescent="0.25">
      <c r="O179531" s="9"/>
    </row>
    <row r="179552" spans="15:15" x14ac:dyDescent="0.25">
      <c r="O179552" s="9"/>
    </row>
    <row r="179573" spans="15:15" x14ac:dyDescent="0.25">
      <c r="O179573" s="9"/>
    </row>
    <row r="179594" spans="15:15" x14ac:dyDescent="0.25">
      <c r="O179594" s="9"/>
    </row>
    <row r="179615" spans="15:15" x14ac:dyDescent="0.25">
      <c r="O179615" s="9"/>
    </row>
    <row r="179636" spans="15:15" x14ac:dyDescent="0.25">
      <c r="O179636" s="9"/>
    </row>
    <row r="179657" spans="15:15" x14ac:dyDescent="0.25">
      <c r="O179657" s="9"/>
    </row>
    <row r="179678" spans="15:15" x14ac:dyDescent="0.25">
      <c r="O179678" s="9"/>
    </row>
    <row r="179699" spans="15:15" x14ac:dyDescent="0.25">
      <c r="O179699" s="9"/>
    </row>
    <row r="179720" spans="15:15" x14ac:dyDescent="0.25">
      <c r="O179720" s="9"/>
    </row>
    <row r="179741" spans="15:15" x14ac:dyDescent="0.25">
      <c r="O179741" s="9"/>
    </row>
    <row r="179762" spans="15:15" x14ac:dyDescent="0.25">
      <c r="O179762" s="9"/>
    </row>
    <row r="179783" spans="15:15" x14ac:dyDescent="0.25">
      <c r="O179783" s="9"/>
    </row>
    <row r="179804" spans="15:15" x14ac:dyDescent="0.25">
      <c r="O179804" s="9"/>
    </row>
    <row r="179825" spans="15:15" x14ac:dyDescent="0.25">
      <c r="O179825" s="9"/>
    </row>
    <row r="179846" spans="15:15" x14ac:dyDescent="0.25">
      <c r="O179846" s="9"/>
    </row>
    <row r="179867" spans="15:15" x14ac:dyDescent="0.25">
      <c r="O179867" s="9"/>
    </row>
    <row r="179888" spans="15:15" x14ac:dyDescent="0.25">
      <c r="O179888" s="9"/>
    </row>
    <row r="179909" spans="15:15" x14ac:dyDescent="0.25">
      <c r="O179909" s="9"/>
    </row>
    <row r="179930" spans="15:15" x14ac:dyDescent="0.25">
      <c r="O179930" s="9"/>
    </row>
    <row r="179951" spans="15:15" x14ac:dyDescent="0.25">
      <c r="O179951" s="9"/>
    </row>
    <row r="179972" spans="15:15" x14ac:dyDescent="0.25">
      <c r="O179972" s="9"/>
    </row>
    <row r="179993" spans="15:15" x14ac:dyDescent="0.25">
      <c r="O179993" s="9"/>
    </row>
    <row r="180014" spans="15:15" x14ac:dyDescent="0.25">
      <c r="O180014" s="9"/>
    </row>
    <row r="180035" spans="15:15" x14ac:dyDescent="0.25">
      <c r="O180035" s="9"/>
    </row>
    <row r="180056" spans="15:15" x14ac:dyDescent="0.25">
      <c r="O180056" s="9"/>
    </row>
    <row r="180077" spans="15:15" x14ac:dyDescent="0.25">
      <c r="O180077" s="9"/>
    </row>
    <row r="180098" spans="15:15" x14ac:dyDescent="0.25">
      <c r="O180098" s="9"/>
    </row>
    <row r="180119" spans="15:15" x14ac:dyDescent="0.25">
      <c r="O180119" s="9"/>
    </row>
    <row r="180140" spans="15:15" x14ac:dyDescent="0.25">
      <c r="O180140" s="9"/>
    </row>
    <row r="180161" spans="15:15" x14ac:dyDescent="0.25">
      <c r="O180161" s="9"/>
    </row>
    <row r="180182" spans="15:15" x14ac:dyDescent="0.25">
      <c r="O180182" s="9"/>
    </row>
    <row r="180203" spans="15:15" x14ac:dyDescent="0.25">
      <c r="O180203" s="9"/>
    </row>
    <row r="180224" spans="15:15" x14ac:dyDescent="0.25">
      <c r="O180224" s="9"/>
    </row>
    <row r="180245" spans="15:15" x14ac:dyDescent="0.25">
      <c r="O180245" s="9"/>
    </row>
    <row r="180266" spans="15:15" x14ac:dyDescent="0.25">
      <c r="O180266" s="9"/>
    </row>
    <row r="180287" spans="15:15" x14ac:dyDescent="0.25">
      <c r="O180287" s="9"/>
    </row>
    <row r="180308" spans="15:15" x14ac:dyDescent="0.25">
      <c r="O180308" s="9"/>
    </row>
    <row r="180329" spans="15:15" x14ac:dyDescent="0.25">
      <c r="O180329" s="9"/>
    </row>
    <row r="180350" spans="15:15" x14ac:dyDescent="0.25">
      <c r="O180350" s="9"/>
    </row>
    <row r="180371" spans="15:15" x14ac:dyDescent="0.25">
      <c r="O180371" s="9"/>
    </row>
    <row r="180392" spans="15:15" x14ac:dyDescent="0.25">
      <c r="O180392" s="9"/>
    </row>
    <row r="180413" spans="15:15" x14ac:dyDescent="0.25">
      <c r="O180413" s="9"/>
    </row>
    <row r="180434" spans="15:15" x14ac:dyDescent="0.25">
      <c r="O180434" s="9"/>
    </row>
    <row r="180455" spans="15:15" x14ac:dyDescent="0.25">
      <c r="O180455" s="9"/>
    </row>
    <row r="180476" spans="15:15" x14ac:dyDescent="0.25">
      <c r="O180476" s="9"/>
    </row>
    <row r="180497" spans="15:15" x14ac:dyDescent="0.25">
      <c r="O180497" s="9"/>
    </row>
    <row r="180518" spans="15:15" x14ac:dyDescent="0.25">
      <c r="O180518" s="9"/>
    </row>
    <row r="180539" spans="15:15" x14ac:dyDescent="0.25">
      <c r="O180539" s="9"/>
    </row>
    <row r="180560" spans="15:15" x14ac:dyDescent="0.25">
      <c r="O180560" s="9"/>
    </row>
    <row r="180581" spans="15:15" x14ac:dyDescent="0.25">
      <c r="O180581" s="9"/>
    </row>
    <row r="180602" spans="15:15" x14ac:dyDescent="0.25">
      <c r="O180602" s="9"/>
    </row>
    <row r="180623" spans="15:15" x14ac:dyDescent="0.25">
      <c r="O180623" s="9"/>
    </row>
    <row r="180644" spans="15:15" x14ac:dyDescent="0.25">
      <c r="O180644" s="9"/>
    </row>
    <row r="180665" spans="15:15" x14ac:dyDescent="0.25">
      <c r="O180665" s="9"/>
    </row>
    <row r="180686" spans="15:15" x14ac:dyDescent="0.25">
      <c r="O180686" s="9"/>
    </row>
    <row r="180707" spans="15:15" x14ac:dyDescent="0.25">
      <c r="O180707" s="9"/>
    </row>
    <row r="180728" spans="15:15" x14ac:dyDescent="0.25">
      <c r="O180728" s="9"/>
    </row>
    <row r="180749" spans="15:15" x14ac:dyDescent="0.25">
      <c r="O180749" s="9"/>
    </row>
    <row r="180770" spans="15:15" x14ac:dyDescent="0.25">
      <c r="O180770" s="9"/>
    </row>
    <row r="180791" spans="15:15" x14ac:dyDescent="0.25">
      <c r="O180791" s="9"/>
    </row>
    <row r="180812" spans="15:15" x14ac:dyDescent="0.25">
      <c r="O180812" s="9"/>
    </row>
    <row r="180833" spans="15:15" x14ac:dyDescent="0.25">
      <c r="O180833" s="9"/>
    </row>
    <row r="180854" spans="15:15" x14ac:dyDescent="0.25">
      <c r="O180854" s="9"/>
    </row>
    <row r="180875" spans="15:15" x14ac:dyDescent="0.25">
      <c r="O180875" s="9"/>
    </row>
    <row r="180896" spans="15:15" x14ac:dyDescent="0.25">
      <c r="O180896" s="9"/>
    </row>
    <row r="180917" spans="15:15" x14ac:dyDescent="0.25">
      <c r="O180917" s="9"/>
    </row>
    <row r="180938" spans="15:15" x14ac:dyDescent="0.25">
      <c r="O180938" s="9"/>
    </row>
    <row r="180959" spans="15:15" x14ac:dyDescent="0.25">
      <c r="O180959" s="9"/>
    </row>
    <row r="180980" spans="15:15" x14ac:dyDescent="0.25">
      <c r="O180980" s="9"/>
    </row>
    <row r="181001" spans="15:15" x14ac:dyDescent="0.25">
      <c r="O181001" s="9"/>
    </row>
    <row r="181022" spans="15:15" x14ac:dyDescent="0.25">
      <c r="O181022" s="9"/>
    </row>
    <row r="181043" spans="15:15" x14ac:dyDescent="0.25">
      <c r="O181043" s="9"/>
    </row>
    <row r="181064" spans="15:15" x14ac:dyDescent="0.25">
      <c r="O181064" s="9"/>
    </row>
    <row r="181085" spans="15:15" x14ac:dyDescent="0.25">
      <c r="O181085" s="9"/>
    </row>
    <row r="181106" spans="15:15" x14ac:dyDescent="0.25">
      <c r="O181106" s="9"/>
    </row>
    <row r="181127" spans="15:15" x14ac:dyDescent="0.25">
      <c r="O181127" s="9"/>
    </row>
    <row r="181148" spans="15:15" x14ac:dyDescent="0.25">
      <c r="O181148" s="9"/>
    </row>
    <row r="181169" spans="15:15" x14ac:dyDescent="0.25">
      <c r="O181169" s="9"/>
    </row>
    <row r="181190" spans="15:15" x14ac:dyDescent="0.25">
      <c r="O181190" s="9"/>
    </row>
    <row r="181211" spans="15:15" x14ac:dyDescent="0.25">
      <c r="O181211" s="9"/>
    </row>
    <row r="181232" spans="15:15" x14ac:dyDescent="0.25">
      <c r="O181232" s="9"/>
    </row>
    <row r="181253" spans="15:15" x14ac:dyDescent="0.25">
      <c r="O181253" s="9"/>
    </row>
    <row r="181274" spans="15:15" x14ac:dyDescent="0.25">
      <c r="O181274" s="9"/>
    </row>
    <row r="181295" spans="15:15" x14ac:dyDescent="0.25">
      <c r="O181295" s="9"/>
    </row>
    <row r="181316" spans="15:15" x14ac:dyDescent="0.25">
      <c r="O181316" s="9"/>
    </row>
    <row r="181337" spans="15:15" x14ac:dyDescent="0.25">
      <c r="O181337" s="9"/>
    </row>
    <row r="181358" spans="15:15" x14ac:dyDescent="0.25">
      <c r="O181358" s="9"/>
    </row>
    <row r="181379" spans="15:15" x14ac:dyDescent="0.25">
      <c r="O181379" s="9"/>
    </row>
    <row r="181400" spans="15:15" x14ac:dyDescent="0.25">
      <c r="O181400" s="9"/>
    </row>
    <row r="181421" spans="15:15" x14ac:dyDescent="0.25">
      <c r="O181421" s="9"/>
    </row>
    <row r="181442" spans="15:15" x14ac:dyDescent="0.25">
      <c r="O181442" s="9"/>
    </row>
    <row r="181463" spans="15:15" x14ac:dyDescent="0.25">
      <c r="O181463" s="9"/>
    </row>
    <row r="181484" spans="15:15" x14ac:dyDescent="0.25">
      <c r="O181484" s="9"/>
    </row>
    <row r="181505" spans="15:15" x14ac:dyDescent="0.25">
      <c r="O181505" s="9"/>
    </row>
    <row r="181526" spans="15:15" x14ac:dyDescent="0.25">
      <c r="O181526" s="9"/>
    </row>
    <row r="181547" spans="15:15" x14ac:dyDescent="0.25">
      <c r="O181547" s="9"/>
    </row>
    <row r="181568" spans="15:15" x14ac:dyDescent="0.25">
      <c r="O181568" s="9"/>
    </row>
    <row r="181589" spans="15:15" x14ac:dyDescent="0.25">
      <c r="O181589" s="9"/>
    </row>
    <row r="181610" spans="15:15" x14ac:dyDescent="0.25">
      <c r="O181610" s="9"/>
    </row>
    <row r="181631" spans="15:15" x14ac:dyDescent="0.25">
      <c r="O181631" s="9"/>
    </row>
    <row r="181652" spans="15:15" x14ac:dyDescent="0.25">
      <c r="O181652" s="9"/>
    </row>
    <row r="181673" spans="15:15" x14ac:dyDescent="0.25">
      <c r="O181673" s="9"/>
    </row>
    <row r="181694" spans="15:15" x14ac:dyDescent="0.25">
      <c r="O181694" s="9"/>
    </row>
    <row r="181715" spans="15:15" x14ac:dyDescent="0.25">
      <c r="O181715" s="9"/>
    </row>
    <row r="181736" spans="15:15" x14ac:dyDescent="0.25">
      <c r="O181736" s="9"/>
    </row>
    <row r="181757" spans="15:15" x14ac:dyDescent="0.25">
      <c r="O181757" s="9"/>
    </row>
    <row r="181778" spans="15:15" x14ac:dyDescent="0.25">
      <c r="O181778" s="9"/>
    </row>
    <row r="181799" spans="15:15" x14ac:dyDescent="0.25">
      <c r="O181799" s="9"/>
    </row>
    <row r="181820" spans="15:15" x14ac:dyDescent="0.25">
      <c r="O181820" s="9"/>
    </row>
    <row r="181841" spans="15:15" x14ac:dyDescent="0.25">
      <c r="O181841" s="9"/>
    </row>
    <row r="181862" spans="15:15" x14ac:dyDescent="0.25">
      <c r="O181862" s="9"/>
    </row>
    <row r="181883" spans="15:15" x14ac:dyDescent="0.25">
      <c r="O181883" s="9"/>
    </row>
    <row r="181904" spans="15:15" x14ac:dyDescent="0.25">
      <c r="O181904" s="9"/>
    </row>
    <row r="181925" spans="15:15" x14ac:dyDescent="0.25">
      <c r="O181925" s="9"/>
    </row>
    <row r="181946" spans="15:15" x14ac:dyDescent="0.25">
      <c r="O181946" s="9"/>
    </row>
    <row r="181967" spans="15:15" x14ac:dyDescent="0.25">
      <c r="O181967" s="9"/>
    </row>
    <row r="181988" spans="15:15" x14ac:dyDescent="0.25">
      <c r="O181988" s="9"/>
    </row>
    <row r="182009" spans="15:15" x14ac:dyDescent="0.25">
      <c r="O182009" s="9"/>
    </row>
    <row r="182030" spans="15:15" x14ac:dyDescent="0.25">
      <c r="O182030" s="9"/>
    </row>
    <row r="182051" spans="15:15" x14ac:dyDescent="0.25">
      <c r="O182051" s="9"/>
    </row>
    <row r="182072" spans="15:15" x14ac:dyDescent="0.25">
      <c r="O182072" s="9"/>
    </row>
    <row r="182093" spans="15:15" x14ac:dyDescent="0.25">
      <c r="O182093" s="9"/>
    </row>
    <row r="182114" spans="15:15" x14ac:dyDescent="0.25">
      <c r="O182114" s="9"/>
    </row>
    <row r="182135" spans="15:15" x14ac:dyDescent="0.25">
      <c r="O182135" s="9"/>
    </row>
    <row r="182156" spans="15:15" x14ac:dyDescent="0.25">
      <c r="O182156" s="9"/>
    </row>
    <row r="182177" spans="15:15" x14ac:dyDescent="0.25">
      <c r="O182177" s="9"/>
    </row>
    <row r="182198" spans="15:15" x14ac:dyDescent="0.25">
      <c r="O182198" s="9"/>
    </row>
    <row r="182219" spans="15:15" x14ac:dyDescent="0.25">
      <c r="O182219" s="9"/>
    </row>
    <row r="182240" spans="15:15" x14ac:dyDescent="0.25">
      <c r="O182240" s="9"/>
    </row>
    <row r="182261" spans="15:15" x14ac:dyDescent="0.25">
      <c r="O182261" s="9"/>
    </row>
    <row r="182282" spans="15:15" x14ac:dyDescent="0.25">
      <c r="O182282" s="9"/>
    </row>
    <row r="182303" spans="15:15" x14ac:dyDescent="0.25">
      <c r="O182303" s="9"/>
    </row>
    <row r="182324" spans="15:15" x14ac:dyDescent="0.25">
      <c r="O182324" s="9"/>
    </row>
    <row r="182345" spans="15:15" x14ac:dyDescent="0.25">
      <c r="O182345" s="9"/>
    </row>
    <row r="182366" spans="15:15" x14ac:dyDescent="0.25">
      <c r="O182366" s="9"/>
    </row>
    <row r="182387" spans="15:15" x14ac:dyDescent="0.25">
      <c r="O182387" s="9"/>
    </row>
    <row r="182408" spans="15:15" x14ac:dyDescent="0.25">
      <c r="O182408" s="9"/>
    </row>
    <row r="182429" spans="15:15" x14ac:dyDescent="0.25">
      <c r="O182429" s="9"/>
    </row>
    <row r="182450" spans="15:15" x14ac:dyDescent="0.25">
      <c r="O182450" s="9"/>
    </row>
    <row r="182471" spans="15:15" x14ac:dyDescent="0.25">
      <c r="O182471" s="9"/>
    </row>
    <row r="182492" spans="15:15" x14ac:dyDescent="0.25">
      <c r="O182492" s="9"/>
    </row>
    <row r="182513" spans="15:15" x14ac:dyDescent="0.25">
      <c r="O182513" s="9"/>
    </row>
    <row r="182534" spans="15:15" x14ac:dyDescent="0.25">
      <c r="O182534" s="9"/>
    </row>
    <row r="182555" spans="15:15" x14ac:dyDescent="0.25">
      <c r="O182555" s="9"/>
    </row>
    <row r="182576" spans="15:15" x14ac:dyDescent="0.25">
      <c r="O182576" s="9"/>
    </row>
    <row r="182597" spans="15:15" x14ac:dyDescent="0.25">
      <c r="O182597" s="9"/>
    </row>
    <row r="182618" spans="15:15" x14ac:dyDescent="0.25">
      <c r="O182618" s="9"/>
    </row>
    <row r="182639" spans="15:15" x14ac:dyDescent="0.25">
      <c r="O182639" s="9"/>
    </row>
    <row r="182660" spans="15:15" x14ac:dyDescent="0.25">
      <c r="O182660" s="9"/>
    </row>
    <row r="182681" spans="15:15" x14ac:dyDescent="0.25">
      <c r="O182681" s="9"/>
    </row>
    <row r="182702" spans="15:15" x14ac:dyDescent="0.25">
      <c r="O182702" s="9"/>
    </row>
    <row r="182723" spans="15:15" x14ac:dyDescent="0.25">
      <c r="O182723" s="9"/>
    </row>
    <row r="182744" spans="15:15" x14ac:dyDescent="0.25">
      <c r="O182744" s="9"/>
    </row>
    <row r="182765" spans="15:15" x14ac:dyDescent="0.25">
      <c r="O182765" s="9"/>
    </row>
    <row r="182786" spans="15:15" x14ac:dyDescent="0.25">
      <c r="O182786" s="9"/>
    </row>
    <row r="182807" spans="15:15" x14ac:dyDescent="0.25">
      <c r="O182807" s="9"/>
    </row>
    <row r="182828" spans="15:15" x14ac:dyDescent="0.25">
      <c r="O182828" s="9"/>
    </row>
    <row r="182849" spans="15:15" x14ac:dyDescent="0.25">
      <c r="O182849" s="9"/>
    </row>
    <row r="182870" spans="15:15" x14ac:dyDescent="0.25">
      <c r="O182870" s="9"/>
    </row>
    <row r="182891" spans="15:15" x14ac:dyDescent="0.25">
      <c r="O182891" s="9"/>
    </row>
    <row r="182912" spans="15:15" x14ac:dyDescent="0.25">
      <c r="O182912" s="9"/>
    </row>
    <row r="182933" spans="15:15" x14ac:dyDescent="0.25">
      <c r="O182933" s="9"/>
    </row>
    <row r="182954" spans="15:15" x14ac:dyDescent="0.25">
      <c r="O182954" s="9"/>
    </row>
    <row r="182975" spans="15:15" x14ac:dyDescent="0.25">
      <c r="O182975" s="9"/>
    </row>
    <row r="182996" spans="15:15" x14ac:dyDescent="0.25">
      <c r="O182996" s="9"/>
    </row>
    <row r="183017" spans="15:15" x14ac:dyDescent="0.25">
      <c r="O183017" s="9"/>
    </row>
    <row r="183038" spans="15:15" x14ac:dyDescent="0.25">
      <c r="O183038" s="9"/>
    </row>
    <row r="183059" spans="15:15" x14ac:dyDescent="0.25">
      <c r="O183059" s="9"/>
    </row>
    <row r="183080" spans="15:15" x14ac:dyDescent="0.25">
      <c r="O183080" s="9"/>
    </row>
    <row r="183101" spans="15:15" x14ac:dyDescent="0.25">
      <c r="O183101" s="9"/>
    </row>
    <row r="183122" spans="15:15" x14ac:dyDescent="0.25">
      <c r="O183122" s="9"/>
    </row>
    <row r="183143" spans="15:15" x14ac:dyDescent="0.25">
      <c r="O183143" s="9"/>
    </row>
    <row r="183164" spans="15:15" x14ac:dyDescent="0.25">
      <c r="O183164" s="9"/>
    </row>
    <row r="183185" spans="15:15" x14ac:dyDescent="0.25">
      <c r="O183185" s="9"/>
    </row>
    <row r="183206" spans="15:15" x14ac:dyDescent="0.25">
      <c r="O183206" s="9"/>
    </row>
    <row r="183227" spans="15:15" x14ac:dyDescent="0.25">
      <c r="O183227" s="9"/>
    </row>
    <row r="183248" spans="15:15" x14ac:dyDescent="0.25">
      <c r="O183248" s="9"/>
    </row>
    <row r="183269" spans="15:15" x14ac:dyDescent="0.25">
      <c r="O183269" s="9"/>
    </row>
    <row r="183290" spans="15:15" x14ac:dyDescent="0.25">
      <c r="O183290" s="9"/>
    </row>
    <row r="183311" spans="15:15" x14ac:dyDescent="0.25">
      <c r="O183311" s="9"/>
    </row>
    <row r="183332" spans="15:15" x14ac:dyDescent="0.25">
      <c r="O183332" s="9"/>
    </row>
    <row r="183353" spans="15:15" x14ac:dyDescent="0.25">
      <c r="O183353" s="9"/>
    </row>
    <row r="183374" spans="15:15" x14ac:dyDescent="0.25">
      <c r="O183374" s="9"/>
    </row>
    <row r="183395" spans="15:15" x14ac:dyDescent="0.25">
      <c r="O183395" s="9"/>
    </row>
    <row r="183416" spans="15:15" x14ac:dyDescent="0.25">
      <c r="O183416" s="9"/>
    </row>
    <row r="183437" spans="15:15" x14ac:dyDescent="0.25">
      <c r="O183437" s="9"/>
    </row>
    <row r="183458" spans="15:15" x14ac:dyDescent="0.25">
      <c r="O183458" s="9"/>
    </row>
    <row r="183479" spans="15:15" x14ac:dyDescent="0.25">
      <c r="O183479" s="9"/>
    </row>
    <row r="183500" spans="15:15" x14ac:dyDescent="0.25">
      <c r="O183500" s="9"/>
    </row>
    <row r="183521" spans="15:15" x14ac:dyDescent="0.25">
      <c r="O183521" s="9"/>
    </row>
    <row r="183542" spans="15:15" x14ac:dyDescent="0.25">
      <c r="O183542" s="9"/>
    </row>
    <row r="183563" spans="15:15" x14ac:dyDescent="0.25">
      <c r="O183563" s="9"/>
    </row>
    <row r="183584" spans="15:15" x14ac:dyDescent="0.25">
      <c r="O183584" s="9"/>
    </row>
    <row r="183605" spans="15:15" x14ac:dyDescent="0.25">
      <c r="O183605" s="9"/>
    </row>
    <row r="183626" spans="15:15" x14ac:dyDescent="0.25">
      <c r="O183626" s="9"/>
    </row>
    <row r="183647" spans="15:15" x14ac:dyDescent="0.25">
      <c r="O183647" s="9"/>
    </row>
    <row r="183668" spans="15:15" x14ac:dyDescent="0.25">
      <c r="O183668" s="9"/>
    </row>
    <row r="183689" spans="15:15" x14ac:dyDescent="0.25">
      <c r="O183689" s="9"/>
    </row>
    <row r="183710" spans="15:15" x14ac:dyDescent="0.25">
      <c r="O183710" s="9"/>
    </row>
    <row r="183731" spans="15:15" x14ac:dyDescent="0.25">
      <c r="O183731" s="9"/>
    </row>
    <row r="183752" spans="15:15" x14ac:dyDescent="0.25">
      <c r="O183752" s="9"/>
    </row>
    <row r="183773" spans="15:15" x14ac:dyDescent="0.25">
      <c r="O183773" s="9"/>
    </row>
    <row r="183794" spans="15:15" x14ac:dyDescent="0.25">
      <c r="O183794" s="9"/>
    </row>
    <row r="183815" spans="15:15" x14ac:dyDescent="0.25">
      <c r="O183815" s="9"/>
    </row>
    <row r="183836" spans="15:15" x14ac:dyDescent="0.25">
      <c r="O183836" s="9"/>
    </row>
    <row r="183857" spans="15:15" x14ac:dyDescent="0.25">
      <c r="O183857" s="9"/>
    </row>
    <row r="183878" spans="15:15" x14ac:dyDescent="0.25">
      <c r="O183878" s="9"/>
    </row>
    <row r="183899" spans="15:15" x14ac:dyDescent="0.25">
      <c r="O183899" s="9"/>
    </row>
    <row r="183920" spans="15:15" x14ac:dyDescent="0.25">
      <c r="O183920" s="9"/>
    </row>
    <row r="183941" spans="15:15" x14ac:dyDescent="0.25">
      <c r="O183941" s="9"/>
    </row>
    <row r="183962" spans="15:15" x14ac:dyDescent="0.25">
      <c r="O183962" s="9"/>
    </row>
    <row r="183983" spans="15:15" x14ac:dyDescent="0.25">
      <c r="O183983" s="9"/>
    </row>
    <row r="184004" spans="15:15" x14ac:dyDescent="0.25">
      <c r="O184004" s="9"/>
    </row>
    <row r="184025" spans="15:15" x14ac:dyDescent="0.25">
      <c r="O184025" s="9"/>
    </row>
    <row r="184046" spans="15:15" x14ac:dyDescent="0.25">
      <c r="O184046" s="9"/>
    </row>
    <row r="184067" spans="15:15" x14ac:dyDescent="0.25">
      <c r="O184067" s="9"/>
    </row>
    <row r="184088" spans="15:15" x14ac:dyDescent="0.25">
      <c r="O184088" s="9"/>
    </row>
    <row r="184109" spans="15:15" x14ac:dyDescent="0.25">
      <c r="O184109" s="9"/>
    </row>
    <row r="184130" spans="15:15" x14ac:dyDescent="0.25">
      <c r="O184130" s="9"/>
    </row>
    <row r="184151" spans="15:15" x14ac:dyDescent="0.25">
      <c r="O184151" s="9"/>
    </row>
    <row r="184172" spans="15:15" x14ac:dyDescent="0.25">
      <c r="O184172" s="9"/>
    </row>
    <row r="184193" spans="15:15" x14ac:dyDescent="0.25">
      <c r="O184193" s="9"/>
    </row>
    <row r="184214" spans="15:15" x14ac:dyDescent="0.25">
      <c r="O184214" s="9"/>
    </row>
    <row r="184235" spans="15:15" x14ac:dyDescent="0.25">
      <c r="O184235" s="9"/>
    </row>
    <row r="184256" spans="15:15" x14ac:dyDescent="0.25">
      <c r="O184256" s="9"/>
    </row>
    <row r="184277" spans="15:15" x14ac:dyDescent="0.25">
      <c r="O184277" s="9"/>
    </row>
    <row r="184298" spans="15:15" x14ac:dyDescent="0.25">
      <c r="O184298" s="9"/>
    </row>
    <row r="184319" spans="15:15" x14ac:dyDescent="0.25">
      <c r="O184319" s="9"/>
    </row>
    <row r="184340" spans="15:15" x14ac:dyDescent="0.25">
      <c r="O184340" s="9"/>
    </row>
    <row r="184361" spans="15:15" x14ac:dyDescent="0.25">
      <c r="O184361" s="9"/>
    </row>
    <row r="184382" spans="15:15" x14ac:dyDescent="0.25">
      <c r="O184382" s="9"/>
    </row>
    <row r="184403" spans="15:15" x14ac:dyDescent="0.25">
      <c r="O184403" s="9"/>
    </row>
    <row r="184424" spans="15:15" x14ac:dyDescent="0.25">
      <c r="O184424" s="9"/>
    </row>
    <row r="184445" spans="15:15" x14ac:dyDescent="0.25">
      <c r="O184445" s="9"/>
    </row>
    <row r="184466" spans="15:15" x14ac:dyDescent="0.25">
      <c r="O184466" s="9"/>
    </row>
    <row r="184487" spans="15:15" x14ac:dyDescent="0.25">
      <c r="O184487" s="9"/>
    </row>
    <row r="184508" spans="15:15" x14ac:dyDescent="0.25">
      <c r="O184508" s="9"/>
    </row>
    <row r="184529" spans="15:15" x14ac:dyDescent="0.25">
      <c r="O184529" s="9"/>
    </row>
    <row r="184550" spans="15:15" x14ac:dyDescent="0.25">
      <c r="O184550" s="9"/>
    </row>
    <row r="184571" spans="15:15" x14ac:dyDescent="0.25">
      <c r="O184571" s="9"/>
    </row>
    <row r="184592" spans="15:15" x14ac:dyDescent="0.25">
      <c r="O184592" s="9"/>
    </row>
    <row r="184613" spans="15:15" x14ac:dyDescent="0.25">
      <c r="O184613" s="9"/>
    </row>
    <row r="184634" spans="15:15" x14ac:dyDescent="0.25">
      <c r="O184634" s="9"/>
    </row>
    <row r="184655" spans="15:15" x14ac:dyDescent="0.25">
      <c r="O184655" s="9"/>
    </row>
    <row r="184676" spans="15:15" x14ac:dyDescent="0.25">
      <c r="O184676" s="9"/>
    </row>
    <row r="184697" spans="15:15" x14ac:dyDescent="0.25">
      <c r="O184697" s="9"/>
    </row>
    <row r="184718" spans="15:15" x14ac:dyDescent="0.25">
      <c r="O184718" s="9"/>
    </row>
    <row r="184739" spans="15:15" x14ac:dyDescent="0.25">
      <c r="O184739" s="9"/>
    </row>
    <row r="184760" spans="15:15" x14ac:dyDescent="0.25">
      <c r="O184760" s="9"/>
    </row>
    <row r="184781" spans="15:15" x14ac:dyDescent="0.25">
      <c r="O184781" s="9"/>
    </row>
    <row r="184802" spans="15:15" x14ac:dyDescent="0.25">
      <c r="O184802" s="9"/>
    </row>
    <row r="184823" spans="15:15" x14ac:dyDescent="0.25">
      <c r="O184823" s="9"/>
    </row>
    <row r="184844" spans="15:15" x14ac:dyDescent="0.25">
      <c r="O184844" s="9"/>
    </row>
    <row r="184865" spans="15:15" x14ac:dyDescent="0.25">
      <c r="O184865" s="9"/>
    </row>
    <row r="184886" spans="15:15" x14ac:dyDescent="0.25">
      <c r="O184886" s="9"/>
    </row>
    <row r="184907" spans="15:15" x14ac:dyDescent="0.25">
      <c r="O184907" s="9"/>
    </row>
    <row r="184928" spans="15:15" x14ac:dyDescent="0.25">
      <c r="O184928" s="9"/>
    </row>
    <row r="184949" spans="15:15" x14ac:dyDescent="0.25">
      <c r="O184949" s="9"/>
    </row>
    <row r="184970" spans="15:15" x14ac:dyDescent="0.25">
      <c r="O184970" s="9"/>
    </row>
    <row r="184991" spans="15:15" x14ac:dyDescent="0.25">
      <c r="O184991" s="9"/>
    </row>
    <row r="185012" spans="15:15" x14ac:dyDescent="0.25">
      <c r="O185012" s="9"/>
    </row>
    <row r="185033" spans="15:15" x14ac:dyDescent="0.25">
      <c r="O185033" s="9"/>
    </row>
    <row r="185054" spans="15:15" x14ac:dyDescent="0.25">
      <c r="O185054" s="9"/>
    </row>
    <row r="185075" spans="15:15" x14ac:dyDescent="0.25">
      <c r="O185075" s="9"/>
    </row>
    <row r="185096" spans="15:15" x14ac:dyDescent="0.25">
      <c r="O185096" s="9"/>
    </row>
    <row r="185117" spans="15:15" x14ac:dyDescent="0.25">
      <c r="O185117" s="9"/>
    </row>
    <row r="185138" spans="15:15" x14ac:dyDescent="0.25">
      <c r="O185138" s="9"/>
    </row>
    <row r="185159" spans="15:15" x14ac:dyDescent="0.25">
      <c r="O185159" s="9"/>
    </row>
    <row r="185180" spans="15:15" x14ac:dyDescent="0.25">
      <c r="O185180" s="9"/>
    </row>
    <row r="185201" spans="15:15" x14ac:dyDescent="0.25">
      <c r="O185201" s="9"/>
    </row>
    <row r="185222" spans="15:15" x14ac:dyDescent="0.25">
      <c r="O185222" s="9"/>
    </row>
    <row r="185243" spans="15:15" x14ac:dyDescent="0.25">
      <c r="O185243" s="9"/>
    </row>
    <row r="185264" spans="15:15" x14ac:dyDescent="0.25">
      <c r="O185264" s="9"/>
    </row>
    <row r="185285" spans="15:15" x14ac:dyDescent="0.25">
      <c r="O185285" s="9"/>
    </row>
    <row r="185306" spans="15:15" x14ac:dyDescent="0.25">
      <c r="O185306" s="9"/>
    </row>
    <row r="185327" spans="15:15" x14ac:dyDescent="0.25">
      <c r="O185327" s="9"/>
    </row>
    <row r="185348" spans="15:15" x14ac:dyDescent="0.25">
      <c r="O185348" s="9"/>
    </row>
    <row r="185369" spans="15:15" x14ac:dyDescent="0.25">
      <c r="O185369" s="9"/>
    </row>
    <row r="185390" spans="15:15" x14ac:dyDescent="0.25">
      <c r="O185390" s="9"/>
    </row>
    <row r="185411" spans="15:15" x14ac:dyDescent="0.25">
      <c r="O185411" s="9"/>
    </row>
    <row r="185432" spans="15:15" x14ac:dyDescent="0.25">
      <c r="O185432" s="9"/>
    </row>
    <row r="185453" spans="15:15" x14ac:dyDescent="0.25">
      <c r="O185453" s="9"/>
    </row>
    <row r="185474" spans="15:15" x14ac:dyDescent="0.25">
      <c r="O185474" s="9"/>
    </row>
    <row r="185495" spans="15:15" x14ac:dyDescent="0.25">
      <c r="O185495" s="9"/>
    </row>
    <row r="185516" spans="15:15" x14ac:dyDescent="0.25">
      <c r="O185516" s="9"/>
    </row>
    <row r="185537" spans="15:15" x14ac:dyDescent="0.25">
      <c r="O185537" s="9"/>
    </row>
    <row r="185558" spans="15:15" x14ac:dyDescent="0.25">
      <c r="O185558" s="9"/>
    </row>
    <row r="185579" spans="15:15" x14ac:dyDescent="0.25">
      <c r="O185579" s="9"/>
    </row>
    <row r="185600" spans="15:15" x14ac:dyDescent="0.25">
      <c r="O185600" s="9"/>
    </row>
    <row r="185621" spans="15:15" x14ac:dyDescent="0.25">
      <c r="O185621" s="9"/>
    </row>
    <row r="185642" spans="15:15" x14ac:dyDescent="0.25">
      <c r="O185642" s="9"/>
    </row>
    <row r="185663" spans="15:15" x14ac:dyDescent="0.25">
      <c r="O185663" s="9"/>
    </row>
    <row r="185684" spans="15:15" x14ac:dyDescent="0.25">
      <c r="O185684" s="9"/>
    </row>
    <row r="185705" spans="15:15" x14ac:dyDescent="0.25">
      <c r="O185705" s="9"/>
    </row>
    <row r="185726" spans="15:15" x14ac:dyDescent="0.25">
      <c r="O185726" s="9"/>
    </row>
    <row r="185747" spans="15:15" x14ac:dyDescent="0.25">
      <c r="O185747" s="9"/>
    </row>
    <row r="185768" spans="15:15" x14ac:dyDescent="0.25">
      <c r="O185768" s="9"/>
    </row>
    <row r="185789" spans="15:15" x14ac:dyDescent="0.25">
      <c r="O185789" s="9"/>
    </row>
    <row r="185810" spans="15:15" x14ac:dyDescent="0.25">
      <c r="O185810" s="9"/>
    </row>
    <row r="185831" spans="15:15" x14ac:dyDescent="0.25">
      <c r="O185831" s="9"/>
    </row>
    <row r="185852" spans="15:15" x14ac:dyDescent="0.25">
      <c r="O185852" s="9"/>
    </row>
    <row r="185873" spans="15:15" x14ac:dyDescent="0.25">
      <c r="O185873" s="9"/>
    </row>
    <row r="185894" spans="15:15" x14ac:dyDescent="0.25">
      <c r="O185894" s="9"/>
    </row>
    <row r="185915" spans="15:15" x14ac:dyDescent="0.25">
      <c r="O185915" s="9"/>
    </row>
    <row r="185936" spans="15:15" x14ac:dyDescent="0.25">
      <c r="O185936" s="9"/>
    </row>
    <row r="185957" spans="15:15" x14ac:dyDescent="0.25">
      <c r="O185957" s="9"/>
    </row>
    <row r="185978" spans="15:15" x14ac:dyDescent="0.25">
      <c r="O185978" s="9"/>
    </row>
    <row r="185999" spans="15:15" x14ac:dyDescent="0.25">
      <c r="O185999" s="9"/>
    </row>
    <row r="186020" spans="15:15" x14ac:dyDescent="0.25">
      <c r="O186020" s="9"/>
    </row>
    <row r="186041" spans="15:15" x14ac:dyDescent="0.25">
      <c r="O186041" s="9"/>
    </row>
    <row r="186062" spans="15:15" x14ac:dyDescent="0.25">
      <c r="O186062" s="9"/>
    </row>
    <row r="186083" spans="15:15" x14ac:dyDescent="0.25">
      <c r="O186083" s="9"/>
    </row>
    <row r="186104" spans="15:15" x14ac:dyDescent="0.25">
      <c r="O186104" s="9"/>
    </row>
    <row r="186125" spans="15:15" x14ac:dyDescent="0.25">
      <c r="O186125" s="9"/>
    </row>
    <row r="186146" spans="15:15" x14ac:dyDescent="0.25">
      <c r="O186146" s="9"/>
    </row>
    <row r="186167" spans="15:15" x14ac:dyDescent="0.25">
      <c r="O186167" s="9"/>
    </row>
    <row r="186188" spans="15:15" x14ac:dyDescent="0.25">
      <c r="O186188" s="9"/>
    </row>
    <row r="186209" spans="15:15" x14ac:dyDescent="0.25">
      <c r="O186209" s="9"/>
    </row>
    <row r="186230" spans="15:15" x14ac:dyDescent="0.25">
      <c r="O186230" s="9"/>
    </row>
    <row r="186251" spans="15:15" x14ac:dyDescent="0.25">
      <c r="O186251" s="9"/>
    </row>
    <row r="186272" spans="15:15" x14ac:dyDescent="0.25">
      <c r="O186272" s="9"/>
    </row>
    <row r="186293" spans="15:15" x14ac:dyDescent="0.25">
      <c r="O186293" s="9"/>
    </row>
    <row r="186314" spans="15:15" x14ac:dyDescent="0.25">
      <c r="O186314" s="9"/>
    </row>
    <row r="186335" spans="15:15" x14ac:dyDescent="0.25">
      <c r="O186335" s="9"/>
    </row>
    <row r="186356" spans="15:15" x14ac:dyDescent="0.25">
      <c r="O186356" s="9"/>
    </row>
    <row r="186377" spans="15:15" x14ac:dyDescent="0.25">
      <c r="O186377" s="9"/>
    </row>
    <row r="186398" spans="15:15" x14ac:dyDescent="0.25">
      <c r="O186398" s="9"/>
    </row>
    <row r="186419" spans="15:15" x14ac:dyDescent="0.25">
      <c r="O186419" s="9"/>
    </row>
    <row r="186440" spans="15:15" x14ac:dyDescent="0.25">
      <c r="O186440" s="9"/>
    </row>
    <row r="186461" spans="15:15" x14ac:dyDescent="0.25">
      <c r="O186461" s="9"/>
    </row>
    <row r="186482" spans="15:15" x14ac:dyDescent="0.25">
      <c r="O186482" s="9"/>
    </row>
    <row r="186503" spans="15:15" x14ac:dyDescent="0.25">
      <c r="O186503" s="9"/>
    </row>
    <row r="186524" spans="15:15" x14ac:dyDescent="0.25">
      <c r="O186524" s="9"/>
    </row>
    <row r="186545" spans="15:15" x14ac:dyDescent="0.25">
      <c r="O186545" s="9"/>
    </row>
    <row r="186566" spans="15:15" x14ac:dyDescent="0.25">
      <c r="O186566" s="9"/>
    </row>
    <row r="186587" spans="15:15" x14ac:dyDescent="0.25">
      <c r="O186587" s="9"/>
    </row>
    <row r="186608" spans="15:15" x14ac:dyDescent="0.25">
      <c r="O186608" s="9"/>
    </row>
    <row r="186629" spans="15:15" x14ac:dyDescent="0.25">
      <c r="O186629" s="9"/>
    </row>
    <row r="186650" spans="15:15" x14ac:dyDescent="0.25">
      <c r="O186650" s="9"/>
    </row>
    <row r="186671" spans="15:15" x14ac:dyDescent="0.25">
      <c r="O186671" s="9"/>
    </row>
    <row r="186692" spans="15:15" x14ac:dyDescent="0.25">
      <c r="O186692" s="9"/>
    </row>
    <row r="186713" spans="15:15" x14ac:dyDescent="0.25">
      <c r="O186713" s="9"/>
    </row>
    <row r="186734" spans="15:15" x14ac:dyDescent="0.25">
      <c r="O186734" s="9"/>
    </row>
    <row r="186755" spans="15:15" x14ac:dyDescent="0.25">
      <c r="O186755" s="9"/>
    </row>
    <row r="186776" spans="15:15" x14ac:dyDescent="0.25">
      <c r="O186776" s="9"/>
    </row>
    <row r="186797" spans="15:15" x14ac:dyDescent="0.25">
      <c r="O186797" s="9"/>
    </row>
    <row r="186818" spans="15:15" x14ac:dyDescent="0.25">
      <c r="O186818" s="9"/>
    </row>
    <row r="186839" spans="15:15" x14ac:dyDescent="0.25">
      <c r="O186839" s="9"/>
    </row>
    <row r="186860" spans="15:15" x14ac:dyDescent="0.25">
      <c r="O186860" s="9"/>
    </row>
    <row r="186881" spans="15:15" x14ac:dyDescent="0.25">
      <c r="O186881" s="9"/>
    </row>
    <row r="186902" spans="15:15" x14ac:dyDescent="0.25">
      <c r="O186902" s="9"/>
    </row>
    <row r="186923" spans="15:15" x14ac:dyDescent="0.25">
      <c r="O186923" s="9"/>
    </row>
    <row r="186944" spans="15:15" x14ac:dyDescent="0.25">
      <c r="O186944" s="9"/>
    </row>
    <row r="186965" spans="15:15" x14ac:dyDescent="0.25">
      <c r="O186965" s="9"/>
    </row>
    <row r="186986" spans="15:15" x14ac:dyDescent="0.25">
      <c r="O186986" s="9"/>
    </row>
    <row r="187007" spans="15:15" x14ac:dyDescent="0.25">
      <c r="O187007" s="9"/>
    </row>
    <row r="187028" spans="15:15" x14ac:dyDescent="0.25">
      <c r="O187028" s="9"/>
    </row>
    <row r="187049" spans="15:15" x14ac:dyDescent="0.25">
      <c r="O187049" s="9"/>
    </row>
    <row r="187070" spans="15:15" x14ac:dyDescent="0.25">
      <c r="O187070" s="9"/>
    </row>
    <row r="187091" spans="15:15" x14ac:dyDescent="0.25">
      <c r="O187091" s="9"/>
    </row>
    <row r="187112" spans="15:15" x14ac:dyDescent="0.25">
      <c r="O187112" s="9"/>
    </row>
    <row r="187133" spans="15:15" x14ac:dyDescent="0.25">
      <c r="O187133" s="9"/>
    </row>
    <row r="187154" spans="15:15" x14ac:dyDescent="0.25">
      <c r="O187154" s="9"/>
    </row>
    <row r="187175" spans="15:15" x14ac:dyDescent="0.25">
      <c r="O187175" s="9"/>
    </row>
    <row r="187196" spans="15:15" x14ac:dyDescent="0.25">
      <c r="O187196" s="9"/>
    </row>
    <row r="187217" spans="15:15" x14ac:dyDescent="0.25">
      <c r="O187217" s="9"/>
    </row>
    <row r="187238" spans="15:15" x14ac:dyDescent="0.25">
      <c r="O187238" s="9"/>
    </row>
    <row r="187259" spans="15:15" x14ac:dyDescent="0.25">
      <c r="O187259" s="9"/>
    </row>
    <row r="187280" spans="15:15" x14ac:dyDescent="0.25">
      <c r="O187280" s="9"/>
    </row>
    <row r="187301" spans="15:15" x14ac:dyDescent="0.25">
      <c r="O187301" s="9"/>
    </row>
    <row r="187322" spans="15:15" x14ac:dyDescent="0.25">
      <c r="O187322" s="9"/>
    </row>
    <row r="187343" spans="15:15" x14ac:dyDescent="0.25">
      <c r="O187343" s="9"/>
    </row>
    <row r="187364" spans="15:15" x14ac:dyDescent="0.25">
      <c r="O187364" s="9"/>
    </row>
    <row r="187385" spans="15:15" x14ac:dyDescent="0.25">
      <c r="O187385" s="9"/>
    </row>
    <row r="187406" spans="15:15" x14ac:dyDescent="0.25">
      <c r="O187406" s="9"/>
    </row>
    <row r="187427" spans="15:15" x14ac:dyDescent="0.25">
      <c r="O187427" s="9"/>
    </row>
    <row r="187448" spans="15:15" x14ac:dyDescent="0.25">
      <c r="O187448" s="9"/>
    </row>
    <row r="187469" spans="15:15" x14ac:dyDescent="0.25">
      <c r="O187469" s="9"/>
    </row>
    <row r="187490" spans="15:15" x14ac:dyDescent="0.25">
      <c r="O187490" s="9"/>
    </row>
    <row r="187511" spans="15:15" x14ac:dyDescent="0.25">
      <c r="O187511" s="9"/>
    </row>
    <row r="187532" spans="15:15" x14ac:dyDescent="0.25">
      <c r="O187532" s="9"/>
    </row>
    <row r="187553" spans="15:15" x14ac:dyDescent="0.25">
      <c r="O187553" s="9"/>
    </row>
    <row r="187574" spans="15:15" x14ac:dyDescent="0.25">
      <c r="O187574" s="9"/>
    </row>
    <row r="187595" spans="15:15" x14ac:dyDescent="0.25">
      <c r="O187595" s="9"/>
    </row>
    <row r="187616" spans="15:15" x14ac:dyDescent="0.25">
      <c r="O187616" s="9"/>
    </row>
    <row r="187637" spans="15:15" x14ac:dyDescent="0.25">
      <c r="O187637" s="9"/>
    </row>
    <row r="187658" spans="15:15" x14ac:dyDescent="0.25">
      <c r="O187658" s="9"/>
    </row>
    <row r="187679" spans="15:15" x14ac:dyDescent="0.25">
      <c r="O187679" s="9"/>
    </row>
    <row r="187700" spans="15:15" x14ac:dyDescent="0.25">
      <c r="O187700" s="9"/>
    </row>
    <row r="187721" spans="15:15" x14ac:dyDescent="0.25">
      <c r="O187721" s="9"/>
    </row>
    <row r="187742" spans="15:15" x14ac:dyDescent="0.25">
      <c r="O187742" s="9"/>
    </row>
    <row r="187763" spans="15:15" x14ac:dyDescent="0.25">
      <c r="O187763" s="9"/>
    </row>
    <row r="187784" spans="15:15" x14ac:dyDescent="0.25">
      <c r="O187784" s="9"/>
    </row>
    <row r="187805" spans="15:15" x14ac:dyDescent="0.25">
      <c r="O187805" s="9"/>
    </row>
    <row r="187826" spans="15:15" x14ac:dyDescent="0.25">
      <c r="O187826" s="9"/>
    </row>
    <row r="187847" spans="15:15" x14ac:dyDescent="0.25">
      <c r="O187847" s="9"/>
    </row>
    <row r="187868" spans="15:15" x14ac:dyDescent="0.25">
      <c r="O187868" s="9"/>
    </row>
    <row r="187889" spans="15:15" x14ac:dyDescent="0.25">
      <c r="O187889" s="9"/>
    </row>
    <row r="187910" spans="15:15" x14ac:dyDescent="0.25">
      <c r="O187910" s="9"/>
    </row>
    <row r="187931" spans="15:15" x14ac:dyDescent="0.25">
      <c r="O187931" s="9"/>
    </row>
    <row r="187952" spans="15:15" x14ac:dyDescent="0.25">
      <c r="O187952" s="9"/>
    </row>
    <row r="187973" spans="15:15" x14ac:dyDescent="0.25">
      <c r="O187973" s="9"/>
    </row>
    <row r="187994" spans="15:15" x14ac:dyDescent="0.25">
      <c r="O187994" s="9"/>
    </row>
    <row r="188015" spans="15:15" x14ac:dyDescent="0.25">
      <c r="O188015" s="9"/>
    </row>
    <row r="188036" spans="15:15" x14ac:dyDescent="0.25">
      <c r="O188036" s="9"/>
    </row>
    <row r="188057" spans="15:15" x14ac:dyDescent="0.25">
      <c r="O188057" s="9"/>
    </row>
    <row r="188078" spans="15:15" x14ac:dyDescent="0.25">
      <c r="O188078" s="9"/>
    </row>
    <row r="188099" spans="15:15" x14ac:dyDescent="0.25">
      <c r="O188099" s="9"/>
    </row>
    <row r="188120" spans="15:15" x14ac:dyDescent="0.25">
      <c r="O188120" s="9"/>
    </row>
    <row r="188141" spans="15:15" x14ac:dyDescent="0.25">
      <c r="O188141" s="9"/>
    </row>
    <row r="188162" spans="15:15" x14ac:dyDescent="0.25">
      <c r="O188162" s="9"/>
    </row>
    <row r="188183" spans="15:15" x14ac:dyDescent="0.25">
      <c r="O188183" s="9"/>
    </row>
    <row r="188204" spans="15:15" x14ac:dyDescent="0.25">
      <c r="O188204" s="9"/>
    </row>
    <row r="188225" spans="15:15" x14ac:dyDescent="0.25">
      <c r="O188225" s="9"/>
    </row>
    <row r="188246" spans="15:15" x14ac:dyDescent="0.25">
      <c r="O188246" s="9"/>
    </row>
    <row r="188267" spans="15:15" x14ac:dyDescent="0.25">
      <c r="O188267" s="9"/>
    </row>
    <row r="188288" spans="15:15" x14ac:dyDescent="0.25">
      <c r="O188288" s="9"/>
    </row>
    <row r="188309" spans="15:15" x14ac:dyDescent="0.25">
      <c r="O188309" s="9"/>
    </row>
    <row r="188330" spans="15:15" x14ac:dyDescent="0.25">
      <c r="O188330" s="9"/>
    </row>
    <row r="188351" spans="15:15" x14ac:dyDescent="0.25">
      <c r="O188351" s="9"/>
    </row>
    <row r="188372" spans="15:15" x14ac:dyDescent="0.25">
      <c r="O188372" s="9"/>
    </row>
    <row r="188393" spans="15:15" x14ac:dyDescent="0.25">
      <c r="O188393" s="9"/>
    </row>
    <row r="188414" spans="15:15" x14ac:dyDescent="0.25">
      <c r="O188414" s="9"/>
    </row>
    <row r="188435" spans="15:15" x14ac:dyDescent="0.25">
      <c r="O188435" s="9"/>
    </row>
    <row r="188456" spans="15:15" x14ac:dyDescent="0.25">
      <c r="O188456" s="9"/>
    </row>
    <row r="188477" spans="15:15" x14ac:dyDescent="0.25">
      <c r="O188477" s="9"/>
    </row>
    <row r="188498" spans="15:15" x14ac:dyDescent="0.25">
      <c r="O188498" s="9"/>
    </row>
    <row r="188519" spans="15:15" x14ac:dyDescent="0.25">
      <c r="O188519" s="9"/>
    </row>
    <row r="188540" spans="15:15" x14ac:dyDescent="0.25">
      <c r="O188540" s="9"/>
    </row>
    <row r="188561" spans="15:15" x14ac:dyDescent="0.25">
      <c r="O188561" s="9"/>
    </row>
    <row r="188582" spans="15:15" x14ac:dyDescent="0.25">
      <c r="O188582" s="9"/>
    </row>
    <row r="188603" spans="15:15" x14ac:dyDescent="0.25">
      <c r="O188603" s="9"/>
    </row>
    <row r="188624" spans="15:15" x14ac:dyDescent="0.25">
      <c r="O188624" s="9"/>
    </row>
    <row r="188645" spans="15:15" x14ac:dyDescent="0.25">
      <c r="O188645" s="9"/>
    </row>
    <row r="188666" spans="15:15" x14ac:dyDescent="0.25">
      <c r="O188666" s="9"/>
    </row>
    <row r="188687" spans="15:15" x14ac:dyDescent="0.25">
      <c r="O188687" s="9"/>
    </row>
    <row r="188708" spans="15:15" x14ac:dyDescent="0.25">
      <c r="O188708" s="9"/>
    </row>
    <row r="188729" spans="15:15" x14ac:dyDescent="0.25">
      <c r="O188729" s="9"/>
    </row>
    <row r="188750" spans="15:15" x14ac:dyDescent="0.25">
      <c r="O188750" s="9"/>
    </row>
    <row r="188771" spans="15:15" x14ac:dyDescent="0.25">
      <c r="O188771" s="9"/>
    </row>
    <row r="188792" spans="15:15" x14ac:dyDescent="0.25">
      <c r="O188792" s="9"/>
    </row>
    <row r="188813" spans="15:15" x14ac:dyDescent="0.25">
      <c r="O188813" s="9"/>
    </row>
    <row r="188834" spans="15:15" x14ac:dyDescent="0.25">
      <c r="O188834" s="9"/>
    </row>
    <row r="188855" spans="15:15" x14ac:dyDescent="0.25">
      <c r="O188855" s="9"/>
    </row>
    <row r="188876" spans="15:15" x14ac:dyDescent="0.25">
      <c r="O188876" s="9"/>
    </row>
    <row r="188897" spans="15:15" x14ac:dyDescent="0.25">
      <c r="O188897" s="9"/>
    </row>
    <row r="188918" spans="15:15" x14ac:dyDescent="0.25">
      <c r="O188918" s="9"/>
    </row>
    <row r="188939" spans="15:15" x14ac:dyDescent="0.25">
      <c r="O188939" s="9"/>
    </row>
    <row r="188960" spans="15:15" x14ac:dyDescent="0.25">
      <c r="O188960" s="9"/>
    </row>
    <row r="188981" spans="15:15" x14ac:dyDescent="0.25">
      <c r="O188981" s="9"/>
    </row>
    <row r="189002" spans="15:15" x14ac:dyDescent="0.25">
      <c r="O189002" s="9"/>
    </row>
    <row r="189023" spans="15:15" x14ac:dyDescent="0.25">
      <c r="O189023" s="9"/>
    </row>
    <row r="189044" spans="15:15" x14ac:dyDescent="0.25">
      <c r="O189044" s="9"/>
    </row>
    <row r="189065" spans="15:15" x14ac:dyDescent="0.25">
      <c r="O189065" s="9"/>
    </row>
    <row r="189086" spans="15:15" x14ac:dyDescent="0.25">
      <c r="O189086" s="9"/>
    </row>
    <row r="189107" spans="15:15" x14ac:dyDescent="0.25">
      <c r="O189107" s="9"/>
    </row>
    <row r="189128" spans="15:15" x14ac:dyDescent="0.25">
      <c r="O189128" s="9"/>
    </row>
    <row r="189149" spans="15:15" x14ac:dyDescent="0.25">
      <c r="O189149" s="9"/>
    </row>
    <row r="189170" spans="15:15" x14ac:dyDescent="0.25">
      <c r="O189170" s="9"/>
    </row>
    <row r="189191" spans="15:15" x14ac:dyDescent="0.25">
      <c r="O189191" s="9"/>
    </row>
    <row r="189212" spans="15:15" x14ac:dyDescent="0.25">
      <c r="O189212" s="9"/>
    </row>
    <row r="189233" spans="15:15" x14ac:dyDescent="0.25">
      <c r="O189233" s="9"/>
    </row>
    <row r="189254" spans="15:15" x14ac:dyDescent="0.25">
      <c r="O189254" s="9"/>
    </row>
    <row r="189275" spans="15:15" x14ac:dyDescent="0.25">
      <c r="O189275" s="9"/>
    </row>
    <row r="189296" spans="15:15" x14ac:dyDescent="0.25">
      <c r="O189296" s="9"/>
    </row>
    <row r="189317" spans="15:15" x14ac:dyDescent="0.25">
      <c r="O189317" s="9"/>
    </row>
    <row r="189338" spans="15:15" x14ac:dyDescent="0.25">
      <c r="O189338" s="9"/>
    </row>
    <row r="189359" spans="15:15" x14ac:dyDescent="0.25">
      <c r="O189359" s="9"/>
    </row>
    <row r="189380" spans="15:15" x14ac:dyDescent="0.25">
      <c r="O189380" s="9"/>
    </row>
    <row r="189401" spans="15:15" x14ac:dyDescent="0.25">
      <c r="O189401" s="9"/>
    </row>
    <row r="189422" spans="15:15" x14ac:dyDescent="0.25">
      <c r="O189422" s="9"/>
    </row>
    <row r="189443" spans="15:15" x14ac:dyDescent="0.25">
      <c r="O189443" s="9"/>
    </row>
    <row r="189464" spans="15:15" x14ac:dyDescent="0.25">
      <c r="O189464" s="9"/>
    </row>
    <row r="189485" spans="15:15" x14ac:dyDescent="0.25">
      <c r="O189485" s="9"/>
    </row>
    <row r="189506" spans="15:15" x14ac:dyDescent="0.25">
      <c r="O189506" s="9"/>
    </row>
    <row r="189527" spans="15:15" x14ac:dyDescent="0.25">
      <c r="O189527" s="9"/>
    </row>
    <row r="189548" spans="15:15" x14ac:dyDescent="0.25">
      <c r="O189548" s="9"/>
    </row>
    <row r="189569" spans="15:15" x14ac:dyDescent="0.25">
      <c r="O189569" s="9"/>
    </row>
    <row r="189590" spans="15:15" x14ac:dyDescent="0.25">
      <c r="O189590" s="9"/>
    </row>
    <row r="189611" spans="15:15" x14ac:dyDescent="0.25">
      <c r="O189611" s="9"/>
    </row>
    <row r="189632" spans="15:15" x14ac:dyDescent="0.25">
      <c r="O189632" s="9"/>
    </row>
    <row r="189653" spans="15:15" x14ac:dyDescent="0.25">
      <c r="O189653" s="9"/>
    </row>
    <row r="189674" spans="15:15" x14ac:dyDescent="0.25">
      <c r="O189674" s="9"/>
    </row>
    <row r="189695" spans="15:15" x14ac:dyDescent="0.25">
      <c r="O189695" s="9"/>
    </row>
    <row r="189716" spans="15:15" x14ac:dyDescent="0.25">
      <c r="O189716" s="9"/>
    </row>
    <row r="189737" spans="15:15" x14ac:dyDescent="0.25">
      <c r="O189737" s="9"/>
    </row>
    <row r="189758" spans="15:15" x14ac:dyDescent="0.25">
      <c r="O189758" s="9"/>
    </row>
    <row r="189779" spans="15:15" x14ac:dyDescent="0.25">
      <c r="O189779" s="9"/>
    </row>
    <row r="189800" spans="15:15" x14ac:dyDescent="0.25">
      <c r="O189800" s="9"/>
    </row>
    <row r="189821" spans="15:15" x14ac:dyDescent="0.25">
      <c r="O189821" s="9"/>
    </row>
    <row r="189842" spans="15:15" x14ac:dyDescent="0.25">
      <c r="O189842" s="9"/>
    </row>
    <row r="189863" spans="15:15" x14ac:dyDescent="0.25">
      <c r="O189863" s="9"/>
    </row>
    <row r="189884" spans="15:15" x14ac:dyDescent="0.25">
      <c r="O189884" s="9"/>
    </row>
    <row r="189905" spans="15:15" x14ac:dyDescent="0.25">
      <c r="O189905" s="9"/>
    </row>
    <row r="189926" spans="15:15" x14ac:dyDescent="0.25">
      <c r="O189926" s="9"/>
    </row>
    <row r="189947" spans="15:15" x14ac:dyDescent="0.25">
      <c r="O189947" s="9"/>
    </row>
    <row r="189968" spans="15:15" x14ac:dyDescent="0.25">
      <c r="O189968" s="9"/>
    </row>
    <row r="189989" spans="15:15" x14ac:dyDescent="0.25">
      <c r="O189989" s="9"/>
    </row>
    <row r="190010" spans="15:15" x14ac:dyDescent="0.25">
      <c r="O190010" s="9"/>
    </row>
    <row r="190031" spans="15:15" x14ac:dyDescent="0.25">
      <c r="O190031" s="9"/>
    </row>
    <row r="190052" spans="15:15" x14ac:dyDescent="0.25">
      <c r="O190052" s="9"/>
    </row>
    <row r="190073" spans="15:15" x14ac:dyDescent="0.25">
      <c r="O190073" s="9"/>
    </row>
    <row r="190094" spans="15:15" x14ac:dyDescent="0.25">
      <c r="O190094" s="9"/>
    </row>
    <row r="190115" spans="15:15" x14ac:dyDescent="0.25">
      <c r="O190115" s="9"/>
    </row>
    <row r="190136" spans="15:15" x14ac:dyDescent="0.25">
      <c r="O190136" s="9"/>
    </row>
    <row r="190157" spans="15:15" x14ac:dyDescent="0.25">
      <c r="O190157" s="9"/>
    </row>
    <row r="190178" spans="15:15" x14ac:dyDescent="0.25">
      <c r="O190178" s="9"/>
    </row>
    <row r="190199" spans="15:15" x14ac:dyDescent="0.25">
      <c r="O190199" s="9"/>
    </row>
    <row r="190220" spans="15:15" x14ac:dyDescent="0.25">
      <c r="O190220" s="9"/>
    </row>
    <row r="190241" spans="15:15" x14ac:dyDescent="0.25">
      <c r="O190241" s="9"/>
    </row>
    <row r="190262" spans="15:15" x14ac:dyDescent="0.25">
      <c r="O190262" s="9"/>
    </row>
    <row r="190283" spans="15:15" x14ac:dyDescent="0.25">
      <c r="O190283" s="9"/>
    </row>
    <row r="190304" spans="15:15" x14ac:dyDescent="0.25">
      <c r="O190304" s="9"/>
    </row>
    <row r="190325" spans="15:15" x14ac:dyDescent="0.25">
      <c r="O190325" s="9"/>
    </row>
    <row r="190346" spans="15:15" x14ac:dyDescent="0.25">
      <c r="O190346" s="9"/>
    </row>
    <row r="190367" spans="15:15" x14ac:dyDescent="0.25">
      <c r="O190367" s="9"/>
    </row>
    <row r="190388" spans="15:15" x14ac:dyDescent="0.25">
      <c r="O190388" s="9"/>
    </row>
    <row r="190409" spans="15:15" x14ac:dyDescent="0.25">
      <c r="O190409" s="9"/>
    </row>
    <row r="190430" spans="15:15" x14ac:dyDescent="0.25">
      <c r="O190430" s="9"/>
    </row>
    <row r="190451" spans="15:15" x14ac:dyDescent="0.25">
      <c r="O190451" s="9"/>
    </row>
    <row r="190472" spans="15:15" x14ac:dyDescent="0.25">
      <c r="O190472" s="9"/>
    </row>
    <row r="190493" spans="15:15" x14ac:dyDescent="0.25">
      <c r="O190493" s="9"/>
    </row>
    <row r="190514" spans="15:15" x14ac:dyDescent="0.25">
      <c r="O190514" s="9"/>
    </row>
    <row r="190535" spans="15:15" x14ac:dyDescent="0.25">
      <c r="O190535" s="9"/>
    </row>
    <row r="190556" spans="15:15" x14ac:dyDescent="0.25">
      <c r="O190556" s="9"/>
    </row>
    <row r="190577" spans="15:15" x14ac:dyDescent="0.25">
      <c r="O190577" s="9"/>
    </row>
    <row r="190598" spans="15:15" x14ac:dyDescent="0.25">
      <c r="O190598" s="9"/>
    </row>
    <row r="190619" spans="15:15" x14ac:dyDescent="0.25">
      <c r="O190619" s="9"/>
    </row>
    <row r="190640" spans="15:15" x14ac:dyDescent="0.25">
      <c r="O190640" s="9"/>
    </row>
    <row r="190661" spans="15:15" x14ac:dyDescent="0.25">
      <c r="O190661" s="9"/>
    </row>
    <row r="190682" spans="15:15" x14ac:dyDescent="0.25">
      <c r="O190682" s="9"/>
    </row>
    <row r="190703" spans="15:15" x14ac:dyDescent="0.25">
      <c r="O190703" s="9"/>
    </row>
    <row r="190724" spans="15:15" x14ac:dyDescent="0.25">
      <c r="O190724" s="9"/>
    </row>
    <row r="190745" spans="15:15" x14ac:dyDescent="0.25">
      <c r="O190745" s="9"/>
    </row>
    <row r="190766" spans="15:15" x14ac:dyDescent="0.25">
      <c r="O190766" s="9"/>
    </row>
    <row r="190787" spans="15:15" x14ac:dyDescent="0.25">
      <c r="O190787" s="9"/>
    </row>
    <row r="190808" spans="15:15" x14ac:dyDescent="0.25">
      <c r="O190808" s="9"/>
    </row>
    <row r="190829" spans="15:15" x14ac:dyDescent="0.25">
      <c r="O190829" s="9"/>
    </row>
    <row r="190850" spans="15:15" x14ac:dyDescent="0.25">
      <c r="O190850" s="9"/>
    </row>
    <row r="190871" spans="15:15" x14ac:dyDescent="0.25">
      <c r="O190871" s="9"/>
    </row>
    <row r="190892" spans="15:15" x14ac:dyDescent="0.25">
      <c r="O190892" s="9"/>
    </row>
    <row r="190913" spans="15:15" x14ac:dyDescent="0.25">
      <c r="O190913" s="9"/>
    </row>
    <row r="190934" spans="15:15" x14ac:dyDescent="0.25">
      <c r="O190934" s="9"/>
    </row>
    <row r="190955" spans="15:15" x14ac:dyDescent="0.25">
      <c r="O190955" s="9"/>
    </row>
    <row r="190976" spans="15:15" x14ac:dyDescent="0.25">
      <c r="O190976" s="9"/>
    </row>
    <row r="190997" spans="15:15" x14ac:dyDescent="0.25">
      <c r="O190997" s="9"/>
    </row>
    <row r="191018" spans="15:15" x14ac:dyDescent="0.25">
      <c r="O191018" s="9"/>
    </row>
    <row r="191039" spans="15:15" x14ac:dyDescent="0.25">
      <c r="O191039" s="9"/>
    </row>
    <row r="191060" spans="15:15" x14ac:dyDescent="0.25">
      <c r="O191060" s="9"/>
    </row>
    <row r="191081" spans="15:15" x14ac:dyDescent="0.25">
      <c r="O191081" s="9"/>
    </row>
    <row r="191102" spans="15:15" x14ac:dyDescent="0.25">
      <c r="O191102" s="9"/>
    </row>
    <row r="191123" spans="15:15" x14ac:dyDescent="0.25">
      <c r="O191123" s="9"/>
    </row>
    <row r="191144" spans="15:15" x14ac:dyDescent="0.25">
      <c r="O191144" s="9"/>
    </row>
    <row r="191165" spans="15:15" x14ac:dyDescent="0.25">
      <c r="O191165" s="9"/>
    </row>
    <row r="191186" spans="15:15" x14ac:dyDescent="0.25">
      <c r="O191186" s="9"/>
    </row>
    <row r="191207" spans="15:15" x14ac:dyDescent="0.25">
      <c r="O191207" s="9"/>
    </row>
    <row r="191228" spans="15:15" x14ac:dyDescent="0.25">
      <c r="O191228" s="9"/>
    </row>
    <row r="191249" spans="15:15" x14ac:dyDescent="0.25">
      <c r="O191249" s="9"/>
    </row>
    <row r="191270" spans="15:15" x14ac:dyDescent="0.25">
      <c r="O191270" s="9"/>
    </row>
    <row r="191291" spans="15:15" x14ac:dyDescent="0.25">
      <c r="O191291" s="9"/>
    </row>
    <row r="191312" spans="15:15" x14ac:dyDescent="0.25">
      <c r="O191312" s="9"/>
    </row>
    <row r="191333" spans="15:15" x14ac:dyDescent="0.25">
      <c r="O191333" s="9"/>
    </row>
    <row r="191354" spans="15:15" x14ac:dyDescent="0.25">
      <c r="O191354" s="9"/>
    </row>
    <row r="191375" spans="15:15" x14ac:dyDescent="0.25">
      <c r="O191375" s="9"/>
    </row>
    <row r="191396" spans="15:15" x14ac:dyDescent="0.25">
      <c r="O191396" s="9"/>
    </row>
    <row r="191417" spans="15:15" x14ac:dyDescent="0.25">
      <c r="O191417" s="9"/>
    </row>
    <row r="191438" spans="15:15" x14ac:dyDescent="0.25">
      <c r="O191438" s="9"/>
    </row>
    <row r="191459" spans="15:15" x14ac:dyDescent="0.25">
      <c r="O191459" s="9"/>
    </row>
    <row r="191480" spans="15:15" x14ac:dyDescent="0.25">
      <c r="O191480" s="9"/>
    </row>
    <row r="191501" spans="15:15" x14ac:dyDescent="0.25">
      <c r="O191501" s="9"/>
    </row>
    <row r="191522" spans="15:15" x14ac:dyDescent="0.25">
      <c r="O191522" s="9"/>
    </row>
    <row r="191543" spans="15:15" x14ac:dyDescent="0.25">
      <c r="O191543" s="9"/>
    </row>
    <row r="191564" spans="15:15" x14ac:dyDescent="0.25">
      <c r="O191564" s="9"/>
    </row>
    <row r="191585" spans="15:15" x14ac:dyDescent="0.25">
      <c r="O191585" s="9"/>
    </row>
    <row r="191606" spans="15:15" x14ac:dyDescent="0.25">
      <c r="O191606" s="9"/>
    </row>
    <row r="191627" spans="15:15" x14ac:dyDescent="0.25">
      <c r="O191627" s="9"/>
    </row>
    <row r="191648" spans="15:15" x14ac:dyDescent="0.25">
      <c r="O191648" s="9"/>
    </row>
    <row r="191669" spans="15:15" x14ac:dyDescent="0.25">
      <c r="O191669" s="9"/>
    </row>
    <row r="191690" spans="15:15" x14ac:dyDescent="0.25">
      <c r="O191690" s="9"/>
    </row>
    <row r="191711" spans="15:15" x14ac:dyDescent="0.25">
      <c r="O191711" s="9"/>
    </row>
    <row r="191732" spans="15:15" x14ac:dyDescent="0.25">
      <c r="O191732" s="9"/>
    </row>
    <row r="191753" spans="15:15" x14ac:dyDescent="0.25">
      <c r="O191753" s="9"/>
    </row>
    <row r="191774" spans="15:15" x14ac:dyDescent="0.25">
      <c r="O191774" s="9"/>
    </row>
    <row r="191795" spans="15:15" x14ac:dyDescent="0.25">
      <c r="O191795" s="9"/>
    </row>
    <row r="191816" spans="15:15" x14ac:dyDescent="0.25">
      <c r="O191816" s="9"/>
    </row>
    <row r="191837" spans="15:15" x14ac:dyDescent="0.25">
      <c r="O191837" s="9"/>
    </row>
    <row r="191858" spans="15:15" x14ac:dyDescent="0.25">
      <c r="O191858" s="9"/>
    </row>
    <row r="191879" spans="15:15" x14ac:dyDescent="0.25">
      <c r="O191879" s="9"/>
    </row>
    <row r="191900" spans="15:15" x14ac:dyDescent="0.25">
      <c r="O191900" s="9"/>
    </row>
    <row r="191921" spans="15:15" x14ac:dyDescent="0.25">
      <c r="O191921" s="9"/>
    </row>
    <row r="191942" spans="15:15" x14ac:dyDescent="0.25">
      <c r="O191942" s="9"/>
    </row>
    <row r="191963" spans="15:15" x14ac:dyDescent="0.25">
      <c r="O191963" s="9"/>
    </row>
    <row r="191984" spans="15:15" x14ac:dyDescent="0.25">
      <c r="O191984" s="9"/>
    </row>
    <row r="192005" spans="15:15" x14ac:dyDescent="0.25">
      <c r="O192005" s="9"/>
    </row>
    <row r="192026" spans="15:15" x14ac:dyDescent="0.25">
      <c r="O192026" s="9"/>
    </row>
    <row r="192047" spans="15:15" x14ac:dyDescent="0.25">
      <c r="O192047" s="9"/>
    </row>
    <row r="192068" spans="15:15" x14ac:dyDescent="0.25">
      <c r="O192068" s="9"/>
    </row>
    <row r="192089" spans="15:15" x14ac:dyDescent="0.25">
      <c r="O192089" s="9"/>
    </row>
    <row r="192110" spans="15:15" x14ac:dyDescent="0.25">
      <c r="O192110" s="9"/>
    </row>
    <row r="192131" spans="15:15" x14ac:dyDescent="0.25">
      <c r="O192131" s="9"/>
    </row>
    <row r="192152" spans="15:15" x14ac:dyDescent="0.25">
      <c r="O192152" s="9"/>
    </row>
    <row r="192173" spans="15:15" x14ac:dyDescent="0.25">
      <c r="O192173" s="9"/>
    </row>
    <row r="192194" spans="15:15" x14ac:dyDescent="0.25">
      <c r="O192194" s="9"/>
    </row>
    <row r="192215" spans="15:15" x14ac:dyDescent="0.25">
      <c r="O192215" s="9"/>
    </row>
    <row r="192236" spans="15:15" x14ac:dyDescent="0.25">
      <c r="O192236" s="9"/>
    </row>
    <row r="192257" spans="15:15" x14ac:dyDescent="0.25">
      <c r="O192257" s="9"/>
    </row>
    <row r="192278" spans="15:15" x14ac:dyDescent="0.25">
      <c r="O192278" s="9"/>
    </row>
    <row r="192299" spans="15:15" x14ac:dyDescent="0.25">
      <c r="O192299" s="9"/>
    </row>
    <row r="192320" spans="15:15" x14ac:dyDescent="0.25">
      <c r="O192320" s="9"/>
    </row>
    <row r="192341" spans="15:15" x14ac:dyDescent="0.25">
      <c r="O192341" s="9"/>
    </row>
    <row r="192362" spans="15:15" x14ac:dyDescent="0.25">
      <c r="O192362" s="9"/>
    </row>
    <row r="192383" spans="15:15" x14ac:dyDescent="0.25">
      <c r="O192383" s="9"/>
    </row>
    <row r="192404" spans="15:15" x14ac:dyDescent="0.25">
      <c r="O192404" s="9"/>
    </row>
    <row r="192425" spans="15:15" x14ac:dyDescent="0.25">
      <c r="O192425" s="9"/>
    </row>
    <row r="192446" spans="15:15" x14ac:dyDescent="0.25">
      <c r="O192446" s="9"/>
    </row>
    <row r="192467" spans="15:15" x14ac:dyDescent="0.25">
      <c r="O192467" s="9"/>
    </row>
    <row r="192488" spans="15:15" x14ac:dyDescent="0.25">
      <c r="O192488" s="9"/>
    </row>
    <row r="192509" spans="15:15" x14ac:dyDescent="0.25">
      <c r="O192509" s="9"/>
    </row>
    <row r="192530" spans="15:15" x14ac:dyDescent="0.25">
      <c r="O192530" s="9"/>
    </row>
    <row r="192551" spans="15:15" x14ac:dyDescent="0.25">
      <c r="O192551" s="9"/>
    </row>
    <row r="192572" spans="15:15" x14ac:dyDescent="0.25">
      <c r="O192572" s="9"/>
    </row>
    <row r="192593" spans="15:15" x14ac:dyDescent="0.25">
      <c r="O192593" s="9"/>
    </row>
    <row r="192614" spans="15:15" x14ac:dyDescent="0.25">
      <c r="O192614" s="9"/>
    </row>
    <row r="192635" spans="15:15" x14ac:dyDescent="0.25">
      <c r="O192635" s="9"/>
    </row>
    <row r="192656" spans="15:15" x14ac:dyDescent="0.25">
      <c r="O192656" s="9"/>
    </row>
    <row r="192677" spans="15:15" x14ac:dyDescent="0.25">
      <c r="O192677" s="9"/>
    </row>
    <row r="192698" spans="15:15" x14ac:dyDescent="0.25">
      <c r="O192698" s="9"/>
    </row>
    <row r="192719" spans="15:15" x14ac:dyDescent="0.25">
      <c r="O192719" s="9"/>
    </row>
    <row r="192740" spans="15:15" x14ac:dyDescent="0.25">
      <c r="O192740" s="9"/>
    </row>
    <row r="192761" spans="15:15" x14ac:dyDescent="0.25">
      <c r="O192761" s="9"/>
    </row>
    <row r="192782" spans="15:15" x14ac:dyDescent="0.25">
      <c r="O192782" s="9"/>
    </row>
    <row r="192803" spans="15:15" x14ac:dyDescent="0.25">
      <c r="O192803" s="9"/>
    </row>
    <row r="192824" spans="15:15" x14ac:dyDescent="0.25">
      <c r="O192824" s="9"/>
    </row>
    <row r="192845" spans="15:15" x14ac:dyDescent="0.25">
      <c r="O192845" s="9"/>
    </row>
    <row r="192866" spans="15:15" x14ac:dyDescent="0.25">
      <c r="O192866" s="9"/>
    </row>
    <row r="192887" spans="15:15" x14ac:dyDescent="0.25">
      <c r="O192887" s="9"/>
    </row>
    <row r="192908" spans="15:15" x14ac:dyDescent="0.25">
      <c r="O192908" s="9"/>
    </row>
    <row r="192929" spans="15:15" x14ac:dyDescent="0.25">
      <c r="O192929" s="9"/>
    </row>
    <row r="192950" spans="15:15" x14ac:dyDescent="0.25">
      <c r="O192950" s="9"/>
    </row>
    <row r="192971" spans="15:15" x14ac:dyDescent="0.25">
      <c r="O192971" s="9"/>
    </row>
    <row r="192992" spans="15:15" x14ac:dyDescent="0.25">
      <c r="O192992" s="9"/>
    </row>
    <row r="193013" spans="15:15" x14ac:dyDescent="0.25">
      <c r="O193013" s="9"/>
    </row>
    <row r="193034" spans="15:15" x14ac:dyDescent="0.25">
      <c r="O193034" s="9"/>
    </row>
    <row r="193055" spans="15:15" x14ac:dyDescent="0.25">
      <c r="O193055" s="9"/>
    </row>
    <row r="193076" spans="15:15" x14ac:dyDescent="0.25">
      <c r="O193076" s="9"/>
    </row>
    <row r="193097" spans="15:15" x14ac:dyDescent="0.25">
      <c r="O193097" s="9"/>
    </row>
    <row r="193118" spans="15:15" x14ac:dyDescent="0.25">
      <c r="O193118" s="9"/>
    </row>
    <row r="193139" spans="15:15" x14ac:dyDescent="0.25">
      <c r="O193139" s="9"/>
    </row>
    <row r="193160" spans="15:15" x14ac:dyDescent="0.25">
      <c r="O193160" s="9"/>
    </row>
    <row r="193181" spans="15:15" x14ac:dyDescent="0.25">
      <c r="O193181" s="9"/>
    </row>
    <row r="193202" spans="15:15" x14ac:dyDescent="0.25">
      <c r="O193202" s="9"/>
    </row>
    <row r="193223" spans="15:15" x14ac:dyDescent="0.25">
      <c r="O193223" s="9"/>
    </row>
    <row r="193244" spans="15:15" x14ac:dyDescent="0.25">
      <c r="O193244" s="9"/>
    </row>
    <row r="193265" spans="15:15" x14ac:dyDescent="0.25">
      <c r="O193265" s="9"/>
    </row>
    <row r="193286" spans="15:15" x14ac:dyDescent="0.25">
      <c r="O193286" s="9"/>
    </row>
    <row r="193307" spans="15:15" x14ac:dyDescent="0.25">
      <c r="O193307" s="9"/>
    </row>
    <row r="193328" spans="15:15" x14ac:dyDescent="0.25">
      <c r="O193328" s="9"/>
    </row>
    <row r="193349" spans="15:15" x14ac:dyDescent="0.25">
      <c r="O193349" s="9"/>
    </row>
    <row r="193370" spans="15:15" x14ac:dyDescent="0.25">
      <c r="O193370" s="9"/>
    </row>
    <row r="193391" spans="15:15" x14ac:dyDescent="0.25">
      <c r="O193391" s="9"/>
    </row>
    <row r="193412" spans="15:15" x14ac:dyDescent="0.25">
      <c r="O193412" s="9"/>
    </row>
    <row r="193433" spans="15:15" x14ac:dyDescent="0.25">
      <c r="O193433" s="9"/>
    </row>
    <row r="193454" spans="15:15" x14ac:dyDescent="0.25">
      <c r="O193454" s="9"/>
    </row>
    <row r="193475" spans="15:15" x14ac:dyDescent="0.25">
      <c r="O193475" s="9"/>
    </row>
    <row r="193496" spans="15:15" x14ac:dyDescent="0.25">
      <c r="O193496" s="9"/>
    </row>
    <row r="193517" spans="15:15" x14ac:dyDescent="0.25">
      <c r="O193517" s="9"/>
    </row>
    <row r="193538" spans="15:15" x14ac:dyDescent="0.25">
      <c r="O193538" s="9"/>
    </row>
    <row r="193559" spans="15:15" x14ac:dyDescent="0.25">
      <c r="O193559" s="9"/>
    </row>
    <row r="193580" spans="15:15" x14ac:dyDescent="0.25">
      <c r="O193580" s="9"/>
    </row>
    <row r="193601" spans="15:15" x14ac:dyDescent="0.25">
      <c r="O193601" s="9"/>
    </row>
    <row r="193622" spans="15:15" x14ac:dyDescent="0.25">
      <c r="O193622" s="9"/>
    </row>
    <row r="193643" spans="15:15" x14ac:dyDescent="0.25">
      <c r="O193643" s="9"/>
    </row>
    <row r="193664" spans="15:15" x14ac:dyDescent="0.25">
      <c r="O193664" s="9"/>
    </row>
    <row r="193685" spans="15:15" x14ac:dyDescent="0.25">
      <c r="O193685" s="9"/>
    </row>
    <row r="193706" spans="15:15" x14ac:dyDescent="0.25">
      <c r="O193706" s="9"/>
    </row>
    <row r="193727" spans="15:15" x14ac:dyDescent="0.25">
      <c r="O193727" s="9"/>
    </row>
    <row r="193748" spans="15:15" x14ac:dyDescent="0.25">
      <c r="O193748" s="9"/>
    </row>
    <row r="193769" spans="15:15" x14ac:dyDescent="0.25">
      <c r="O193769" s="9"/>
    </row>
    <row r="193790" spans="15:15" x14ac:dyDescent="0.25">
      <c r="O193790" s="9"/>
    </row>
    <row r="193811" spans="15:15" x14ac:dyDescent="0.25">
      <c r="O193811" s="9"/>
    </row>
    <row r="193832" spans="15:15" x14ac:dyDescent="0.25">
      <c r="O193832" s="9"/>
    </row>
    <row r="193853" spans="15:15" x14ac:dyDescent="0.25">
      <c r="O193853" s="9"/>
    </row>
    <row r="193874" spans="15:15" x14ac:dyDescent="0.25">
      <c r="O193874" s="9"/>
    </row>
    <row r="193895" spans="15:15" x14ac:dyDescent="0.25">
      <c r="O193895" s="9"/>
    </row>
    <row r="193916" spans="15:15" x14ac:dyDescent="0.25">
      <c r="O193916" s="9"/>
    </row>
    <row r="193937" spans="15:15" x14ac:dyDescent="0.25">
      <c r="O193937" s="9"/>
    </row>
    <row r="193958" spans="15:15" x14ac:dyDescent="0.25">
      <c r="O193958" s="9"/>
    </row>
    <row r="193979" spans="15:15" x14ac:dyDescent="0.25">
      <c r="O193979" s="9"/>
    </row>
    <row r="194000" spans="15:15" x14ac:dyDescent="0.25">
      <c r="O194000" s="9"/>
    </row>
    <row r="194021" spans="15:15" x14ac:dyDescent="0.25">
      <c r="O194021" s="9"/>
    </row>
    <row r="194042" spans="15:15" x14ac:dyDescent="0.25">
      <c r="O194042" s="9"/>
    </row>
    <row r="194063" spans="15:15" x14ac:dyDescent="0.25">
      <c r="O194063" s="9"/>
    </row>
    <row r="194084" spans="15:15" x14ac:dyDescent="0.25">
      <c r="O194084" s="9"/>
    </row>
    <row r="194105" spans="15:15" x14ac:dyDescent="0.25">
      <c r="O194105" s="9"/>
    </row>
    <row r="194126" spans="15:15" x14ac:dyDescent="0.25">
      <c r="O194126" s="9"/>
    </row>
    <row r="194147" spans="15:15" x14ac:dyDescent="0.25">
      <c r="O194147" s="9"/>
    </row>
    <row r="194168" spans="15:15" x14ac:dyDescent="0.25">
      <c r="O194168" s="9"/>
    </row>
    <row r="194189" spans="15:15" x14ac:dyDescent="0.25">
      <c r="O194189" s="9"/>
    </row>
    <row r="194210" spans="15:15" x14ac:dyDescent="0.25">
      <c r="O194210" s="9"/>
    </row>
    <row r="194231" spans="15:15" x14ac:dyDescent="0.25">
      <c r="O194231" s="9"/>
    </row>
    <row r="194252" spans="15:15" x14ac:dyDescent="0.25">
      <c r="O194252" s="9"/>
    </row>
    <row r="194273" spans="15:15" x14ac:dyDescent="0.25">
      <c r="O194273" s="9"/>
    </row>
    <row r="194294" spans="15:15" x14ac:dyDescent="0.25">
      <c r="O194294" s="9"/>
    </row>
    <row r="194315" spans="15:15" x14ac:dyDescent="0.25">
      <c r="O194315" s="9"/>
    </row>
    <row r="194336" spans="15:15" x14ac:dyDescent="0.25">
      <c r="O194336" s="9"/>
    </row>
    <row r="194357" spans="15:15" x14ac:dyDescent="0.25">
      <c r="O194357" s="9"/>
    </row>
    <row r="194378" spans="15:15" x14ac:dyDescent="0.25">
      <c r="O194378" s="9"/>
    </row>
    <row r="194399" spans="15:15" x14ac:dyDescent="0.25">
      <c r="O194399" s="9"/>
    </row>
    <row r="194420" spans="15:15" x14ac:dyDescent="0.25">
      <c r="O194420" s="9"/>
    </row>
    <row r="194441" spans="15:15" x14ac:dyDescent="0.25">
      <c r="O194441" s="9"/>
    </row>
    <row r="194462" spans="15:15" x14ac:dyDescent="0.25">
      <c r="O194462" s="9"/>
    </row>
    <row r="194483" spans="15:15" x14ac:dyDescent="0.25">
      <c r="O194483" s="9"/>
    </row>
    <row r="194504" spans="15:15" x14ac:dyDescent="0.25">
      <c r="O194504" s="9"/>
    </row>
    <row r="194525" spans="15:15" x14ac:dyDescent="0.25">
      <c r="O194525" s="9"/>
    </row>
    <row r="194546" spans="15:15" x14ac:dyDescent="0.25">
      <c r="O194546" s="9"/>
    </row>
    <row r="194567" spans="15:15" x14ac:dyDescent="0.25">
      <c r="O194567" s="9"/>
    </row>
    <row r="194588" spans="15:15" x14ac:dyDescent="0.25">
      <c r="O194588" s="9"/>
    </row>
    <row r="194609" spans="15:15" x14ac:dyDescent="0.25">
      <c r="O194609" s="9"/>
    </row>
    <row r="194630" spans="15:15" x14ac:dyDescent="0.25">
      <c r="O194630" s="9"/>
    </row>
    <row r="194651" spans="15:15" x14ac:dyDescent="0.25">
      <c r="O194651" s="9"/>
    </row>
    <row r="194672" spans="15:15" x14ac:dyDescent="0.25">
      <c r="O194672" s="9"/>
    </row>
    <row r="194693" spans="15:15" x14ac:dyDescent="0.25">
      <c r="O194693" s="9"/>
    </row>
    <row r="194714" spans="15:15" x14ac:dyDescent="0.25">
      <c r="O194714" s="9"/>
    </row>
    <row r="194735" spans="15:15" x14ac:dyDescent="0.25">
      <c r="O194735" s="9"/>
    </row>
    <row r="194756" spans="15:15" x14ac:dyDescent="0.25">
      <c r="O194756" s="9"/>
    </row>
    <row r="194777" spans="15:15" x14ac:dyDescent="0.25">
      <c r="O194777" s="9"/>
    </row>
    <row r="194798" spans="15:15" x14ac:dyDescent="0.25">
      <c r="O194798" s="9"/>
    </row>
    <row r="194819" spans="15:15" x14ac:dyDescent="0.25">
      <c r="O194819" s="9"/>
    </row>
    <row r="194840" spans="15:15" x14ac:dyDescent="0.25">
      <c r="O194840" s="9"/>
    </row>
    <row r="194861" spans="15:15" x14ac:dyDescent="0.25">
      <c r="O194861" s="9"/>
    </row>
    <row r="194882" spans="15:15" x14ac:dyDescent="0.25">
      <c r="O194882" s="9"/>
    </row>
    <row r="194903" spans="15:15" x14ac:dyDescent="0.25">
      <c r="O194903" s="9"/>
    </row>
    <row r="194924" spans="15:15" x14ac:dyDescent="0.25">
      <c r="O194924" s="9"/>
    </row>
    <row r="194945" spans="15:15" x14ac:dyDescent="0.25">
      <c r="O194945" s="9"/>
    </row>
    <row r="194966" spans="15:15" x14ac:dyDescent="0.25">
      <c r="O194966" s="9"/>
    </row>
    <row r="194987" spans="15:15" x14ac:dyDescent="0.25">
      <c r="O194987" s="9"/>
    </row>
    <row r="195008" spans="15:15" x14ac:dyDescent="0.25">
      <c r="O195008" s="9"/>
    </row>
    <row r="195029" spans="15:15" x14ac:dyDescent="0.25">
      <c r="O195029" s="9"/>
    </row>
    <row r="195050" spans="15:15" x14ac:dyDescent="0.25">
      <c r="O195050" s="9"/>
    </row>
    <row r="195071" spans="15:15" x14ac:dyDescent="0.25">
      <c r="O195071" s="9"/>
    </row>
    <row r="195092" spans="15:15" x14ac:dyDescent="0.25">
      <c r="O195092" s="9"/>
    </row>
    <row r="195113" spans="15:15" x14ac:dyDescent="0.25">
      <c r="O195113" s="9"/>
    </row>
    <row r="195134" spans="15:15" x14ac:dyDescent="0.25">
      <c r="O195134" s="9"/>
    </row>
    <row r="195155" spans="15:15" x14ac:dyDescent="0.25">
      <c r="O195155" s="9"/>
    </row>
    <row r="195176" spans="15:15" x14ac:dyDescent="0.25">
      <c r="O195176" s="9"/>
    </row>
    <row r="195197" spans="15:15" x14ac:dyDescent="0.25">
      <c r="O195197" s="9"/>
    </row>
    <row r="195218" spans="15:15" x14ac:dyDescent="0.25">
      <c r="O195218" s="9"/>
    </row>
    <row r="195239" spans="15:15" x14ac:dyDescent="0.25">
      <c r="O195239" s="9"/>
    </row>
    <row r="195260" spans="15:15" x14ac:dyDescent="0.25">
      <c r="O195260" s="9"/>
    </row>
    <row r="195281" spans="15:15" x14ac:dyDescent="0.25">
      <c r="O195281" s="9"/>
    </row>
    <row r="195302" spans="15:15" x14ac:dyDescent="0.25">
      <c r="O195302" s="9"/>
    </row>
    <row r="195323" spans="15:15" x14ac:dyDescent="0.25">
      <c r="O195323" s="9"/>
    </row>
    <row r="195344" spans="15:15" x14ac:dyDescent="0.25">
      <c r="O195344" s="9"/>
    </row>
    <row r="195365" spans="15:15" x14ac:dyDescent="0.25">
      <c r="O195365" s="9"/>
    </row>
    <row r="195386" spans="15:15" x14ac:dyDescent="0.25">
      <c r="O195386" s="9"/>
    </row>
    <row r="195407" spans="15:15" x14ac:dyDescent="0.25">
      <c r="O195407" s="9"/>
    </row>
    <row r="195428" spans="15:15" x14ac:dyDescent="0.25">
      <c r="O195428" s="9"/>
    </row>
    <row r="195449" spans="15:15" x14ac:dyDescent="0.25">
      <c r="O195449" s="9"/>
    </row>
    <row r="195470" spans="15:15" x14ac:dyDescent="0.25">
      <c r="O195470" s="9"/>
    </row>
    <row r="195491" spans="15:15" x14ac:dyDescent="0.25">
      <c r="O195491" s="9"/>
    </row>
    <row r="195512" spans="15:15" x14ac:dyDescent="0.25">
      <c r="O195512" s="9"/>
    </row>
    <row r="195533" spans="15:15" x14ac:dyDescent="0.25">
      <c r="O195533" s="9"/>
    </row>
    <row r="195554" spans="15:15" x14ac:dyDescent="0.25">
      <c r="O195554" s="9"/>
    </row>
    <row r="195575" spans="15:15" x14ac:dyDescent="0.25">
      <c r="O195575" s="9"/>
    </row>
    <row r="195596" spans="15:15" x14ac:dyDescent="0.25">
      <c r="O195596" s="9"/>
    </row>
    <row r="195617" spans="15:15" x14ac:dyDescent="0.25">
      <c r="O195617" s="9"/>
    </row>
    <row r="195638" spans="15:15" x14ac:dyDescent="0.25">
      <c r="O195638" s="9"/>
    </row>
    <row r="195659" spans="15:15" x14ac:dyDescent="0.25">
      <c r="O195659" s="9"/>
    </row>
    <row r="195680" spans="15:15" x14ac:dyDescent="0.25">
      <c r="O195680" s="9"/>
    </row>
    <row r="195701" spans="15:15" x14ac:dyDescent="0.25">
      <c r="O195701" s="9"/>
    </row>
    <row r="195722" spans="15:15" x14ac:dyDescent="0.25">
      <c r="O195722" s="9"/>
    </row>
    <row r="195743" spans="15:15" x14ac:dyDescent="0.25">
      <c r="O195743" s="9"/>
    </row>
    <row r="195764" spans="15:15" x14ac:dyDescent="0.25">
      <c r="O195764" s="9"/>
    </row>
    <row r="195785" spans="15:15" x14ac:dyDescent="0.25">
      <c r="O195785" s="9"/>
    </row>
    <row r="195806" spans="15:15" x14ac:dyDescent="0.25">
      <c r="O195806" s="9"/>
    </row>
    <row r="195827" spans="15:15" x14ac:dyDescent="0.25">
      <c r="O195827" s="9"/>
    </row>
    <row r="195848" spans="15:15" x14ac:dyDescent="0.25">
      <c r="O195848" s="9"/>
    </row>
    <row r="195869" spans="15:15" x14ac:dyDescent="0.25">
      <c r="O195869" s="9"/>
    </row>
    <row r="195890" spans="15:15" x14ac:dyDescent="0.25">
      <c r="O195890" s="9"/>
    </row>
    <row r="195911" spans="15:15" x14ac:dyDescent="0.25">
      <c r="O195911" s="9"/>
    </row>
    <row r="195932" spans="15:15" x14ac:dyDescent="0.25">
      <c r="O195932" s="9"/>
    </row>
    <row r="195953" spans="15:15" x14ac:dyDescent="0.25">
      <c r="O195953" s="9"/>
    </row>
    <row r="195974" spans="15:15" x14ac:dyDescent="0.25">
      <c r="O195974" s="9"/>
    </row>
    <row r="195995" spans="15:15" x14ac:dyDescent="0.25">
      <c r="O195995" s="9"/>
    </row>
    <row r="196016" spans="15:15" x14ac:dyDescent="0.25">
      <c r="O196016" s="9"/>
    </row>
    <row r="196037" spans="15:15" x14ac:dyDescent="0.25">
      <c r="O196037" s="9"/>
    </row>
    <row r="196058" spans="15:15" x14ac:dyDescent="0.25">
      <c r="O196058" s="9"/>
    </row>
    <row r="196079" spans="15:15" x14ac:dyDescent="0.25">
      <c r="O196079" s="9"/>
    </row>
    <row r="196100" spans="15:15" x14ac:dyDescent="0.25">
      <c r="O196100" s="9"/>
    </row>
    <row r="196121" spans="15:15" x14ac:dyDescent="0.25">
      <c r="O196121" s="9"/>
    </row>
    <row r="196142" spans="15:15" x14ac:dyDescent="0.25">
      <c r="O196142" s="9"/>
    </row>
    <row r="196163" spans="15:15" x14ac:dyDescent="0.25">
      <c r="O196163" s="9"/>
    </row>
    <row r="196184" spans="15:15" x14ac:dyDescent="0.25">
      <c r="O196184" s="9"/>
    </row>
    <row r="196205" spans="15:15" x14ac:dyDescent="0.25">
      <c r="O196205" s="9"/>
    </row>
    <row r="196226" spans="15:15" x14ac:dyDescent="0.25">
      <c r="O196226" s="9"/>
    </row>
    <row r="196247" spans="15:15" x14ac:dyDescent="0.25">
      <c r="O196247" s="9"/>
    </row>
    <row r="196268" spans="15:15" x14ac:dyDescent="0.25">
      <c r="O196268" s="9"/>
    </row>
    <row r="196289" spans="15:15" x14ac:dyDescent="0.25">
      <c r="O196289" s="9"/>
    </row>
    <row r="196310" spans="15:15" x14ac:dyDescent="0.25">
      <c r="O196310" s="9"/>
    </row>
    <row r="196331" spans="15:15" x14ac:dyDescent="0.25">
      <c r="O196331" s="9"/>
    </row>
    <row r="196352" spans="15:15" x14ac:dyDescent="0.25">
      <c r="O196352" s="9"/>
    </row>
    <row r="196373" spans="15:15" x14ac:dyDescent="0.25">
      <c r="O196373" s="9"/>
    </row>
    <row r="196394" spans="15:15" x14ac:dyDescent="0.25">
      <c r="O196394" s="9"/>
    </row>
    <row r="196415" spans="15:15" x14ac:dyDescent="0.25">
      <c r="O196415" s="9"/>
    </row>
    <row r="196436" spans="15:15" x14ac:dyDescent="0.25">
      <c r="O196436" s="9"/>
    </row>
    <row r="196457" spans="15:15" x14ac:dyDescent="0.25">
      <c r="O196457" s="9"/>
    </row>
    <row r="196478" spans="15:15" x14ac:dyDescent="0.25">
      <c r="O196478" s="9"/>
    </row>
    <row r="196499" spans="15:15" x14ac:dyDescent="0.25">
      <c r="O196499" s="9"/>
    </row>
    <row r="196520" spans="15:15" x14ac:dyDescent="0.25">
      <c r="O196520" s="9"/>
    </row>
    <row r="196541" spans="15:15" x14ac:dyDescent="0.25">
      <c r="O196541" s="9"/>
    </row>
    <row r="196562" spans="15:15" x14ac:dyDescent="0.25">
      <c r="O196562" s="9"/>
    </row>
    <row r="196583" spans="15:15" x14ac:dyDescent="0.25">
      <c r="O196583" s="9"/>
    </row>
    <row r="196604" spans="15:15" x14ac:dyDescent="0.25">
      <c r="O196604" s="9"/>
    </row>
    <row r="196625" spans="15:15" x14ac:dyDescent="0.25">
      <c r="O196625" s="9"/>
    </row>
    <row r="196646" spans="15:15" x14ac:dyDescent="0.25">
      <c r="O196646" s="9"/>
    </row>
    <row r="196667" spans="15:15" x14ac:dyDescent="0.25">
      <c r="O196667" s="9"/>
    </row>
    <row r="196688" spans="15:15" x14ac:dyDescent="0.25">
      <c r="O196688" s="9"/>
    </row>
    <row r="196709" spans="15:15" x14ac:dyDescent="0.25">
      <c r="O196709" s="9"/>
    </row>
    <row r="196730" spans="15:15" x14ac:dyDescent="0.25">
      <c r="O196730" s="9"/>
    </row>
    <row r="196751" spans="15:15" x14ac:dyDescent="0.25">
      <c r="O196751" s="9"/>
    </row>
    <row r="196772" spans="15:15" x14ac:dyDescent="0.25">
      <c r="O196772" s="9"/>
    </row>
    <row r="196793" spans="15:15" x14ac:dyDescent="0.25">
      <c r="O196793" s="9"/>
    </row>
    <row r="196814" spans="15:15" x14ac:dyDescent="0.25">
      <c r="O196814" s="9"/>
    </row>
    <row r="196835" spans="15:15" x14ac:dyDescent="0.25">
      <c r="O196835" s="9"/>
    </row>
    <row r="196856" spans="15:15" x14ac:dyDescent="0.25">
      <c r="O196856" s="9"/>
    </row>
    <row r="196877" spans="15:15" x14ac:dyDescent="0.25">
      <c r="O196877" s="9"/>
    </row>
    <row r="196898" spans="15:15" x14ac:dyDescent="0.25">
      <c r="O196898" s="9"/>
    </row>
    <row r="196919" spans="15:15" x14ac:dyDescent="0.25">
      <c r="O196919" s="9"/>
    </row>
    <row r="196940" spans="15:15" x14ac:dyDescent="0.25">
      <c r="O196940" s="9"/>
    </row>
    <row r="196961" spans="15:15" x14ac:dyDescent="0.25">
      <c r="O196961" s="9"/>
    </row>
    <row r="196982" spans="15:15" x14ac:dyDescent="0.25">
      <c r="O196982" s="9"/>
    </row>
    <row r="197003" spans="15:15" x14ac:dyDescent="0.25">
      <c r="O197003" s="9"/>
    </row>
    <row r="197024" spans="15:15" x14ac:dyDescent="0.25">
      <c r="O197024" s="9"/>
    </row>
    <row r="197045" spans="15:15" x14ac:dyDescent="0.25">
      <c r="O197045" s="9"/>
    </row>
    <row r="197066" spans="15:15" x14ac:dyDescent="0.25">
      <c r="O197066" s="9"/>
    </row>
    <row r="197087" spans="15:15" x14ac:dyDescent="0.25">
      <c r="O197087" s="9"/>
    </row>
    <row r="197108" spans="15:15" x14ac:dyDescent="0.25">
      <c r="O197108" s="9"/>
    </row>
    <row r="197129" spans="15:15" x14ac:dyDescent="0.25">
      <c r="O197129" s="9"/>
    </row>
    <row r="197150" spans="15:15" x14ac:dyDescent="0.25">
      <c r="O197150" s="9"/>
    </row>
    <row r="197171" spans="15:15" x14ac:dyDescent="0.25">
      <c r="O197171" s="9"/>
    </row>
    <row r="197192" spans="15:15" x14ac:dyDescent="0.25">
      <c r="O197192" s="9"/>
    </row>
    <row r="197213" spans="15:15" x14ac:dyDescent="0.25">
      <c r="O197213" s="9"/>
    </row>
    <row r="197234" spans="15:15" x14ac:dyDescent="0.25">
      <c r="O197234" s="9"/>
    </row>
    <row r="197255" spans="15:15" x14ac:dyDescent="0.25">
      <c r="O197255" s="9"/>
    </row>
    <row r="197276" spans="15:15" x14ac:dyDescent="0.25">
      <c r="O197276" s="9"/>
    </row>
    <row r="197297" spans="15:15" x14ac:dyDescent="0.25">
      <c r="O197297" s="9"/>
    </row>
    <row r="197318" spans="15:15" x14ac:dyDescent="0.25">
      <c r="O197318" s="9"/>
    </row>
    <row r="197339" spans="15:15" x14ac:dyDescent="0.25">
      <c r="O197339" s="9"/>
    </row>
    <row r="197360" spans="15:15" x14ac:dyDescent="0.25">
      <c r="O197360" s="9"/>
    </row>
    <row r="197381" spans="15:15" x14ac:dyDescent="0.25">
      <c r="O197381" s="9"/>
    </row>
    <row r="197402" spans="15:15" x14ac:dyDescent="0.25">
      <c r="O197402" s="9"/>
    </row>
    <row r="197423" spans="15:15" x14ac:dyDescent="0.25">
      <c r="O197423" s="9"/>
    </row>
    <row r="197444" spans="15:15" x14ac:dyDescent="0.25">
      <c r="O197444" s="9"/>
    </row>
    <row r="197465" spans="15:15" x14ac:dyDescent="0.25">
      <c r="O197465" s="9"/>
    </row>
    <row r="197486" spans="15:15" x14ac:dyDescent="0.25">
      <c r="O197486" s="9"/>
    </row>
    <row r="197507" spans="15:15" x14ac:dyDescent="0.25">
      <c r="O197507" s="9"/>
    </row>
    <row r="197528" spans="15:15" x14ac:dyDescent="0.25">
      <c r="O197528" s="9"/>
    </row>
    <row r="197549" spans="15:15" x14ac:dyDescent="0.25">
      <c r="O197549" s="9"/>
    </row>
    <row r="197570" spans="15:15" x14ac:dyDescent="0.25">
      <c r="O197570" s="9"/>
    </row>
    <row r="197591" spans="15:15" x14ac:dyDescent="0.25">
      <c r="O197591" s="9"/>
    </row>
    <row r="197612" spans="15:15" x14ac:dyDescent="0.25">
      <c r="O197612" s="9"/>
    </row>
    <row r="197633" spans="15:15" x14ac:dyDescent="0.25">
      <c r="O197633" s="9"/>
    </row>
    <row r="197654" spans="15:15" x14ac:dyDescent="0.25">
      <c r="O197654" s="9"/>
    </row>
    <row r="197675" spans="15:15" x14ac:dyDescent="0.25">
      <c r="O197675" s="9"/>
    </row>
    <row r="197696" spans="15:15" x14ac:dyDescent="0.25">
      <c r="O197696" s="9"/>
    </row>
    <row r="197717" spans="15:15" x14ac:dyDescent="0.25">
      <c r="O197717" s="9"/>
    </row>
    <row r="197738" spans="15:15" x14ac:dyDescent="0.25">
      <c r="O197738" s="9"/>
    </row>
    <row r="197759" spans="15:15" x14ac:dyDescent="0.25">
      <c r="O197759" s="9"/>
    </row>
    <row r="197780" spans="15:15" x14ac:dyDescent="0.25">
      <c r="O197780" s="9"/>
    </row>
    <row r="197801" spans="15:15" x14ac:dyDescent="0.25">
      <c r="O197801" s="9"/>
    </row>
    <row r="197822" spans="15:15" x14ac:dyDescent="0.25">
      <c r="O197822" s="9"/>
    </row>
    <row r="197843" spans="15:15" x14ac:dyDescent="0.25">
      <c r="O197843" s="9"/>
    </row>
    <row r="197864" spans="15:15" x14ac:dyDescent="0.25">
      <c r="O197864" s="9"/>
    </row>
    <row r="197885" spans="15:15" x14ac:dyDescent="0.25">
      <c r="O197885" s="9"/>
    </row>
    <row r="197906" spans="15:15" x14ac:dyDescent="0.25">
      <c r="O197906" s="9"/>
    </row>
    <row r="197927" spans="15:15" x14ac:dyDescent="0.25">
      <c r="O197927" s="9"/>
    </row>
    <row r="197948" spans="15:15" x14ac:dyDescent="0.25">
      <c r="O197948" s="9"/>
    </row>
    <row r="197969" spans="15:15" x14ac:dyDescent="0.25">
      <c r="O197969" s="9"/>
    </row>
    <row r="197990" spans="15:15" x14ac:dyDescent="0.25">
      <c r="O197990" s="9"/>
    </row>
    <row r="198011" spans="15:15" x14ac:dyDescent="0.25">
      <c r="O198011" s="9"/>
    </row>
    <row r="198032" spans="15:15" x14ac:dyDescent="0.25">
      <c r="O198032" s="9"/>
    </row>
    <row r="198053" spans="15:15" x14ac:dyDescent="0.25">
      <c r="O198053" s="9"/>
    </row>
    <row r="198074" spans="15:15" x14ac:dyDescent="0.25">
      <c r="O198074" s="9"/>
    </row>
    <row r="198095" spans="15:15" x14ac:dyDescent="0.25">
      <c r="O198095" s="9"/>
    </row>
    <row r="198116" spans="15:15" x14ac:dyDescent="0.25">
      <c r="O198116" s="9"/>
    </row>
    <row r="198137" spans="15:15" x14ac:dyDescent="0.25">
      <c r="O198137" s="9"/>
    </row>
    <row r="198158" spans="15:15" x14ac:dyDescent="0.25">
      <c r="O198158" s="9"/>
    </row>
    <row r="198179" spans="15:15" x14ac:dyDescent="0.25">
      <c r="O198179" s="9"/>
    </row>
    <row r="198200" spans="15:15" x14ac:dyDescent="0.25">
      <c r="O198200" s="9"/>
    </row>
    <row r="198221" spans="15:15" x14ac:dyDescent="0.25">
      <c r="O198221" s="9"/>
    </row>
    <row r="198242" spans="15:15" x14ac:dyDescent="0.25">
      <c r="O198242" s="9"/>
    </row>
    <row r="198263" spans="15:15" x14ac:dyDescent="0.25">
      <c r="O198263" s="9"/>
    </row>
    <row r="198284" spans="15:15" x14ac:dyDescent="0.25">
      <c r="O198284" s="9"/>
    </row>
    <row r="198305" spans="15:15" x14ac:dyDescent="0.25">
      <c r="O198305" s="9"/>
    </row>
    <row r="198326" spans="15:15" x14ac:dyDescent="0.25">
      <c r="O198326" s="9"/>
    </row>
    <row r="198347" spans="15:15" x14ac:dyDescent="0.25">
      <c r="O198347" s="9"/>
    </row>
    <row r="198368" spans="15:15" x14ac:dyDescent="0.25">
      <c r="O198368" s="9"/>
    </row>
    <row r="198389" spans="15:15" x14ac:dyDescent="0.25">
      <c r="O198389" s="9"/>
    </row>
    <row r="198410" spans="15:15" x14ac:dyDescent="0.25">
      <c r="O198410" s="9"/>
    </row>
    <row r="198431" spans="15:15" x14ac:dyDescent="0.25">
      <c r="O198431" s="9"/>
    </row>
    <row r="198452" spans="15:15" x14ac:dyDescent="0.25">
      <c r="O198452" s="9"/>
    </row>
    <row r="198473" spans="15:15" x14ac:dyDescent="0.25">
      <c r="O198473" s="9"/>
    </row>
    <row r="198494" spans="15:15" x14ac:dyDescent="0.25">
      <c r="O198494" s="9"/>
    </row>
    <row r="198515" spans="15:15" x14ac:dyDescent="0.25">
      <c r="O198515" s="9"/>
    </row>
    <row r="198536" spans="15:15" x14ac:dyDescent="0.25">
      <c r="O198536" s="9"/>
    </row>
    <row r="198557" spans="15:15" x14ac:dyDescent="0.25">
      <c r="O198557" s="9"/>
    </row>
    <row r="198578" spans="15:15" x14ac:dyDescent="0.25">
      <c r="O198578" s="9"/>
    </row>
    <row r="198599" spans="15:15" x14ac:dyDescent="0.25">
      <c r="O198599" s="9"/>
    </row>
    <row r="198620" spans="15:15" x14ac:dyDescent="0.25">
      <c r="O198620" s="9"/>
    </row>
    <row r="198641" spans="15:15" x14ac:dyDescent="0.25">
      <c r="O198641" s="9"/>
    </row>
    <row r="198662" spans="15:15" x14ac:dyDescent="0.25">
      <c r="O198662" s="9"/>
    </row>
    <row r="198683" spans="15:15" x14ac:dyDescent="0.25">
      <c r="O198683" s="9"/>
    </row>
    <row r="198704" spans="15:15" x14ac:dyDescent="0.25">
      <c r="O198704" s="9"/>
    </row>
    <row r="198725" spans="15:15" x14ac:dyDescent="0.25">
      <c r="O198725" s="9"/>
    </row>
    <row r="198746" spans="15:15" x14ac:dyDescent="0.25">
      <c r="O198746" s="9"/>
    </row>
    <row r="198767" spans="15:15" x14ac:dyDescent="0.25">
      <c r="O198767" s="9"/>
    </row>
    <row r="198788" spans="15:15" x14ac:dyDescent="0.25">
      <c r="O198788" s="9"/>
    </row>
    <row r="198809" spans="15:15" x14ac:dyDescent="0.25">
      <c r="O198809" s="9"/>
    </row>
    <row r="198830" spans="15:15" x14ac:dyDescent="0.25">
      <c r="O198830" s="9"/>
    </row>
    <row r="198851" spans="15:15" x14ac:dyDescent="0.25">
      <c r="O198851" s="9"/>
    </row>
    <row r="198872" spans="15:15" x14ac:dyDescent="0.25">
      <c r="O198872" s="9"/>
    </row>
    <row r="198893" spans="15:15" x14ac:dyDescent="0.25">
      <c r="O198893" s="9"/>
    </row>
    <row r="198914" spans="15:15" x14ac:dyDescent="0.25">
      <c r="O198914" s="9"/>
    </row>
    <row r="198935" spans="15:15" x14ac:dyDescent="0.25">
      <c r="O198935" s="9"/>
    </row>
    <row r="198956" spans="15:15" x14ac:dyDescent="0.25">
      <c r="O198956" s="9"/>
    </row>
    <row r="198977" spans="15:15" x14ac:dyDescent="0.25">
      <c r="O198977" s="9"/>
    </row>
    <row r="198998" spans="15:15" x14ac:dyDescent="0.25">
      <c r="O198998" s="9"/>
    </row>
    <row r="199019" spans="15:15" x14ac:dyDescent="0.25">
      <c r="O199019" s="9"/>
    </row>
    <row r="199040" spans="15:15" x14ac:dyDescent="0.25">
      <c r="O199040" s="9"/>
    </row>
    <row r="199061" spans="15:15" x14ac:dyDescent="0.25">
      <c r="O199061" s="9"/>
    </row>
    <row r="199082" spans="15:15" x14ac:dyDescent="0.25">
      <c r="O199082" s="9"/>
    </row>
    <row r="199103" spans="15:15" x14ac:dyDescent="0.25">
      <c r="O199103" s="9"/>
    </row>
    <row r="199124" spans="15:15" x14ac:dyDescent="0.25">
      <c r="O199124" s="9"/>
    </row>
    <row r="199145" spans="15:15" x14ac:dyDescent="0.25">
      <c r="O199145" s="9"/>
    </row>
    <row r="199166" spans="15:15" x14ac:dyDescent="0.25">
      <c r="O199166" s="9"/>
    </row>
    <row r="199187" spans="15:15" x14ac:dyDescent="0.25">
      <c r="O199187" s="9"/>
    </row>
    <row r="199208" spans="15:15" x14ac:dyDescent="0.25">
      <c r="O199208" s="9"/>
    </row>
    <row r="199229" spans="15:15" x14ac:dyDescent="0.25">
      <c r="O199229" s="9"/>
    </row>
    <row r="199250" spans="15:15" x14ac:dyDescent="0.25">
      <c r="O199250" s="9"/>
    </row>
    <row r="199271" spans="15:15" x14ac:dyDescent="0.25">
      <c r="O199271" s="9"/>
    </row>
    <row r="199292" spans="15:15" x14ac:dyDescent="0.25">
      <c r="O199292" s="9"/>
    </row>
    <row r="199313" spans="15:15" x14ac:dyDescent="0.25">
      <c r="O199313" s="9"/>
    </row>
    <row r="199334" spans="15:15" x14ac:dyDescent="0.25">
      <c r="O199334" s="9"/>
    </row>
    <row r="199355" spans="15:15" x14ac:dyDescent="0.25">
      <c r="O199355" s="9"/>
    </row>
    <row r="199376" spans="15:15" x14ac:dyDescent="0.25">
      <c r="O199376" s="9"/>
    </row>
    <row r="199397" spans="15:15" x14ac:dyDescent="0.25">
      <c r="O199397" s="9"/>
    </row>
    <row r="199418" spans="15:15" x14ac:dyDescent="0.25">
      <c r="O199418" s="9"/>
    </row>
    <row r="199439" spans="15:15" x14ac:dyDescent="0.25">
      <c r="O199439" s="9"/>
    </row>
    <row r="199460" spans="15:15" x14ac:dyDescent="0.25">
      <c r="O199460" s="9"/>
    </row>
    <row r="199481" spans="15:15" x14ac:dyDescent="0.25">
      <c r="O199481" s="9"/>
    </row>
    <row r="199502" spans="15:15" x14ac:dyDescent="0.25">
      <c r="O199502" s="9"/>
    </row>
    <row r="199523" spans="15:15" x14ac:dyDescent="0.25">
      <c r="O199523" s="9"/>
    </row>
    <row r="199544" spans="15:15" x14ac:dyDescent="0.25">
      <c r="O199544" s="9"/>
    </row>
    <row r="199565" spans="15:15" x14ac:dyDescent="0.25">
      <c r="O199565" s="9"/>
    </row>
    <row r="199586" spans="15:15" x14ac:dyDescent="0.25">
      <c r="O199586" s="9"/>
    </row>
    <row r="199607" spans="15:15" x14ac:dyDescent="0.25">
      <c r="O199607" s="9"/>
    </row>
    <row r="199628" spans="15:15" x14ac:dyDescent="0.25">
      <c r="O199628" s="9"/>
    </row>
    <row r="199649" spans="15:15" x14ac:dyDescent="0.25">
      <c r="O199649" s="9"/>
    </row>
    <row r="199670" spans="15:15" x14ac:dyDescent="0.25">
      <c r="O199670" s="9"/>
    </row>
    <row r="199691" spans="15:15" x14ac:dyDescent="0.25">
      <c r="O199691" s="9"/>
    </row>
    <row r="199712" spans="15:15" x14ac:dyDescent="0.25">
      <c r="O199712" s="9"/>
    </row>
    <row r="199733" spans="15:15" x14ac:dyDescent="0.25">
      <c r="O199733" s="9"/>
    </row>
    <row r="199754" spans="15:15" x14ac:dyDescent="0.25">
      <c r="O199754" s="9"/>
    </row>
    <row r="199775" spans="15:15" x14ac:dyDescent="0.25">
      <c r="O199775" s="9"/>
    </row>
    <row r="199796" spans="15:15" x14ac:dyDescent="0.25">
      <c r="O199796" s="9"/>
    </row>
    <row r="199817" spans="15:15" x14ac:dyDescent="0.25">
      <c r="O199817" s="9"/>
    </row>
    <row r="199838" spans="15:15" x14ac:dyDescent="0.25">
      <c r="O199838" s="9"/>
    </row>
    <row r="199859" spans="15:15" x14ac:dyDescent="0.25">
      <c r="O199859" s="9"/>
    </row>
    <row r="199880" spans="15:15" x14ac:dyDescent="0.25">
      <c r="O199880" s="9"/>
    </row>
    <row r="199901" spans="15:15" x14ac:dyDescent="0.25">
      <c r="O199901" s="9"/>
    </row>
    <row r="199922" spans="15:15" x14ac:dyDescent="0.25">
      <c r="O199922" s="9"/>
    </row>
    <row r="199943" spans="15:15" x14ac:dyDescent="0.25">
      <c r="O199943" s="9"/>
    </row>
    <row r="199964" spans="15:15" x14ac:dyDescent="0.25">
      <c r="O199964" s="9"/>
    </row>
    <row r="199985" spans="15:15" x14ac:dyDescent="0.25">
      <c r="O199985" s="9"/>
    </row>
    <row r="200006" spans="15:15" x14ac:dyDescent="0.25">
      <c r="O200006" s="9"/>
    </row>
    <row r="200027" spans="15:15" x14ac:dyDescent="0.25">
      <c r="O200027" s="9"/>
    </row>
    <row r="200048" spans="15:15" x14ac:dyDescent="0.25">
      <c r="O200048" s="9"/>
    </row>
    <row r="200069" spans="15:15" x14ac:dyDescent="0.25">
      <c r="O200069" s="9"/>
    </row>
    <row r="200090" spans="15:15" x14ac:dyDescent="0.25">
      <c r="O200090" s="9"/>
    </row>
    <row r="200111" spans="15:15" x14ac:dyDescent="0.25">
      <c r="O200111" s="9"/>
    </row>
    <row r="200132" spans="15:15" x14ac:dyDescent="0.25">
      <c r="O200132" s="9"/>
    </row>
    <row r="200153" spans="15:15" x14ac:dyDescent="0.25">
      <c r="O200153" s="9"/>
    </row>
    <row r="200174" spans="15:15" x14ac:dyDescent="0.25">
      <c r="O200174" s="9"/>
    </row>
    <row r="200195" spans="15:15" x14ac:dyDescent="0.25">
      <c r="O200195" s="9"/>
    </row>
    <row r="200216" spans="15:15" x14ac:dyDescent="0.25">
      <c r="O200216" s="9"/>
    </row>
    <row r="200237" spans="15:15" x14ac:dyDescent="0.25">
      <c r="O200237" s="9"/>
    </row>
    <row r="200258" spans="15:15" x14ac:dyDescent="0.25">
      <c r="O200258" s="9"/>
    </row>
    <row r="200279" spans="15:15" x14ac:dyDescent="0.25">
      <c r="O200279" s="9"/>
    </row>
    <row r="200300" spans="15:15" x14ac:dyDescent="0.25">
      <c r="O200300" s="9"/>
    </row>
    <row r="200321" spans="15:15" x14ac:dyDescent="0.25">
      <c r="O200321" s="9"/>
    </row>
    <row r="200342" spans="15:15" x14ac:dyDescent="0.25">
      <c r="O200342" s="9"/>
    </row>
    <row r="200363" spans="15:15" x14ac:dyDescent="0.25">
      <c r="O200363" s="9"/>
    </row>
    <row r="200384" spans="15:15" x14ac:dyDescent="0.25">
      <c r="O200384" s="9"/>
    </row>
    <row r="200405" spans="15:15" x14ac:dyDescent="0.25">
      <c r="O200405" s="9"/>
    </row>
    <row r="200426" spans="15:15" x14ac:dyDescent="0.25">
      <c r="O200426" s="9"/>
    </row>
    <row r="200447" spans="15:15" x14ac:dyDescent="0.25">
      <c r="O200447" s="9"/>
    </row>
    <row r="200468" spans="15:15" x14ac:dyDescent="0.25">
      <c r="O200468" s="9"/>
    </row>
    <row r="200489" spans="15:15" x14ac:dyDescent="0.25">
      <c r="O200489" s="9"/>
    </row>
    <row r="200510" spans="15:15" x14ac:dyDescent="0.25">
      <c r="O200510" s="9"/>
    </row>
    <row r="200531" spans="15:15" x14ac:dyDescent="0.25">
      <c r="O200531" s="9"/>
    </row>
    <row r="200552" spans="15:15" x14ac:dyDescent="0.25">
      <c r="O200552" s="9"/>
    </row>
    <row r="200573" spans="15:15" x14ac:dyDescent="0.25">
      <c r="O200573" s="9"/>
    </row>
    <row r="200594" spans="15:15" x14ac:dyDescent="0.25">
      <c r="O200594" s="9"/>
    </row>
    <row r="200615" spans="15:15" x14ac:dyDescent="0.25">
      <c r="O200615" s="9"/>
    </row>
    <row r="200636" spans="15:15" x14ac:dyDescent="0.25">
      <c r="O200636" s="9"/>
    </row>
    <row r="200657" spans="15:15" x14ac:dyDescent="0.25">
      <c r="O200657" s="9"/>
    </row>
    <row r="200678" spans="15:15" x14ac:dyDescent="0.25">
      <c r="O200678" s="9"/>
    </row>
    <row r="200699" spans="15:15" x14ac:dyDescent="0.25">
      <c r="O200699" s="9"/>
    </row>
    <row r="200720" spans="15:15" x14ac:dyDescent="0.25">
      <c r="O200720" s="9"/>
    </row>
    <row r="200741" spans="15:15" x14ac:dyDescent="0.25">
      <c r="O200741" s="9"/>
    </row>
    <row r="200762" spans="15:15" x14ac:dyDescent="0.25">
      <c r="O200762" s="9"/>
    </row>
    <row r="200783" spans="15:15" x14ac:dyDescent="0.25">
      <c r="O200783" s="9"/>
    </row>
    <row r="200804" spans="15:15" x14ac:dyDescent="0.25">
      <c r="O200804" s="9"/>
    </row>
    <row r="200825" spans="15:15" x14ac:dyDescent="0.25">
      <c r="O200825" s="9"/>
    </row>
    <row r="200846" spans="15:15" x14ac:dyDescent="0.25">
      <c r="O200846" s="9"/>
    </row>
    <row r="200867" spans="15:15" x14ac:dyDescent="0.25">
      <c r="O200867" s="9"/>
    </row>
    <row r="200888" spans="15:15" x14ac:dyDescent="0.25">
      <c r="O200888" s="9"/>
    </row>
    <row r="200909" spans="15:15" x14ac:dyDescent="0.25">
      <c r="O200909" s="9"/>
    </row>
    <row r="200930" spans="15:15" x14ac:dyDescent="0.25">
      <c r="O200930" s="9"/>
    </row>
    <row r="200951" spans="15:15" x14ac:dyDescent="0.25">
      <c r="O200951" s="9"/>
    </row>
    <row r="200972" spans="15:15" x14ac:dyDescent="0.25">
      <c r="O200972" s="9"/>
    </row>
    <row r="200993" spans="15:15" x14ac:dyDescent="0.25">
      <c r="O200993" s="9"/>
    </row>
    <row r="201014" spans="15:15" x14ac:dyDescent="0.25">
      <c r="O201014" s="9"/>
    </row>
    <row r="201035" spans="15:15" x14ac:dyDescent="0.25">
      <c r="O201035" s="9"/>
    </row>
    <row r="201056" spans="15:15" x14ac:dyDescent="0.25">
      <c r="O201056" s="9"/>
    </row>
    <row r="201077" spans="15:15" x14ac:dyDescent="0.25">
      <c r="O201077" s="9"/>
    </row>
    <row r="201098" spans="15:15" x14ac:dyDescent="0.25">
      <c r="O201098" s="9"/>
    </row>
    <row r="201119" spans="15:15" x14ac:dyDescent="0.25">
      <c r="O201119" s="9"/>
    </row>
    <row r="201140" spans="15:15" x14ac:dyDescent="0.25">
      <c r="O201140" s="9"/>
    </row>
    <row r="201161" spans="15:15" x14ac:dyDescent="0.25">
      <c r="O201161" s="9"/>
    </row>
    <row r="201182" spans="15:15" x14ac:dyDescent="0.25">
      <c r="O201182" s="9"/>
    </row>
    <row r="201203" spans="15:15" x14ac:dyDescent="0.25">
      <c r="O201203" s="9"/>
    </row>
    <row r="201224" spans="15:15" x14ac:dyDescent="0.25">
      <c r="O201224" s="9"/>
    </row>
    <row r="201245" spans="15:15" x14ac:dyDescent="0.25">
      <c r="O201245" s="9"/>
    </row>
    <row r="201266" spans="15:15" x14ac:dyDescent="0.25">
      <c r="O201266" s="9"/>
    </row>
    <row r="201287" spans="15:15" x14ac:dyDescent="0.25">
      <c r="O201287" s="9"/>
    </row>
    <row r="201308" spans="15:15" x14ac:dyDescent="0.25">
      <c r="O201308" s="9"/>
    </row>
    <row r="201329" spans="15:15" x14ac:dyDescent="0.25">
      <c r="O201329" s="9"/>
    </row>
    <row r="201350" spans="15:15" x14ac:dyDescent="0.25">
      <c r="O201350" s="9"/>
    </row>
    <row r="201371" spans="15:15" x14ac:dyDescent="0.25">
      <c r="O201371" s="9"/>
    </row>
    <row r="201392" spans="15:15" x14ac:dyDescent="0.25">
      <c r="O201392" s="9"/>
    </row>
    <row r="201413" spans="15:15" x14ac:dyDescent="0.25">
      <c r="O201413" s="9"/>
    </row>
    <row r="201434" spans="15:15" x14ac:dyDescent="0.25">
      <c r="O201434" s="9"/>
    </row>
    <row r="201455" spans="15:15" x14ac:dyDescent="0.25">
      <c r="O201455" s="9"/>
    </row>
    <row r="201476" spans="15:15" x14ac:dyDescent="0.25">
      <c r="O201476" s="9"/>
    </row>
    <row r="201497" spans="15:15" x14ac:dyDescent="0.25">
      <c r="O201497" s="9"/>
    </row>
    <row r="201518" spans="15:15" x14ac:dyDescent="0.25">
      <c r="O201518" s="9"/>
    </row>
    <row r="201539" spans="15:15" x14ac:dyDescent="0.25">
      <c r="O201539" s="9"/>
    </row>
    <row r="201560" spans="15:15" x14ac:dyDescent="0.25">
      <c r="O201560" s="9"/>
    </row>
    <row r="201581" spans="15:15" x14ac:dyDescent="0.25">
      <c r="O201581" s="9"/>
    </row>
    <row r="201602" spans="15:15" x14ac:dyDescent="0.25">
      <c r="O201602" s="9"/>
    </row>
    <row r="201623" spans="15:15" x14ac:dyDescent="0.25">
      <c r="O201623" s="9"/>
    </row>
    <row r="201644" spans="15:15" x14ac:dyDescent="0.25">
      <c r="O201644" s="9"/>
    </row>
    <row r="201665" spans="15:15" x14ac:dyDescent="0.25">
      <c r="O201665" s="9"/>
    </row>
    <row r="201686" spans="15:15" x14ac:dyDescent="0.25">
      <c r="O201686" s="9"/>
    </row>
    <row r="201707" spans="15:15" x14ac:dyDescent="0.25">
      <c r="O201707" s="9"/>
    </row>
    <row r="201728" spans="15:15" x14ac:dyDescent="0.25">
      <c r="O201728" s="9"/>
    </row>
    <row r="201749" spans="15:15" x14ac:dyDescent="0.25">
      <c r="O201749" s="9"/>
    </row>
    <row r="201770" spans="15:15" x14ac:dyDescent="0.25">
      <c r="O201770" s="9"/>
    </row>
    <row r="201791" spans="15:15" x14ac:dyDescent="0.25">
      <c r="O201791" s="9"/>
    </row>
    <row r="201812" spans="15:15" x14ac:dyDescent="0.25">
      <c r="O201812" s="9"/>
    </row>
    <row r="201833" spans="15:15" x14ac:dyDescent="0.25">
      <c r="O201833" s="9"/>
    </row>
    <row r="201854" spans="15:15" x14ac:dyDescent="0.25">
      <c r="O201854" s="9"/>
    </row>
    <row r="201875" spans="15:15" x14ac:dyDescent="0.25">
      <c r="O201875" s="9"/>
    </row>
    <row r="201896" spans="15:15" x14ac:dyDescent="0.25">
      <c r="O201896" s="9"/>
    </row>
    <row r="201917" spans="15:15" x14ac:dyDescent="0.25">
      <c r="O201917" s="9"/>
    </row>
    <row r="201938" spans="15:15" x14ac:dyDescent="0.25">
      <c r="O201938" s="9"/>
    </row>
    <row r="201959" spans="15:15" x14ac:dyDescent="0.25">
      <c r="O201959" s="9"/>
    </row>
    <row r="201980" spans="15:15" x14ac:dyDescent="0.25">
      <c r="O201980" s="9"/>
    </row>
    <row r="202001" spans="15:15" x14ac:dyDescent="0.25">
      <c r="O202001" s="9"/>
    </row>
    <row r="202022" spans="15:15" x14ac:dyDescent="0.25">
      <c r="O202022" s="9"/>
    </row>
    <row r="202043" spans="15:15" x14ac:dyDescent="0.25">
      <c r="O202043" s="9"/>
    </row>
    <row r="202064" spans="15:15" x14ac:dyDescent="0.25">
      <c r="O202064" s="9"/>
    </row>
    <row r="202085" spans="15:15" x14ac:dyDescent="0.25">
      <c r="O202085" s="9"/>
    </row>
    <row r="202106" spans="15:15" x14ac:dyDescent="0.25">
      <c r="O202106" s="9"/>
    </row>
    <row r="202127" spans="15:15" x14ac:dyDescent="0.25">
      <c r="O202127" s="9"/>
    </row>
    <row r="202148" spans="15:15" x14ac:dyDescent="0.25">
      <c r="O202148" s="9"/>
    </row>
    <row r="202169" spans="15:15" x14ac:dyDescent="0.25">
      <c r="O202169" s="9"/>
    </row>
    <row r="202190" spans="15:15" x14ac:dyDescent="0.25">
      <c r="O202190" s="9"/>
    </row>
    <row r="202211" spans="15:15" x14ac:dyDescent="0.25">
      <c r="O202211" s="9"/>
    </row>
    <row r="202232" spans="15:15" x14ac:dyDescent="0.25">
      <c r="O202232" s="9"/>
    </row>
    <row r="202253" spans="15:15" x14ac:dyDescent="0.25">
      <c r="O202253" s="9"/>
    </row>
    <row r="202274" spans="15:15" x14ac:dyDescent="0.25">
      <c r="O202274" s="9"/>
    </row>
    <row r="202295" spans="15:15" x14ac:dyDescent="0.25">
      <c r="O202295" s="9"/>
    </row>
    <row r="202316" spans="15:15" x14ac:dyDescent="0.25">
      <c r="O202316" s="9"/>
    </row>
    <row r="202337" spans="15:15" x14ac:dyDescent="0.25">
      <c r="O202337" s="9"/>
    </row>
    <row r="202358" spans="15:15" x14ac:dyDescent="0.25">
      <c r="O202358" s="9"/>
    </row>
    <row r="202379" spans="15:15" x14ac:dyDescent="0.25">
      <c r="O202379" s="9"/>
    </row>
    <row r="202400" spans="15:15" x14ac:dyDescent="0.25">
      <c r="O202400" s="9"/>
    </row>
    <row r="202421" spans="15:15" x14ac:dyDescent="0.25">
      <c r="O202421" s="9"/>
    </row>
    <row r="202442" spans="15:15" x14ac:dyDescent="0.25">
      <c r="O202442" s="9"/>
    </row>
    <row r="202463" spans="15:15" x14ac:dyDescent="0.25">
      <c r="O202463" s="9"/>
    </row>
    <row r="202484" spans="15:15" x14ac:dyDescent="0.25">
      <c r="O202484" s="9"/>
    </row>
    <row r="202505" spans="15:15" x14ac:dyDescent="0.25">
      <c r="O202505" s="9"/>
    </row>
    <row r="202526" spans="15:15" x14ac:dyDescent="0.25">
      <c r="O202526" s="9"/>
    </row>
    <row r="202547" spans="15:15" x14ac:dyDescent="0.25">
      <c r="O202547" s="9"/>
    </row>
    <row r="202568" spans="15:15" x14ac:dyDescent="0.25">
      <c r="O202568" s="9"/>
    </row>
    <row r="202589" spans="15:15" x14ac:dyDescent="0.25">
      <c r="O202589" s="9"/>
    </row>
    <row r="202610" spans="15:15" x14ac:dyDescent="0.25">
      <c r="O202610" s="9"/>
    </row>
    <row r="202631" spans="15:15" x14ac:dyDescent="0.25">
      <c r="O202631" s="9"/>
    </row>
    <row r="202652" spans="15:15" x14ac:dyDescent="0.25">
      <c r="O202652" s="9"/>
    </row>
    <row r="202673" spans="15:15" x14ac:dyDescent="0.25">
      <c r="O202673" s="9"/>
    </row>
    <row r="202694" spans="15:15" x14ac:dyDescent="0.25">
      <c r="O202694" s="9"/>
    </row>
    <row r="202715" spans="15:15" x14ac:dyDescent="0.25">
      <c r="O202715" s="9"/>
    </row>
    <row r="202736" spans="15:15" x14ac:dyDescent="0.25">
      <c r="O202736" s="9"/>
    </row>
    <row r="202757" spans="15:15" x14ac:dyDescent="0.25">
      <c r="O202757" s="9"/>
    </row>
    <row r="202778" spans="15:15" x14ac:dyDescent="0.25">
      <c r="O202778" s="9"/>
    </row>
    <row r="202799" spans="15:15" x14ac:dyDescent="0.25">
      <c r="O202799" s="9"/>
    </row>
    <row r="202820" spans="15:15" x14ac:dyDescent="0.25">
      <c r="O202820" s="9"/>
    </row>
    <row r="202841" spans="15:15" x14ac:dyDescent="0.25">
      <c r="O202841" s="9"/>
    </row>
    <row r="202862" spans="15:15" x14ac:dyDescent="0.25">
      <c r="O202862" s="9"/>
    </row>
    <row r="202883" spans="15:15" x14ac:dyDescent="0.25">
      <c r="O202883" s="9"/>
    </row>
    <row r="202904" spans="15:15" x14ac:dyDescent="0.25">
      <c r="O202904" s="9"/>
    </row>
    <row r="202925" spans="15:15" x14ac:dyDescent="0.25">
      <c r="O202925" s="9"/>
    </row>
    <row r="202946" spans="15:15" x14ac:dyDescent="0.25">
      <c r="O202946" s="9"/>
    </row>
    <row r="202967" spans="15:15" x14ac:dyDescent="0.25">
      <c r="O202967" s="9"/>
    </row>
    <row r="202988" spans="15:15" x14ac:dyDescent="0.25">
      <c r="O202988" s="9"/>
    </row>
    <row r="203009" spans="15:15" x14ac:dyDescent="0.25">
      <c r="O203009" s="9"/>
    </row>
    <row r="203030" spans="15:15" x14ac:dyDescent="0.25">
      <c r="O203030" s="9"/>
    </row>
    <row r="203051" spans="15:15" x14ac:dyDescent="0.25">
      <c r="O203051" s="9"/>
    </row>
    <row r="203072" spans="15:15" x14ac:dyDescent="0.25">
      <c r="O203072" s="9"/>
    </row>
    <row r="203093" spans="15:15" x14ac:dyDescent="0.25">
      <c r="O203093" s="9"/>
    </row>
    <row r="203114" spans="15:15" x14ac:dyDescent="0.25">
      <c r="O203114" s="9"/>
    </row>
    <row r="203135" spans="15:15" x14ac:dyDescent="0.25">
      <c r="O203135" s="9"/>
    </row>
    <row r="203156" spans="15:15" x14ac:dyDescent="0.25">
      <c r="O203156" s="9"/>
    </row>
    <row r="203177" spans="15:15" x14ac:dyDescent="0.25">
      <c r="O203177" s="9"/>
    </row>
    <row r="203198" spans="15:15" x14ac:dyDescent="0.25">
      <c r="O203198" s="9"/>
    </row>
    <row r="203219" spans="15:15" x14ac:dyDescent="0.25">
      <c r="O203219" s="9"/>
    </row>
    <row r="203240" spans="15:15" x14ac:dyDescent="0.25">
      <c r="O203240" s="9"/>
    </row>
    <row r="203261" spans="15:15" x14ac:dyDescent="0.25">
      <c r="O203261" s="9"/>
    </row>
    <row r="203282" spans="15:15" x14ac:dyDescent="0.25">
      <c r="O203282" s="9"/>
    </row>
    <row r="203303" spans="15:15" x14ac:dyDescent="0.25">
      <c r="O203303" s="9"/>
    </row>
    <row r="203324" spans="15:15" x14ac:dyDescent="0.25">
      <c r="O203324" s="9"/>
    </row>
    <row r="203345" spans="15:15" x14ac:dyDescent="0.25">
      <c r="O203345" s="9"/>
    </row>
    <row r="203366" spans="15:15" x14ac:dyDescent="0.25">
      <c r="O203366" s="9"/>
    </row>
    <row r="203387" spans="15:15" x14ac:dyDescent="0.25">
      <c r="O203387" s="9"/>
    </row>
    <row r="203408" spans="15:15" x14ac:dyDescent="0.25">
      <c r="O203408" s="9"/>
    </row>
    <row r="203429" spans="15:15" x14ac:dyDescent="0.25">
      <c r="O203429" s="9"/>
    </row>
    <row r="203450" spans="15:15" x14ac:dyDescent="0.25">
      <c r="O203450" s="9"/>
    </row>
    <row r="203471" spans="15:15" x14ac:dyDescent="0.25">
      <c r="O203471" s="9"/>
    </row>
    <row r="203492" spans="15:15" x14ac:dyDescent="0.25">
      <c r="O203492" s="9"/>
    </row>
    <row r="203513" spans="15:15" x14ac:dyDescent="0.25">
      <c r="O203513" s="9"/>
    </row>
    <row r="203534" spans="15:15" x14ac:dyDescent="0.25">
      <c r="O203534" s="9"/>
    </row>
    <row r="203555" spans="15:15" x14ac:dyDescent="0.25">
      <c r="O203555" s="9"/>
    </row>
    <row r="203576" spans="15:15" x14ac:dyDescent="0.25">
      <c r="O203576" s="9"/>
    </row>
    <row r="203597" spans="15:15" x14ac:dyDescent="0.25">
      <c r="O203597" s="9"/>
    </row>
    <row r="203618" spans="15:15" x14ac:dyDescent="0.25">
      <c r="O203618" s="9"/>
    </row>
    <row r="203639" spans="15:15" x14ac:dyDescent="0.25">
      <c r="O203639" s="9"/>
    </row>
    <row r="203660" spans="15:15" x14ac:dyDescent="0.25">
      <c r="O203660" s="9"/>
    </row>
    <row r="203681" spans="15:15" x14ac:dyDescent="0.25">
      <c r="O203681" s="9"/>
    </row>
    <row r="203702" spans="15:15" x14ac:dyDescent="0.25">
      <c r="O203702" s="9"/>
    </row>
    <row r="203723" spans="15:15" x14ac:dyDescent="0.25">
      <c r="O203723" s="9"/>
    </row>
    <row r="203744" spans="15:15" x14ac:dyDescent="0.25">
      <c r="O203744" s="9"/>
    </row>
    <row r="203765" spans="15:15" x14ac:dyDescent="0.25">
      <c r="O203765" s="9"/>
    </row>
    <row r="203786" spans="15:15" x14ac:dyDescent="0.25">
      <c r="O203786" s="9"/>
    </row>
    <row r="203807" spans="15:15" x14ac:dyDescent="0.25">
      <c r="O203807" s="9"/>
    </row>
    <row r="203828" spans="15:15" x14ac:dyDescent="0.25">
      <c r="O203828" s="9"/>
    </row>
    <row r="203849" spans="15:15" x14ac:dyDescent="0.25">
      <c r="O203849" s="9"/>
    </row>
    <row r="203870" spans="15:15" x14ac:dyDescent="0.25">
      <c r="O203870" s="9"/>
    </row>
    <row r="203891" spans="15:15" x14ac:dyDescent="0.25">
      <c r="O203891" s="9"/>
    </row>
    <row r="203912" spans="15:15" x14ac:dyDescent="0.25">
      <c r="O203912" s="9"/>
    </row>
    <row r="203933" spans="15:15" x14ac:dyDescent="0.25">
      <c r="O203933" s="9"/>
    </row>
    <row r="203954" spans="15:15" x14ac:dyDescent="0.25">
      <c r="O203954" s="9"/>
    </row>
    <row r="203975" spans="15:15" x14ac:dyDescent="0.25">
      <c r="O203975" s="9"/>
    </row>
    <row r="203996" spans="15:15" x14ac:dyDescent="0.25">
      <c r="O203996" s="9"/>
    </row>
    <row r="204017" spans="15:15" x14ac:dyDescent="0.25">
      <c r="O204017" s="9"/>
    </row>
    <row r="204038" spans="15:15" x14ac:dyDescent="0.25">
      <c r="O204038" s="9"/>
    </row>
    <row r="204059" spans="15:15" x14ac:dyDescent="0.25">
      <c r="O204059" s="9"/>
    </row>
    <row r="204080" spans="15:15" x14ac:dyDescent="0.25">
      <c r="O204080" s="9"/>
    </row>
    <row r="204101" spans="15:15" x14ac:dyDescent="0.25">
      <c r="O204101" s="9"/>
    </row>
    <row r="204122" spans="15:15" x14ac:dyDescent="0.25">
      <c r="O204122" s="9"/>
    </row>
    <row r="204143" spans="15:15" x14ac:dyDescent="0.25">
      <c r="O204143" s="9"/>
    </row>
    <row r="204164" spans="15:15" x14ac:dyDescent="0.25">
      <c r="O204164" s="9"/>
    </row>
    <row r="204185" spans="15:15" x14ac:dyDescent="0.25">
      <c r="O204185" s="9"/>
    </row>
    <row r="204206" spans="15:15" x14ac:dyDescent="0.25">
      <c r="O204206" s="9"/>
    </row>
    <row r="204227" spans="15:15" x14ac:dyDescent="0.25">
      <c r="O204227" s="9"/>
    </row>
    <row r="204248" spans="15:15" x14ac:dyDescent="0.25">
      <c r="O204248" s="9"/>
    </row>
    <row r="204269" spans="15:15" x14ac:dyDescent="0.25">
      <c r="O204269" s="9"/>
    </row>
    <row r="204290" spans="15:15" x14ac:dyDescent="0.25">
      <c r="O204290" s="9"/>
    </row>
    <row r="204311" spans="15:15" x14ac:dyDescent="0.25">
      <c r="O204311" s="9"/>
    </row>
    <row r="204332" spans="15:15" x14ac:dyDescent="0.25">
      <c r="O204332" s="9"/>
    </row>
    <row r="204353" spans="15:15" x14ac:dyDescent="0.25">
      <c r="O204353" s="9"/>
    </row>
    <row r="204374" spans="15:15" x14ac:dyDescent="0.25">
      <c r="O204374" s="9"/>
    </row>
    <row r="204395" spans="15:15" x14ac:dyDescent="0.25">
      <c r="O204395" s="9"/>
    </row>
    <row r="204416" spans="15:15" x14ac:dyDescent="0.25">
      <c r="O204416" s="9"/>
    </row>
    <row r="204437" spans="15:15" x14ac:dyDescent="0.25">
      <c r="O204437" s="9"/>
    </row>
    <row r="204458" spans="15:15" x14ac:dyDescent="0.25">
      <c r="O204458" s="9"/>
    </row>
    <row r="204479" spans="15:15" x14ac:dyDescent="0.25">
      <c r="O204479" s="9"/>
    </row>
    <row r="204500" spans="15:15" x14ac:dyDescent="0.25">
      <c r="O204500" s="9"/>
    </row>
    <row r="204521" spans="15:15" x14ac:dyDescent="0.25">
      <c r="O204521" s="9"/>
    </row>
    <row r="204542" spans="15:15" x14ac:dyDescent="0.25">
      <c r="O204542" s="9"/>
    </row>
    <row r="204563" spans="15:15" x14ac:dyDescent="0.25">
      <c r="O204563" s="9"/>
    </row>
    <row r="204584" spans="15:15" x14ac:dyDescent="0.25">
      <c r="O204584" s="9"/>
    </row>
    <row r="204605" spans="15:15" x14ac:dyDescent="0.25">
      <c r="O204605" s="9"/>
    </row>
    <row r="204626" spans="15:15" x14ac:dyDescent="0.25">
      <c r="O204626" s="9"/>
    </row>
    <row r="204647" spans="15:15" x14ac:dyDescent="0.25">
      <c r="O204647" s="9"/>
    </row>
    <row r="204668" spans="15:15" x14ac:dyDescent="0.25">
      <c r="O204668" s="9"/>
    </row>
    <row r="204689" spans="15:15" x14ac:dyDescent="0.25">
      <c r="O204689" s="9"/>
    </row>
    <row r="204710" spans="15:15" x14ac:dyDescent="0.25">
      <c r="O204710" s="9"/>
    </row>
    <row r="204731" spans="15:15" x14ac:dyDescent="0.25">
      <c r="O204731" s="9"/>
    </row>
    <row r="204752" spans="15:15" x14ac:dyDescent="0.25">
      <c r="O204752" s="9"/>
    </row>
    <row r="204773" spans="15:15" x14ac:dyDescent="0.25">
      <c r="O204773" s="9"/>
    </row>
    <row r="204794" spans="15:15" x14ac:dyDescent="0.25">
      <c r="O204794" s="9"/>
    </row>
    <row r="204815" spans="15:15" x14ac:dyDescent="0.25">
      <c r="O204815" s="9"/>
    </row>
    <row r="204836" spans="15:15" x14ac:dyDescent="0.25">
      <c r="O204836" s="9"/>
    </row>
    <row r="204857" spans="15:15" x14ac:dyDescent="0.25">
      <c r="O204857" s="9"/>
    </row>
    <row r="204878" spans="15:15" x14ac:dyDescent="0.25">
      <c r="O204878" s="9"/>
    </row>
    <row r="204899" spans="15:15" x14ac:dyDescent="0.25">
      <c r="O204899" s="9"/>
    </row>
    <row r="204920" spans="15:15" x14ac:dyDescent="0.25">
      <c r="O204920" s="9"/>
    </row>
    <row r="204941" spans="15:15" x14ac:dyDescent="0.25">
      <c r="O204941" s="9"/>
    </row>
    <row r="204962" spans="15:15" x14ac:dyDescent="0.25">
      <c r="O204962" s="9"/>
    </row>
    <row r="204983" spans="15:15" x14ac:dyDescent="0.25">
      <c r="O204983" s="9"/>
    </row>
    <row r="205004" spans="15:15" x14ac:dyDescent="0.25">
      <c r="O205004" s="9"/>
    </row>
    <row r="205025" spans="15:15" x14ac:dyDescent="0.25">
      <c r="O205025" s="9"/>
    </row>
    <row r="205046" spans="15:15" x14ac:dyDescent="0.25">
      <c r="O205046" s="9"/>
    </row>
    <row r="205067" spans="15:15" x14ac:dyDescent="0.25">
      <c r="O205067" s="9"/>
    </row>
    <row r="205088" spans="15:15" x14ac:dyDescent="0.25">
      <c r="O205088" s="9"/>
    </row>
    <row r="205109" spans="15:15" x14ac:dyDescent="0.25">
      <c r="O205109" s="9"/>
    </row>
    <row r="205130" spans="15:15" x14ac:dyDescent="0.25">
      <c r="O205130" s="9"/>
    </row>
    <row r="205151" spans="15:15" x14ac:dyDescent="0.25">
      <c r="O205151" s="9"/>
    </row>
    <row r="205172" spans="15:15" x14ac:dyDescent="0.25">
      <c r="O205172" s="9"/>
    </row>
    <row r="205193" spans="15:15" x14ac:dyDescent="0.25">
      <c r="O205193" s="9"/>
    </row>
    <row r="205214" spans="15:15" x14ac:dyDescent="0.25">
      <c r="O205214" s="9"/>
    </row>
    <row r="205235" spans="15:15" x14ac:dyDescent="0.25">
      <c r="O205235" s="9"/>
    </row>
    <row r="205256" spans="15:15" x14ac:dyDescent="0.25">
      <c r="O205256" s="9"/>
    </row>
    <row r="205277" spans="15:15" x14ac:dyDescent="0.25">
      <c r="O205277" s="9"/>
    </row>
    <row r="205298" spans="15:15" x14ac:dyDescent="0.25">
      <c r="O205298" s="9"/>
    </row>
    <row r="205319" spans="15:15" x14ac:dyDescent="0.25">
      <c r="O205319" s="9"/>
    </row>
    <row r="205340" spans="15:15" x14ac:dyDescent="0.25">
      <c r="O205340" s="9"/>
    </row>
    <row r="205361" spans="15:15" x14ac:dyDescent="0.25">
      <c r="O205361" s="9"/>
    </row>
    <row r="205382" spans="15:15" x14ac:dyDescent="0.25">
      <c r="O205382" s="9"/>
    </row>
    <row r="205403" spans="15:15" x14ac:dyDescent="0.25">
      <c r="O205403" s="9"/>
    </row>
    <row r="205424" spans="15:15" x14ac:dyDescent="0.25">
      <c r="O205424" s="9"/>
    </row>
    <row r="205445" spans="15:15" x14ac:dyDescent="0.25">
      <c r="O205445" s="9"/>
    </row>
    <row r="205466" spans="15:15" x14ac:dyDescent="0.25">
      <c r="O205466" s="9"/>
    </row>
    <row r="205487" spans="15:15" x14ac:dyDescent="0.25">
      <c r="O205487" s="9"/>
    </row>
    <row r="205508" spans="15:15" x14ac:dyDescent="0.25">
      <c r="O205508" s="9"/>
    </row>
    <row r="205529" spans="15:15" x14ac:dyDescent="0.25">
      <c r="O205529" s="9"/>
    </row>
    <row r="205550" spans="15:15" x14ac:dyDescent="0.25">
      <c r="O205550" s="9"/>
    </row>
    <row r="205571" spans="15:15" x14ac:dyDescent="0.25">
      <c r="O205571" s="9"/>
    </row>
    <row r="205592" spans="15:15" x14ac:dyDescent="0.25">
      <c r="O205592" s="9"/>
    </row>
    <row r="205613" spans="15:15" x14ac:dyDescent="0.25">
      <c r="O205613" s="9"/>
    </row>
    <row r="205634" spans="15:15" x14ac:dyDescent="0.25">
      <c r="O205634" s="9"/>
    </row>
    <row r="205655" spans="15:15" x14ac:dyDescent="0.25">
      <c r="O205655" s="9"/>
    </row>
    <row r="205676" spans="15:15" x14ac:dyDescent="0.25">
      <c r="O205676" s="9"/>
    </row>
    <row r="205697" spans="15:15" x14ac:dyDescent="0.25">
      <c r="O205697" s="9"/>
    </row>
    <row r="205718" spans="15:15" x14ac:dyDescent="0.25">
      <c r="O205718" s="9"/>
    </row>
    <row r="205739" spans="15:15" x14ac:dyDescent="0.25">
      <c r="O205739" s="9"/>
    </row>
    <row r="205760" spans="15:15" x14ac:dyDescent="0.25">
      <c r="O205760" s="9"/>
    </row>
    <row r="205781" spans="15:15" x14ac:dyDescent="0.25">
      <c r="O205781" s="9"/>
    </row>
    <row r="205802" spans="15:15" x14ac:dyDescent="0.25">
      <c r="O205802" s="9"/>
    </row>
    <row r="205823" spans="15:15" x14ac:dyDescent="0.25">
      <c r="O205823" s="9"/>
    </row>
    <row r="205844" spans="15:15" x14ac:dyDescent="0.25">
      <c r="O205844" s="9"/>
    </row>
    <row r="205865" spans="15:15" x14ac:dyDescent="0.25">
      <c r="O205865" s="9"/>
    </row>
    <row r="205886" spans="15:15" x14ac:dyDescent="0.25">
      <c r="O205886" s="9"/>
    </row>
    <row r="205907" spans="15:15" x14ac:dyDescent="0.25">
      <c r="O205907" s="9"/>
    </row>
    <row r="205928" spans="15:15" x14ac:dyDescent="0.25">
      <c r="O205928" s="9"/>
    </row>
    <row r="205949" spans="15:15" x14ac:dyDescent="0.25">
      <c r="O205949" s="9"/>
    </row>
    <row r="205970" spans="15:15" x14ac:dyDescent="0.25">
      <c r="O205970" s="9"/>
    </row>
    <row r="205991" spans="15:15" x14ac:dyDescent="0.25">
      <c r="O205991" s="9"/>
    </row>
    <row r="206012" spans="15:15" x14ac:dyDescent="0.25">
      <c r="O206012" s="9"/>
    </row>
    <row r="206033" spans="15:15" x14ac:dyDescent="0.25">
      <c r="O206033" s="9"/>
    </row>
    <row r="206054" spans="15:15" x14ac:dyDescent="0.25">
      <c r="O206054" s="9"/>
    </row>
    <row r="206075" spans="15:15" x14ac:dyDescent="0.25">
      <c r="O206075" s="9"/>
    </row>
    <row r="206096" spans="15:15" x14ac:dyDescent="0.25">
      <c r="O206096" s="9"/>
    </row>
    <row r="206117" spans="15:15" x14ac:dyDescent="0.25">
      <c r="O206117" s="9"/>
    </row>
    <row r="206138" spans="15:15" x14ac:dyDescent="0.25">
      <c r="O206138" s="9"/>
    </row>
    <row r="206159" spans="15:15" x14ac:dyDescent="0.25">
      <c r="O206159" s="9"/>
    </row>
    <row r="206180" spans="15:15" x14ac:dyDescent="0.25">
      <c r="O206180" s="9"/>
    </row>
    <row r="206201" spans="15:15" x14ac:dyDescent="0.25">
      <c r="O206201" s="9"/>
    </row>
    <row r="206222" spans="15:15" x14ac:dyDescent="0.25">
      <c r="O206222" s="9"/>
    </row>
    <row r="206243" spans="15:15" x14ac:dyDescent="0.25">
      <c r="O206243" s="9"/>
    </row>
    <row r="206264" spans="15:15" x14ac:dyDescent="0.25">
      <c r="O206264" s="9"/>
    </row>
    <row r="206285" spans="15:15" x14ac:dyDescent="0.25">
      <c r="O206285" s="9"/>
    </row>
    <row r="206306" spans="15:15" x14ac:dyDescent="0.25">
      <c r="O206306" s="9"/>
    </row>
    <row r="206327" spans="15:15" x14ac:dyDescent="0.25">
      <c r="O206327" s="9"/>
    </row>
    <row r="206348" spans="15:15" x14ac:dyDescent="0.25">
      <c r="O206348" s="9"/>
    </row>
    <row r="206369" spans="15:15" x14ac:dyDescent="0.25">
      <c r="O206369" s="9"/>
    </row>
    <row r="206390" spans="15:15" x14ac:dyDescent="0.25">
      <c r="O206390" s="9"/>
    </row>
    <row r="206411" spans="15:15" x14ac:dyDescent="0.25">
      <c r="O206411" s="9"/>
    </row>
    <row r="206432" spans="15:15" x14ac:dyDescent="0.25">
      <c r="O206432" s="9"/>
    </row>
    <row r="206453" spans="15:15" x14ac:dyDescent="0.25">
      <c r="O206453" s="9"/>
    </row>
    <row r="206474" spans="15:15" x14ac:dyDescent="0.25">
      <c r="O206474" s="9"/>
    </row>
    <row r="206495" spans="15:15" x14ac:dyDescent="0.25">
      <c r="O206495" s="9"/>
    </row>
    <row r="206516" spans="15:15" x14ac:dyDescent="0.25">
      <c r="O206516" s="9"/>
    </row>
    <row r="206537" spans="15:15" x14ac:dyDescent="0.25">
      <c r="O206537" s="9"/>
    </row>
    <row r="206558" spans="15:15" x14ac:dyDescent="0.25">
      <c r="O206558" s="9"/>
    </row>
    <row r="206579" spans="15:15" x14ac:dyDescent="0.25">
      <c r="O206579" s="9"/>
    </row>
    <row r="206600" spans="15:15" x14ac:dyDescent="0.25">
      <c r="O206600" s="9"/>
    </row>
    <row r="206621" spans="15:15" x14ac:dyDescent="0.25">
      <c r="O206621" s="9"/>
    </row>
    <row r="206642" spans="15:15" x14ac:dyDescent="0.25">
      <c r="O206642" s="9"/>
    </row>
    <row r="206663" spans="15:15" x14ac:dyDescent="0.25">
      <c r="O206663" s="9"/>
    </row>
    <row r="206684" spans="15:15" x14ac:dyDescent="0.25">
      <c r="O206684" s="9"/>
    </row>
    <row r="206705" spans="15:15" x14ac:dyDescent="0.25">
      <c r="O206705" s="9"/>
    </row>
    <row r="206726" spans="15:15" x14ac:dyDescent="0.25">
      <c r="O206726" s="9"/>
    </row>
    <row r="206747" spans="15:15" x14ac:dyDescent="0.25">
      <c r="O206747" s="9"/>
    </row>
    <row r="206768" spans="15:15" x14ac:dyDescent="0.25">
      <c r="O206768" s="9"/>
    </row>
    <row r="206789" spans="15:15" x14ac:dyDescent="0.25">
      <c r="O206789" s="9"/>
    </row>
    <row r="206810" spans="15:15" x14ac:dyDescent="0.25">
      <c r="O206810" s="9"/>
    </row>
    <row r="206831" spans="15:15" x14ac:dyDescent="0.25">
      <c r="O206831" s="9"/>
    </row>
    <row r="206852" spans="15:15" x14ac:dyDescent="0.25">
      <c r="O206852" s="9"/>
    </row>
    <row r="206873" spans="15:15" x14ac:dyDescent="0.25">
      <c r="O206873" s="9"/>
    </row>
    <row r="206894" spans="15:15" x14ac:dyDescent="0.25">
      <c r="O206894" s="9"/>
    </row>
    <row r="206915" spans="15:15" x14ac:dyDescent="0.25">
      <c r="O206915" s="9"/>
    </row>
    <row r="206936" spans="15:15" x14ac:dyDescent="0.25">
      <c r="O206936" s="9"/>
    </row>
    <row r="206957" spans="15:15" x14ac:dyDescent="0.25">
      <c r="O206957" s="9"/>
    </row>
    <row r="206978" spans="15:15" x14ac:dyDescent="0.25">
      <c r="O206978" s="9"/>
    </row>
    <row r="206999" spans="15:15" x14ac:dyDescent="0.25">
      <c r="O206999" s="9"/>
    </row>
    <row r="207020" spans="15:15" x14ac:dyDescent="0.25">
      <c r="O207020" s="9"/>
    </row>
    <row r="207041" spans="15:15" x14ac:dyDescent="0.25">
      <c r="O207041" s="9"/>
    </row>
    <row r="207062" spans="15:15" x14ac:dyDescent="0.25">
      <c r="O207062" s="9"/>
    </row>
    <row r="207083" spans="15:15" x14ac:dyDescent="0.25">
      <c r="O207083" s="9"/>
    </row>
    <row r="207104" spans="15:15" x14ac:dyDescent="0.25">
      <c r="O207104" s="9"/>
    </row>
    <row r="207125" spans="15:15" x14ac:dyDescent="0.25">
      <c r="O207125" s="9"/>
    </row>
    <row r="207146" spans="15:15" x14ac:dyDescent="0.25">
      <c r="O207146" s="9"/>
    </row>
    <row r="207167" spans="15:15" x14ac:dyDescent="0.25">
      <c r="O207167" s="9"/>
    </row>
    <row r="207188" spans="15:15" x14ac:dyDescent="0.25">
      <c r="O207188" s="9"/>
    </row>
    <row r="207209" spans="15:15" x14ac:dyDescent="0.25">
      <c r="O207209" s="9"/>
    </row>
    <row r="207230" spans="15:15" x14ac:dyDescent="0.25">
      <c r="O207230" s="9"/>
    </row>
    <row r="207251" spans="15:15" x14ac:dyDescent="0.25">
      <c r="O207251" s="9"/>
    </row>
    <row r="207272" spans="15:15" x14ac:dyDescent="0.25">
      <c r="O207272" s="9"/>
    </row>
    <row r="207293" spans="15:15" x14ac:dyDescent="0.25">
      <c r="O207293" s="9"/>
    </row>
    <row r="207314" spans="15:15" x14ac:dyDescent="0.25">
      <c r="O207314" s="9"/>
    </row>
    <row r="207335" spans="15:15" x14ac:dyDescent="0.25">
      <c r="O207335" s="9"/>
    </row>
    <row r="207356" spans="15:15" x14ac:dyDescent="0.25">
      <c r="O207356" s="9"/>
    </row>
    <row r="207377" spans="15:15" x14ac:dyDescent="0.25">
      <c r="O207377" s="9"/>
    </row>
    <row r="207398" spans="15:15" x14ac:dyDescent="0.25">
      <c r="O207398" s="9"/>
    </row>
    <row r="207419" spans="15:15" x14ac:dyDescent="0.25">
      <c r="O207419" s="9"/>
    </row>
    <row r="207440" spans="15:15" x14ac:dyDescent="0.25">
      <c r="O207440" s="9"/>
    </row>
    <row r="207461" spans="15:15" x14ac:dyDescent="0.25">
      <c r="O207461" s="9"/>
    </row>
    <row r="207482" spans="15:15" x14ac:dyDescent="0.25">
      <c r="O207482" s="9"/>
    </row>
    <row r="207503" spans="15:15" x14ac:dyDescent="0.25">
      <c r="O207503" s="9"/>
    </row>
    <row r="207524" spans="15:15" x14ac:dyDescent="0.25">
      <c r="O207524" s="9"/>
    </row>
    <row r="207545" spans="15:15" x14ac:dyDescent="0.25">
      <c r="O207545" s="9"/>
    </row>
    <row r="207566" spans="15:15" x14ac:dyDescent="0.25">
      <c r="O207566" s="9"/>
    </row>
    <row r="207587" spans="15:15" x14ac:dyDescent="0.25">
      <c r="O207587" s="9"/>
    </row>
    <row r="207608" spans="15:15" x14ac:dyDescent="0.25">
      <c r="O207608" s="9"/>
    </row>
    <row r="207629" spans="15:15" x14ac:dyDescent="0.25">
      <c r="O207629" s="9"/>
    </row>
    <row r="207650" spans="15:15" x14ac:dyDescent="0.25">
      <c r="O207650" s="9"/>
    </row>
    <row r="207671" spans="15:15" x14ac:dyDescent="0.25">
      <c r="O207671" s="9"/>
    </row>
    <row r="207692" spans="15:15" x14ac:dyDescent="0.25">
      <c r="O207692" s="9"/>
    </row>
    <row r="207713" spans="15:15" x14ac:dyDescent="0.25">
      <c r="O207713" s="9"/>
    </row>
    <row r="207734" spans="15:15" x14ac:dyDescent="0.25">
      <c r="O207734" s="9"/>
    </row>
    <row r="207755" spans="15:15" x14ac:dyDescent="0.25">
      <c r="O207755" s="9"/>
    </row>
    <row r="207776" spans="15:15" x14ac:dyDescent="0.25">
      <c r="O207776" s="9"/>
    </row>
    <row r="207797" spans="15:15" x14ac:dyDescent="0.25">
      <c r="O207797" s="9"/>
    </row>
    <row r="207818" spans="15:15" x14ac:dyDescent="0.25">
      <c r="O207818" s="9"/>
    </row>
    <row r="207839" spans="15:15" x14ac:dyDescent="0.25">
      <c r="O207839" s="9"/>
    </row>
    <row r="207860" spans="15:15" x14ac:dyDescent="0.25">
      <c r="O207860" s="9"/>
    </row>
    <row r="207881" spans="15:15" x14ac:dyDescent="0.25">
      <c r="O207881" s="9"/>
    </row>
    <row r="207902" spans="15:15" x14ac:dyDescent="0.25">
      <c r="O207902" s="9"/>
    </row>
    <row r="207923" spans="15:15" x14ac:dyDescent="0.25">
      <c r="O207923" s="9"/>
    </row>
    <row r="207944" spans="15:15" x14ac:dyDescent="0.25">
      <c r="O207944" s="9"/>
    </row>
    <row r="207965" spans="15:15" x14ac:dyDescent="0.25">
      <c r="O207965" s="9"/>
    </row>
    <row r="207986" spans="15:15" x14ac:dyDescent="0.25">
      <c r="O207986" s="9"/>
    </row>
    <row r="208007" spans="15:15" x14ac:dyDescent="0.25">
      <c r="O208007" s="9"/>
    </row>
    <row r="208028" spans="15:15" x14ac:dyDescent="0.25">
      <c r="O208028" s="9"/>
    </row>
    <row r="208049" spans="15:15" x14ac:dyDescent="0.25">
      <c r="O208049" s="9"/>
    </row>
    <row r="208070" spans="15:15" x14ac:dyDescent="0.25">
      <c r="O208070" s="9"/>
    </row>
    <row r="208091" spans="15:15" x14ac:dyDescent="0.25">
      <c r="O208091" s="9"/>
    </row>
    <row r="208112" spans="15:15" x14ac:dyDescent="0.25">
      <c r="O208112" s="9"/>
    </row>
    <row r="208133" spans="15:15" x14ac:dyDescent="0.25">
      <c r="O208133" s="9"/>
    </row>
    <row r="208154" spans="15:15" x14ac:dyDescent="0.25">
      <c r="O208154" s="9"/>
    </row>
    <row r="208175" spans="15:15" x14ac:dyDescent="0.25">
      <c r="O208175" s="9"/>
    </row>
    <row r="208196" spans="15:15" x14ac:dyDescent="0.25">
      <c r="O208196" s="9"/>
    </row>
    <row r="208217" spans="15:15" x14ac:dyDescent="0.25">
      <c r="O208217" s="9"/>
    </row>
    <row r="208238" spans="15:15" x14ac:dyDescent="0.25">
      <c r="O208238" s="9"/>
    </row>
    <row r="208259" spans="15:15" x14ac:dyDescent="0.25">
      <c r="O208259" s="9"/>
    </row>
    <row r="208280" spans="15:15" x14ac:dyDescent="0.25">
      <c r="O208280" s="9"/>
    </row>
    <row r="208301" spans="15:15" x14ac:dyDescent="0.25">
      <c r="O208301" s="9"/>
    </row>
    <row r="208322" spans="15:15" x14ac:dyDescent="0.25">
      <c r="O208322" s="9"/>
    </row>
    <row r="208343" spans="15:15" x14ac:dyDescent="0.25">
      <c r="O208343" s="9"/>
    </row>
    <row r="208364" spans="15:15" x14ac:dyDescent="0.25">
      <c r="O208364" s="9"/>
    </row>
    <row r="208385" spans="15:15" x14ac:dyDescent="0.25">
      <c r="O208385" s="9"/>
    </row>
    <row r="208406" spans="15:15" x14ac:dyDescent="0.25">
      <c r="O208406" s="9"/>
    </row>
    <row r="208427" spans="15:15" x14ac:dyDescent="0.25">
      <c r="O208427" s="9"/>
    </row>
    <row r="208448" spans="15:15" x14ac:dyDescent="0.25">
      <c r="O208448" s="9"/>
    </row>
    <row r="208469" spans="15:15" x14ac:dyDescent="0.25">
      <c r="O208469" s="9"/>
    </row>
    <row r="208490" spans="15:15" x14ac:dyDescent="0.25">
      <c r="O208490" s="9"/>
    </row>
    <row r="208511" spans="15:15" x14ac:dyDescent="0.25">
      <c r="O208511" s="9"/>
    </row>
    <row r="208532" spans="15:15" x14ac:dyDescent="0.25">
      <c r="O208532" s="9"/>
    </row>
    <row r="208553" spans="15:15" x14ac:dyDescent="0.25">
      <c r="O208553" s="9"/>
    </row>
    <row r="208574" spans="15:15" x14ac:dyDescent="0.25">
      <c r="O208574" s="9"/>
    </row>
    <row r="208595" spans="15:15" x14ac:dyDescent="0.25">
      <c r="O208595" s="9"/>
    </row>
    <row r="208616" spans="15:15" x14ac:dyDescent="0.25">
      <c r="O208616" s="9"/>
    </row>
    <row r="208637" spans="15:15" x14ac:dyDescent="0.25">
      <c r="O208637" s="9"/>
    </row>
    <row r="208658" spans="15:15" x14ac:dyDescent="0.25">
      <c r="O208658" s="9"/>
    </row>
    <row r="208679" spans="15:15" x14ac:dyDescent="0.25">
      <c r="O208679" s="9"/>
    </row>
    <row r="208700" spans="15:15" x14ac:dyDescent="0.25">
      <c r="O208700" s="9"/>
    </row>
    <row r="208721" spans="15:15" x14ac:dyDescent="0.25">
      <c r="O208721" s="9"/>
    </row>
    <row r="208742" spans="15:15" x14ac:dyDescent="0.25">
      <c r="O208742" s="9"/>
    </row>
    <row r="208763" spans="15:15" x14ac:dyDescent="0.25">
      <c r="O208763" s="9"/>
    </row>
    <row r="208784" spans="15:15" x14ac:dyDescent="0.25">
      <c r="O208784" s="9"/>
    </row>
    <row r="208805" spans="15:15" x14ac:dyDescent="0.25">
      <c r="O208805" s="9"/>
    </row>
    <row r="208826" spans="15:15" x14ac:dyDescent="0.25">
      <c r="O208826" s="9"/>
    </row>
    <row r="208847" spans="15:15" x14ac:dyDescent="0.25">
      <c r="O208847" s="9"/>
    </row>
    <row r="208868" spans="15:15" x14ac:dyDescent="0.25">
      <c r="O208868" s="9"/>
    </row>
    <row r="208889" spans="15:15" x14ac:dyDescent="0.25">
      <c r="O208889" s="9"/>
    </row>
    <row r="208910" spans="15:15" x14ac:dyDescent="0.25">
      <c r="O208910" s="9"/>
    </row>
    <row r="208931" spans="15:15" x14ac:dyDescent="0.25">
      <c r="O208931" s="9"/>
    </row>
    <row r="208952" spans="15:15" x14ac:dyDescent="0.25">
      <c r="O208952" s="9"/>
    </row>
    <row r="208973" spans="15:15" x14ac:dyDescent="0.25">
      <c r="O208973" s="9"/>
    </row>
    <row r="208994" spans="15:15" x14ac:dyDescent="0.25">
      <c r="O208994" s="9"/>
    </row>
    <row r="209015" spans="15:15" x14ac:dyDescent="0.25">
      <c r="O209015" s="9"/>
    </row>
    <row r="209036" spans="15:15" x14ac:dyDescent="0.25">
      <c r="O209036" s="9"/>
    </row>
    <row r="209057" spans="15:15" x14ac:dyDescent="0.25">
      <c r="O209057" s="9"/>
    </row>
    <row r="209078" spans="15:15" x14ac:dyDescent="0.25">
      <c r="O209078" s="9"/>
    </row>
    <row r="209099" spans="15:15" x14ac:dyDescent="0.25">
      <c r="O209099" s="9"/>
    </row>
    <row r="209120" spans="15:15" x14ac:dyDescent="0.25">
      <c r="O209120" s="9"/>
    </row>
    <row r="209141" spans="15:15" x14ac:dyDescent="0.25">
      <c r="O209141" s="9"/>
    </row>
    <row r="209162" spans="15:15" x14ac:dyDescent="0.25">
      <c r="O209162" s="9"/>
    </row>
    <row r="209183" spans="15:15" x14ac:dyDescent="0.25">
      <c r="O209183" s="9"/>
    </row>
    <row r="209204" spans="15:15" x14ac:dyDescent="0.25">
      <c r="O209204" s="9"/>
    </row>
    <row r="209225" spans="15:15" x14ac:dyDescent="0.25">
      <c r="O209225" s="9"/>
    </row>
    <row r="209246" spans="15:15" x14ac:dyDescent="0.25">
      <c r="O209246" s="9"/>
    </row>
    <row r="209267" spans="15:15" x14ac:dyDescent="0.25">
      <c r="O209267" s="9"/>
    </row>
    <row r="209288" spans="15:15" x14ac:dyDescent="0.25">
      <c r="O209288" s="9"/>
    </row>
    <row r="209309" spans="15:15" x14ac:dyDescent="0.25">
      <c r="O209309" s="9"/>
    </row>
    <row r="209330" spans="15:15" x14ac:dyDescent="0.25">
      <c r="O209330" s="9"/>
    </row>
    <row r="209351" spans="15:15" x14ac:dyDescent="0.25">
      <c r="O209351" s="9"/>
    </row>
    <row r="209372" spans="15:15" x14ac:dyDescent="0.25">
      <c r="O209372" s="9"/>
    </row>
    <row r="209393" spans="15:15" x14ac:dyDescent="0.25">
      <c r="O209393" s="9"/>
    </row>
    <row r="209414" spans="15:15" x14ac:dyDescent="0.25">
      <c r="O209414" s="9"/>
    </row>
    <row r="209435" spans="15:15" x14ac:dyDescent="0.25">
      <c r="O209435" s="9"/>
    </row>
    <row r="209456" spans="15:15" x14ac:dyDescent="0.25">
      <c r="O209456" s="9"/>
    </row>
    <row r="209477" spans="15:15" x14ac:dyDescent="0.25">
      <c r="O209477" s="9"/>
    </row>
    <row r="209498" spans="15:15" x14ac:dyDescent="0.25">
      <c r="O209498" s="9"/>
    </row>
    <row r="209519" spans="15:15" x14ac:dyDescent="0.25">
      <c r="O209519" s="9"/>
    </row>
    <row r="209540" spans="15:15" x14ac:dyDescent="0.25">
      <c r="O209540" s="9"/>
    </row>
    <row r="209561" spans="15:15" x14ac:dyDescent="0.25">
      <c r="O209561" s="9"/>
    </row>
    <row r="209582" spans="15:15" x14ac:dyDescent="0.25">
      <c r="O209582" s="9"/>
    </row>
    <row r="209603" spans="15:15" x14ac:dyDescent="0.25">
      <c r="O209603" s="9"/>
    </row>
    <row r="209624" spans="15:15" x14ac:dyDescent="0.25">
      <c r="O209624" s="9"/>
    </row>
    <row r="209645" spans="15:15" x14ac:dyDescent="0.25">
      <c r="O209645" s="9"/>
    </row>
    <row r="209666" spans="15:15" x14ac:dyDescent="0.25">
      <c r="O209666" s="9"/>
    </row>
    <row r="209687" spans="15:15" x14ac:dyDescent="0.25">
      <c r="O209687" s="9"/>
    </row>
    <row r="209708" spans="15:15" x14ac:dyDescent="0.25">
      <c r="O209708" s="9"/>
    </row>
    <row r="209729" spans="15:15" x14ac:dyDescent="0.25">
      <c r="O209729" s="9"/>
    </row>
    <row r="209750" spans="15:15" x14ac:dyDescent="0.25">
      <c r="O209750" s="9"/>
    </row>
    <row r="209771" spans="15:15" x14ac:dyDescent="0.25">
      <c r="O209771" s="9"/>
    </row>
    <row r="209792" spans="15:15" x14ac:dyDescent="0.25">
      <c r="O209792" s="9"/>
    </row>
    <row r="209813" spans="15:15" x14ac:dyDescent="0.25">
      <c r="O209813" s="9"/>
    </row>
    <row r="209834" spans="15:15" x14ac:dyDescent="0.25">
      <c r="O209834" s="9"/>
    </row>
    <row r="209855" spans="15:15" x14ac:dyDescent="0.25">
      <c r="O209855" s="9"/>
    </row>
    <row r="209876" spans="15:15" x14ac:dyDescent="0.25">
      <c r="O209876" s="9"/>
    </row>
    <row r="209897" spans="15:15" x14ac:dyDescent="0.25">
      <c r="O209897" s="9"/>
    </row>
    <row r="209918" spans="15:15" x14ac:dyDescent="0.25">
      <c r="O209918" s="9"/>
    </row>
    <row r="209939" spans="15:15" x14ac:dyDescent="0.25">
      <c r="O209939" s="9"/>
    </row>
    <row r="209960" spans="15:15" x14ac:dyDescent="0.25">
      <c r="O209960" s="9"/>
    </row>
    <row r="209981" spans="15:15" x14ac:dyDescent="0.25">
      <c r="O209981" s="9"/>
    </row>
    <row r="210002" spans="15:15" x14ac:dyDescent="0.25">
      <c r="O210002" s="9"/>
    </row>
    <row r="210023" spans="15:15" x14ac:dyDescent="0.25">
      <c r="O210023" s="9"/>
    </row>
    <row r="210044" spans="15:15" x14ac:dyDescent="0.25">
      <c r="O210044" s="9"/>
    </row>
    <row r="210065" spans="15:15" x14ac:dyDescent="0.25">
      <c r="O210065" s="9"/>
    </row>
    <row r="210086" spans="15:15" x14ac:dyDescent="0.25">
      <c r="O210086" s="9"/>
    </row>
    <row r="210107" spans="15:15" x14ac:dyDescent="0.25">
      <c r="O210107" s="9"/>
    </row>
    <row r="210128" spans="15:15" x14ac:dyDescent="0.25">
      <c r="O210128" s="9"/>
    </row>
    <row r="210149" spans="15:15" x14ac:dyDescent="0.25">
      <c r="O210149" s="9"/>
    </row>
    <row r="210170" spans="15:15" x14ac:dyDescent="0.25">
      <c r="O210170" s="9"/>
    </row>
    <row r="210191" spans="15:15" x14ac:dyDescent="0.25">
      <c r="O210191" s="9"/>
    </row>
    <row r="210212" spans="15:15" x14ac:dyDescent="0.25">
      <c r="O210212" s="9"/>
    </row>
    <row r="210233" spans="15:15" x14ac:dyDescent="0.25">
      <c r="O210233" s="9"/>
    </row>
    <row r="210254" spans="15:15" x14ac:dyDescent="0.25">
      <c r="O210254" s="9"/>
    </row>
    <row r="210275" spans="15:15" x14ac:dyDescent="0.25">
      <c r="O210275" s="9"/>
    </row>
    <row r="210296" spans="15:15" x14ac:dyDescent="0.25">
      <c r="O210296" s="9"/>
    </row>
    <row r="210317" spans="15:15" x14ac:dyDescent="0.25">
      <c r="O210317" s="9"/>
    </row>
    <row r="210338" spans="15:15" x14ac:dyDescent="0.25">
      <c r="O210338" s="9"/>
    </row>
    <row r="210359" spans="15:15" x14ac:dyDescent="0.25">
      <c r="O210359" s="9"/>
    </row>
    <row r="210380" spans="15:15" x14ac:dyDescent="0.25">
      <c r="O210380" s="9"/>
    </row>
    <row r="210401" spans="15:15" x14ac:dyDescent="0.25">
      <c r="O210401" s="9"/>
    </row>
    <row r="210422" spans="15:15" x14ac:dyDescent="0.25">
      <c r="O210422" s="9"/>
    </row>
    <row r="210443" spans="15:15" x14ac:dyDescent="0.25">
      <c r="O210443" s="9"/>
    </row>
    <row r="210464" spans="15:15" x14ac:dyDescent="0.25">
      <c r="O210464" s="9"/>
    </row>
    <row r="210485" spans="15:15" x14ac:dyDescent="0.25">
      <c r="O210485" s="9"/>
    </row>
    <row r="210506" spans="15:15" x14ac:dyDescent="0.25">
      <c r="O210506" s="9"/>
    </row>
    <row r="210527" spans="15:15" x14ac:dyDescent="0.25">
      <c r="O210527" s="9"/>
    </row>
    <row r="210548" spans="15:15" x14ac:dyDescent="0.25">
      <c r="O210548" s="9"/>
    </row>
    <row r="210569" spans="15:15" x14ac:dyDescent="0.25">
      <c r="O210569" s="9"/>
    </row>
    <row r="210590" spans="15:15" x14ac:dyDescent="0.25">
      <c r="O210590" s="9"/>
    </row>
    <row r="210611" spans="15:15" x14ac:dyDescent="0.25">
      <c r="O210611" s="9"/>
    </row>
    <row r="210632" spans="15:15" x14ac:dyDescent="0.25">
      <c r="O210632" s="9"/>
    </row>
    <row r="210653" spans="15:15" x14ac:dyDescent="0.25">
      <c r="O210653" s="9"/>
    </row>
    <row r="210674" spans="15:15" x14ac:dyDescent="0.25">
      <c r="O210674" s="9"/>
    </row>
    <row r="210695" spans="15:15" x14ac:dyDescent="0.25">
      <c r="O210695" s="9"/>
    </row>
    <row r="210716" spans="15:15" x14ac:dyDescent="0.25">
      <c r="O210716" s="9"/>
    </row>
    <row r="210737" spans="15:15" x14ac:dyDescent="0.25">
      <c r="O210737" s="9"/>
    </row>
    <row r="210758" spans="15:15" x14ac:dyDescent="0.25">
      <c r="O210758" s="9"/>
    </row>
    <row r="210779" spans="15:15" x14ac:dyDescent="0.25">
      <c r="O210779" s="9"/>
    </row>
    <row r="210800" spans="15:15" x14ac:dyDescent="0.25">
      <c r="O210800" s="9"/>
    </row>
    <row r="210821" spans="15:15" x14ac:dyDescent="0.25">
      <c r="O210821" s="9"/>
    </row>
    <row r="210842" spans="15:15" x14ac:dyDescent="0.25">
      <c r="O210842" s="9"/>
    </row>
    <row r="210863" spans="15:15" x14ac:dyDescent="0.25">
      <c r="O210863" s="9"/>
    </row>
    <row r="210884" spans="15:15" x14ac:dyDescent="0.25">
      <c r="O210884" s="9"/>
    </row>
    <row r="210905" spans="15:15" x14ac:dyDescent="0.25">
      <c r="O210905" s="9"/>
    </row>
    <row r="210926" spans="15:15" x14ac:dyDescent="0.25">
      <c r="O210926" s="9"/>
    </row>
    <row r="210947" spans="15:15" x14ac:dyDescent="0.25">
      <c r="O210947" s="9"/>
    </row>
    <row r="210968" spans="15:15" x14ac:dyDescent="0.25">
      <c r="O210968" s="9"/>
    </row>
    <row r="210989" spans="15:15" x14ac:dyDescent="0.25">
      <c r="O210989" s="9"/>
    </row>
    <row r="211010" spans="15:15" x14ac:dyDescent="0.25">
      <c r="O211010" s="9"/>
    </row>
    <row r="211031" spans="15:15" x14ac:dyDescent="0.25">
      <c r="O211031" s="9"/>
    </row>
    <row r="211052" spans="15:15" x14ac:dyDescent="0.25">
      <c r="O211052" s="9"/>
    </row>
    <row r="211073" spans="15:15" x14ac:dyDescent="0.25">
      <c r="O211073" s="9"/>
    </row>
    <row r="211094" spans="15:15" x14ac:dyDescent="0.25">
      <c r="O211094" s="9"/>
    </row>
    <row r="211115" spans="15:15" x14ac:dyDescent="0.25">
      <c r="O211115" s="9"/>
    </row>
    <row r="211136" spans="15:15" x14ac:dyDescent="0.25">
      <c r="O211136" s="9"/>
    </row>
    <row r="211157" spans="15:15" x14ac:dyDescent="0.25">
      <c r="O211157" s="9"/>
    </row>
    <row r="211178" spans="15:15" x14ac:dyDescent="0.25">
      <c r="O211178" s="9"/>
    </row>
    <row r="211199" spans="15:15" x14ac:dyDescent="0.25">
      <c r="O211199" s="9"/>
    </row>
    <row r="211220" spans="15:15" x14ac:dyDescent="0.25">
      <c r="O211220" s="9"/>
    </row>
    <row r="211241" spans="15:15" x14ac:dyDescent="0.25">
      <c r="O211241" s="9"/>
    </row>
    <row r="211262" spans="15:15" x14ac:dyDescent="0.25">
      <c r="O211262" s="9"/>
    </row>
    <row r="211283" spans="15:15" x14ac:dyDescent="0.25">
      <c r="O211283" s="9"/>
    </row>
    <row r="211304" spans="15:15" x14ac:dyDescent="0.25">
      <c r="O211304" s="9"/>
    </row>
    <row r="211325" spans="15:15" x14ac:dyDescent="0.25">
      <c r="O211325" s="9"/>
    </row>
    <row r="211346" spans="15:15" x14ac:dyDescent="0.25">
      <c r="O211346" s="9"/>
    </row>
    <row r="211367" spans="15:15" x14ac:dyDescent="0.25">
      <c r="O211367" s="9"/>
    </row>
    <row r="211388" spans="15:15" x14ac:dyDescent="0.25">
      <c r="O211388" s="9"/>
    </row>
    <row r="211409" spans="15:15" x14ac:dyDescent="0.25">
      <c r="O211409" s="9"/>
    </row>
    <row r="211430" spans="15:15" x14ac:dyDescent="0.25">
      <c r="O211430" s="9"/>
    </row>
    <row r="211451" spans="15:15" x14ac:dyDescent="0.25">
      <c r="O211451" s="9"/>
    </row>
    <row r="211472" spans="15:15" x14ac:dyDescent="0.25">
      <c r="O211472" s="9"/>
    </row>
    <row r="211493" spans="15:15" x14ac:dyDescent="0.25">
      <c r="O211493" s="9"/>
    </row>
    <row r="211514" spans="15:15" x14ac:dyDescent="0.25">
      <c r="O211514" s="9"/>
    </row>
    <row r="211535" spans="15:15" x14ac:dyDescent="0.25">
      <c r="O211535" s="9"/>
    </row>
    <row r="211556" spans="15:15" x14ac:dyDescent="0.25">
      <c r="O211556" s="9"/>
    </row>
    <row r="211577" spans="15:15" x14ac:dyDescent="0.25">
      <c r="O211577" s="9"/>
    </row>
    <row r="211598" spans="15:15" x14ac:dyDescent="0.25">
      <c r="O211598" s="9"/>
    </row>
    <row r="211619" spans="15:15" x14ac:dyDescent="0.25">
      <c r="O211619" s="9"/>
    </row>
    <row r="211640" spans="15:15" x14ac:dyDescent="0.25">
      <c r="O211640" s="9"/>
    </row>
    <row r="211661" spans="15:15" x14ac:dyDescent="0.25">
      <c r="O211661" s="9"/>
    </row>
    <row r="211682" spans="15:15" x14ac:dyDescent="0.25">
      <c r="O211682" s="9"/>
    </row>
    <row r="211703" spans="15:15" x14ac:dyDescent="0.25">
      <c r="O211703" s="9"/>
    </row>
    <row r="211724" spans="15:15" x14ac:dyDescent="0.25">
      <c r="O211724" s="9"/>
    </row>
    <row r="211745" spans="15:15" x14ac:dyDescent="0.25">
      <c r="O211745" s="9"/>
    </row>
    <row r="211766" spans="15:15" x14ac:dyDescent="0.25">
      <c r="O211766" s="9"/>
    </row>
    <row r="211787" spans="15:15" x14ac:dyDescent="0.25">
      <c r="O211787" s="9"/>
    </row>
    <row r="211808" spans="15:15" x14ac:dyDescent="0.25">
      <c r="O211808" s="9"/>
    </row>
    <row r="211829" spans="15:15" x14ac:dyDescent="0.25">
      <c r="O211829" s="9"/>
    </row>
    <row r="211850" spans="15:15" x14ac:dyDescent="0.25">
      <c r="O211850" s="9"/>
    </row>
    <row r="211871" spans="15:15" x14ac:dyDescent="0.25">
      <c r="O211871" s="9"/>
    </row>
    <row r="211892" spans="15:15" x14ac:dyDescent="0.25">
      <c r="O211892" s="9"/>
    </row>
    <row r="211913" spans="15:15" x14ac:dyDescent="0.25">
      <c r="O211913" s="9"/>
    </row>
    <row r="211934" spans="15:15" x14ac:dyDescent="0.25">
      <c r="O211934" s="9"/>
    </row>
    <row r="211955" spans="15:15" x14ac:dyDescent="0.25">
      <c r="O211955" s="9"/>
    </row>
    <row r="211976" spans="15:15" x14ac:dyDescent="0.25">
      <c r="O211976" s="9"/>
    </row>
    <row r="211997" spans="15:15" x14ac:dyDescent="0.25">
      <c r="O211997" s="9"/>
    </row>
    <row r="212018" spans="15:15" x14ac:dyDescent="0.25">
      <c r="O212018" s="9"/>
    </row>
    <row r="212039" spans="15:15" x14ac:dyDescent="0.25">
      <c r="O212039" s="9"/>
    </row>
    <row r="212060" spans="15:15" x14ac:dyDescent="0.25">
      <c r="O212060" s="9"/>
    </row>
    <row r="212081" spans="15:15" x14ac:dyDescent="0.25">
      <c r="O212081" s="9"/>
    </row>
    <row r="212102" spans="15:15" x14ac:dyDescent="0.25">
      <c r="O212102" s="9"/>
    </row>
    <row r="212123" spans="15:15" x14ac:dyDescent="0.25">
      <c r="O212123" s="9"/>
    </row>
    <row r="212144" spans="15:15" x14ac:dyDescent="0.25">
      <c r="O212144" s="9"/>
    </row>
    <row r="212165" spans="15:15" x14ac:dyDescent="0.25">
      <c r="O212165" s="9"/>
    </row>
    <row r="212186" spans="15:15" x14ac:dyDescent="0.25">
      <c r="O212186" s="9"/>
    </row>
    <row r="212207" spans="15:15" x14ac:dyDescent="0.25">
      <c r="O212207" s="9"/>
    </row>
    <row r="212228" spans="15:15" x14ac:dyDescent="0.25">
      <c r="O212228" s="9"/>
    </row>
    <row r="212249" spans="15:15" x14ac:dyDescent="0.25">
      <c r="O212249" s="9"/>
    </row>
    <row r="212270" spans="15:15" x14ac:dyDescent="0.25">
      <c r="O212270" s="9"/>
    </row>
    <row r="212291" spans="15:15" x14ac:dyDescent="0.25">
      <c r="O212291" s="9"/>
    </row>
    <row r="212312" spans="15:15" x14ac:dyDescent="0.25">
      <c r="O212312" s="9"/>
    </row>
    <row r="212333" spans="15:15" x14ac:dyDescent="0.25">
      <c r="O212333" s="9"/>
    </row>
    <row r="212354" spans="15:15" x14ac:dyDescent="0.25">
      <c r="O212354" s="9"/>
    </row>
    <row r="212375" spans="15:15" x14ac:dyDescent="0.25">
      <c r="O212375" s="9"/>
    </row>
    <row r="212396" spans="15:15" x14ac:dyDescent="0.25">
      <c r="O212396" s="9"/>
    </row>
    <row r="212417" spans="15:15" x14ac:dyDescent="0.25">
      <c r="O212417" s="9"/>
    </row>
    <row r="212438" spans="15:15" x14ac:dyDescent="0.25">
      <c r="O212438" s="9"/>
    </row>
    <row r="212459" spans="15:15" x14ac:dyDescent="0.25">
      <c r="O212459" s="9"/>
    </row>
    <row r="212480" spans="15:15" x14ac:dyDescent="0.25">
      <c r="O212480" s="9"/>
    </row>
    <row r="212501" spans="15:15" x14ac:dyDescent="0.25">
      <c r="O212501" s="9"/>
    </row>
    <row r="212522" spans="15:15" x14ac:dyDescent="0.25">
      <c r="O212522" s="9"/>
    </row>
    <row r="212543" spans="15:15" x14ac:dyDescent="0.25">
      <c r="O212543" s="9"/>
    </row>
    <row r="212564" spans="15:15" x14ac:dyDescent="0.25">
      <c r="O212564" s="9"/>
    </row>
    <row r="212585" spans="15:15" x14ac:dyDescent="0.25">
      <c r="O212585" s="9"/>
    </row>
    <row r="212606" spans="15:15" x14ac:dyDescent="0.25">
      <c r="O212606" s="9"/>
    </row>
    <row r="212627" spans="15:15" x14ac:dyDescent="0.25">
      <c r="O212627" s="9"/>
    </row>
    <row r="212648" spans="15:15" x14ac:dyDescent="0.25">
      <c r="O212648" s="9"/>
    </row>
    <row r="212669" spans="15:15" x14ac:dyDescent="0.25">
      <c r="O212669" s="9"/>
    </row>
    <row r="212690" spans="15:15" x14ac:dyDescent="0.25">
      <c r="O212690" s="9"/>
    </row>
    <row r="212711" spans="15:15" x14ac:dyDescent="0.25">
      <c r="O212711" s="9"/>
    </row>
    <row r="212732" spans="15:15" x14ac:dyDescent="0.25">
      <c r="O212732" s="9"/>
    </row>
    <row r="212753" spans="15:15" x14ac:dyDescent="0.25">
      <c r="O212753" s="9"/>
    </row>
    <row r="212774" spans="15:15" x14ac:dyDescent="0.25">
      <c r="O212774" s="9"/>
    </row>
    <row r="212795" spans="15:15" x14ac:dyDescent="0.25">
      <c r="O212795" s="9"/>
    </row>
    <row r="212816" spans="15:15" x14ac:dyDescent="0.25">
      <c r="O212816" s="9"/>
    </row>
    <row r="212837" spans="15:15" x14ac:dyDescent="0.25">
      <c r="O212837" s="9"/>
    </row>
    <row r="212858" spans="15:15" x14ac:dyDescent="0.25">
      <c r="O212858" s="9"/>
    </row>
    <row r="212879" spans="15:15" x14ac:dyDescent="0.25">
      <c r="O212879" s="9"/>
    </row>
    <row r="212900" spans="15:15" x14ac:dyDescent="0.25">
      <c r="O212900" s="9"/>
    </row>
    <row r="212921" spans="15:15" x14ac:dyDescent="0.25">
      <c r="O212921" s="9"/>
    </row>
    <row r="212942" spans="15:15" x14ac:dyDescent="0.25">
      <c r="O212942" s="9"/>
    </row>
    <row r="212963" spans="15:15" x14ac:dyDescent="0.25">
      <c r="O212963" s="9"/>
    </row>
    <row r="212984" spans="15:15" x14ac:dyDescent="0.25">
      <c r="O212984" s="9"/>
    </row>
    <row r="213005" spans="15:15" x14ac:dyDescent="0.25">
      <c r="O213005" s="9"/>
    </row>
    <row r="213026" spans="15:15" x14ac:dyDescent="0.25">
      <c r="O213026" s="9"/>
    </row>
    <row r="213047" spans="15:15" x14ac:dyDescent="0.25">
      <c r="O213047" s="9"/>
    </row>
    <row r="213068" spans="15:15" x14ac:dyDescent="0.25">
      <c r="O213068" s="9"/>
    </row>
    <row r="213089" spans="15:15" x14ac:dyDescent="0.25">
      <c r="O213089" s="9"/>
    </row>
    <row r="213110" spans="15:15" x14ac:dyDescent="0.25">
      <c r="O213110" s="9"/>
    </row>
    <row r="213131" spans="15:15" x14ac:dyDescent="0.25">
      <c r="O213131" s="9"/>
    </row>
    <row r="213152" spans="15:15" x14ac:dyDescent="0.25">
      <c r="O213152" s="9"/>
    </row>
    <row r="213173" spans="15:15" x14ac:dyDescent="0.25">
      <c r="O213173" s="9"/>
    </row>
    <row r="213194" spans="15:15" x14ac:dyDescent="0.25">
      <c r="O213194" s="9"/>
    </row>
    <row r="213215" spans="15:15" x14ac:dyDescent="0.25">
      <c r="O213215" s="9"/>
    </row>
    <row r="213236" spans="15:15" x14ac:dyDescent="0.25">
      <c r="O213236" s="9"/>
    </row>
    <row r="213257" spans="15:15" x14ac:dyDescent="0.25">
      <c r="O213257" s="9"/>
    </row>
    <row r="213278" spans="15:15" x14ac:dyDescent="0.25">
      <c r="O213278" s="9"/>
    </row>
    <row r="213299" spans="15:15" x14ac:dyDescent="0.25">
      <c r="O213299" s="9"/>
    </row>
    <row r="213320" spans="15:15" x14ac:dyDescent="0.25">
      <c r="O213320" s="9"/>
    </row>
    <row r="213341" spans="15:15" x14ac:dyDescent="0.25">
      <c r="O213341" s="9"/>
    </row>
    <row r="213362" spans="15:15" x14ac:dyDescent="0.25">
      <c r="O213362" s="9"/>
    </row>
    <row r="213383" spans="15:15" x14ac:dyDescent="0.25">
      <c r="O213383" s="9"/>
    </row>
    <row r="213404" spans="15:15" x14ac:dyDescent="0.25">
      <c r="O213404" s="9"/>
    </row>
    <row r="213425" spans="15:15" x14ac:dyDescent="0.25">
      <c r="O213425" s="9"/>
    </row>
    <row r="213446" spans="15:15" x14ac:dyDescent="0.25">
      <c r="O213446" s="9"/>
    </row>
    <row r="213467" spans="15:15" x14ac:dyDescent="0.25">
      <c r="O213467" s="9"/>
    </row>
    <row r="213488" spans="15:15" x14ac:dyDescent="0.25">
      <c r="O213488" s="9"/>
    </row>
    <row r="213509" spans="15:15" x14ac:dyDescent="0.25">
      <c r="O213509" s="9"/>
    </row>
    <row r="213530" spans="15:15" x14ac:dyDescent="0.25">
      <c r="O213530" s="9"/>
    </row>
    <row r="213551" spans="15:15" x14ac:dyDescent="0.25">
      <c r="O213551" s="9"/>
    </row>
    <row r="213572" spans="15:15" x14ac:dyDescent="0.25">
      <c r="O213572" s="9"/>
    </row>
    <row r="213593" spans="15:15" x14ac:dyDescent="0.25">
      <c r="O213593" s="9"/>
    </row>
    <row r="213614" spans="15:15" x14ac:dyDescent="0.25">
      <c r="O213614" s="9"/>
    </row>
    <row r="213635" spans="15:15" x14ac:dyDescent="0.25">
      <c r="O213635" s="9"/>
    </row>
    <row r="213656" spans="15:15" x14ac:dyDescent="0.25">
      <c r="O213656" s="9"/>
    </row>
    <row r="213677" spans="15:15" x14ac:dyDescent="0.25">
      <c r="O213677" s="9"/>
    </row>
    <row r="213698" spans="15:15" x14ac:dyDescent="0.25">
      <c r="O213698" s="9"/>
    </row>
    <row r="213719" spans="15:15" x14ac:dyDescent="0.25">
      <c r="O213719" s="9"/>
    </row>
    <row r="213740" spans="15:15" x14ac:dyDescent="0.25">
      <c r="O213740" s="9"/>
    </row>
    <row r="213761" spans="15:15" x14ac:dyDescent="0.25">
      <c r="O213761" s="9"/>
    </row>
    <row r="213782" spans="15:15" x14ac:dyDescent="0.25">
      <c r="O213782" s="9"/>
    </row>
    <row r="213803" spans="15:15" x14ac:dyDescent="0.25">
      <c r="O213803" s="9"/>
    </row>
    <row r="213824" spans="15:15" x14ac:dyDescent="0.25">
      <c r="O213824" s="9"/>
    </row>
    <row r="213845" spans="15:15" x14ac:dyDescent="0.25">
      <c r="O213845" s="9"/>
    </row>
    <row r="213866" spans="15:15" x14ac:dyDescent="0.25">
      <c r="O213866" s="9"/>
    </row>
    <row r="213887" spans="15:15" x14ac:dyDescent="0.25">
      <c r="O213887" s="9"/>
    </row>
    <row r="213908" spans="15:15" x14ac:dyDescent="0.25">
      <c r="O213908" s="9"/>
    </row>
    <row r="213929" spans="15:15" x14ac:dyDescent="0.25">
      <c r="O213929" s="9"/>
    </row>
    <row r="213950" spans="15:15" x14ac:dyDescent="0.25">
      <c r="O213950" s="9"/>
    </row>
    <row r="213971" spans="15:15" x14ac:dyDescent="0.25">
      <c r="O213971" s="9"/>
    </row>
    <row r="213992" spans="15:15" x14ac:dyDescent="0.25">
      <c r="O213992" s="9"/>
    </row>
    <row r="214013" spans="15:15" x14ac:dyDescent="0.25">
      <c r="O214013" s="9"/>
    </row>
    <row r="214034" spans="15:15" x14ac:dyDescent="0.25">
      <c r="O214034" s="9"/>
    </row>
    <row r="214055" spans="15:15" x14ac:dyDescent="0.25">
      <c r="O214055" s="9"/>
    </row>
    <row r="214076" spans="15:15" x14ac:dyDescent="0.25">
      <c r="O214076" s="9"/>
    </row>
    <row r="214097" spans="15:15" x14ac:dyDescent="0.25">
      <c r="O214097" s="9"/>
    </row>
    <row r="214118" spans="15:15" x14ac:dyDescent="0.25">
      <c r="O214118" s="9"/>
    </row>
    <row r="214139" spans="15:15" x14ac:dyDescent="0.25">
      <c r="O214139" s="9"/>
    </row>
    <row r="214160" spans="15:15" x14ac:dyDescent="0.25">
      <c r="O214160" s="9"/>
    </row>
    <row r="214181" spans="15:15" x14ac:dyDescent="0.25">
      <c r="O214181" s="9"/>
    </row>
    <row r="214202" spans="15:15" x14ac:dyDescent="0.25">
      <c r="O214202" s="9"/>
    </row>
    <row r="214223" spans="15:15" x14ac:dyDescent="0.25">
      <c r="O214223" s="9"/>
    </row>
    <row r="214244" spans="15:15" x14ac:dyDescent="0.25">
      <c r="O214244" s="9"/>
    </row>
    <row r="214265" spans="15:15" x14ac:dyDescent="0.25">
      <c r="O214265" s="9"/>
    </row>
    <row r="214286" spans="15:15" x14ac:dyDescent="0.25">
      <c r="O214286" s="9"/>
    </row>
    <row r="214307" spans="15:15" x14ac:dyDescent="0.25">
      <c r="O214307" s="9"/>
    </row>
    <row r="214328" spans="15:15" x14ac:dyDescent="0.25">
      <c r="O214328" s="9"/>
    </row>
    <row r="214349" spans="15:15" x14ac:dyDescent="0.25">
      <c r="O214349" s="9"/>
    </row>
    <row r="214370" spans="15:15" x14ac:dyDescent="0.25">
      <c r="O214370" s="9"/>
    </row>
    <row r="214391" spans="15:15" x14ac:dyDescent="0.25">
      <c r="O214391" s="9"/>
    </row>
    <row r="214412" spans="15:15" x14ac:dyDescent="0.25">
      <c r="O214412" s="9"/>
    </row>
    <row r="214433" spans="15:15" x14ac:dyDescent="0.25">
      <c r="O214433" s="9"/>
    </row>
    <row r="214454" spans="15:15" x14ac:dyDescent="0.25">
      <c r="O214454" s="9"/>
    </row>
    <row r="214475" spans="15:15" x14ac:dyDescent="0.25">
      <c r="O214475" s="9"/>
    </row>
    <row r="214496" spans="15:15" x14ac:dyDescent="0.25">
      <c r="O214496" s="9"/>
    </row>
    <row r="214517" spans="15:15" x14ac:dyDescent="0.25">
      <c r="O214517" s="9"/>
    </row>
    <row r="214538" spans="15:15" x14ac:dyDescent="0.25">
      <c r="O214538" s="9"/>
    </row>
    <row r="214559" spans="15:15" x14ac:dyDescent="0.25">
      <c r="O214559" s="9"/>
    </row>
    <row r="214580" spans="15:15" x14ac:dyDescent="0.25">
      <c r="O214580" s="9"/>
    </row>
    <row r="214601" spans="15:15" x14ac:dyDescent="0.25">
      <c r="O214601" s="9"/>
    </row>
    <row r="214622" spans="15:15" x14ac:dyDescent="0.25">
      <c r="O214622" s="9"/>
    </row>
    <row r="214643" spans="15:15" x14ac:dyDescent="0.25">
      <c r="O214643" s="9"/>
    </row>
    <row r="214664" spans="15:15" x14ac:dyDescent="0.25">
      <c r="O214664" s="9"/>
    </row>
    <row r="214685" spans="15:15" x14ac:dyDescent="0.25">
      <c r="O214685" s="9"/>
    </row>
    <row r="214706" spans="15:15" x14ac:dyDescent="0.25">
      <c r="O214706" s="9"/>
    </row>
    <row r="214727" spans="15:15" x14ac:dyDescent="0.25">
      <c r="O214727" s="9"/>
    </row>
    <row r="214748" spans="15:15" x14ac:dyDescent="0.25">
      <c r="O214748" s="9"/>
    </row>
    <row r="214769" spans="15:15" x14ac:dyDescent="0.25">
      <c r="O214769" s="9"/>
    </row>
    <row r="214790" spans="15:15" x14ac:dyDescent="0.25">
      <c r="O214790" s="9"/>
    </row>
    <row r="214811" spans="15:15" x14ac:dyDescent="0.25">
      <c r="O214811" s="9"/>
    </row>
    <row r="214832" spans="15:15" x14ac:dyDescent="0.25">
      <c r="O214832" s="9"/>
    </row>
    <row r="214853" spans="15:15" x14ac:dyDescent="0.25">
      <c r="O214853" s="9"/>
    </row>
    <row r="214874" spans="15:15" x14ac:dyDescent="0.25">
      <c r="O214874" s="9"/>
    </row>
    <row r="214895" spans="15:15" x14ac:dyDescent="0.25">
      <c r="O214895" s="9"/>
    </row>
    <row r="214916" spans="15:15" x14ac:dyDescent="0.25">
      <c r="O214916" s="9"/>
    </row>
    <row r="214937" spans="15:15" x14ac:dyDescent="0.25">
      <c r="O214937" s="9"/>
    </row>
    <row r="214958" spans="15:15" x14ac:dyDescent="0.25">
      <c r="O214958" s="9"/>
    </row>
    <row r="214979" spans="15:15" x14ac:dyDescent="0.25">
      <c r="O214979" s="9"/>
    </row>
    <row r="215000" spans="15:15" x14ac:dyDescent="0.25">
      <c r="O215000" s="9"/>
    </row>
    <row r="215021" spans="15:15" x14ac:dyDescent="0.25">
      <c r="O215021" s="9"/>
    </row>
    <row r="215042" spans="15:15" x14ac:dyDescent="0.25">
      <c r="O215042" s="9"/>
    </row>
    <row r="215063" spans="15:15" x14ac:dyDescent="0.25">
      <c r="O215063" s="9"/>
    </row>
    <row r="215084" spans="15:15" x14ac:dyDescent="0.25">
      <c r="O215084" s="9"/>
    </row>
    <row r="215105" spans="15:15" x14ac:dyDescent="0.25">
      <c r="O215105" s="9"/>
    </row>
    <row r="215126" spans="15:15" x14ac:dyDescent="0.25">
      <c r="O215126" s="9"/>
    </row>
    <row r="215147" spans="15:15" x14ac:dyDescent="0.25">
      <c r="O215147" s="9"/>
    </row>
    <row r="215168" spans="15:15" x14ac:dyDescent="0.25">
      <c r="O215168" s="9"/>
    </row>
    <row r="215189" spans="15:15" x14ac:dyDescent="0.25">
      <c r="O215189" s="9"/>
    </row>
    <row r="215210" spans="15:15" x14ac:dyDescent="0.25">
      <c r="O215210" s="9"/>
    </row>
    <row r="215231" spans="15:15" x14ac:dyDescent="0.25">
      <c r="O215231" s="9"/>
    </row>
    <row r="215252" spans="15:15" x14ac:dyDescent="0.25">
      <c r="O215252" s="9"/>
    </row>
    <row r="215273" spans="15:15" x14ac:dyDescent="0.25">
      <c r="O215273" s="9"/>
    </row>
    <row r="215294" spans="15:15" x14ac:dyDescent="0.25">
      <c r="O215294" s="9"/>
    </row>
    <row r="215315" spans="15:15" x14ac:dyDescent="0.25">
      <c r="O215315" s="9"/>
    </row>
    <row r="215336" spans="15:15" x14ac:dyDescent="0.25">
      <c r="O215336" s="9"/>
    </row>
    <row r="215357" spans="15:15" x14ac:dyDescent="0.25">
      <c r="O215357" s="9"/>
    </row>
    <row r="215378" spans="15:15" x14ac:dyDescent="0.25">
      <c r="O215378" s="9"/>
    </row>
    <row r="215399" spans="15:15" x14ac:dyDescent="0.25">
      <c r="O215399" s="9"/>
    </row>
    <row r="215420" spans="15:15" x14ac:dyDescent="0.25">
      <c r="O215420" s="9"/>
    </row>
    <row r="215441" spans="15:15" x14ac:dyDescent="0.25">
      <c r="O215441" s="9"/>
    </row>
    <row r="215462" spans="15:15" x14ac:dyDescent="0.25">
      <c r="O215462" s="9"/>
    </row>
    <row r="215483" spans="15:15" x14ac:dyDescent="0.25">
      <c r="O215483" s="9"/>
    </row>
    <row r="215504" spans="15:15" x14ac:dyDescent="0.25">
      <c r="O215504" s="9"/>
    </row>
    <row r="215525" spans="15:15" x14ac:dyDescent="0.25">
      <c r="O215525" s="9"/>
    </row>
    <row r="215546" spans="15:15" x14ac:dyDescent="0.25">
      <c r="O215546" s="9"/>
    </row>
    <row r="215567" spans="15:15" x14ac:dyDescent="0.25">
      <c r="O215567" s="9"/>
    </row>
    <row r="215588" spans="15:15" x14ac:dyDescent="0.25">
      <c r="O215588" s="9"/>
    </row>
    <row r="215609" spans="15:15" x14ac:dyDescent="0.25">
      <c r="O215609" s="9"/>
    </row>
    <row r="215630" spans="15:15" x14ac:dyDescent="0.25">
      <c r="O215630" s="9"/>
    </row>
    <row r="215651" spans="15:15" x14ac:dyDescent="0.25">
      <c r="O215651" s="9"/>
    </row>
    <row r="215672" spans="15:15" x14ac:dyDescent="0.25">
      <c r="O215672" s="9"/>
    </row>
    <row r="215693" spans="15:15" x14ac:dyDescent="0.25">
      <c r="O215693" s="9"/>
    </row>
    <row r="215714" spans="15:15" x14ac:dyDescent="0.25">
      <c r="O215714" s="9"/>
    </row>
    <row r="215735" spans="15:15" x14ac:dyDescent="0.25">
      <c r="O215735" s="9"/>
    </row>
    <row r="215756" spans="15:15" x14ac:dyDescent="0.25">
      <c r="O215756" s="9"/>
    </row>
    <row r="215777" spans="15:15" x14ac:dyDescent="0.25">
      <c r="O215777" s="9"/>
    </row>
    <row r="215798" spans="15:15" x14ac:dyDescent="0.25">
      <c r="O215798" s="9"/>
    </row>
    <row r="215819" spans="15:15" x14ac:dyDescent="0.25">
      <c r="O215819" s="9"/>
    </row>
    <row r="215840" spans="15:15" x14ac:dyDescent="0.25">
      <c r="O215840" s="9"/>
    </row>
    <row r="215861" spans="15:15" x14ac:dyDescent="0.25">
      <c r="O215861" s="9"/>
    </row>
    <row r="215882" spans="15:15" x14ac:dyDescent="0.25">
      <c r="O215882" s="9"/>
    </row>
    <row r="215903" spans="15:15" x14ac:dyDescent="0.25">
      <c r="O215903" s="9"/>
    </row>
    <row r="215924" spans="15:15" x14ac:dyDescent="0.25">
      <c r="O215924" s="9"/>
    </row>
    <row r="215945" spans="15:15" x14ac:dyDescent="0.25">
      <c r="O215945" s="9"/>
    </row>
    <row r="215966" spans="15:15" x14ac:dyDescent="0.25">
      <c r="O215966" s="9"/>
    </row>
    <row r="215987" spans="15:15" x14ac:dyDescent="0.25">
      <c r="O215987" s="9"/>
    </row>
    <row r="216008" spans="15:15" x14ac:dyDescent="0.25">
      <c r="O216008" s="9"/>
    </row>
    <row r="216029" spans="15:15" x14ac:dyDescent="0.25">
      <c r="O216029" s="9"/>
    </row>
    <row r="216050" spans="15:15" x14ac:dyDescent="0.25">
      <c r="O216050" s="9"/>
    </row>
    <row r="216071" spans="15:15" x14ac:dyDescent="0.25">
      <c r="O216071" s="9"/>
    </row>
    <row r="216092" spans="15:15" x14ac:dyDescent="0.25">
      <c r="O216092" s="9"/>
    </row>
    <row r="216113" spans="15:15" x14ac:dyDescent="0.25">
      <c r="O216113" s="9"/>
    </row>
    <row r="216134" spans="15:15" x14ac:dyDescent="0.25">
      <c r="O216134" s="9"/>
    </row>
    <row r="216155" spans="15:15" x14ac:dyDescent="0.25">
      <c r="O216155" s="9"/>
    </row>
    <row r="216176" spans="15:15" x14ac:dyDescent="0.25">
      <c r="O216176" s="9"/>
    </row>
    <row r="216197" spans="15:15" x14ac:dyDescent="0.25">
      <c r="O216197" s="9"/>
    </row>
    <row r="216218" spans="15:15" x14ac:dyDescent="0.25">
      <c r="O216218" s="9"/>
    </row>
    <row r="216239" spans="15:15" x14ac:dyDescent="0.25">
      <c r="O216239" s="9"/>
    </row>
    <row r="216260" spans="15:15" x14ac:dyDescent="0.25">
      <c r="O216260" s="9"/>
    </row>
    <row r="216281" spans="15:15" x14ac:dyDescent="0.25">
      <c r="O216281" s="9"/>
    </row>
    <row r="216302" spans="15:15" x14ac:dyDescent="0.25">
      <c r="O216302" s="9"/>
    </row>
    <row r="216323" spans="15:15" x14ac:dyDescent="0.25">
      <c r="O216323" s="9"/>
    </row>
    <row r="216344" spans="15:15" x14ac:dyDescent="0.25">
      <c r="O216344" s="9"/>
    </row>
    <row r="216365" spans="15:15" x14ac:dyDescent="0.25">
      <c r="O216365" s="9"/>
    </row>
    <row r="216386" spans="15:15" x14ac:dyDescent="0.25">
      <c r="O216386" s="9"/>
    </row>
    <row r="216407" spans="15:15" x14ac:dyDescent="0.25">
      <c r="O216407" s="9"/>
    </row>
    <row r="216428" spans="15:15" x14ac:dyDescent="0.25">
      <c r="O216428" s="9"/>
    </row>
    <row r="216449" spans="15:15" x14ac:dyDescent="0.25">
      <c r="O216449" s="9"/>
    </row>
    <row r="216470" spans="15:15" x14ac:dyDescent="0.25">
      <c r="O216470" s="9"/>
    </row>
    <row r="216491" spans="15:15" x14ac:dyDescent="0.25">
      <c r="O216491" s="9"/>
    </row>
    <row r="216512" spans="15:15" x14ac:dyDescent="0.25">
      <c r="O216512" s="9"/>
    </row>
    <row r="216533" spans="15:15" x14ac:dyDescent="0.25">
      <c r="O216533" s="9"/>
    </row>
    <row r="216554" spans="15:15" x14ac:dyDescent="0.25">
      <c r="O216554" s="9"/>
    </row>
    <row r="216575" spans="15:15" x14ac:dyDescent="0.25">
      <c r="O216575" s="9"/>
    </row>
    <row r="216596" spans="15:15" x14ac:dyDescent="0.25">
      <c r="O216596" s="9"/>
    </row>
    <row r="216617" spans="15:15" x14ac:dyDescent="0.25">
      <c r="O216617" s="9"/>
    </row>
    <row r="216638" spans="15:15" x14ac:dyDescent="0.25">
      <c r="O216638" s="9"/>
    </row>
    <row r="216659" spans="15:15" x14ac:dyDescent="0.25">
      <c r="O216659" s="9"/>
    </row>
    <row r="216680" spans="15:15" x14ac:dyDescent="0.25">
      <c r="O216680" s="9"/>
    </row>
    <row r="216701" spans="15:15" x14ac:dyDescent="0.25">
      <c r="O216701" s="9"/>
    </row>
    <row r="216722" spans="15:15" x14ac:dyDescent="0.25">
      <c r="O216722" s="9"/>
    </row>
    <row r="216743" spans="15:15" x14ac:dyDescent="0.25">
      <c r="O216743" s="9"/>
    </row>
    <row r="216764" spans="15:15" x14ac:dyDescent="0.25">
      <c r="O216764" s="9"/>
    </row>
    <row r="216785" spans="15:15" x14ac:dyDescent="0.25">
      <c r="O216785" s="9"/>
    </row>
    <row r="216806" spans="15:15" x14ac:dyDescent="0.25">
      <c r="O216806" s="9"/>
    </row>
    <row r="216827" spans="15:15" x14ac:dyDescent="0.25">
      <c r="O216827" s="9"/>
    </row>
    <row r="216848" spans="15:15" x14ac:dyDescent="0.25">
      <c r="O216848" s="9"/>
    </row>
    <row r="216869" spans="15:15" x14ac:dyDescent="0.25">
      <c r="O216869" s="9"/>
    </row>
    <row r="216890" spans="15:15" x14ac:dyDescent="0.25">
      <c r="O216890" s="9"/>
    </row>
    <row r="216911" spans="15:15" x14ac:dyDescent="0.25">
      <c r="O216911" s="9"/>
    </row>
    <row r="216932" spans="15:15" x14ac:dyDescent="0.25">
      <c r="O216932" s="9"/>
    </row>
    <row r="216953" spans="15:15" x14ac:dyDescent="0.25">
      <c r="O216953" s="9"/>
    </row>
    <row r="216974" spans="15:15" x14ac:dyDescent="0.25">
      <c r="O216974" s="9"/>
    </row>
    <row r="216995" spans="15:15" x14ac:dyDescent="0.25">
      <c r="O216995" s="9"/>
    </row>
    <row r="217016" spans="15:15" x14ac:dyDescent="0.25">
      <c r="O217016" s="9"/>
    </row>
    <row r="217037" spans="15:15" x14ac:dyDescent="0.25">
      <c r="O217037" s="9"/>
    </row>
    <row r="217058" spans="15:15" x14ac:dyDescent="0.25">
      <c r="O217058" s="9"/>
    </row>
    <row r="217079" spans="15:15" x14ac:dyDescent="0.25">
      <c r="O217079" s="9"/>
    </row>
    <row r="217100" spans="15:15" x14ac:dyDescent="0.25">
      <c r="O217100" s="9"/>
    </row>
    <row r="217121" spans="15:15" x14ac:dyDescent="0.25">
      <c r="O217121" s="9"/>
    </row>
    <row r="217142" spans="15:15" x14ac:dyDescent="0.25">
      <c r="O217142" s="9"/>
    </row>
    <row r="217163" spans="15:15" x14ac:dyDescent="0.25">
      <c r="O217163" s="9"/>
    </row>
    <row r="217184" spans="15:15" x14ac:dyDescent="0.25">
      <c r="O217184" s="9"/>
    </row>
    <row r="217205" spans="15:15" x14ac:dyDescent="0.25">
      <c r="O217205" s="9"/>
    </row>
    <row r="217226" spans="15:15" x14ac:dyDescent="0.25">
      <c r="O217226" s="9"/>
    </row>
    <row r="217247" spans="15:15" x14ac:dyDescent="0.25">
      <c r="O217247" s="9"/>
    </row>
    <row r="217268" spans="15:15" x14ac:dyDescent="0.25">
      <c r="O217268" s="9"/>
    </row>
    <row r="217289" spans="15:15" x14ac:dyDescent="0.25">
      <c r="O217289" s="9"/>
    </row>
    <row r="217310" spans="15:15" x14ac:dyDescent="0.25">
      <c r="O217310" s="9"/>
    </row>
    <row r="217331" spans="15:15" x14ac:dyDescent="0.25">
      <c r="O217331" s="9"/>
    </row>
    <row r="217352" spans="15:15" x14ac:dyDescent="0.25">
      <c r="O217352" s="9"/>
    </row>
    <row r="217373" spans="15:15" x14ac:dyDescent="0.25">
      <c r="O217373" s="9"/>
    </row>
    <row r="217394" spans="15:15" x14ac:dyDescent="0.25">
      <c r="O217394" s="9"/>
    </row>
    <row r="217415" spans="15:15" x14ac:dyDescent="0.25">
      <c r="O217415" s="9"/>
    </row>
    <row r="217436" spans="15:15" x14ac:dyDescent="0.25">
      <c r="O217436" s="9"/>
    </row>
    <row r="217457" spans="15:15" x14ac:dyDescent="0.25">
      <c r="O217457" s="9"/>
    </row>
    <row r="217478" spans="15:15" x14ac:dyDescent="0.25">
      <c r="O217478" s="9"/>
    </row>
    <row r="217499" spans="15:15" x14ac:dyDescent="0.25">
      <c r="O217499" s="9"/>
    </row>
    <row r="217520" spans="15:15" x14ac:dyDescent="0.25">
      <c r="O217520" s="9"/>
    </row>
    <row r="217541" spans="15:15" x14ac:dyDescent="0.25">
      <c r="O217541" s="9"/>
    </row>
    <row r="217562" spans="15:15" x14ac:dyDescent="0.25">
      <c r="O217562" s="9"/>
    </row>
    <row r="217583" spans="15:15" x14ac:dyDescent="0.25">
      <c r="O217583" s="9"/>
    </row>
    <row r="217604" spans="15:15" x14ac:dyDescent="0.25">
      <c r="O217604" s="9"/>
    </row>
    <row r="217625" spans="15:15" x14ac:dyDescent="0.25">
      <c r="O217625" s="9"/>
    </row>
    <row r="217646" spans="15:15" x14ac:dyDescent="0.25">
      <c r="O217646" s="9"/>
    </row>
    <row r="217667" spans="15:15" x14ac:dyDescent="0.25">
      <c r="O217667" s="9"/>
    </row>
    <row r="217688" spans="15:15" x14ac:dyDescent="0.25">
      <c r="O217688" s="9"/>
    </row>
    <row r="217709" spans="15:15" x14ac:dyDescent="0.25">
      <c r="O217709" s="9"/>
    </row>
    <row r="217730" spans="15:15" x14ac:dyDescent="0.25">
      <c r="O217730" s="9"/>
    </row>
    <row r="217751" spans="15:15" x14ac:dyDescent="0.25">
      <c r="O217751" s="9"/>
    </row>
    <row r="217772" spans="15:15" x14ac:dyDescent="0.25">
      <c r="O217772" s="9"/>
    </row>
    <row r="217793" spans="15:15" x14ac:dyDescent="0.25">
      <c r="O217793" s="9"/>
    </row>
    <row r="217814" spans="15:15" x14ac:dyDescent="0.25">
      <c r="O217814" s="9"/>
    </row>
    <row r="217835" spans="15:15" x14ac:dyDescent="0.25">
      <c r="O217835" s="9"/>
    </row>
    <row r="217856" spans="15:15" x14ac:dyDescent="0.25">
      <c r="O217856" s="9"/>
    </row>
    <row r="217877" spans="15:15" x14ac:dyDescent="0.25">
      <c r="O217877" s="9"/>
    </row>
    <row r="217898" spans="15:15" x14ac:dyDescent="0.25">
      <c r="O217898" s="9"/>
    </row>
    <row r="217919" spans="15:15" x14ac:dyDescent="0.25">
      <c r="O217919" s="9"/>
    </row>
    <row r="217940" spans="15:15" x14ac:dyDescent="0.25">
      <c r="O217940" s="9"/>
    </row>
    <row r="217961" spans="15:15" x14ac:dyDescent="0.25">
      <c r="O217961" s="9"/>
    </row>
    <row r="217982" spans="15:15" x14ac:dyDescent="0.25">
      <c r="O217982" s="9"/>
    </row>
    <row r="218003" spans="15:15" x14ac:dyDescent="0.25">
      <c r="O218003" s="9"/>
    </row>
    <row r="218024" spans="15:15" x14ac:dyDescent="0.25">
      <c r="O218024" s="9"/>
    </row>
    <row r="218045" spans="15:15" x14ac:dyDescent="0.25">
      <c r="O218045" s="9"/>
    </row>
    <row r="218066" spans="15:15" x14ac:dyDescent="0.25">
      <c r="O218066" s="9"/>
    </row>
    <row r="218087" spans="15:15" x14ac:dyDescent="0.25">
      <c r="O218087" s="9"/>
    </row>
    <row r="218108" spans="15:15" x14ac:dyDescent="0.25">
      <c r="O218108" s="9"/>
    </row>
    <row r="218129" spans="15:15" x14ac:dyDescent="0.25">
      <c r="O218129" s="9"/>
    </row>
    <row r="218150" spans="15:15" x14ac:dyDescent="0.25">
      <c r="O218150" s="9"/>
    </row>
    <row r="218171" spans="15:15" x14ac:dyDescent="0.25">
      <c r="O218171" s="9"/>
    </row>
    <row r="218192" spans="15:15" x14ac:dyDescent="0.25">
      <c r="O218192" s="9"/>
    </row>
    <row r="218213" spans="15:15" x14ac:dyDescent="0.25">
      <c r="O218213" s="9"/>
    </row>
    <row r="218234" spans="15:15" x14ac:dyDescent="0.25">
      <c r="O218234" s="9"/>
    </row>
    <row r="218255" spans="15:15" x14ac:dyDescent="0.25">
      <c r="O218255" s="9"/>
    </row>
    <row r="218276" spans="15:15" x14ac:dyDescent="0.25">
      <c r="O218276" s="9"/>
    </row>
    <row r="218297" spans="15:15" x14ac:dyDescent="0.25">
      <c r="O218297" s="9"/>
    </row>
    <row r="218318" spans="15:15" x14ac:dyDescent="0.25">
      <c r="O218318" s="9"/>
    </row>
    <row r="218339" spans="15:15" x14ac:dyDescent="0.25">
      <c r="O218339" s="9"/>
    </row>
    <row r="218360" spans="15:15" x14ac:dyDescent="0.25">
      <c r="O218360" s="9"/>
    </row>
    <row r="218381" spans="15:15" x14ac:dyDescent="0.25">
      <c r="O218381" s="9"/>
    </row>
    <row r="218402" spans="15:15" x14ac:dyDescent="0.25">
      <c r="O218402" s="9"/>
    </row>
    <row r="218423" spans="15:15" x14ac:dyDescent="0.25">
      <c r="O218423" s="9"/>
    </row>
    <row r="218444" spans="15:15" x14ac:dyDescent="0.25">
      <c r="O218444" s="9"/>
    </row>
    <row r="218465" spans="15:15" x14ac:dyDescent="0.25">
      <c r="O218465" s="9"/>
    </row>
    <row r="218486" spans="15:15" x14ac:dyDescent="0.25">
      <c r="O218486" s="9"/>
    </row>
    <row r="218507" spans="15:15" x14ac:dyDescent="0.25">
      <c r="O218507" s="9"/>
    </row>
    <row r="218528" spans="15:15" x14ac:dyDescent="0.25">
      <c r="O218528" s="9"/>
    </row>
    <row r="218549" spans="15:15" x14ac:dyDescent="0.25">
      <c r="O218549" s="9"/>
    </row>
    <row r="218570" spans="15:15" x14ac:dyDescent="0.25">
      <c r="O218570" s="9"/>
    </row>
    <row r="218591" spans="15:15" x14ac:dyDescent="0.25">
      <c r="O218591" s="9"/>
    </row>
    <row r="218612" spans="15:15" x14ac:dyDescent="0.25">
      <c r="O218612" s="9"/>
    </row>
    <row r="218633" spans="15:15" x14ac:dyDescent="0.25">
      <c r="O218633" s="9"/>
    </row>
    <row r="218654" spans="15:15" x14ac:dyDescent="0.25">
      <c r="O218654" s="9"/>
    </row>
    <row r="218675" spans="15:15" x14ac:dyDescent="0.25">
      <c r="O218675" s="9"/>
    </row>
    <row r="218696" spans="15:15" x14ac:dyDescent="0.25">
      <c r="O218696" s="9"/>
    </row>
    <row r="218717" spans="15:15" x14ac:dyDescent="0.25">
      <c r="O218717" s="9"/>
    </row>
    <row r="218738" spans="15:15" x14ac:dyDescent="0.25">
      <c r="O218738" s="9"/>
    </row>
    <row r="218759" spans="15:15" x14ac:dyDescent="0.25">
      <c r="O218759" s="9"/>
    </row>
    <row r="218780" spans="15:15" x14ac:dyDescent="0.25">
      <c r="O218780" s="9"/>
    </row>
    <row r="218801" spans="15:15" x14ac:dyDescent="0.25">
      <c r="O218801" s="9"/>
    </row>
    <row r="218822" spans="15:15" x14ac:dyDescent="0.25">
      <c r="O218822" s="9"/>
    </row>
    <row r="218843" spans="15:15" x14ac:dyDescent="0.25">
      <c r="O218843" s="9"/>
    </row>
    <row r="218864" spans="15:15" x14ac:dyDescent="0.25">
      <c r="O218864" s="9"/>
    </row>
    <row r="218885" spans="15:15" x14ac:dyDescent="0.25">
      <c r="O218885" s="9"/>
    </row>
    <row r="218906" spans="15:15" x14ac:dyDescent="0.25">
      <c r="O218906" s="9"/>
    </row>
    <row r="218927" spans="15:15" x14ac:dyDescent="0.25">
      <c r="O218927" s="9"/>
    </row>
    <row r="218948" spans="15:15" x14ac:dyDescent="0.25">
      <c r="O218948" s="9"/>
    </row>
    <row r="218969" spans="15:15" x14ac:dyDescent="0.25">
      <c r="O218969" s="9"/>
    </row>
    <row r="218990" spans="15:15" x14ac:dyDescent="0.25">
      <c r="O218990" s="9"/>
    </row>
    <row r="219011" spans="15:15" x14ac:dyDescent="0.25">
      <c r="O219011" s="9"/>
    </row>
    <row r="219032" spans="15:15" x14ac:dyDescent="0.25">
      <c r="O219032" s="9"/>
    </row>
    <row r="219053" spans="15:15" x14ac:dyDescent="0.25">
      <c r="O219053" s="9"/>
    </row>
    <row r="219074" spans="15:15" x14ac:dyDescent="0.25">
      <c r="O219074" s="9"/>
    </row>
    <row r="219095" spans="15:15" x14ac:dyDescent="0.25">
      <c r="O219095" s="9"/>
    </row>
    <row r="219116" spans="15:15" x14ac:dyDescent="0.25">
      <c r="O219116" s="9"/>
    </row>
    <row r="219137" spans="15:15" x14ac:dyDescent="0.25">
      <c r="O219137" s="9"/>
    </row>
    <row r="219158" spans="15:15" x14ac:dyDescent="0.25">
      <c r="O219158" s="9"/>
    </row>
    <row r="219179" spans="15:15" x14ac:dyDescent="0.25">
      <c r="O219179" s="9"/>
    </row>
    <row r="219200" spans="15:15" x14ac:dyDescent="0.25">
      <c r="O219200" s="9"/>
    </row>
    <row r="219221" spans="15:15" x14ac:dyDescent="0.25">
      <c r="O219221" s="9"/>
    </row>
    <row r="219242" spans="15:15" x14ac:dyDescent="0.25">
      <c r="O219242" s="9"/>
    </row>
    <row r="219263" spans="15:15" x14ac:dyDescent="0.25">
      <c r="O219263" s="9"/>
    </row>
    <row r="219284" spans="15:15" x14ac:dyDescent="0.25">
      <c r="O219284" s="9"/>
    </row>
    <row r="219305" spans="15:15" x14ac:dyDescent="0.25">
      <c r="O219305" s="9"/>
    </row>
    <row r="219326" spans="15:15" x14ac:dyDescent="0.25">
      <c r="O219326" s="9"/>
    </row>
    <row r="219347" spans="15:15" x14ac:dyDescent="0.25">
      <c r="O219347" s="9"/>
    </row>
    <row r="219368" spans="15:15" x14ac:dyDescent="0.25">
      <c r="O219368" s="9"/>
    </row>
    <row r="219389" spans="15:15" x14ac:dyDescent="0.25">
      <c r="O219389" s="9"/>
    </row>
    <row r="219410" spans="15:15" x14ac:dyDescent="0.25">
      <c r="O219410" s="9"/>
    </row>
    <row r="219431" spans="15:15" x14ac:dyDescent="0.25">
      <c r="O219431" s="9"/>
    </row>
    <row r="219452" spans="15:15" x14ac:dyDescent="0.25">
      <c r="O219452" s="9"/>
    </row>
    <row r="219473" spans="15:15" x14ac:dyDescent="0.25">
      <c r="O219473" s="9"/>
    </row>
    <row r="219494" spans="15:15" x14ac:dyDescent="0.25">
      <c r="O219494" s="9"/>
    </row>
    <row r="219515" spans="15:15" x14ac:dyDescent="0.25">
      <c r="O219515" s="9"/>
    </row>
    <row r="219536" spans="15:15" x14ac:dyDescent="0.25">
      <c r="O219536" s="9"/>
    </row>
    <row r="219557" spans="15:15" x14ac:dyDescent="0.25">
      <c r="O219557" s="9"/>
    </row>
    <row r="219578" spans="15:15" x14ac:dyDescent="0.25">
      <c r="O219578" s="9"/>
    </row>
    <row r="219599" spans="15:15" x14ac:dyDescent="0.25">
      <c r="O219599" s="9"/>
    </row>
    <row r="219620" spans="15:15" x14ac:dyDescent="0.25">
      <c r="O219620" s="9"/>
    </row>
    <row r="219641" spans="15:15" x14ac:dyDescent="0.25">
      <c r="O219641" s="9"/>
    </row>
    <row r="219662" spans="15:15" x14ac:dyDescent="0.25">
      <c r="O219662" s="9"/>
    </row>
    <row r="219683" spans="15:15" x14ac:dyDescent="0.25">
      <c r="O219683" s="9"/>
    </row>
    <row r="219704" spans="15:15" x14ac:dyDescent="0.25">
      <c r="O219704" s="9"/>
    </row>
    <row r="219725" spans="15:15" x14ac:dyDescent="0.25">
      <c r="O219725" s="9"/>
    </row>
    <row r="219746" spans="15:15" x14ac:dyDescent="0.25">
      <c r="O219746" s="9"/>
    </row>
    <row r="219767" spans="15:15" x14ac:dyDescent="0.25">
      <c r="O219767" s="9"/>
    </row>
    <row r="219788" spans="15:15" x14ac:dyDescent="0.25">
      <c r="O219788" s="9"/>
    </row>
    <row r="219809" spans="15:15" x14ac:dyDescent="0.25">
      <c r="O219809" s="9"/>
    </row>
    <row r="219830" spans="15:15" x14ac:dyDescent="0.25">
      <c r="O219830" s="9"/>
    </row>
    <row r="219851" spans="15:15" x14ac:dyDescent="0.25">
      <c r="O219851" s="9"/>
    </row>
    <row r="219872" spans="15:15" x14ac:dyDescent="0.25">
      <c r="O219872" s="9"/>
    </row>
    <row r="219893" spans="15:15" x14ac:dyDescent="0.25">
      <c r="O219893" s="9"/>
    </row>
    <row r="219914" spans="15:15" x14ac:dyDescent="0.25">
      <c r="O219914" s="9"/>
    </row>
    <row r="219935" spans="15:15" x14ac:dyDescent="0.25">
      <c r="O219935" s="9"/>
    </row>
    <row r="219956" spans="15:15" x14ac:dyDescent="0.25">
      <c r="O219956" s="9"/>
    </row>
    <row r="219977" spans="15:15" x14ac:dyDescent="0.25">
      <c r="O219977" s="9"/>
    </row>
    <row r="219998" spans="15:15" x14ac:dyDescent="0.25">
      <c r="O219998" s="9"/>
    </row>
    <row r="220019" spans="15:15" x14ac:dyDescent="0.25">
      <c r="O220019" s="9"/>
    </row>
    <row r="220040" spans="15:15" x14ac:dyDescent="0.25">
      <c r="O220040" s="9"/>
    </row>
    <row r="220061" spans="15:15" x14ac:dyDescent="0.25">
      <c r="O220061" s="9"/>
    </row>
    <row r="220082" spans="15:15" x14ac:dyDescent="0.25">
      <c r="O220082" s="9"/>
    </row>
    <row r="220103" spans="15:15" x14ac:dyDescent="0.25">
      <c r="O220103" s="9"/>
    </row>
    <row r="220124" spans="15:15" x14ac:dyDescent="0.25">
      <c r="O220124" s="9"/>
    </row>
    <row r="220145" spans="15:15" x14ac:dyDescent="0.25">
      <c r="O220145" s="9"/>
    </row>
    <row r="220166" spans="15:15" x14ac:dyDescent="0.25">
      <c r="O220166" s="9"/>
    </row>
    <row r="220187" spans="15:15" x14ac:dyDescent="0.25">
      <c r="O220187" s="9"/>
    </row>
    <row r="220208" spans="15:15" x14ac:dyDescent="0.25">
      <c r="O220208" s="9"/>
    </row>
    <row r="220229" spans="15:15" x14ac:dyDescent="0.25">
      <c r="O220229" s="9"/>
    </row>
    <row r="220250" spans="15:15" x14ac:dyDescent="0.25">
      <c r="O220250" s="9"/>
    </row>
    <row r="220271" spans="15:15" x14ac:dyDescent="0.25">
      <c r="O220271" s="9"/>
    </row>
    <row r="220292" spans="15:15" x14ac:dyDescent="0.25">
      <c r="O220292" s="9"/>
    </row>
    <row r="220313" spans="15:15" x14ac:dyDescent="0.25">
      <c r="O220313" s="9"/>
    </row>
    <row r="220334" spans="15:15" x14ac:dyDescent="0.25">
      <c r="O220334" s="9"/>
    </row>
    <row r="220355" spans="15:15" x14ac:dyDescent="0.25">
      <c r="O220355" s="9"/>
    </row>
    <row r="220376" spans="15:15" x14ac:dyDescent="0.25">
      <c r="O220376" s="9"/>
    </row>
    <row r="220397" spans="15:15" x14ac:dyDescent="0.25">
      <c r="O220397" s="9"/>
    </row>
    <row r="220418" spans="15:15" x14ac:dyDescent="0.25">
      <c r="O220418" s="9"/>
    </row>
    <row r="220439" spans="15:15" x14ac:dyDescent="0.25">
      <c r="O220439" s="9"/>
    </row>
    <row r="220460" spans="15:15" x14ac:dyDescent="0.25">
      <c r="O220460" s="9"/>
    </row>
    <row r="220481" spans="15:15" x14ac:dyDescent="0.25">
      <c r="O220481" s="9"/>
    </row>
    <row r="220502" spans="15:15" x14ac:dyDescent="0.25">
      <c r="O220502" s="9"/>
    </row>
    <row r="220523" spans="15:15" x14ac:dyDescent="0.25">
      <c r="O220523" s="9"/>
    </row>
    <row r="220544" spans="15:15" x14ac:dyDescent="0.25">
      <c r="O220544" s="9"/>
    </row>
    <row r="220565" spans="15:15" x14ac:dyDescent="0.25">
      <c r="O220565" s="9"/>
    </row>
    <row r="220586" spans="15:15" x14ac:dyDescent="0.25">
      <c r="O220586" s="9"/>
    </row>
    <row r="220607" spans="15:15" x14ac:dyDescent="0.25">
      <c r="O220607" s="9"/>
    </row>
    <row r="220628" spans="15:15" x14ac:dyDescent="0.25">
      <c r="O220628" s="9"/>
    </row>
    <row r="220649" spans="15:15" x14ac:dyDescent="0.25">
      <c r="O220649" s="9"/>
    </row>
    <row r="220670" spans="15:15" x14ac:dyDescent="0.25">
      <c r="O220670" s="9"/>
    </row>
    <row r="220691" spans="15:15" x14ac:dyDescent="0.25">
      <c r="O220691" s="9"/>
    </row>
    <row r="220712" spans="15:15" x14ac:dyDescent="0.25">
      <c r="O220712" s="9"/>
    </row>
    <row r="220733" spans="15:15" x14ac:dyDescent="0.25">
      <c r="O220733" s="9"/>
    </row>
    <row r="220754" spans="15:15" x14ac:dyDescent="0.25">
      <c r="O220754" s="9"/>
    </row>
    <row r="220775" spans="15:15" x14ac:dyDescent="0.25">
      <c r="O220775" s="9"/>
    </row>
    <row r="220796" spans="15:15" x14ac:dyDescent="0.25">
      <c r="O220796" s="9"/>
    </row>
    <row r="220817" spans="15:15" x14ac:dyDescent="0.25">
      <c r="O220817" s="9"/>
    </row>
    <row r="220838" spans="15:15" x14ac:dyDescent="0.25">
      <c r="O220838" s="9"/>
    </row>
    <row r="220859" spans="15:15" x14ac:dyDescent="0.25">
      <c r="O220859" s="9"/>
    </row>
    <row r="220880" spans="15:15" x14ac:dyDescent="0.25">
      <c r="O220880" s="9"/>
    </row>
    <row r="220901" spans="15:15" x14ac:dyDescent="0.25">
      <c r="O220901" s="9"/>
    </row>
    <row r="220922" spans="15:15" x14ac:dyDescent="0.25">
      <c r="O220922" s="9"/>
    </row>
    <row r="220943" spans="15:15" x14ac:dyDescent="0.25">
      <c r="O220943" s="9"/>
    </row>
    <row r="220964" spans="15:15" x14ac:dyDescent="0.25">
      <c r="O220964" s="9"/>
    </row>
    <row r="220985" spans="15:15" x14ac:dyDescent="0.25">
      <c r="O220985" s="9"/>
    </row>
    <row r="221006" spans="15:15" x14ac:dyDescent="0.25">
      <c r="O221006" s="9"/>
    </row>
    <row r="221027" spans="15:15" x14ac:dyDescent="0.25">
      <c r="O221027" s="9"/>
    </row>
    <row r="221048" spans="15:15" x14ac:dyDescent="0.25">
      <c r="O221048" s="9"/>
    </row>
    <row r="221069" spans="15:15" x14ac:dyDescent="0.25">
      <c r="O221069" s="9"/>
    </row>
    <row r="221090" spans="15:15" x14ac:dyDescent="0.25">
      <c r="O221090" s="9"/>
    </row>
    <row r="221111" spans="15:15" x14ac:dyDescent="0.25">
      <c r="O221111" s="9"/>
    </row>
    <row r="221132" spans="15:15" x14ac:dyDescent="0.25">
      <c r="O221132" s="9"/>
    </row>
    <row r="221153" spans="15:15" x14ac:dyDescent="0.25">
      <c r="O221153" s="9"/>
    </row>
    <row r="221174" spans="15:15" x14ac:dyDescent="0.25">
      <c r="O221174" s="9"/>
    </row>
    <row r="221195" spans="15:15" x14ac:dyDescent="0.25">
      <c r="O221195" s="9"/>
    </row>
    <row r="221216" spans="15:15" x14ac:dyDescent="0.25">
      <c r="O221216" s="9"/>
    </row>
    <row r="221237" spans="15:15" x14ac:dyDescent="0.25">
      <c r="O221237" s="9"/>
    </row>
    <row r="221258" spans="15:15" x14ac:dyDescent="0.25">
      <c r="O221258" s="9"/>
    </row>
    <row r="221279" spans="15:15" x14ac:dyDescent="0.25">
      <c r="O221279" s="9"/>
    </row>
    <row r="221300" spans="15:15" x14ac:dyDescent="0.25">
      <c r="O221300" s="9"/>
    </row>
    <row r="221321" spans="15:15" x14ac:dyDescent="0.25">
      <c r="O221321" s="9"/>
    </row>
    <row r="221342" spans="15:15" x14ac:dyDescent="0.25">
      <c r="O221342" s="9"/>
    </row>
    <row r="221363" spans="15:15" x14ac:dyDescent="0.25">
      <c r="O221363" s="9"/>
    </row>
    <row r="221384" spans="15:15" x14ac:dyDescent="0.25">
      <c r="O221384" s="9"/>
    </row>
    <row r="221405" spans="15:15" x14ac:dyDescent="0.25">
      <c r="O221405" s="9"/>
    </row>
    <row r="221426" spans="15:15" x14ac:dyDescent="0.25">
      <c r="O221426" s="9"/>
    </row>
    <row r="221447" spans="15:15" x14ac:dyDescent="0.25">
      <c r="O221447" s="9"/>
    </row>
    <row r="221468" spans="15:15" x14ac:dyDescent="0.25">
      <c r="O221468" s="9"/>
    </row>
    <row r="221489" spans="15:15" x14ac:dyDescent="0.25">
      <c r="O221489" s="9"/>
    </row>
    <row r="221510" spans="15:15" x14ac:dyDescent="0.25">
      <c r="O221510" s="9"/>
    </row>
    <row r="221531" spans="15:15" x14ac:dyDescent="0.25">
      <c r="O221531" s="9"/>
    </row>
    <row r="221552" spans="15:15" x14ac:dyDescent="0.25">
      <c r="O221552" s="9"/>
    </row>
    <row r="221573" spans="15:15" x14ac:dyDescent="0.25">
      <c r="O221573" s="9"/>
    </row>
    <row r="221594" spans="15:15" x14ac:dyDescent="0.25">
      <c r="O221594" s="9"/>
    </row>
    <row r="221615" spans="15:15" x14ac:dyDescent="0.25">
      <c r="O221615" s="9"/>
    </row>
    <row r="221636" spans="15:15" x14ac:dyDescent="0.25">
      <c r="O221636" s="9"/>
    </row>
    <row r="221657" spans="15:15" x14ac:dyDescent="0.25">
      <c r="O221657" s="9"/>
    </row>
    <row r="221678" spans="15:15" x14ac:dyDescent="0.25">
      <c r="O221678" s="9"/>
    </row>
    <row r="221699" spans="15:15" x14ac:dyDescent="0.25">
      <c r="O221699" s="9"/>
    </row>
    <row r="221720" spans="15:15" x14ac:dyDescent="0.25">
      <c r="O221720" s="9"/>
    </row>
    <row r="221741" spans="15:15" x14ac:dyDescent="0.25">
      <c r="O221741" s="9"/>
    </row>
    <row r="221762" spans="15:15" x14ac:dyDescent="0.25">
      <c r="O221762" s="9"/>
    </row>
    <row r="221783" spans="15:15" x14ac:dyDescent="0.25">
      <c r="O221783" s="9"/>
    </row>
    <row r="221804" spans="15:15" x14ac:dyDescent="0.25">
      <c r="O221804" s="9"/>
    </row>
    <row r="221825" spans="15:15" x14ac:dyDescent="0.25">
      <c r="O221825" s="9"/>
    </row>
    <row r="221846" spans="15:15" x14ac:dyDescent="0.25">
      <c r="O221846" s="9"/>
    </row>
    <row r="221867" spans="15:15" x14ac:dyDescent="0.25">
      <c r="O221867" s="9"/>
    </row>
    <row r="221888" spans="15:15" x14ac:dyDescent="0.25">
      <c r="O221888" s="9"/>
    </row>
    <row r="221909" spans="15:15" x14ac:dyDescent="0.25">
      <c r="O221909" s="9"/>
    </row>
    <row r="221930" spans="15:15" x14ac:dyDescent="0.25">
      <c r="O221930" s="9"/>
    </row>
    <row r="221951" spans="15:15" x14ac:dyDescent="0.25">
      <c r="O221951" s="9"/>
    </row>
    <row r="221972" spans="15:15" x14ac:dyDescent="0.25">
      <c r="O221972" s="9"/>
    </row>
    <row r="221993" spans="15:15" x14ac:dyDescent="0.25">
      <c r="O221993" s="9"/>
    </row>
    <row r="222014" spans="15:15" x14ac:dyDescent="0.25">
      <c r="O222014" s="9"/>
    </row>
    <row r="222035" spans="15:15" x14ac:dyDescent="0.25">
      <c r="O222035" s="9"/>
    </row>
    <row r="222056" spans="15:15" x14ac:dyDescent="0.25">
      <c r="O222056" s="9"/>
    </row>
    <row r="222077" spans="15:15" x14ac:dyDescent="0.25">
      <c r="O222077" s="9"/>
    </row>
    <row r="222098" spans="15:15" x14ac:dyDescent="0.25">
      <c r="O222098" s="9"/>
    </row>
    <row r="222119" spans="15:15" x14ac:dyDescent="0.25">
      <c r="O222119" s="9"/>
    </row>
    <row r="222140" spans="15:15" x14ac:dyDescent="0.25">
      <c r="O222140" s="9"/>
    </row>
    <row r="222161" spans="15:15" x14ac:dyDescent="0.25">
      <c r="O222161" s="9"/>
    </row>
    <row r="222182" spans="15:15" x14ac:dyDescent="0.25">
      <c r="O222182" s="9"/>
    </row>
    <row r="222203" spans="15:15" x14ac:dyDescent="0.25">
      <c r="O222203" s="9"/>
    </row>
    <row r="222224" spans="15:15" x14ac:dyDescent="0.25">
      <c r="O222224" s="9"/>
    </row>
    <row r="222245" spans="15:15" x14ac:dyDescent="0.25">
      <c r="O222245" s="9"/>
    </row>
    <row r="222266" spans="15:15" x14ac:dyDescent="0.25">
      <c r="O222266" s="9"/>
    </row>
    <row r="222287" spans="15:15" x14ac:dyDescent="0.25">
      <c r="O222287" s="9"/>
    </row>
    <row r="222308" spans="15:15" x14ac:dyDescent="0.25">
      <c r="O222308" s="9"/>
    </row>
    <row r="222329" spans="15:15" x14ac:dyDescent="0.25">
      <c r="O222329" s="9"/>
    </row>
    <row r="222350" spans="15:15" x14ac:dyDescent="0.25">
      <c r="O222350" s="9"/>
    </row>
    <row r="222371" spans="15:15" x14ac:dyDescent="0.25">
      <c r="O222371" s="9"/>
    </row>
    <row r="222392" spans="15:15" x14ac:dyDescent="0.25">
      <c r="O222392" s="9"/>
    </row>
    <row r="222413" spans="15:15" x14ac:dyDescent="0.25">
      <c r="O222413" s="9"/>
    </row>
    <row r="222434" spans="15:15" x14ac:dyDescent="0.25">
      <c r="O222434" s="9"/>
    </row>
    <row r="222455" spans="15:15" x14ac:dyDescent="0.25">
      <c r="O222455" s="9"/>
    </row>
    <row r="222476" spans="15:15" x14ac:dyDescent="0.25">
      <c r="O222476" s="9"/>
    </row>
    <row r="222497" spans="15:15" x14ac:dyDescent="0.25">
      <c r="O222497" s="9"/>
    </row>
    <row r="222518" spans="15:15" x14ac:dyDescent="0.25">
      <c r="O222518" s="9"/>
    </row>
    <row r="222539" spans="15:15" x14ac:dyDescent="0.25">
      <c r="O222539" s="9"/>
    </row>
    <row r="222560" spans="15:15" x14ac:dyDescent="0.25">
      <c r="O222560" s="9"/>
    </row>
    <row r="222581" spans="15:15" x14ac:dyDescent="0.25">
      <c r="O222581" s="9"/>
    </row>
    <row r="222602" spans="15:15" x14ac:dyDescent="0.25">
      <c r="O222602" s="9"/>
    </row>
    <row r="222623" spans="15:15" x14ac:dyDescent="0.25">
      <c r="O222623" s="9"/>
    </row>
    <row r="222644" spans="15:15" x14ac:dyDescent="0.25">
      <c r="O222644" s="9"/>
    </row>
    <row r="222665" spans="15:15" x14ac:dyDescent="0.25">
      <c r="O222665" s="9"/>
    </row>
    <row r="222686" spans="15:15" x14ac:dyDescent="0.25">
      <c r="O222686" s="9"/>
    </row>
    <row r="222707" spans="15:15" x14ac:dyDescent="0.25">
      <c r="O222707" s="9"/>
    </row>
    <row r="222728" spans="15:15" x14ac:dyDescent="0.25">
      <c r="O222728" s="9"/>
    </row>
    <row r="222749" spans="15:15" x14ac:dyDescent="0.25">
      <c r="O222749" s="9"/>
    </row>
    <row r="222770" spans="15:15" x14ac:dyDescent="0.25">
      <c r="O222770" s="9"/>
    </row>
    <row r="222791" spans="15:15" x14ac:dyDescent="0.25">
      <c r="O222791" s="9"/>
    </row>
    <row r="222812" spans="15:15" x14ac:dyDescent="0.25">
      <c r="O222812" s="9"/>
    </row>
    <row r="222833" spans="15:15" x14ac:dyDescent="0.25">
      <c r="O222833" s="9"/>
    </row>
    <row r="222854" spans="15:15" x14ac:dyDescent="0.25">
      <c r="O222854" s="9"/>
    </row>
    <row r="222875" spans="15:15" x14ac:dyDescent="0.25">
      <c r="O222875" s="9"/>
    </row>
    <row r="222896" spans="15:15" x14ac:dyDescent="0.25">
      <c r="O222896" s="9"/>
    </row>
    <row r="222917" spans="15:15" x14ac:dyDescent="0.25">
      <c r="O222917" s="9"/>
    </row>
    <row r="222938" spans="15:15" x14ac:dyDescent="0.25">
      <c r="O222938" s="9"/>
    </row>
    <row r="222959" spans="15:15" x14ac:dyDescent="0.25">
      <c r="O222959" s="9"/>
    </row>
    <row r="222980" spans="15:15" x14ac:dyDescent="0.25">
      <c r="O222980" s="9"/>
    </row>
    <row r="223001" spans="15:15" x14ac:dyDescent="0.25">
      <c r="O223001" s="9"/>
    </row>
    <row r="223022" spans="15:15" x14ac:dyDescent="0.25">
      <c r="O223022" s="9"/>
    </row>
    <row r="223043" spans="15:15" x14ac:dyDescent="0.25">
      <c r="O223043" s="9"/>
    </row>
    <row r="223064" spans="15:15" x14ac:dyDescent="0.25">
      <c r="O223064" s="9"/>
    </row>
    <row r="223085" spans="15:15" x14ac:dyDescent="0.25">
      <c r="O223085" s="9"/>
    </row>
    <row r="223106" spans="15:15" x14ac:dyDescent="0.25">
      <c r="O223106" s="9"/>
    </row>
    <row r="223127" spans="15:15" x14ac:dyDescent="0.25">
      <c r="O223127" s="9"/>
    </row>
    <row r="223148" spans="15:15" x14ac:dyDescent="0.25">
      <c r="O223148" s="9"/>
    </row>
    <row r="223169" spans="15:15" x14ac:dyDescent="0.25">
      <c r="O223169" s="9"/>
    </row>
    <row r="223190" spans="15:15" x14ac:dyDescent="0.25">
      <c r="O223190" s="9"/>
    </row>
    <row r="223211" spans="15:15" x14ac:dyDescent="0.25">
      <c r="O223211" s="9"/>
    </row>
    <row r="223232" spans="15:15" x14ac:dyDescent="0.25">
      <c r="O223232" s="9"/>
    </row>
    <row r="223253" spans="15:15" x14ac:dyDescent="0.25">
      <c r="O223253" s="9"/>
    </row>
    <row r="223274" spans="15:15" x14ac:dyDescent="0.25">
      <c r="O223274" s="9"/>
    </row>
    <row r="223295" spans="15:15" x14ac:dyDescent="0.25">
      <c r="O223295" s="9"/>
    </row>
    <row r="223316" spans="15:15" x14ac:dyDescent="0.25">
      <c r="O223316" s="9"/>
    </row>
    <row r="223337" spans="15:15" x14ac:dyDescent="0.25">
      <c r="O223337" s="9"/>
    </row>
    <row r="223358" spans="15:15" x14ac:dyDescent="0.25">
      <c r="O223358" s="9"/>
    </row>
    <row r="223379" spans="15:15" x14ac:dyDescent="0.25">
      <c r="O223379" s="9"/>
    </row>
    <row r="223400" spans="15:15" x14ac:dyDescent="0.25">
      <c r="O223400" s="9"/>
    </row>
    <row r="223421" spans="15:15" x14ac:dyDescent="0.25">
      <c r="O223421" s="9"/>
    </row>
    <row r="223442" spans="15:15" x14ac:dyDescent="0.25">
      <c r="O223442" s="9"/>
    </row>
    <row r="223463" spans="15:15" x14ac:dyDescent="0.25">
      <c r="O223463" s="9"/>
    </row>
    <row r="223484" spans="15:15" x14ac:dyDescent="0.25">
      <c r="O223484" s="9"/>
    </row>
    <row r="223505" spans="15:15" x14ac:dyDescent="0.25">
      <c r="O223505" s="9"/>
    </row>
    <row r="223526" spans="15:15" x14ac:dyDescent="0.25">
      <c r="O223526" s="9"/>
    </row>
    <row r="223547" spans="15:15" x14ac:dyDescent="0.25">
      <c r="O223547" s="9"/>
    </row>
    <row r="223568" spans="15:15" x14ac:dyDescent="0.25">
      <c r="O223568" s="9"/>
    </row>
    <row r="223589" spans="15:15" x14ac:dyDescent="0.25">
      <c r="O223589" s="9"/>
    </row>
    <row r="223610" spans="15:15" x14ac:dyDescent="0.25">
      <c r="O223610" s="9"/>
    </row>
    <row r="223631" spans="15:15" x14ac:dyDescent="0.25">
      <c r="O223631" s="9"/>
    </row>
    <row r="223652" spans="15:15" x14ac:dyDescent="0.25">
      <c r="O223652" s="9"/>
    </row>
    <row r="223673" spans="15:15" x14ac:dyDescent="0.25">
      <c r="O223673" s="9"/>
    </row>
    <row r="223694" spans="15:15" x14ac:dyDescent="0.25">
      <c r="O223694" s="9"/>
    </row>
    <row r="223715" spans="15:15" x14ac:dyDescent="0.25">
      <c r="O223715" s="9"/>
    </row>
    <row r="223736" spans="15:15" x14ac:dyDescent="0.25">
      <c r="O223736" s="9"/>
    </row>
    <row r="223757" spans="15:15" x14ac:dyDescent="0.25">
      <c r="O223757" s="9"/>
    </row>
    <row r="223778" spans="15:15" x14ac:dyDescent="0.25">
      <c r="O223778" s="9"/>
    </row>
    <row r="223799" spans="15:15" x14ac:dyDescent="0.25">
      <c r="O223799" s="9"/>
    </row>
    <row r="223820" spans="15:15" x14ac:dyDescent="0.25">
      <c r="O223820" s="9"/>
    </row>
    <row r="223841" spans="15:15" x14ac:dyDescent="0.25">
      <c r="O223841" s="9"/>
    </row>
    <row r="223862" spans="15:15" x14ac:dyDescent="0.25">
      <c r="O223862" s="9"/>
    </row>
    <row r="223883" spans="15:15" x14ac:dyDescent="0.25">
      <c r="O223883" s="9"/>
    </row>
    <row r="223904" spans="15:15" x14ac:dyDescent="0.25">
      <c r="O223904" s="9"/>
    </row>
    <row r="223925" spans="15:15" x14ac:dyDescent="0.25">
      <c r="O223925" s="9"/>
    </row>
    <row r="223946" spans="15:15" x14ac:dyDescent="0.25">
      <c r="O223946" s="9"/>
    </row>
    <row r="223967" spans="15:15" x14ac:dyDescent="0.25">
      <c r="O223967" s="9"/>
    </row>
    <row r="223988" spans="15:15" x14ac:dyDescent="0.25">
      <c r="O223988" s="9"/>
    </row>
    <row r="224009" spans="15:15" x14ac:dyDescent="0.25">
      <c r="O224009" s="9"/>
    </row>
    <row r="224030" spans="15:15" x14ac:dyDescent="0.25">
      <c r="O224030" s="9"/>
    </row>
    <row r="224051" spans="15:15" x14ac:dyDescent="0.25">
      <c r="O224051" s="9"/>
    </row>
    <row r="224072" spans="15:15" x14ac:dyDescent="0.25">
      <c r="O224072" s="9"/>
    </row>
    <row r="224093" spans="15:15" x14ac:dyDescent="0.25">
      <c r="O224093" s="9"/>
    </row>
    <row r="224114" spans="15:15" x14ac:dyDescent="0.25">
      <c r="O224114" s="9"/>
    </row>
    <row r="224135" spans="15:15" x14ac:dyDescent="0.25">
      <c r="O224135" s="9"/>
    </row>
    <row r="224156" spans="15:15" x14ac:dyDescent="0.25">
      <c r="O224156" s="9"/>
    </row>
    <row r="224177" spans="15:15" x14ac:dyDescent="0.25">
      <c r="O224177" s="9"/>
    </row>
    <row r="224198" spans="15:15" x14ac:dyDescent="0.25">
      <c r="O224198" s="9"/>
    </row>
    <row r="224219" spans="15:15" x14ac:dyDescent="0.25">
      <c r="O224219" s="9"/>
    </row>
    <row r="224240" spans="15:15" x14ac:dyDescent="0.25">
      <c r="O224240" s="9"/>
    </row>
    <row r="224261" spans="15:15" x14ac:dyDescent="0.25">
      <c r="O224261" s="9"/>
    </row>
    <row r="224282" spans="15:15" x14ac:dyDescent="0.25">
      <c r="O224282" s="9"/>
    </row>
    <row r="224303" spans="15:15" x14ac:dyDescent="0.25">
      <c r="O224303" s="9"/>
    </row>
    <row r="224324" spans="15:15" x14ac:dyDescent="0.25">
      <c r="O224324" s="9"/>
    </row>
    <row r="224345" spans="15:15" x14ac:dyDescent="0.25">
      <c r="O224345" s="9"/>
    </row>
    <row r="224366" spans="15:15" x14ac:dyDescent="0.25">
      <c r="O224366" s="9"/>
    </row>
    <row r="224387" spans="15:15" x14ac:dyDescent="0.25">
      <c r="O224387" s="9"/>
    </row>
    <row r="224408" spans="15:15" x14ac:dyDescent="0.25">
      <c r="O224408" s="9"/>
    </row>
    <row r="224429" spans="15:15" x14ac:dyDescent="0.25">
      <c r="O224429" s="9"/>
    </row>
    <row r="224450" spans="15:15" x14ac:dyDescent="0.25">
      <c r="O224450" s="9"/>
    </row>
    <row r="224471" spans="15:15" x14ac:dyDescent="0.25">
      <c r="O224471" s="9"/>
    </row>
    <row r="224492" spans="15:15" x14ac:dyDescent="0.25">
      <c r="O224492" s="9"/>
    </row>
    <row r="224513" spans="15:15" x14ac:dyDescent="0.25">
      <c r="O224513" s="9"/>
    </row>
    <row r="224534" spans="15:15" x14ac:dyDescent="0.25">
      <c r="O224534" s="9"/>
    </row>
    <row r="224555" spans="15:15" x14ac:dyDescent="0.25">
      <c r="O224555" s="9"/>
    </row>
    <row r="224576" spans="15:15" x14ac:dyDescent="0.25">
      <c r="O224576" s="9"/>
    </row>
    <row r="224597" spans="15:15" x14ac:dyDescent="0.25">
      <c r="O224597" s="9"/>
    </row>
    <row r="224618" spans="15:15" x14ac:dyDescent="0.25">
      <c r="O224618" s="9"/>
    </row>
    <row r="224639" spans="15:15" x14ac:dyDescent="0.25">
      <c r="O224639" s="9"/>
    </row>
    <row r="224660" spans="15:15" x14ac:dyDescent="0.25">
      <c r="O224660" s="9"/>
    </row>
    <row r="224681" spans="15:15" x14ac:dyDescent="0.25">
      <c r="O224681" s="9"/>
    </row>
    <row r="224702" spans="15:15" x14ac:dyDescent="0.25">
      <c r="O224702" s="9"/>
    </row>
    <row r="224723" spans="15:15" x14ac:dyDescent="0.25">
      <c r="O224723" s="9"/>
    </row>
    <row r="224744" spans="15:15" x14ac:dyDescent="0.25">
      <c r="O224744" s="9"/>
    </row>
    <row r="224765" spans="15:15" x14ac:dyDescent="0.25">
      <c r="O224765" s="9"/>
    </row>
    <row r="224786" spans="15:15" x14ac:dyDescent="0.25">
      <c r="O224786" s="9"/>
    </row>
    <row r="224807" spans="15:15" x14ac:dyDescent="0.25">
      <c r="O224807" s="9"/>
    </row>
    <row r="224828" spans="15:15" x14ac:dyDescent="0.25">
      <c r="O224828" s="9"/>
    </row>
    <row r="224849" spans="15:15" x14ac:dyDescent="0.25">
      <c r="O224849" s="9"/>
    </row>
    <row r="224870" spans="15:15" x14ac:dyDescent="0.25">
      <c r="O224870" s="9"/>
    </row>
    <row r="224891" spans="15:15" x14ac:dyDescent="0.25">
      <c r="O224891" s="9"/>
    </row>
    <row r="224912" spans="15:15" x14ac:dyDescent="0.25">
      <c r="O224912" s="9"/>
    </row>
    <row r="224933" spans="15:15" x14ac:dyDescent="0.25">
      <c r="O224933" s="9"/>
    </row>
    <row r="224954" spans="15:15" x14ac:dyDescent="0.25">
      <c r="O224954" s="9"/>
    </row>
    <row r="224975" spans="15:15" x14ac:dyDescent="0.25">
      <c r="O224975" s="9"/>
    </row>
    <row r="224996" spans="15:15" x14ac:dyDescent="0.25">
      <c r="O224996" s="9"/>
    </row>
    <row r="225017" spans="15:15" x14ac:dyDescent="0.25">
      <c r="O225017" s="9"/>
    </row>
    <row r="225038" spans="15:15" x14ac:dyDescent="0.25">
      <c r="O225038" s="9"/>
    </row>
    <row r="225059" spans="15:15" x14ac:dyDescent="0.25">
      <c r="O225059" s="9"/>
    </row>
    <row r="225080" spans="15:15" x14ac:dyDescent="0.25">
      <c r="O225080" s="9"/>
    </row>
    <row r="225101" spans="15:15" x14ac:dyDescent="0.25">
      <c r="O225101" s="9"/>
    </row>
    <row r="225122" spans="15:15" x14ac:dyDescent="0.25">
      <c r="O225122" s="9"/>
    </row>
    <row r="225143" spans="15:15" x14ac:dyDescent="0.25">
      <c r="O225143" s="9"/>
    </row>
    <row r="225164" spans="15:15" x14ac:dyDescent="0.25">
      <c r="O225164" s="9"/>
    </row>
    <row r="225185" spans="15:15" x14ac:dyDescent="0.25">
      <c r="O225185" s="9"/>
    </row>
    <row r="225206" spans="15:15" x14ac:dyDescent="0.25">
      <c r="O225206" s="9"/>
    </row>
    <row r="225227" spans="15:15" x14ac:dyDescent="0.25">
      <c r="O225227" s="9"/>
    </row>
    <row r="225248" spans="15:15" x14ac:dyDescent="0.25">
      <c r="O225248" s="9"/>
    </row>
    <row r="225269" spans="15:15" x14ac:dyDescent="0.25">
      <c r="O225269" s="9"/>
    </row>
    <row r="225290" spans="15:15" x14ac:dyDescent="0.25">
      <c r="O225290" s="9"/>
    </row>
    <row r="225311" spans="15:15" x14ac:dyDescent="0.25">
      <c r="O225311" s="9"/>
    </row>
    <row r="225332" spans="15:15" x14ac:dyDescent="0.25">
      <c r="O225332" s="9"/>
    </row>
    <row r="225353" spans="15:15" x14ac:dyDescent="0.25">
      <c r="O225353" s="9"/>
    </row>
    <row r="225374" spans="15:15" x14ac:dyDescent="0.25">
      <c r="O225374" s="9"/>
    </row>
    <row r="225395" spans="15:15" x14ac:dyDescent="0.25">
      <c r="O225395" s="9"/>
    </row>
    <row r="225416" spans="15:15" x14ac:dyDescent="0.25">
      <c r="O225416" s="9"/>
    </row>
    <row r="225437" spans="15:15" x14ac:dyDescent="0.25">
      <c r="O225437" s="9"/>
    </row>
    <row r="225458" spans="15:15" x14ac:dyDescent="0.25">
      <c r="O225458" s="9"/>
    </row>
    <row r="225479" spans="15:15" x14ac:dyDescent="0.25">
      <c r="O225479" s="9"/>
    </row>
    <row r="225500" spans="15:15" x14ac:dyDescent="0.25">
      <c r="O225500" s="9"/>
    </row>
    <row r="225521" spans="15:15" x14ac:dyDescent="0.25">
      <c r="O225521" s="9"/>
    </row>
    <row r="225542" spans="15:15" x14ac:dyDescent="0.25">
      <c r="O225542" s="9"/>
    </row>
    <row r="225563" spans="15:15" x14ac:dyDescent="0.25">
      <c r="O225563" s="9"/>
    </row>
    <row r="225584" spans="15:15" x14ac:dyDescent="0.25">
      <c r="O225584" s="9"/>
    </row>
    <row r="225605" spans="15:15" x14ac:dyDescent="0.25">
      <c r="O225605" s="9"/>
    </row>
    <row r="225626" spans="15:15" x14ac:dyDescent="0.25">
      <c r="O225626" s="9"/>
    </row>
    <row r="225647" spans="15:15" x14ac:dyDescent="0.25">
      <c r="O225647" s="9"/>
    </row>
    <row r="225668" spans="15:15" x14ac:dyDescent="0.25">
      <c r="O225668" s="9"/>
    </row>
    <row r="225689" spans="15:15" x14ac:dyDescent="0.25">
      <c r="O225689" s="9"/>
    </row>
    <row r="225710" spans="15:15" x14ac:dyDescent="0.25">
      <c r="O225710" s="9"/>
    </row>
    <row r="225731" spans="15:15" x14ac:dyDescent="0.25">
      <c r="O225731" s="9"/>
    </row>
    <row r="225752" spans="15:15" x14ac:dyDescent="0.25">
      <c r="O225752" s="9"/>
    </row>
    <row r="225773" spans="15:15" x14ac:dyDescent="0.25">
      <c r="O225773" s="9"/>
    </row>
    <row r="225794" spans="15:15" x14ac:dyDescent="0.25">
      <c r="O225794" s="9"/>
    </row>
    <row r="225815" spans="15:15" x14ac:dyDescent="0.25">
      <c r="O225815" s="9"/>
    </row>
    <row r="225836" spans="15:15" x14ac:dyDescent="0.25">
      <c r="O225836" s="9"/>
    </row>
    <row r="225857" spans="15:15" x14ac:dyDescent="0.25">
      <c r="O225857" s="9"/>
    </row>
    <row r="225878" spans="15:15" x14ac:dyDescent="0.25">
      <c r="O225878" s="9"/>
    </row>
    <row r="225899" spans="15:15" x14ac:dyDescent="0.25">
      <c r="O225899" s="9"/>
    </row>
    <row r="225920" spans="15:15" x14ac:dyDescent="0.25">
      <c r="O225920" s="9"/>
    </row>
    <row r="225941" spans="15:15" x14ac:dyDescent="0.25">
      <c r="O225941" s="9"/>
    </row>
    <row r="225962" spans="15:15" x14ac:dyDescent="0.25">
      <c r="O225962" s="9"/>
    </row>
    <row r="225983" spans="15:15" x14ac:dyDescent="0.25">
      <c r="O225983" s="9"/>
    </row>
    <row r="226004" spans="15:15" x14ac:dyDescent="0.25">
      <c r="O226004" s="9"/>
    </row>
    <row r="226025" spans="15:15" x14ac:dyDescent="0.25">
      <c r="O226025" s="9"/>
    </row>
    <row r="226046" spans="15:15" x14ac:dyDescent="0.25">
      <c r="O226046" s="9"/>
    </row>
    <row r="226067" spans="15:15" x14ac:dyDescent="0.25">
      <c r="O226067" s="9"/>
    </row>
    <row r="226088" spans="15:15" x14ac:dyDescent="0.25">
      <c r="O226088" s="9"/>
    </row>
    <row r="226109" spans="15:15" x14ac:dyDescent="0.25">
      <c r="O226109" s="9"/>
    </row>
    <row r="226130" spans="15:15" x14ac:dyDescent="0.25">
      <c r="O226130" s="9"/>
    </row>
    <row r="226151" spans="15:15" x14ac:dyDescent="0.25">
      <c r="O226151" s="9"/>
    </row>
    <row r="226172" spans="15:15" x14ac:dyDescent="0.25">
      <c r="O226172" s="9"/>
    </row>
    <row r="226193" spans="15:15" x14ac:dyDescent="0.25">
      <c r="O226193" s="9"/>
    </row>
    <row r="226214" spans="15:15" x14ac:dyDescent="0.25">
      <c r="O226214" s="9"/>
    </row>
    <row r="226235" spans="15:15" x14ac:dyDescent="0.25">
      <c r="O226235" s="9"/>
    </row>
    <row r="226256" spans="15:15" x14ac:dyDescent="0.25">
      <c r="O226256" s="9"/>
    </row>
    <row r="226277" spans="15:15" x14ac:dyDescent="0.25">
      <c r="O226277" s="9"/>
    </row>
    <row r="226298" spans="15:15" x14ac:dyDescent="0.25">
      <c r="O226298" s="9"/>
    </row>
    <row r="226319" spans="15:15" x14ac:dyDescent="0.25">
      <c r="O226319" s="9"/>
    </row>
    <row r="226340" spans="15:15" x14ac:dyDescent="0.25">
      <c r="O226340" s="9"/>
    </row>
    <row r="226361" spans="15:15" x14ac:dyDescent="0.25">
      <c r="O226361" s="9"/>
    </row>
    <row r="226382" spans="15:15" x14ac:dyDescent="0.25">
      <c r="O226382" s="9"/>
    </row>
    <row r="226403" spans="15:15" x14ac:dyDescent="0.25">
      <c r="O226403" s="9"/>
    </row>
    <row r="226424" spans="15:15" x14ac:dyDescent="0.25">
      <c r="O226424" s="9"/>
    </row>
    <row r="226445" spans="15:15" x14ac:dyDescent="0.25">
      <c r="O226445" s="9"/>
    </row>
    <row r="226466" spans="15:15" x14ac:dyDescent="0.25">
      <c r="O226466" s="9"/>
    </row>
    <row r="226487" spans="15:15" x14ac:dyDescent="0.25">
      <c r="O226487" s="9"/>
    </row>
    <row r="226508" spans="15:15" x14ac:dyDescent="0.25">
      <c r="O226508" s="9"/>
    </row>
    <row r="226529" spans="15:15" x14ac:dyDescent="0.25">
      <c r="O226529" s="9"/>
    </row>
    <row r="226550" spans="15:15" x14ac:dyDescent="0.25">
      <c r="O226550" s="9"/>
    </row>
    <row r="226571" spans="15:15" x14ac:dyDescent="0.25">
      <c r="O226571" s="9"/>
    </row>
    <row r="226592" spans="15:15" x14ac:dyDescent="0.25">
      <c r="O226592" s="9"/>
    </row>
    <row r="226613" spans="15:15" x14ac:dyDescent="0.25">
      <c r="O226613" s="9"/>
    </row>
    <row r="226634" spans="15:15" x14ac:dyDescent="0.25">
      <c r="O226634" s="9"/>
    </row>
    <row r="226655" spans="15:15" x14ac:dyDescent="0.25">
      <c r="O226655" s="9"/>
    </row>
    <row r="226676" spans="15:15" x14ac:dyDescent="0.25">
      <c r="O226676" s="9"/>
    </row>
    <row r="226697" spans="15:15" x14ac:dyDescent="0.25">
      <c r="O226697" s="9"/>
    </row>
    <row r="226718" spans="15:15" x14ac:dyDescent="0.25">
      <c r="O226718" s="9"/>
    </row>
    <row r="226739" spans="15:15" x14ac:dyDescent="0.25">
      <c r="O226739" s="9"/>
    </row>
    <row r="226760" spans="15:15" x14ac:dyDescent="0.25">
      <c r="O226760" s="9"/>
    </row>
    <row r="226781" spans="15:15" x14ac:dyDescent="0.25">
      <c r="O226781" s="9"/>
    </row>
    <row r="226802" spans="15:15" x14ac:dyDescent="0.25">
      <c r="O226802" s="9"/>
    </row>
    <row r="226823" spans="15:15" x14ac:dyDescent="0.25">
      <c r="O226823" s="9"/>
    </row>
    <row r="226844" spans="15:15" x14ac:dyDescent="0.25">
      <c r="O226844" s="9"/>
    </row>
    <row r="226865" spans="15:15" x14ac:dyDescent="0.25">
      <c r="O226865" s="9"/>
    </row>
    <row r="226886" spans="15:15" x14ac:dyDescent="0.25">
      <c r="O226886" s="9"/>
    </row>
    <row r="226907" spans="15:15" x14ac:dyDescent="0.25">
      <c r="O226907" s="9"/>
    </row>
    <row r="226928" spans="15:15" x14ac:dyDescent="0.25">
      <c r="O226928" s="9"/>
    </row>
    <row r="226949" spans="15:15" x14ac:dyDescent="0.25">
      <c r="O226949" s="9"/>
    </row>
    <row r="226970" spans="15:15" x14ac:dyDescent="0.25">
      <c r="O226970" s="9"/>
    </row>
    <row r="226991" spans="15:15" x14ac:dyDescent="0.25">
      <c r="O226991" s="9"/>
    </row>
    <row r="227012" spans="15:15" x14ac:dyDescent="0.25">
      <c r="O227012" s="9"/>
    </row>
    <row r="227033" spans="15:15" x14ac:dyDescent="0.25">
      <c r="O227033" s="9"/>
    </row>
    <row r="227054" spans="15:15" x14ac:dyDescent="0.25">
      <c r="O227054" s="9"/>
    </row>
    <row r="227075" spans="15:15" x14ac:dyDescent="0.25">
      <c r="O227075" s="9"/>
    </row>
    <row r="227096" spans="15:15" x14ac:dyDescent="0.25">
      <c r="O227096" s="9"/>
    </row>
    <row r="227117" spans="15:15" x14ac:dyDescent="0.25">
      <c r="O227117" s="9"/>
    </row>
    <row r="227138" spans="15:15" x14ac:dyDescent="0.25">
      <c r="O227138" s="9"/>
    </row>
    <row r="227159" spans="15:15" x14ac:dyDescent="0.25">
      <c r="O227159" s="9"/>
    </row>
    <row r="227180" spans="15:15" x14ac:dyDescent="0.25">
      <c r="O227180" s="9"/>
    </row>
    <row r="227201" spans="15:15" x14ac:dyDescent="0.25">
      <c r="O227201" s="9"/>
    </row>
    <row r="227222" spans="15:15" x14ac:dyDescent="0.25">
      <c r="O227222" s="9"/>
    </row>
    <row r="227243" spans="15:15" x14ac:dyDescent="0.25">
      <c r="O227243" s="9"/>
    </row>
    <row r="227264" spans="15:15" x14ac:dyDescent="0.25">
      <c r="O227264" s="9"/>
    </row>
    <row r="227285" spans="15:15" x14ac:dyDescent="0.25">
      <c r="O227285" s="9"/>
    </row>
    <row r="227306" spans="15:15" x14ac:dyDescent="0.25">
      <c r="O227306" s="9"/>
    </row>
    <row r="227327" spans="15:15" x14ac:dyDescent="0.25">
      <c r="O227327" s="9"/>
    </row>
    <row r="227348" spans="15:15" x14ac:dyDescent="0.25">
      <c r="O227348" s="9"/>
    </row>
    <row r="227369" spans="15:15" x14ac:dyDescent="0.25">
      <c r="O227369" s="9"/>
    </row>
    <row r="227390" spans="15:15" x14ac:dyDescent="0.25">
      <c r="O227390" s="9"/>
    </row>
    <row r="227411" spans="15:15" x14ac:dyDescent="0.25">
      <c r="O227411" s="9"/>
    </row>
    <row r="227432" spans="15:15" x14ac:dyDescent="0.25">
      <c r="O227432" s="9"/>
    </row>
    <row r="227453" spans="15:15" x14ac:dyDescent="0.25">
      <c r="O227453" s="9"/>
    </row>
    <row r="227474" spans="15:15" x14ac:dyDescent="0.25">
      <c r="O227474" s="9"/>
    </row>
    <row r="227495" spans="15:15" x14ac:dyDescent="0.25">
      <c r="O227495" s="9"/>
    </row>
    <row r="227516" spans="15:15" x14ac:dyDescent="0.25">
      <c r="O227516" s="9"/>
    </row>
    <row r="227537" spans="15:15" x14ac:dyDescent="0.25">
      <c r="O227537" s="9"/>
    </row>
    <row r="227558" spans="15:15" x14ac:dyDescent="0.25">
      <c r="O227558" s="9"/>
    </row>
    <row r="227579" spans="15:15" x14ac:dyDescent="0.25">
      <c r="O227579" s="9"/>
    </row>
    <row r="227600" spans="15:15" x14ac:dyDescent="0.25">
      <c r="O227600" s="9"/>
    </row>
    <row r="227621" spans="15:15" x14ac:dyDescent="0.25">
      <c r="O227621" s="9"/>
    </row>
    <row r="227642" spans="15:15" x14ac:dyDescent="0.25">
      <c r="O227642" s="9"/>
    </row>
    <row r="227663" spans="15:15" x14ac:dyDescent="0.25">
      <c r="O227663" s="9"/>
    </row>
    <row r="227684" spans="15:15" x14ac:dyDescent="0.25">
      <c r="O227684" s="9"/>
    </row>
    <row r="227705" spans="15:15" x14ac:dyDescent="0.25">
      <c r="O227705" s="9"/>
    </row>
    <row r="227726" spans="15:15" x14ac:dyDescent="0.25">
      <c r="O227726" s="9"/>
    </row>
    <row r="227747" spans="15:15" x14ac:dyDescent="0.25">
      <c r="O227747" s="9"/>
    </row>
    <row r="227768" spans="15:15" x14ac:dyDescent="0.25">
      <c r="O227768" s="9"/>
    </row>
    <row r="227789" spans="15:15" x14ac:dyDescent="0.25">
      <c r="O227789" s="9"/>
    </row>
    <row r="227810" spans="15:15" x14ac:dyDescent="0.25">
      <c r="O227810" s="9"/>
    </row>
    <row r="227831" spans="15:15" x14ac:dyDescent="0.25">
      <c r="O227831" s="9"/>
    </row>
    <row r="227852" spans="15:15" x14ac:dyDescent="0.25">
      <c r="O227852" s="9"/>
    </row>
    <row r="227873" spans="15:15" x14ac:dyDescent="0.25">
      <c r="O227873" s="9"/>
    </row>
    <row r="227894" spans="15:15" x14ac:dyDescent="0.25">
      <c r="O227894" s="9"/>
    </row>
    <row r="227915" spans="15:15" x14ac:dyDescent="0.25">
      <c r="O227915" s="9"/>
    </row>
    <row r="227936" spans="15:15" x14ac:dyDescent="0.25">
      <c r="O227936" s="9"/>
    </row>
    <row r="227957" spans="15:15" x14ac:dyDescent="0.25">
      <c r="O227957" s="9"/>
    </row>
    <row r="227978" spans="15:15" x14ac:dyDescent="0.25">
      <c r="O227978" s="9"/>
    </row>
    <row r="227999" spans="15:15" x14ac:dyDescent="0.25">
      <c r="O227999" s="9"/>
    </row>
    <row r="228020" spans="15:15" x14ac:dyDescent="0.25">
      <c r="O228020" s="9"/>
    </row>
    <row r="228041" spans="15:15" x14ac:dyDescent="0.25">
      <c r="O228041" s="9"/>
    </row>
    <row r="228062" spans="15:15" x14ac:dyDescent="0.25">
      <c r="O228062" s="9"/>
    </row>
    <row r="228083" spans="15:15" x14ac:dyDescent="0.25">
      <c r="O228083" s="9"/>
    </row>
    <row r="228104" spans="15:15" x14ac:dyDescent="0.25">
      <c r="O228104" s="9"/>
    </row>
    <row r="228125" spans="15:15" x14ac:dyDescent="0.25">
      <c r="O228125" s="9"/>
    </row>
    <row r="228146" spans="15:15" x14ac:dyDescent="0.25">
      <c r="O228146" s="9"/>
    </row>
    <row r="228167" spans="15:15" x14ac:dyDescent="0.25">
      <c r="O228167" s="9"/>
    </row>
    <row r="228188" spans="15:15" x14ac:dyDescent="0.25">
      <c r="O228188" s="9"/>
    </row>
    <row r="228209" spans="15:15" x14ac:dyDescent="0.25">
      <c r="O228209" s="9"/>
    </row>
    <row r="228230" spans="15:15" x14ac:dyDescent="0.25">
      <c r="O228230" s="9"/>
    </row>
    <row r="228251" spans="15:15" x14ac:dyDescent="0.25">
      <c r="O228251" s="9"/>
    </row>
    <row r="228272" spans="15:15" x14ac:dyDescent="0.25">
      <c r="O228272" s="9"/>
    </row>
    <row r="228293" spans="15:15" x14ac:dyDescent="0.25">
      <c r="O228293" s="9"/>
    </row>
    <row r="228314" spans="15:15" x14ac:dyDescent="0.25">
      <c r="O228314" s="9"/>
    </row>
    <row r="228335" spans="15:15" x14ac:dyDescent="0.25">
      <c r="O228335" s="9"/>
    </row>
    <row r="228356" spans="15:15" x14ac:dyDescent="0.25">
      <c r="O228356" s="9"/>
    </row>
    <row r="228377" spans="15:15" x14ac:dyDescent="0.25">
      <c r="O228377" s="9"/>
    </row>
    <row r="228398" spans="15:15" x14ac:dyDescent="0.25">
      <c r="O228398" s="9"/>
    </row>
    <row r="228419" spans="15:15" x14ac:dyDescent="0.25">
      <c r="O228419" s="9"/>
    </row>
    <row r="228440" spans="15:15" x14ac:dyDescent="0.25">
      <c r="O228440" s="9"/>
    </row>
    <row r="228461" spans="15:15" x14ac:dyDescent="0.25">
      <c r="O228461" s="9"/>
    </row>
    <row r="228482" spans="15:15" x14ac:dyDescent="0.25">
      <c r="O228482" s="9"/>
    </row>
    <row r="228503" spans="15:15" x14ac:dyDescent="0.25">
      <c r="O228503" s="9"/>
    </row>
    <row r="228524" spans="15:15" x14ac:dyDescent="0.25">
      <c r="O228524" s="9"/>
    </row>
    <row r="228545" spans="15:15" x14ac:dyDescent="0.25">
      <c r="O228545" s="9"/>
    </row>
    <row r="228566" spans="15:15" x14ac:dyDescent="0.25">
      <c r="O228566" s="9"/>
    </row>
    <row r="228587" spans="15:15" x14ac:dyDescent="0.25">
      <c r="O228587" s="9"/>
    </row>
    <row r="228608" spans="15:15" x14ac:dyDescent="0.25">
      <c r="O228608" s="9"/>
    </row>
    <row r="228629" spans="15:15" x14ac:dyDescent="0.25">
      <c r="O228629" s="9"/>
    </row>
    <row r="228650" spans="15:15" x14ac:dyDescent="0.25">
      <c r="O228650" s="9"/>
    </row>
    <row r="228671" spans="15:15" x14ac:dyDescent="0.25">
      <c r="O228671" s="9"/>
    </row>
    <row r="228692" spans="15:15" x14ac:dyDescent="0.25">
      <c r="O228692" s="9"/>
    </row>
    <row r="228713" spans="15:15" x14ac:dyDescent="0.25">
      <c r="O228713" s="9"/>
    </row>
    <row r="228734" spans="15:15" x14ac:dyDescent="0.25">
      <c r="O228734" s="9"/>
    </row>
    <row r="228755" spans="15:15" x14ac:dyDescent="0.25">
      <c r="O228755" s="9"/>
    </row>
    <row r="228776" spans="15:15" x14ac:dyDescent="0.25">
      <c r="O228776" s="9"/>
    </row>
    <row r="228797" spans="15:15" x14ac:dyDescent="0.25">
      <c r="O228797" s="9"/>
    </row>
    <row r="228818" spans="15:15" x14ac:dyDescent="0.25">
      <c r="O228818" s="9"/>
    </row>
    <row r="228839" spans="15:15" x14ac:dyDescent="0.25">
      <c r="O228839" s="9"/>
    </row>
    <row r="228860" spans="15:15" x14ac:dyDescent="0.25">
      <c r="O228860" s="9"/>
    </row>
    <row r="228881" spans="15:15" x14ac:dyDescent="0.25">
      <c r="O228881" s="9"/>
    </row>
    <row r="228902" spans="15:15" x14ac:dyDescent="0.25">
      <c r="O228902" s="9"/>
    </row>
    <row r="228923" spans="15:15" x14ac:dyDescent="0.25">
      <c r="O228923" s="9"/>
    </row>
    <row r="228944" spans="15:15" x14ac:dyDescent="0.25">
      <c r="O228944" s="9"/>
    </row>
    <row r="228965" spans="15:15" x14ac:dyDescent="0.25">
      <c r="O228965" s="9"/>
    </row>
    <row r="228986" spans="15:15" x14ac:dyDescent="0.25">
      <c r="O228986" s="9"/>
    </row>
    <row r="229007" spans="15:15" x14ac:dyDescent="0.25">
      <c r="O229007" s="9"/>
    </row>
    <row r="229028" spans="15:15" x14ac:dyDescent="0.25">
      <c r="O229028" s="9"/>
    </row>
    <row r="229049" spans="15:15" x14ac:dyDescent="0.25">
      <c r="O229049" s="9"/>
    </row>
    <row r="229070" spans="15:15" x14ac:dyDescent="0.25">
      <c r="O229070" s="9"/>
    </row>
    <row r="229091" spans="15:15" x14ac:dyDescent="0.25">
      <c r="O229091" s="9"/>
    </row>
    <row r="229112" spans="15:15" x14ac:dyDescent="0.25">
      <c r="O229112" s="9"/>
    </row>
    <row r="229133" spans="15:15" x14ac:dyDescent="0.25">
      <c r="O229133" s="9"/>
    </row>
    <row r="229154" spans="15:15" x14ac:dyDescent="0.25">
      <c r="O229154" s="9"/>
    </row>
    <row r="229175" spans="15:15" x14ac:dyDescent="0.25">
      <c r="O229175" s="9"/>
    </row>
    <row r="229196" spans="15:15" x14ac:dyDescent="0.25">
      <c r="O229196" s="9"/>
    </row>
    <row r="229217" spans="15:15" x14ac:dyDescent="0.25">
      <c r="O229217" s="9"/>
    </row>
    <row r="229238" spans="15:15" x14ac:dyDescent="0.25">
      <c r="O229238" s="9"/>
    </row>
    <row r="229259" spans="15:15" x14ac:dyDescent="0.25">
      <c r="O229259" s="9"/>
    </row>
    <row r="229280" spans="15:15" x14ac:dyDescent="0.25">
      <c r="O229280" s="9"/>
    </row>
    <row r="229301" spans="15:15" x14ac:dyDescent="0.25">
      <c r="O229301" s="9"/>
    </row>
    <row r="229322" spans="15:15" x14ac:dyDescent="0.25">
      <c r="O229322" s="9"/>
    </row>
    <row r="229343" spans="15:15" x14ac:dyDescent="0.25">
      <c r="O229343" s="9"/>
    </row>
    <row r="229364" spans="15:15" x14ac:dyDescent="0.25">
      <c r="O229364" s="9"/>
    </row>
    <row r="229385" spans="15:15" x14ac:dyDescent="0.25">
      <c r="O229385" s="9"/>
    </row>
    <row r="229406" spans="15:15" x14ac:dyDescent="0.25">
      <c r="O229406" s="9"/>
    </row>
    <row r="229427" spans="15:15" x14ac:dyDescent="0.25">
      <c r="O229427" s="9"/>
    </row>
    <row r="229448" spans="15:15" x14ac:dyDescent="0.25">
      <c r="O229448" s="9"/>
    </row>
    <row r="229469" spans="15:15" x14ac:dyDescent="0.25">
      <c r="O229469" s="9"/>
    </row>
    <row r="229490" spans="15:15" x14ac:dyDescent="0.25">
      <c r="O229490" s="9"/>
    </row>
    <row r="229511" spans="15:15" x14ac:dyDescent="0.25">
      <c r="O229511" s="9"/>
    </row>
    <row r="229532" spans="15:15" x14ac:dyDescent="0.25">
      <c r="O229532" s="9"/>
    </row>
    <row r="229553" spans="15:15" x14ac:dyDescent="0.25">
      <c r="O229553" s="9"/>
    </row>
    <row r="229574" spans="15:15" x14ac:dyDescent="0.25">
      <c r="O229574" s="9"/>
    </row>
    <row r="229595" spans="15:15" x14ac:dyDescent="0.25">
      <c r="O229595" s="9"/>
    </row>
    <row r="229616" spans="15:15" x14ac:dyDescent="0.25">
      <c r="O229616" s="9"/>
    </row>
    <row r="229637" spans="15:15" x14ac:dyDescent="0.25">
      <c r="O229637" s="9"/>
    </row>
    <row r="229658" spans="15:15" x14ac:dyDescent="0.25">
      <c r="O229658" s="9"/>
    </row>
    <row r="229679" spans="15:15" x14ac:dyDescent="0.25">
      <c r="O229679" s="9"/>
    </row>
    <row r="229700" spans="15:15" x14ac:dyDescent="0.25">
      <c r="O229700" s="9"/>
    </row>
    <row r="229721" spans="15:15" x14ac:dyDescent="0.25">
      <c r="O229721" s="9"/>
    </row>
    <row r="229742" spans="15:15" x14ac:dyDescent="0.25">
      <c r="O229742" s="9"/>
    </row>
    <row r="229763" spans="15:15" x14ac:dyDescent="0.25">
      <c r="O229763" s="9"/>
    </row>
    <row r="229784" spans="15:15" x14ac:dyDescent="0.25">
      <c r="O229784" s="9"/>
    </row>
    <row r="229805" spans="15:15" x14ac:dyDescent="0.25">
      <c r="O229805" s="9"/>
    </row>
    <row r="229826" spans="15:15" x14ac:dyDescent="0.25">
      <c r="O229826" s="9"/>
    </row>
    <row r="229847" spans="15:15" x14ac:dyDescent="0.25">
      <c r="O229847" s="9"/>
    </row>
    <row r="229868" spans="15:15" x14ac:dyDescent="0.25">
      <c r="O229868" s="9"/>
    </row>
    <row r="229889" spans="15:15" x14ac:dyDescent="0.25">
      <c r="O229889" s="9"/>
    </row>
    <row r="229910" spans="15:15" x14ac:dyDescent="0.25">
      <c r="O229910" s="9"/>
    </row>
    <row r="229931" spans="15:15" x14ac:dyDescent="0.25">
      <c r="O229931" s="9"/>
    </row>
    <row r="229952" spans="15:15" x14ac:dyDescent="0.25">
      <c r="O229952" s="9"/>
    </row>
    <row r="229973" spans="15:15" x14ac:dyDescent="0.25">
      <c r="O229973" s="9"/>
    </row>
    <row r="229994" spans="15:15" x14ac:dyDescent="0.25">
      <c r="O229994" s="9"/>
    </row>
    <row r="230015" spans="15:15" x14ac:dyDescent="0.25">
      <c r="O230015" s="9"/>
    </row>
    <row r="230036" spans="15:15" x14ac:dyDescent="0.25">
      <c r="O230036" s="9"/>
    </row>
    <row r="230057" spans="15:15" x14ac:dyDescent="0.25">
      <c r="O230057" s="9"/>
    </row>
    <row r="230078" spans="15:15" x14ac:dyDescent="0.25">
      <c r="O230078" s="9"/>
    </row>
    <row r="230099" spans="15:15" x14ac:dyDescent="0.25">
      <c r="O230099" s="9"/>
    </row>
    <row r="230120" spans="15:15" x14ac:dyDescent="0.25">
      <c r="O230120" s="9"/>
    </row>
    <row r="230141" spans="15:15" x14ac:dyDescent="0.25">
      <c r="O230141" s="9"/>
    </row>
    <row r="230162" spans="15:15" x14ac:dyDescent="0.25">
      <c r="O230162" s="9"/>
    </row>
    <row r="230183" spans="15:15" x14ac:dyDescent="0.25">
      <c r="O230183" s="9"/>
    </row>
    <row r="230204" spans="15:15" x14ac:dyDescent="0.25">
      <c r="O230204" s="9"/>
    </row>
    <row r="230225" spans="15:15" x14ac:dyDescent="0.25">
      <c r="O230225" s="9"/>
    </row>
    <row r="230246" spans="15:15" x14ac:dyDescent="0.25">
      <c r="O230246" s="9"/>
    </row>
    <row r="230267" spans="15:15" x14ac:dyDescent="0.25">
      <c r="O230267" s="9"/>
    </row>
    <row r="230288" spans="15:15" x14ac:dyDescent="0.25">
      <c r="O230288" s="9"/>
    </row>
    <row r="230309" spans="15:15" x14ac:dyDescent="0.25">
      <c r="O230309" s="9"/>
    </row>
    <row r="230330" spans="15:15" x14ac:dyDescent="0.25">
      <c r="O230330" s="9"/>
    </row>
    <row r="230351" spans="15:15" x14ac:dyDescent="0.25">
      <c r="O230351" s="9"/>
    </row>
    <row r="230372" spans="15:15" x14ac:dyDescent="0.25">
      <c r="O230372" s="9"/>
    </row>
    <row r="230393" spans="15:15" x14ac:dyDescent="0.25">
      <c r="O230393" s="9"/>
    </row>
    <row r="230414" spans="15:15" x14ac:dyDescent="0.25">
      <c r="O230414" s="9"/>
    </row>
    <row r="230435" spans="15:15" x14ac:dyDescent="0.25">
      <c r="O230435" s="9"/>
    </row>
    <row r="230456" spans="15:15" x14ac:dyDescent="0.25">
      <c r="O230456" s="9"/>
    </row>
    <row r="230477" spans="15:15" x14ac:dyDescent="0.25">
      <c r="O230477" s="9"/>
    </row>
    <row r="230498" spans="15:15" x14ac:dyDescent="0.25">
      <c r="O230498" s="9"/>
    </row>
    <row r="230519" spans="15:15" x14ac:dyDescent="0.25">
      <c r="O230519" s="9"/>
    </row>
    <row r="230540" spans="15:15" x14ac:dyDescent="0.25">
      <c r="O230540" s="9"/>
    </row>
    <row r="230561" spans="15:15" x14ac:dyDescent="0.25">
      <c r="O230561" s="9"/>
    </row>
    <row r="230582" spans="15:15" x14ac:dyDescent="0.25">
      <c r="O230582" s="9"/>
    </row>
    <row r="230603" spans="15:15" x14ac:dyDescent="0.25">
      <c r="O230603" s="9"/>
    </row>
    <row r="230624" spans="15:15" x14ac:dyDescent="0.25">
      <c r="O230624" s="9"/>
    </row>
    <row r="230645" spans="15:15" x14ac:dyDescent="0.25">
      <c r="O230645" s="9"/>
    </row>
    <row r="230666" spans="15:15" x14ac:dyDescent="0.25">
      <c r="O230666" s="9"/>
    </row>
    <row r="230687" spans="15:15" x14ac:dyDescent="0.25">
      <c r="O230687" s="9"/>
    </row>
    <row r="230708" spans="15:15" x14ac:dyDescent="0.25">
      <c r="O230708" s="9"/>
    </row>
    <row r="230729" spans="15:15" x14ac:dyDescent="0.25">
      <c r="O230729" s="9"/>
    </row>
    <row r="230750" spans="15:15" x14ac:dyDescent="0.25">
      <c r="O230750" s="9"/>
    </row>
    <row r="230771" spans="15:15" x14ac:dyDescent="0.25">
      <c r="O230771" s="9"/>
    </row>
    <row r="230792" spans="15:15" x14ac:dyDescent="0.25">
      <c r="O230792" s="9"/>
    </row>
    <row r="230813" spans="15:15" x14ac:dyDescent="0.25">
      <c r="O230813" s="9"/>
    </row>
    <row r="230834" spans="15:15" x14ac:dyDescent="0.25">
      <c r="O230834" s="9"/>
    </row>
    <row r="230855" spans="15:15" x14ac:dyDescent="0.25">
      <c r="O230855" s="9"/>
    </row>
    <row r="230876" spans="15:15" x14ac:dyDescent="0.25">
      <c r="O230876" s="9"/>
    </row>
    <row r="230897" spans="15:15" x14ac:dyDescent="0.25">
      <c r="O230897" s="9"/>
    </row>
    <row r="230918" spans="15:15" x14ac:dyDescent="0.25">
      <c r="O230918" s="9"/>
    </row>
    <row r="230939" spans="15:15" x14ac:dyDescent="0.25">
      <c r="O230939" s="9"/>
    </row>
    <row r="230960" spans="15:15" x14ac:dyDescent="0.25">
      <c r="O230960" s="9"/>
    </row>
    <row r="230981" spans="15:15" x14ac:dyDescent="0.25">
      <c r="O230981" s="9"/>
    </row>
    <row r="231002" spans="15:15" x14ac:dyDescent="0.25">
      <c r="O231002" s="9"/>
    </row>
    <row r="231023" spans="15:15" x14ac:dyDescent="0.25">
      <c r="O231023" s="9"/>
    </row>
    <row r="231044" spans="15:15" x14ac:dyDescent="0.25">
      <c r="O231044" s="9"/>
    </row>
    <row r="231065" spans="15:15" x14ac:dyDescent="0.25">
      <c r="O231065" s="9"/>
    </row>
    <row r="231086" spans="15:15" x14ac:dyDescent="0.25">
      <c r="O231086" s="9"/>
    </row>
    <row r="231107" spans="15:15" x14ac:dyDescent="0.25">
      <c r="O231107" s="9"/>
    </row>
    <row r="231128" spans="15:15" x14ac:dyDescent="0.25">
      <c r="O231128" s="9"/>
    </row>
    <row r="231149" spans="15:15" x14ac:dyDescent="0.25">
      <c r="O231149" s="9"/>
    </row>
    <row r="231170" spans="15:15" x14ac:dyDescent="0.25">
      <c r="O231170" s="9"/>
    </row>
    <row r="231191" spans="15:15" x14ac:dyDescent="0.25">
      <c r="O231191" s="9"/>
    </row>
    <row r="231212" spans="15:15" x14ac:dyDescent="0.25">
      <c r="O231212" s="9"/>
    </row>
    <row r="231233" spans="15:15" x14ac:dyDescent="0.25">
      <c r="O231233" s="9"/>
    </row>
    <row r="231254" spans="15:15" x14ac:dyDescent="0.25">
      <c r="O231254" s="9"/>
    </row>
    <row r="231275" spans="15:15" x14ac:dyDescent="0.25">
      <c r="O231275" s="9"/>
    </row>
    <row r="231296" spans="15:15" x14ac:dyDescent="0.25">
      <c r="O231296" s="9"/>
    </row>
    <row r="231317" spans="15:15" x14ac:dyDescent="0.25">
      <c r="O231317" s="9"/>
    </row>
    <row r="231338" spans="15:15" x14ac:dyDescent="0.25">
      <c r="O231338" s="9"/>
    </row>
    <row r="231359" spans="15:15" x14ac:dyDescent="0.25">
      <c r="O231359" s="9"/>
    </row>
    <row r="231380" spans="15:15" x14ac:dyDescent="0.25">
      <c r="O231380" s="9"/>
    </row>
    <row r="231401" spans="15:15" x14ac:dyDescent="0.25">
      <c r="O231401" s="9"/>
    </row>
    <row r="231422" spans="15:15" x14ac:dyDescent="0.25">
      <c r="O231422" s="9"/>
    </row>
    <row r="231443" spans="15:15" x14ac:dyDescent="0.25">
      <c r="O231443" s="9"/>
    </row>
    <row r="231464" spans="15:15" x14ac:dyDescent="0.25">
      <c r="O231464" s="9"/>
    </row>
    <row r="231485" spans="15:15" x14ac:dyDescent="0.25">
      <c r="O231485" s="9"/>
    </row>
    <row r="231506" spans="15:15" x14ac:dyDescent="0.25">
      <c r="O231506" s="9"/>
    </row>
    <row r="231527" spans="15:15" x14ac:dyDescent="0.25">
      <c r="O231527" s="9"/>
    </row>
    <row r="231548" spans="15:15" x14ac:dyDescent="0.25">
      <c r="O231548" s="9"/>
    </row>
    <row r="231569" spans="15:15" x14ac:dyDescent="0.25">
      <c r="O231569" s="9"/>
    </row>
    <row r="231590" spans="15:15" x14ac:dyDescent="0.25">
      <c r="O231590" s="9"/>
    </row>
    <row r="231611" spans="15:15" x14ac:dyDescent="0.25">
      <c r="O231611" s="9"/>
    </row>
    <row r="231632" spans="15:15" x14ac:dyDescent="0.25">
      <c r="O231632" s="9"/>
    </row>
    <row r="231653" spans="15:15" x14ac:dyDescent="0.25">
      <c r="O231653" s="9"/>
    </row>
    <row r="231674" spans="15:15" x14ac:dyDescent="0.25">
      <c r="O231674" s="9"/>
    </row>
    <row r="231695" spans="15:15" x14ac:dyDescent="0.25">
      <c r="O231695" s="9"/>
    </row>
    <row r="231716" spans="15:15" x14ac:dyDescent="0.25">
      <c r="O231716" s="9"/>
    </row>
    <row r="231737" spans="15:15" x14ac:dyDescent="0.25">
      <c r="O231737" s="9"/>
    </row>
    <row r="231758" spans="15:15" x14ac:dyDescent="0.25">
      <c r="O231758" s="9"/>
    </row>
    <row r="231779" spans="15:15" x14ac:dyDescent="0.25">
      <c r="O231779" s="9"/>
    </row>
    <row r="231800" spans="15:15" x14ac:dyDescent="0.25">
      <c r="O231800" s="9"/>
    </row>
    <row r="231821" spans="15:15" x14ac:dyDescent="0.25">
      <c r="O231821" s="9"/>
    </row>
    <row r="231842" spans="15:15" x14ac:dyDescent="0.25">
      <c r="O231842" s="9"/>
    </row>
    <row r="231863" spans="15:15" x14ac:dyDescent="0.25">
      <c r="O231863" s="9"/>
    </row>
    <row r="231884" spans="15:15" x14ac:dyDescent="0.25">
      <c r="O231884" s="9"/>
    </row>
    <row r="231905" spans="15:15" x14ac:dyDescent="0.25">
      <c r="O231905" s="9"/>
    </row>
    <row r="231926" spans="15:15" x14ac:dyDescent="0.25">
      <c r="O231926" s="9"/>
    </row>
    <row r="231947" spans="15:15" x14ac:dyDescent="0.25">
      <c r="O231947" s="9"/>
    </row>
    <row r="231968" spans="15:15" x14ac:dyDescent="0.25">
      <c r="O231968" s="9"/>
    </row>
    <row r="231989" spans="15:15" x14ac:dyDescent="0.25">
      <c r="O231989" s="9"/>
    </row>
    <row r="232010" spans="15:15" x14ac:dyDescent="0.25">
      <c r="O232010" s="9"/>
    </row>
    <row r="232031" spans="15:15" x14ac:dyDescent="0.25">
      <c r="O232031" s="9"/>
    </row>
    <row r="232052" spans="15:15" x14ac:dyDescent="0.25">
      <c r="O232052" s="9"/>
    </row>
    <row r="232073" spans="15:15" x14ac:dyDescent="0.25">
      <c r="O232073" s="9"/>
    </row>
    <row r="232094" spans="15:15" x14ac:dyDescent="0.25">
      <c r="O232094" s="9"/>
    </row>
    <row r="232115" spans="15:15" x14ac:dyDescent="0.25">
      <c r="O232115" s="9"/>
    </row>
    <row r="232136" spans="15:15" x14ac:dyDescent="0.25">
      <c r="O232136" s="9"/>
    </row>
    <row r="232157" spans="15:15" x14ac:dyDescent="0.25">
      <c r="O232157" s="9"/>
    </row>
    <row r="232178" spans="15:15" x14ac:dyDescent="0.25">
      <c r="O232178" s="9"/>
    </row>
    <row r="232199" spans="15:15" x14ac:dyDescent="0.25">
      <c r="O232199" s="9"/>
    </row>
    <row r="232220" spans="15:15" x14ac:dyDescent="0.25">
      <c r="O232220" s="9"/>
    </row>
    <row r="232241" spans="15:15" x14ac:dyDescent="0.25">
      <c r="O232241" s="9"/>
    </row>
    <row r="232262" spans="15:15" x14ac:dyDescent="0.25">
      <c r="O232262" s="9"/>
    </row>
    <row r="232283" spans="15:15" x14ac:dyDescent="0.25">
      <c r="O232283" s="9"/>
    </row>
    <row r="232304" spans="15:15" x14ac:dyDescent="0.25">
      <c r="O232304" s="9"/>
    </row>
    <row r="232325" spans="15:15" x14ac:dyDescent="0.25">
      <c r="O232325" s="9"/>
    </row>
    <row r="232346" spans="15:15" x14ac:dyDescent="0.25">
      <c r="O232346" s="9"/>
    </row>
    <row r="232367" spans="15:15" x14ac:dyDescent="0.25">
      <c r="O232367" s="9"/>
    </row>
    <row r="232388" spans="15:15" x14ac:dyDescent="0.25">
      <c r="O232388" s="9"/>
    </row>
    <row r="232409" spans="15:15" x14ac:dyDescent="0.25">
      <c r="O232409" s="9"/>
    </row>
    <row r="232430" spans="15:15" x14ac:dyDescent="0.25">
      <c r="O232430" s="9"/>
    </row>
    <row r="232451" spans="15:15" x14ac:dyDescent="0.25">
      <c r="O232451" s="9"/>
    </row>
    <row r="232472" spans="15:15" x14ac:dyDescent="0.25">
      <c r="O232472" s="9"/>
    </row>
    <row r="232493" spans="15:15" x14ac:dyDescent="0.25">
      <c r="O232493" s="9"/>
    </row>
    <row r="232514" spans="15:15" x14ac:dyDescent="0.25">
      <c r="O232514" s="9"/>
    </row>
    <row r="232535" spans="15:15" x14ac:dyDescent="0.25">
      <c r="O232535" s="9"/>
    </row>
    <row r="232556" spans="15:15" x14ac:dyDescent="0.25">
      <c r="O232556" s="9"/>
    </row>
    <row r="232577" spans="15:15" x14ac:dyDescent="0.25">
      <c r="O232577" s="9"/>
    </row>
    <row r="232598" spans="15:15" x14ac:dyDescent="0.25">
      <c r="O232598" s="9"/>
    </row>
    <row r="232619" spans="15:15" x14ac:dyDescent="0.25">
      <c r="O232619" s="9"/>
    </row>
    <row r="232640" spans="15:15" x14ac:dyDescent="0.25">
      <c r="O232640" s="9"/>
    </row>
    <row r="232661" spans="15:15" x14ac:dyDescent="0.25">
      <c r="O232661" s="9"/>
    </row>
    <row r="232682" spans="15:15" x14ac:dyDescent="0.25">
      <c r="O232682" s="9"/>
    </row>
    <row r="232703" spans="15:15" x14ac:dyDescent="0.25">
      <c r="O232703" s="9"/>
    </row>
    <row r="232724" spans="15:15" x14ac:dyDescent="0.25">
      <c r="O232724" s="9"/>
    </row>
    <row r="232745" spans="15:15" x14ac:dyDescent="0.25">
      <c r="O232745" s="9"/>
    </row>
    <row r="232766" spans="15:15" x14ac:dyDescent="0.25">
      <c r="O232766" s="9"/>
    </row>
    <row r="232787" spans="15:15" x14ac:dyDescent="0.25">
      <c r="O232787" s="9"/>
    </row>
    <row r="232808" spans="15:15" x14ac:dyDescent="0.25">
      <c r="O232808" s="9"/>
    </row>
    <row r="232829" spans="15:15" x14ac:dyDescent="0.25">
      <c r="O232829" s="9"/>
    </row>
    <row r="232850" spans="15:15" x14ac:dyDescent="0.25">
      <c r="O232850" s="9"/>
    </row>
    <row r="232871" spans="15:15" x14ac:dyDescent="0.25">
      <c r="O232871" s="9"/>
    </row>
    <row r="232892" spans="15:15" x14ac:dyDescent="0.25">
      <c r="O232892" s="9"/>
    </row>
    <row r="232913" spans="15:15" x14ac:dyDescent="0.25">
      <c r="O232913" s="9"/>
    </row>
    <row r="232934" spans="15:15" x14ac:dyDescent="0.25">
      <c r="O232934" s="9"/>
    </row>
    <row r="232955" spans="15:15" x14ac:dyDescent="0.25">
      <c r="O232955" s="9"/>
    </row>
    <row r="232976" spans="15:15" x14ac:dyDescent="0.25">
      <c r="O232976" s="9"/>
    </row>
    <row r="232997" spans="15:15" x14ac:dyDescent="0.25">
      <c r="O232997" s="9"/>
    </row>
    <row r="233018" spans="15:15" x14ac:dyDescent="0.25">
      <c r="O233018" s="9"/>
    </row>
    <row r="233039" spans="15:15" x14ac:dyDescent="0.25">
      <c r="O233039" s="9"/>
    </row>
    <row r="233060" spans="15:15" x14ac:dyDescent="0.25">
      <c r="O233060" s="9"/>
    </row>
    <row r="233081" spans="15:15" x14ac:dyDescent="0.25">
      <c r="O233081" s="9"/>
    </row>
    <row r="233102" spans="15:15" x14ac:dyDescent="0.25">
      <c r="O233102" s="9"/>
    </row>
    <row r="233123" spans="15:15" x14ac:dyDescent="0.25">
      <c r="O233123" s="9"/>
    </row>
    <row r="233144" spans="15:15" x14ac:dyDescent="0.25">
      <c r="O233144" s="9"/>
    </row>
    <row r="233165" spans="15:15" x14ac:dyDescent="0.25">
      <c r="O233165" s="9"/>
    </row>
    <row r="233186" spans="15:15" x14ac:dyDescent="0.25">
      <c r="O233186" s="9"/>
    </row>
    <row r="233207" spans="15:15" x14ac:dyDescent="0.25">
      <c r="O233207" s="9"/>
    </row>
    <row r="233228" spans="15:15" x14ac:dyDescent="0.25">
      <c r="O233228" s="9"/>
    </row>
    <row r="233249" spans="15:15" x14ac:dyDescent="0.25">
      <c r="O233249" s="9"/>
    </row>
    <row r="233270" spans="15:15" x14ac:dyDescent="0.25">
      <c r="O233270" s="9"/>
    </row>
    <row r="233291" spans="15:15" x14ac:dyDescent="0.25">
      <c r="O233291" s="9"/>
    </row>
    <row r="233312" spans="15:15" x14ac:dyDescent="0.25">
      <c r="O233312" s="9"/>
    </row>
    <row r="233333" spans="15:15" x14ac:dyDescent="0.25">
      <c r="O233333" s="9"/>
    </row>
    <row r="233354" spans="15:15" x14ac:dyDescent="0.25">
      <c r="O233354" s="9"/>
    </row>
    <row r="233375" spans="15:15" x14ac:dyDescent="0.25">
      <c r="O233375" s="9"/>
    </row>
    <row r="233396" spans="15:15" x14ac:dyDescent="0.25">
      <c r="O233396" s="9"/>
    </row>
    <row r="233417" spans="15:15" x14ac:dyDescent="0.25">
      <c r="O233417" s="9"/>
    </row>
    <row r="233438" spans="15:15" x14ac:dyDescent="0.25">
      <c r="O233438" s="9"/>
    </row>
    <row r="233459" spans="15:15" x14ac:dyDescent="0.25">
      <c r="O233459" s="9"/>
    </row>
    <row r="233480" spans="15:15" x14ac:dyDescent="0.25">
      <c r="O233480" s="9"/>
    </row>
    <row r="233501" spans="15:15" x14ac:dyDescent="0.25">
      <c r="O233501" s="9"/>
    </row>
    <row r="233522" spans="15:15" x14ac:dyDescent="0.25">
      <c r="O233522" s="9"/>
    </row>
    <row r="233543" spans="15:15" x14ac:dyDescent="0.25">
      <c r="O233543" s="9"/>
    </row>
    <row r="233564" spans="15:15" x14ac:dyDescent="0.25">
      <c r="O233564" s="9"/>
    </row>
    <row r="233585" spans="15:15" x14ac:dyDescent="0.25">
      <c r="O233585" s="9"/>
    </row>
    <row r="233606" spans="15:15" x14ac:dyDescent="0.25">
      <c r="O233606" s="9"/>
    </row>
    <row r="233627" spans="15:15" x14ac:dyDescent="0.25">
      <c r="O233627" s="9"/>
    </row>
    <row r="233648" spans="15:15" x14ac:dyDescent="0.25">
      <c r="O233648" s="9"/>
    </row>
    <row r="233669" spans="15:15" x14ac:dyDescent="0.25">
      <c r="O233669" s="9"/>
    </row>
    <row r="233690" spans="15:15" x14ac:dyDescent="0.25">
      <c r="O233690" s="9"/>
    </row>
    <row r="233711" spans="15:15" x14ac:dyDescent="0.25">
      <c r="O233711" s="9"/>
    </row>
    <row r="233732" spans="15:15" x14ac:dyDescent="0.25">
      <c r="O233732" s="9"/>
    </row>
    <row r="233753" spans="15:15" x14ac:dyDescent="0.25">
      <c r="O233753" s="9"/>
    </row>
    <row r="233774" spans="15:15" x14ac:dyDescent="0.25">
      <c r="O233774" s="9"/>
    </row>
    <row r="233795" spans="15:15" x14ac:dyDescent="0.25">
      <c r="O233795" s="9"/>
    </row>
    <row r="233816" spans="15:15" x14ac:dyDescent="0.25">
      <c r="O233816" s="9"/>
    </row>
    <row r="233837" spans="15:15" x14ac:dyDescent="0.25">
      <c r="O233837" s="9"/>
    </row>
    <row r="233858" spans="15:15" x14ac:dyDescent="0.25">
      <c r="O233858" s="9"/>
    </row>
    <row r="233879" spans="15:15" x14ac:dyDescent="0.25">
      <c r="O233879" s="9"/>
    </row>
    <row r="233900" spans="15:15" x14ac:dyDescent="0.25">
      <c r="O233900" s="9"/>
    </row>
    <row r="233921" spans="15:15" x14ac:dyDescent="0.25">
      <c r="O233921" s="9"/>
    </row>
    <row r="233942" spans="15:15" x14ac:dyDescent="0.25">
      <c r="O233942" s="9"/>
    </row>
    <row r="233963" spans="15:15" x14ac:dyDescent="0.25">
      <c r="O233963" s="9"/>
    </row>
    <row r="233984" spans="15:15" x14ac:dyDescent="0.25">
      <c r="O233984" s="9"/>
    </row>
    <row r="234005" spans="15:15" x14ac:dyDescent="0.25">
      <c r="O234005" s="9"/>
    </row>
    <row r="234026" spans="15:15" x14ac:dyDescent="0.25">
      <c r="O234026" s="9"/>
    </row>
    <row r="234047" spans="15:15" x14ac:dyDescent="0.25">
      <c r="O234047" s="9"/>
    </row>
    <row r="234068" spans="15:15" x14ac:dyDescent="0.25">
      <c r="O234068" s="9"/>
    </row>
    <row r="234089" spans="15:15" x14ac:dyDescent="0.25">
      <c r="O234089" s="9"/>
    </row>
    <row r="234110" spans="15:15" x14ac:dyDescent="0.25">
      <c r="O234110" s="9"/>
    </row>
    <row r="234131" spans="15:15" x14ac:dyDescent="0.25">
      <c r="O234131" s="9"/>
    </row>
    <row r="234152" spans="15:15" x14ac:dyDescent="0.25">
      <c r="O234152" s="9"/>
    </row>
    <row r="234173" spans="15:15" x14ac:dyDescent="0.25">
      <c r="O234173" s="9"/>
    </row>
    <row r="234194" spans="15:15" x14ac:dyDescent="0.25">
      <c r="O234194" s="9"/>
    </row>
    <row r="234215" spans="15:15" x14ac:dyDescent="0.25">
      <c r="O234215" s="9"/>
    </row>
    <row r="234236" spans="15:15" x14ac:dyDescent="0.25">
      <c r="O234236" s="9"/>
    </row>
    <row r="234257" spans="15:15" x14ac:dyDescent="0.25">
      <c r="O234257" s="9"/>
    </row>
    <row r="234278" spans="15:15" x14ac:dyDescent="0.25">
      <c r="O234278" s="9"/>
    </row>
    <row r="234299" spans="15:15" x14ac:dyDescent="0.25">
      <c r="O234299" s="9"/>
    </row>
    <row r="234320" spans="15:15" x14ac:dyDescent="0.25">
      <c r="O234320" s="9"/>
    </row>
    <row r="234341" spans="15:15" x14ac:dyDescent="0.25">
      <c r="O234341" s="9"/>
    </row>
    <row r="234362" spans="15:15" x14ac:dyDescent="0.25">
      <c r="O234362" s="9"/>
    </row>
    <row r="234383" spans="15:15" x14ac:dyDescent="0.25">
      <c r="O234383" s="9"/>
    </row>
    <row r="234404" spans="15:15" x14ac:dyDescent="0.25">
      <c r="O234404" s="9"/>
    </row>
    <row r="234425" spans="15:15" x14ac:dyDescent="0.25">
      <c r="O234425" s="9"/>
    </row>
    <row r="234446" spans="15:15" x14ac:dyDescent="0.25">
      <c r="O234446" s="9"/>
    </row>
    <row r="234467" spans="15:15" x14ac:dyDescent="0.25">
      <c r="O234467" s="9"/>
    </row>
    <row r="234488" spans="15:15" x14ac:dyDescent="0.25">
      <c r="O234488" s="9"/>
    </row>
    <row r="234509" spans="15:15" x14ac:dyDescent="0.25">
      <c r="O234509" s="9"/>
    </row>
    <row r="234530" spans="15:15" x14ac:dyDescent="0.25">
      <c r="O234530" s="9"/>
    </row>
    <row r="234551" spans="15:15" x14ac:dyDescent="0.25">
      <c r="O234551" s="9"/>
    </row>
    <row r="234572" spans="15:15" x14ac:dyDescent="0.25">
      <c r="O234572" s="9"/>
    </row>
    <row r="234593" spans="15:15" x14ac:dyDescent="0.25">
      <c r="O234593" s="9"/>
    </row>
    <row r="234614" spans="15:15" x14ac:dyDescent="0.25">
      <c r="O234614" s="9"/>
    </row>
    <row r="234635" spans="15:15" x14ac:dyDescent="0.25">
      <c r="O234635" s="9"/>
    </row>
    <row r="234656" spans="15:15" x14ac:dyDescent="0.25">
      <c r="O234656" s="9"/>
    </row>
    <row r="234677" spans="15:15" x14ac:dyDescent="0.25">
      <c r="O234677" s="9"/>
    </row>
    <row r="234698" spans="15:15" x14ac:dyDescent="0.25">
      <c r="O234698" s="9"/>
    </row>
    <row r="234719" spans="15:15" x14ac:dyDescent="0.25">
      <c r="O234719" s="9"/>
    </row>
    <row r="234740" spans="15:15" x14ac:dyDescent="0.25">
      <c r="O234740" s="9"/>
    </row>
    <row r="234761" spans="15:15" x14ac:dyDescent="0.25">
      <c r="O234761" s="9"/>
    </row>
    <row r="234782" spans="15:15" x14ac:dyDescent="0.25">
      <c r="O234782" s="9"/>
    </row>
    <row r="234803" spans="15:15" x14ac:dyDescent="0.25">
      <c r="O234803" s="9"/>
    </row>
    <row r="234824" spans="15:15" x14ac:dyDescent="0.25">
      <c r="O234824" s="9"/>
    </row>
    <row r="234845" spans="15:15" x14ac:dyDescent="0.25">
      <c r="O234845" s="9"/>
    </row>
    <row r="234866" spans="15:15" x14ac:dyDescent="0.25">
      <c r="O234866" s="9"/>
    </row>
    <row r="234887" spans="15:15" x14ac:dyDescent="0.25">
      <c r="O234887" s="9"/>
    </row>
    <row r="234908" spans="15:15" x14ac:dyDescent="0.25">
      <c r="O234908" s="9"/>
    </row>
    <row r="234929" spans="15:15" x14ac:dyDescent="0.25">
      <c r="O234929" s="9"/>
    </row>
    <row r="234950" spans="15:15" x14ac:dyDescent="0.25">
      <c r="O234950" s="9"/>
    </row>
    <row r="234971" spans="15:15" x14ac:dyDescent="0.25">
      <c r="O234971" s="9"/>
    </row>
    <row r="234992" spans="15:15" x14ac:dyDescent="0.25">
      <c r="O234992" s="9"/>
    </row>
    <row r="235013" spans="15:15" x14ac:dyDescent="0.25">
      <c r="O235013" s="9"/>
    </row>
    <row r="235034" spans="15:15" x14ac:dyDescent="0.25">
      <c r="O235034" s="9"/>
    </row>
    <row r="235055" spans="15:15" x14ac:dyDescent="0.25">
      <c r="O235055" s="9"/>
    </row>
    <row r="235076" spans="15:15" x14ac:dyDescent="0.25">
      <c r="O235076" s="9"/>
    </row>
    <row r="235097" spans="15:15" x14ac:dyDescent="0.25">
      <c r="O235097" s="9"/>
    </row>
    <row r="235118" spans="15:15" x14ac:dyDescent="0.25">
      <c r="O235118" s="9"/>
    </row>
    <row r="235139" spans="15:15" x14ac:dyDescent="0.25">
      <c r="O235139" s="9"/>
    </row>
    <row r="235160" spans="15:15" x14ac:dyDescent="0.25">
      <c r="O235160" s="9"/>
    </row>
    <row r="235181" spans="15:15" x14ac:dyDescent="0.25">
      <c r="O235181" s="9"/>
    </row>
    <row r="235202" spans="15:15" x14ac:dyDescent="0.25">
      <c r="O235202" s="9"/>
    </row>
    <row r="235223" spans="15:15" x14ac:dyDescent="0.25">
      <c r="O235223" s="9"/>
    </row>
    <row r="235244" spans="15:15" x14ac:dyDescent="0.25">
      <c r="O235244" s="9"/>
    </row>
    <row r="235265" spans="15:15" x14ac:dyDescent="0.25">
      <c r="O235265" s="9"/>
    </row>
    <row r="235286" spans="15:15" x14ac:dyDescent="0.25">
      <c r="O235286" s="9"/>
    </row>
    <row r="235307" spans="15:15" x14ac:dyDescent="0.25">
      <c r="O235307" s="9"/>
    </row>
    <row r="235328" spans="15:15" x14ac:dyDescent="0.25">
      <c r="O235328" s="9"/>
    </row>
    <row r="235349" spans="15:15" x14ac:dyDescent="0.25">
      <c r="O235349" s="9"/>
    </row>
    <row r="235370" spans="15:15" x14ac:dyDescent="0.25">
      <c r="O235370" s="9"/>
    </row>
    <row r="235391" spans="15:15" x14ac:dyDescent="0.25">
      <c r="O235391" s="9"/>
    </row>
    <row r="235412" spans="15:15" x14ac:dyDescent="0.25">
      <c r="O235412" s="9"/>
    </row>
    <row r="235433" spans="15:15" x14ac:dyDescent="0.25">
      <c r="O235433" s="9"/>
    </row>
    <row r="235454" spans="15:15" x14ac:dyDescent="0.25">
      <c r="O235454" s="9"/>
    </row>
    <row r="235475" spans="15:15" x14ac:dyDescent="0.25">
      <c r="O235475" s="9"/>
    </row>
    <row r="235496" spans="15:15" x14ac:dyDescent="0.25">
      <c r="O235496" s="9"/>
    </row>
    <row r="235517" spans="15:15" x14ac:dyDescent="0.25">
      <c r="O235517" s="9"/>
    </row>
    <row r="235538" spans="15:15" x14ac:dyDescent="0.25">
      <c r="O235538" s="9"/>
    </row>
    <row r="235559" spans="15:15" x14ac:dyDescent="0.25">
      <c r="O235559" s="9"/>
    </row>
    <row r="235580" spans="15:15" x14ac:dyDescent="0.25">
      <c r="O235580" s="9"/>
    </row>
    <row r="235601" spans="15:15" x14ac:dyDescent="0.25">
      <c r="O235601" s="9"/>
    </row>
    <row r="235622" spans="15:15" x14ac:dyDescent="0.25">
      <c r="O235622" s="9"/>
    </row>
    <row r="235643" spans="15:15" x14ac:dyDescent="0.25">
      <c r="O235643" s="9"/>
    </row>
    <row r="235664" spans="15:15" x14ac:dyDescent="0.25">
      <c r="O235664" s="9"/>
    </row>
    <row r="235685" spans="15:15" x14ac:dyDescent="0.25">
      <c r="O235685" s="9"/>
    </row>
    <row r="235706" spans="15:15" x14ac:dyDescent="0.25">
      <c r="O235706" s="9"/>
    </row>
    <row r="235727" spans="15:15" x14ac:dyDescent="0.25">
      <c r="O235727" s="9"/>
    </row>
    <row r="235748" spans="15:15" x14ac:dyDescent="0.25">
      <c r="O235748" s="9"/>
    </row>
    <row r="235769" spans="15:15" x14ac:dyDescent="0.25">
      <c r="O235769" s="9"/>
    </row>
    <row r="235790" spans="15:15" x14ac:dyDescent="0.25">
      <c r="O235790" s="9"/>
    </row>
    <row r="235811" spans="15:15" x14ac:dyDescent="0.25">
      <c r="O235811" s="9"/>
    </row>
    <row r="235832" spans="15:15" x14ac:dyDescent="0.25">
      <c r="O235832" s="9"/>
    </row>
    <row r="235853" spans="15:15" x14ac:dyDescent="0.25">
      <c r="O235853" s="9"/>
    </row>
    <row r="235874" spans="15:15" x14ac:dyDescent="0.25">
      <c r="O235874" s="9"/>
    </row>
    <row r="235895" spans="15:15" x14ac:dyDescent="0.25">
      <c r="O235895" s="9"/>
    </row>
    <row r="235916" spans="15:15" x14ac:dyDescent="0.25">
      <c r="O235916" s="9"/>
    </row>
    <row r="235937" spans="15:15" x14ac:dyDescent="0.25">
      <c r="O235937" s="9"/>
    </row>
    <row r="235958" spans="15:15" x14ac:dyDescent="0.25">
      <c r="O235958" s="9"/>
    </row>
    <row r="235979" spans="15:15" x14ac:dyDescent="0.25">
      <c r="O235979" s="9"/>
    </row>
    <row r="236000" spans="15:15" x14ac:dyDescent="0.25">
      <c r="O236000" s="9"/>
    </row>
    <row r="236021" spans="15:15" x14ac:dyDescent="0.25">
      <c r="O236021" s="9"/>
    </row>
    <row r="236042" spans="15:15" x14ac:dyDescent="0.25">
      <c r="O236042" s="9"/>
    </row>
    <row r="236063" spans="15:15" x14ac:dyDescent="0.25">
      <c r="O236063" s="9"/>
    </row>
    <row r="236084" spans="15:15" x14ac:dyDescent="0.25">
      <c r="O236084" s="9"/>
    </row>
    <row r="236105" spans="15:15" x14ac:dyDescent="0.25">
      <c r="O236105" s="9"/>
    </row>
    <row r="236126" spans="15:15" x14ac:dyDescent="0.25">
      <c r="O236126" s="9"/>
    </row>
    <row r="236147" spans="15:15" x14ac:dyDescent="0.25">
      <c r="O236147" s="9"/>
    </row>
    <row r="236168" spans="15:15" x14ac:dyDescent="0.25">
      <c r="O236168" s="9"/>
    </row>
    <row r="236189" spans="15:15" x14ac:dyDescent="0.25">
      <c r="O236189" s="9"/>
    </row>
    <row r="236210" spans="15:15" x14ac:dyDescent="0.25">
      <c r="O236210" s="9"/>
    </row>
    <row r="236231" spans="15:15" x14ac:dyDescent="0.25">
      <c r="O236231" s="9"/>
    </row>
    <row r="236252" spans="15:15" x14ac:dyDescent="0.25">
      <c r="O236252" s="9"/>
    </row>
    <row r="236273" spans="15:15" x14ac:dyDescent="0.25">
      <c r="O236273" s="9"/>
    </row>
    <row r="236294" spans="15:15" x14ac:dyDescent="0.25">
      <c r="O236294" s="9"/>
    </row>
    <row r="236315" spans="15:15" x14ac:dyDescent="0.25">
      <c r="O236315" s="9"/>
    </row>
    <row r="236336" spans="15:15" x14ac:dyDescent="0.25">
      <c r="O236336" s="9"/>
    </row>
    <row r="236357" spans="15:15" x14ac:dyDescent="0.25">
      <c r="O236357" s="9"/>
    </row>
    <row r="236378" spans="15:15" x14ac:dyDescent="0.25">
      <c r="O236378" s="9"/>
    </row>
    <row r="236399" spans="15:15" x14ac:dyDescent="0.25">
      <c r="O236399" s="9"/>
    </row>
    <row r="236420" spans="15:15" x14ac:dyDescent="0.25">
      <c r="O236420" s="9"/>
    </row>
    <row r="236441" spans="15:15" x14ac:dyDescent="0.25">
      <c r="O236441" s="9"/>
    </row>
    <row r="236462" spans="15:15" x14ac:dyDescent="0.25">
      <c r="O236462" s="9"/>
    </row>
    <row r="236483" spans="15:15" x14ac:dyDescent="0.25">
      <c r="O236483" s="9"/>
    </row>
    <row r="236504" spans="15:15" x14ac:dyDescent="0.25">
      <c r="O236504" s="9"/>
    </row>
    <row r="236525" spans="15:15" x14ac:dyDescent="0.25">
      <c r="O236525" s="9"/>
    </row>
    <row r="236546" spans="15:15" x14ac:dyDescent="0.25">
      <c r="O236546" s="9"/>
    </row>
    <row r="236567" spans="15:15" x14ac:dyDescent="0.25">
      <c r="O236567" s="9"/>
    </row>
    <row r="236588" spans="15:15" x14ac:dyDescent="0.25">
      <c r="O236588" s="9"/>
    </row>
    <row r="236609" spans="15:15" x14ac:dyDescent="0.25">
      <c r="O236609" s="9"/>
    </row>
    <row r="236630" spans="15:15" x14ac:dyDescent="0.25">
      <c r="O236630" s="9"/>
    </row>
    <row r="236651" spans="15:15" x14ac:dyDescent="0.25">
      <c r="O236651" s="9"/>
    </row>
    <row r="236672" spans="15:15" x14ac:dyDescent="0.25">
      <c r="O236672" s="9"/>
    </row>
    <row r="236693" spans="15:15" x14ac:dyDescent="0.25">
      <c r="O236693" s="9"/>
    </row>
    <row r="236714" spans="15:15" x14ac:dyDescent="0.25">
      <c r="O236714" s="9"/>
    </row>
    <row r="236735" spans="15:15" x14ac:dyDescent="0.25">
      <c r="O236735" s="9"/>
    </row>
    <row r="236756" spans="15:15" x14ac:dyDescent="0.25">
      <c r="O236756" s="9"/>
    </row>
    <row r="236777" spans="15:15" x14ac:dyDescent="0.25">
      <c r="O236777" s="9"/>
    </row>
    <row r="236798" spans="15:15" x14ac:dyDescent="0.25">
      <c r="O236798" s="9"/>
    </row>
    <row r="236819" spans="15:15" x14ac:dyDescent="0.25">
      <c r="O236819" s="9"/>
    </row>
    <row r="236840" spans="15:15" x14ac:dyDescent="0.25">
      <c r="O236840" s="9"/>
    </row>
    <row r="236861" spans="15:15" x14ac:dyDescent="0.25">
      <c r="O236861" s="9"/>
    </row>
    <row r="236882" spans="15:15" x14ac:dyDescent="0.25">
      <c r="O236882" s="9"/>
    </row>
    <row r="236903" spans="15:15" x14ac:dyDescent="0.25">
      <c r="O236903" s="9"/>
    </row>
    <row r="236924" spans="15:15" x14ac:dyDescent="0.25">
      <c r="O236924" s="9"/>
    </row>
    <row r="236945" spans="15:15" x14ac:dyDescent="0.25">
      <c r="O236945" s="9"/>
    </row>
    <row r="236966" spans="15:15" x14ac:dyDescent="0.25">
      <c r="O236966" s="9"/>
    </row>
    <row r="236987" spans="15:15" x14ac:dyDescent="0.25">
      <c r="O236987" s="9"/>
    </row>
    <row r="237008" spans="15:15" x14ac:dyDescent="0.25">
      <c r="O237008" s="9"/>
    </row>
    <row r="237029" spans="15:15" x14ac:dyDescent="0.25">
      <c r="O237029" s="9"/>
    </row>
    <row r="237050" spans="15:15" x14ac:dyDescent="0.25">
      <c r="O237050" s="9"/>
    </row>
    <row r="237071" spans="15:15" x14ac:dyDescent="0.25">
      <c r="O237071" s="9"/>
    </row>
    <row r="237092" spans="15:15" x14ac:dyDescent="0.25">
      <c r="O237092" s="9"/>
    </row>
    <row r="237113" spans="15:15" x14ac:dyDescent="0.25">
      <c r="O237113" s="9"/>
    </row>
    <row r="237134" spans="15:15" x14ac:dyDescent="0.25">
      <c r="O237134" s="9"/>
    </row>
    <row r="237155" spans="15:15" x14ac:dyDescent="0.25">
      <c r="O237155" s="9"/>
    </row>
    <row r="237176" spans="15:15" x14ac:dyDescent="0.25">
      <c r="O237176" s="9"/>
    </row>
    <row r="237197" spans="15:15" x14ac:dyDescent="0.25">
      <c r="O237197" s="9"/>
    </row>
    <row r="237218" spans="15:15" x14ac:dyDescent="0.25">
      <c r="O237218" s="9"/>
    </row>
    <row r="237239" spans="15:15" x14ac:dyDescent="0.25">
      <c r="O237239" s="9"/>
    </row>
    <row r="237260" spans="15:15" x14ac:dyDescent="0.25">
      <c r="O237260" s="9"/>
    </row>
    <row r="237281" spans="15:15" x14ac:dyDescent="0.25">
      <c r="O237281" s="9"/>
    </row>
    <row r="237302" spans="15:15" x14ac:dyDescent="0.25">
      <c r="O237302" s="9"/>
    </row>
    <row r="237323" spans="15:15" x14ac:dyDescent="0.25">
      <c r="O237323" s="9"/>
    </row>
    <row r="237344" spans="15:15" x14ac:dyDescent="0.25">
      <c r="O237344" s="9"/>
    </row>
    <row r="237365" spans="15:15" x14ac:dyDescent="0.25">
      <c r="O237365" s="9"/>
    </row>
    <row r="237386" spans="15:15" x14ac:dyDescent="0.25">
      <c r="O237386" s="9"/>
    </row>
    <row r="237407" spans="15:15" x14ac:dyDescent="0.25">
      <c r="O237407" s="9"/>
    </row>
    <row r="237428" spans="15:15" x14ac:dyDescent="0.25">
      <c r="O237428" s="9"/>
    </row>
    <row r="237449" spans="15:15" x14ac:dyDescent="0.25">
      <c r="O237449" s="9"/>
    </row>
    <row r="237470" spans="15:15" x14ac:dyDescent="0.25">
      <c r="O237470" s="9"/>
    </row>
    <row r="237491" spans="15:15" x14ac:dyDescent="0.25">
      <c r="O237491" s="9"/>
    </row>
    <row r="237512" spans="15:15" x14ac:dyDescent="0.25">
      <c r="O237512" s="9"/>
    </row>
    <row r="237533" spans="15:15" x14ac:dyDescent="0.25">
      <c r="O237533" s="9"/>
    </row>
    <row r="237554" spans="15:15" x14ac:dyDescent="0.25">
      <c r="O237554" s="9"/>
    </row>
    <row r="237575" spans="15:15" x14ac:dyDescent="0.25">
      <c r="O237575" s="9"/>
    </row>
    <row r="237596" spans="15:15" x14ac:dyDescent="0.25">
      <c r="O237596" s="9"/>
    </row>
    <row r="237617" spans="15:15" x14ac:dyDescent="0.25">
      <c r="O237617" s="9"/>
    </row>
    <row r="237638" spans="15:15" x14ac:dyDescent="0.25">
      <c r="O237638" s="9"/>
    </row>
    <row r="237659" spans="15:15" x14ac:dyDescent="0.25">
      <c r="O237659" s="9"/>
    </row>
    <row r="237680" spans="15:15" x14ac:dyDescent="0.25">
      <c r="O237680" s="9"/>
    </row>
    <row r="237701" spans="15:15" x14ac:dyDescent="0.25">
      <c r="O237701" s="9"/>
    </row>
    <row r="237722" spans="15:15" x14ac:dyDescent="0.25">
      <c r="O237722" s="9"/>
    </row>
    <row r="237743" spans="15:15" x14ac:dyDescent="0.25">
      <c r="O237743" s="9"/>
    </row>
    <row r="237764" spans="15:15" x14ac:dyDescent="0.25">
      <c r="O237764" s="9"/>
    </row>
    <row r="237785" spans="15:15" x14ac:dyDescent="0.25">
      <c r="O237785" s="9"/>
    </row>
    <row r="237806" spans="15:15" x14ac:dyDescent="0.25">
      <c r="O237806" s="9"/>
    </row>
    <row r="237827" spans="15:15" x14ac:dyDescent="0.25">
      <c r="O237827" s="9"/>
    </row>
    <row r="237848" spans="15:15" x14ac:dyDescent="0.25">
      <c r="O237848" s="9"/>
    </row>
    <row r="237869" spans="15:15" x14ac:dyDescent="0.25">
      <c r="O237869" s="9"/>
    </row>
    <row r="237890" spans="15:15" x14ac:dyDescent="0.25">
      <c r="O237890" s="9"/>
    </row>
    <row r="237911" spans="15:15" x14ac:dyDescent="0.25">
      <c r="O237911" s="9"/>
    </row>
    <row r="237932" spans="15:15" x14ac:dyDescent="0.25">
      <c r="O237932" s="9"/>
    </row>
    <row r="237953" spans="15:15" x14ac:dyDescent="0.25">
      <c r="O237953" s="9"/>
    </row>
    <row r="237974" spans="15:15" x14ac:dyDescent="0.25">
      <c r="O237974" s="9"/>
    </row>
    <row r="237995" spans="15:15" x14ac:dyDescent="0.25">
      <c r="O237995" s="9"/>
    </row>
    <row r="238016" spans="15:15" x14ac:dyDescent="0.25">
      <c r="O238016" s="9"/>
    </row>
    <row r="238037" spans="15:15" x14ac:dyDescent="0.25">
      <c r="O238037" s="9"/>
    </row>
    <row r="238058" spans="15:15" x14ac:dyDescent="0.25">
      <c r="O238058" s="9"/>
    </row>
    <row r="238079" spans="15:15" x14ac:dyDescent="0.25">
      <c r="O238079" s="9"/>
    </row>
    <row r="238100" spans="15:15" x14ac:dyDescent="0.25">
      <c r="O238100" s="9"/>
    </row>
    <row r="238121" spans="15:15" x14ac:dyDescent="0.25">
      <c r="O238121" s="9"/>
    </row>
    <row r="238142" spans="15:15" x14ac:dyDescent="0.25">
      <c r="O238142" s="9"/>
    </row>
    <row r="238163" spans="15:15" x14ac:dyDescent="0.25">
      <c r="O238163" s="9"/>
    </row>
    <row r="238184" spans="15:15" x14ac:dyDescent="0.25">
      <c r="O238184" s="9"/>
    </row>
    <row r="238205" spans="15:15" x14ac:dyDescent="0.25">
      <c r="O238205" s="9"/>
    </row>
    <row r="238226" spans="15:15" x14ac:dyDescent="0.25">
      <c r="O238226" s="9"/>
    </row>
    <row r="238247" spans="15:15" x14ac:dyDescent="0.25">
      <c r="O238247" s="9"/>
    </row>
    <row r="238268" spans="15:15" x14ac:dyDescent="0.25">
      <c r="O238268" s="9"/>
    </row>
    <row r="238289" spans="15:15" x14ac:dyDescent="0.25">
      <c r="O238289" s="9"/>
    </row>
    <row r="238310" spans="15:15" x14ac:dyDescent="0.25">
      <c r="O238310" s="9"/>
    </row>
    <row r="238331" spans="15:15" x14ac:dyDescent="0.25">
      <c r="O238331" s="9"/>
    </row>
    <row r="238352" spans="15:15" x14ac:dyDescent="0.25">
      <c r="O238352" s="9"/>
    </row>
    <row r="238373" spans="15:15" x14ac:dyDescent="0.25">
      <c r="O238373" s="9"/>
    </row>
    <row r="238394" spans="15:15" x14ac:dyDescent="0.25">
      <c r="O238394" s="9"/>
    </row>
    <row r="238415" spans="15:15" x14ac:dyDescent="0.25">
      <c r="O238415" s="9"/>
    </row>
    <row r="238436" spans="15:15" x14ac:dyDescent="0.25">
      <c r="O238436" s="9"/>
    </row>
    <row r="238457" spans="15:15" x14ac:dyDescent="0.25">
      <c r="O238457" s="9"/>
    </row>
    <row r="238478" spans="15:15" x14ac:dyDescent="0.25">
      <c r="O238478" s="9"/>
    </row>
    <row r="238499" spans="15:15" x14ac:dyDescent="0.25">
      <c r="O238499" s="9"/>
    </row>
    <row r="238520" spans="15:15" x14ac:dyDescent="0.25">
      <c r="O238520" s="9"/>
    </row>
    <row r="238541" spans="15:15" x14ac:dyDescent="0.25">
      <c r="O238541" s="9"/>
    </row>
    <row r="238562" spans="15:15" x14ac:dyDescent="0.25">
      <c r="O238562" s="9"/>
    </row>
    <row r="238583" spans="15:15" x14ac:dyDescent="0.25">
      <c r="O238583" s="9"/>
    </row>
    <row r="238604" spans="15:15" x14ac:dyDescent="0.25">
      <c r="O238604" s="9"/>
    </row>
    <row r="238625" spans="15:15" x14ac:dyDescent="0.25">
      <c r="O238625" s="9"/>
    </row>
    <row r="238646" spans="15:15" x14ac:dyDescent="0.25">
      <c r="O238646" s="9"/>
    </row>
    <row r="238667" spans="15:15" x14ac:dyDescent="0.25">
      <c r="O238667" s="9"/>
    </row>
    <row r="238688" spans="15:15" x14ac:dyDescent="0.25">
      <c r="O238688" s="9"/>
    </row>
    <row r="238709" spans="15:15" x14ac:dyDescent="0.25">
      <c r="O238709" s="9"/>
    </row>
    <row r="238730" spans="15:15" x14ac:dyDescent="0.25">
      <c r="O238730" s="9"/>
    </row>
    <row r="238751" spans="15:15" x14ac:dyDescent="0.25">
      <c r="O238751" s="9"/>
    </row>
    <row r="238772" spans="15:15" x14ac:dyDescent="0.25">
      <c r="O238772" s="9"/>
    </row>
    <row r="238793" spans="15:15" x14ac:dyDescent="0.25">
      <c r="O238793" s="9"/>
    </row>
    <row r="238814" spans="15:15" x14ac:dyDescent="0.25">
      <c r="O238814" s="9"/>
    </row>
    <row r="238835" spans="15:15" x14ac:dyDescent="0.25">
      <c r="O238835" s="9"/>
    </row>
    <row r="238856" spans="15:15" x14ac:dyDescent="0.25">
      <c r="O238856" s="9"/>
    </row>
    <row r="238877" spans="15:15" x14ac:dyDescent="0.25">
      <c r="O238877" s="9"/>
    </row>
    <row r="238898" spans="15:15" x14ac:dyDescent="0.25">
      <c r="O238898" s="9"/>
    </row>
    <row r="238919" spans="15:15" x14ac:dyDescent="0.25">
      <c r="O238919" s="9"/>
    </row>
    <row r="238940" spans="15:15" x14ac:dyDescent="0.25">
      <c r="O238940" s="9"/>
    </row>
    <row r="238961" spans="15:15" x14ac:dyDescent="0.25">
      <c r="O238961" s="9"/>
    </row>
    <row r="238982" spans="15:15" x14ac:dyDescent="0.25">
      <c r="O238982" s="9"/>
    </row>
    <row r="239003" spans="15:15" x14ac:dyDescent="0.25">
      <c r="O239003" s="9"/>
    </row>
    <row r="239024" spans="15:15" x14ac:dyDescent="0.25">
      <c r="O239024" s="9"/>
    </row>
    <row r="239045" spans="15:15" x14ac:dyDescent="0.25">
      <c r="O239045" s="9"/>
    </row>
    <row r="239066" spans="15:15" x14ac:dyDescent="0.25">
      <c r="O239066" s="9"/>
    </row>
    <row r="239087" spans="15:15" x14ac:dyDescent="0.25">
      <c r="O239087" s="9"/>
    </row>
    <row r="239108" spans="15:15" x14ac:dyDescent="0.25">
      <c r="O239108" s="9"/>
    </row>
    <row r="239129" spans="15:15" x14ac:dyDescent="0.25">
      <c r="O239129" s="9"/>
    </row>
    <row r="239150" spans="15:15" x14ac:dyDescent="0.25">
      <c r="O239150" s="9"/>
    </row>
    <row r="239171" spans="15:15" x14ac:dyDescent="0.25">
      <c r="O239171" s="9"/>
    </row>
    <row r="239192" spans="15:15" x14ac:dyDescent="0.25">
      <c r="O239192" s="9"/>
    </row>
    <row r="239213" spans="15:15" x14ac:dyDescent="0.25">
      <c r="O239213" s="9"/>
    </row>
    <row r="239234" spans="15:15" x14ac:dyDescent="0.25">
      <c r="O239234" s="9"/>
    </row>
    <row r="239255" spans="15:15" x14ac:dyDescent="0.25">
      <c r="O239255" s="9"/>
    </row>
    <row r="239276" spans="15:15" x14ac:dyDescent="0.25">
      <c r="O239276" s="9"/>
    </row>
    <row r="239297" spans="15:15" x14ac:dyDescent="0.25">
      <c r="O239297" s="9"/>
    </row>
    <row r="239318" spans="15:15" x14ac:dyDescent="0.25">
      <c r="O239318" s="9"/>
    </row>
    <row r="239339" spans="15:15" x14ac:dyDescent="0.25">
      <c r="O239339" s="9"/>
    </row>
    <row r="239360" spans="15:15" x14ac:dyDescent="0.25">
      <c r="O239360" s="9"/>
    </row>
    <row r="239381" spans="15:15" x14ac:dyDescent="0.25">
      <c r="O239381" s="9"/>
    </row>
    <row r="239402" spans="15:15" x14ac:dyDescent="0.25">
      <c r="O239402" s="9"/>
    </row>
    <row r="239423" spans="15:15" x14ac:dyDescent="0.25">
      <c r="O239423" s="9"/>
    </row>
    <row r="239444" spans="15:15" x14ac:dyDescent="0.25">
      <c r="O239444" s="9"/>
    </row>
    <row r="239465" spans="15:15" x14ac:dyDescent="0.25">
      <c r="O239465" s="9"/>
    </row>
    <row r="239486" spans="15:15" x14ac:dyDescent="0.25">
      <c r="O239486" s="9"/>
    </row>
    <row r="239507" spans="15:15" x14ac:dyDescent="0.25">
      <c r="O239507" s="9"/>
    </row>
    <row r="239528" spans="15:15" x14ac:dyDescent="0.25">
      <c r="O239528" s="9"/>
    </row>
    <row r="239549" spans="15:15" x14ac:dyDescent="0.25">
      <c r="O239549" s="9"/>
    </row>
    <row r="239570" spans="15:15" x14ac:dyDescent="0.25">
      <c r="O239570" s="9"/>
    </row>
    <row r="239591" spans="15:15" x14ac:dyDescent="0.25">
      <c r="O239591" s="9"/>
    </row>
    <row r="239612" spans="15:15" x14ac:dyDescent="0.25">
      <c r="O239612" s="9"/>
    </row>
    <row r="239633" spans="15:15" x14ac:dyDescent="0.25">
      <c r="O239633" s="9"/>
    </row>
    <row r="239654" spans="15:15" x14ac:dyDescent="0.25">
      <c r="O239654" s="9"/>
    </row>
    <row r="239675" spans="15:15" x14ac:dyDescent="0.25">
      <c r="O239675" s="9"/>
    </row>
    <row r="239696" spans="15:15" x14ac:dyDescent="0.25">
      <c r="O239696" s="9"/>
    </row>
    <row r="239717" spans="15:15" x14ac:dyDescent="0.25">
      <c r="O239717" s="9"/>
    </row>
    <row r="239738" spans="15:15" x14ac:dyDescent="0.25">
      <c r="O239738" s="9"/>
    </row>
    <row r="239759" spans="15:15" x14ac:dyDescent="0.25">
      <c r="O239759" s="9"/>
    </row>
    <row r="239780" spans="15:15" x14ac:dyDescent="0.25">
      <c r="O239780" s="9"/>
    </row>
    <row r="239801" spans="15:15" x14ac:dyDescent="0.25">
      <c r="O239801" s="9"/>
    </row>
    <row r="239822" spans="15:15" x14ac:dyDescent="0.25">
      <c r="O239822" s="9"/>
    </row>
    <row r="239843" spans="15:15" x14ac:dyDescent="0.25">
      <c r="O239843" s="9"/>
    </row>
    <row r="239864" spans="15:15" x14ac:dyDescent="0.25">
      <c r="O239864" s="9"/>
    </row>
    <row r="239885" spans="15:15" x14ac:dyDescent="0.25">
      <c r="O239885" s="9"/>
    </row>
    <row r="239906" spans="15:15" x14ac:dyDescent="0.25">
      <c r="O239906" s="9"/>
    </row>
    <row r="239927" spans="15:15" x14ac:dyDescent="0.25">
      <c r="O239927" s="9"/>
    </row>
    <row r="239948" spans="15:15" x14ac:dyDescent="0.25">
      <c r="O239948" s="9"/>
    </row>
    <row r="239969" spans="15:15" x14ac:dyDescent="0.25">
      <c r="O239969" s="9"/>
    </row>
    <row r="239990" spans="15:15" x14ac:dyDescent="0.25">
      <c r="O239990" s="9"/>
    </row>
    <row r="240011" spans="15:15" x14ac:dyDescent="0.25">
      <c r="O240011" s="9"/>
    </row>
    <row r="240032" spans="15:15" x14ac:dyDescent="0.25">
      <c r="O240032" s="9"/>
    </row>
    <row r="240053" spans="15:15" x14ac:dyDescent="0.25">
      <c r="O240053" s="9"/>
    </row>
    <row r="240074" spans="15:15" x14ac:dyDescent="0.25">
      <c r="O240074" s="9"/>
    </row>
    <row r="240095" spans="15:15" x14ac:dyDescent="0.25">
      <c r="O240095" s="9"/>
    </row>
    <row r="240116" spans="15:15" x14ac:dyDescent="0.25">
      <c r="O240116" s="9"/>
    </row>
    <row r="240137" spans="15:15" x14ac:dyDescent="0.25">
      <c r="O240137" s="9"/>
    </row>
    <row r="240158" spans="15:15" x14ac:dyDescent="0.25">
      <c r="O240158" s="9"/>
    </row>
    <row r="240179" spans="15:15" x14ac:dyDescent="0.25">
      <c r="O240179" s="9"/>
    </row>
    <row r="240200" spans="15:15" x14ac:dyDescent="0.25">
      <c r="O240200" s="9"/>
    </row>
    <row r="240221" spans="15:15" x14ac:dyDescent="0.25">
      <c r="O240221" s="9"/>
    </row>
    <row r="240242" spans="15:15" x14ac:dyDescent="0.25">
      <c r="O240242" s="9"/>
    </row>
    <row r="240263" spans="15:15" x14ac:dyDescent="0.25">
      <c r="O240263" s="9"/>
    </row>
    <row r="240284" spans="15:15" x14ac:dyDescent="0.25">
      <c r="O240284" s="9"/>
    </row>
    <row r="240305" spans="15:15" x14ac:dyDescent="0.25">
      <c r="O240305" s="9"/>
    </row>
    <row r="240326" spans="15:15" x14ac:dyDescent="0.25">
      <c r="O240326" s="9"/>
    </row>
    <row r="240347" spans="15:15" x14ac:dyDescent="0.25">
      <c r="O240347" s="9"/>
    </row>
    <row r="240368" spans="15:15" x14ac:dyDescent="0.25">
      <c r="O240368" s="9"/>
    </row>
    <row r="240389" spans="15:15" x14ac:dyDescent="0.25">
      <c r="O240389" s="9"/>
    </row>
    <row r="240410" spans="15:15" x14ac:dyDescent="0.25">
      <c r="O240410" s="9"/>
    </row>
    <row r="240431" spans="15:15" x14ac:dyDescent="0.25">
      <c r="O240431" s="9"/>
    </row>
    <row r="240452" spans="15:15" x14ac:dyDescent="0.25">
      <c r="O240452" s="9"/>
    </row>
    <row r="240473" spans="15:15" x14ac:dyDescent="0.25">
      <c r="O240473" s="9"/>
    </row>
    <row r="240494" spans="15:15" x14ac:dyDescent="0.25">
      <c r="O240494" s="9"/>
    </row>
    <row r="240515" spans="15:15" x14ac:dyDescent="0.25">
      <c r="O240515" s="9"/>
    </row>
    <row r="240536" spans="15:15" x14ac:dyDescent="0.25">
      <c r="O240536" s="9"/>
    </row>
    <row r="240557" spans="15:15" x14ac:dyDescent="0.25">
      <c r="O240557" s="9"/>
    </row>
    <row r="240578" spans="15:15" x14ac:dyDescent="0.25">
      <c r="O240578" s="9"/>
    </row>
    <row r="240599" spans="15:15" x14ac:dyDescent="0.25">
      <c r="O240599" s="9"/>
    </row>
    <row r="240620" spans="15:15" x14ac:dyDescent="0.25">
      <c r="O240620" s="9"/>
    </row>
    <row r="240641" spans="15:15" x14ac:dyDescent="0.25">
      <c r="O240641" s="9"/>
    </row>
    <row r="240662" spans="15:15" x14ac:dyDescent="0.25">
      <c r="O240662" s="9"/>
    </row>
    <row r="240683" spans="15:15" x14ac:dyDescent="0.25">
      <c r="O240683" s="9"/>
    </row>
    <row r="240704" spans="15:15" x14ac:dyDescent="0.25">
      <c r="O240704" s="9"/>
    </row>
    <row r="240725" spans="15:15" x14ac:dyDescent="0.25">
      <c r="O240725" s="9"/>
    </row>
    <row r="240746" spans="15:15" x14ac:dyDescent="0.25">
      <c r="O240746" s="9"/>
    </row>
    <row r="240767" spans="15:15" x14ac:dyDescent="0.25">
      <c r="O240767" s="9"/>
    </row>
    <row r="240788" spans="15:15" x14ac:dyDescent="0.25">
      <c r="O240788" s="9"/>
    </row>
    <row r="240809" spans="15:15" x14ac:dyDescent="0.25">
      <c r="O240809" s="9"/>
    </row>
    <row r="240830" spans="15:15" x14ac:dyDescent="0.25">
      <c r="O240830" s="9"/>
    </row>
    <row r="240851" spans="15:15" x14ac:dyDescent="0.25">
      <c r="O240851" s="9"/>
    </row>
    <row r="240872" spans="15:15" x14ac:dyDescent="0.25">
      <c r="O240872" s="9"/>
    </row>
    <row r="240893" spans="15:15" x14ac:dyDescent="0.25">
      <c r="O240893" s="9"/>
    </row>
    <row r="240914" spans="15:15" x14ac:dyDescent="0.25">
      <c r="O240914" s="9"/>
    </row>
    <row r="240935" spans="15:15" x14ac:dyDescent="0.25">
      <c r="O240935" s="9"/>
    </row>
    <row r="240956" spans="15:15" x14ac:dyDescent="0.25">
      <c r="O240956" s="9"/>
    </row>
    <row r="240977" spans="15:15" x14ac:dyDescent="0.25">
      <c r="O240977" s="9"/>
    </row>
    <row r="240998" spans="15:15" x14ac:dyDescent="0.25">
      <c r="O240998" s="9"/>
    </row>
    <row r="241019" spans="15:15" x14ac:dyDescent="0.25">
      <c r="O241019" s="9"/>
    </row>
    <row r="241040" spans="15:15" x14ac:dyDescent="0.25">
      <c r="O241040" s="9"/>
    </row>
    <row r="241061" spans="15:15" x14ac:dyDescent="0.25">
      <c r="O241061" s="9"/>
    </row>
    <row r="241082" spans="15:15" x14ac:dyDescent="0.25">
      <c r="O241082" s="9"/>
    </row>
    <row r="241103" spans="15:15" x14ac:dyDescent="0.25">
      <c r="O241103" s="9"/>
    </row>
    <row r="241124" spans="15:15" x14ac:dyDescent="0.25">
      <c r="O241124" s="9"/>
    </row>
    <row r="241145" spans="15:15" x14ac:dyDescent="0.25">
      <c r="O241145" s="9"/>
    </row>
    <row r="241166" spans="15:15" x14ac:dyDescent="0.25">
      <c r="O241166" s="9"/>
    </row>
    <row r="241187" spans="15:15" x14ac:dyDescent="0.25">
      <c r="O241187" s="9"/>
    </row>
    <row r="241208" spans="15:15" x14ac:dyDescent="0.25">
      <c r="O241208" s="9"/>
    </row>
    <row r="241229" spans="15:15" x14ac:dyDescent="0.25">
      <c r="O241229" s="9"/>
    </row>
    <row r="241250" spans="15:15" x14ac:dyDescent="0.25">
      <c r="O241250" s="9"/>
    </row>
    <row r="241271" spans="15:15" x14ac:dyDescent="0.25">
      <c r="O241271" s="9"/>
    </row>
    <row r="241292" spans="15:15" x14ac:dyDescent="0.25">
      <c r="O241292" s="9"/>
    </row>
    <row r="241313" spans="15:15" x14ac:dyDescent="0.25">
      <c r="O241313" s="9"/>
    </row>
    <row r="241334" spans="15:15" x14ac:dyDescent="0.25">
      <c r="O241334" s="9"/>
    </row>
    <row r="241355" spans="15:15" x14ac:dyDescent="0.25">
      <c r="O241355" s="9"/>
    </row>
    <row r="241376" spans="15:15" x14ac:dyDescent="0.25">
      <c r="O241376" s="9"/>
    </row>
    <row r="241397" spans="15:15" x14ac:dyDescent="0.25">
      <c r="O241397" s="9"/>
    </row>
    <row r="241418" spans="15:15" x14ac:dyDescent="0.25">
      <c r="O241418" s="9"/>
    </row>
    <row r="241439" spans="15:15" x14ac:dyDescent="0.25">
      <c r="O241439" s="9"/>
    </row>
    <row r="241460" spans="15:15" x14ac:dyDescent="0.25">
      <c r="O241460" s="9"/>
    </row>
    <row r="241481" spans="15:15" x14ac:dyDescent="0.25">
      <c r="O241481" s="9"/>
    </row>
    <row r="241502" spans="15:15" x14ac:dyDescent="0.25">
      <c r="O241502" s="9"/>
    </row>
    <row r="241523" spans="15:15" x14ac:dyDescent="0.25">
      <c r="O241523" s="9"/>
    </row>
    <row r="241544" spans="15:15" x14ac:dyDescent="0.25">
      <c r="O241544" s="9"/>
    </row>
    <row r="241565" spans="15:15" x14ac:dyDescent="0.25">
      <c r="O241565" s="9"/>
    </row>
    <row r="241586" spans="15:15" x14ac:dyDescent="0.25">
      <c r="O241586" s="9"/>
    </row>
    <row r="241607" spans="15:15" x14ac:dyDescent="0.25">
      <c r="O241607" s="9"/>
    </row>
    <row r="241628" spans="15:15" x14ac:dyDescent="0.25">
      <c r="O241628" s="9"/>
    </row>
    <row r="241649" spans="15:15" x14ac:dyDescent="0.25">
      <c r="O241649" s="9"/>
    </row>
    <row r="241670" spans="15:15" x14ac:dyDescent="0.25">
      <c r="O241670" s="9"/>
    </row>
    <row r="241691" spans="15:15" x14ac:dyDescent="0.25">
      <c r="O241691" s="9"/>
    </row>
    <row r="241712" spans="15:15" x14ac:dyDescent="0.25">
      <c r="O241712" s="9"/>
    </row>
    <row r="241733" spans="15:15" x14ac:dyDescent="0.25">
      <c r="O241733" s="9"/>
    </row>
    <row r="241754" spans="15:15" x14ac:dyDescent="0.25">
      <c r="O241754" s="9"/>
    </row>
    <row r="241775" spans="15:15" x14ac:dyDescent="0.25">
      <c r="O241775" s="9"/>
    </row>
    <row r="241796" spans="15:15" x14ac:dyDescent="0.25">
      <c r="O241796" s="9"/>
    </row>
    <row r="241817" spans="15:15" x14ac:dyDescent="0.25">
      <c r="O241817" s="9"/>
    </row>
    <row r="241838" spans="15:15" x14ac:dyDescent="0.25">
      <c r="O241838" s="9"/>
    </row>
    <row r="241859" spans="15:15" x14ac:dyDescent="0.25">
      <c r="O241859" s="9"/>
    </row>
    <row r="241880" spans="15:15" x14ac:dyDescent="0.25">
      <c r="O241880" s="9"/>
    </row>
    <row r="241901" spans="15:15" x14ac:dyDescent="0.25">
      <c r="O241901" s="9"/>
    </row>
    <row r="241922" spans="15:15" x14ac:dyDescent="0.25">
      <c r="O241922" s="9"/>
    </row>
    <row r="241943" spans="15:15" x14ac:dyDescent="0.25">
      <c r="O241943" s="9"/>
    </row>
    <row r="241964" spans="15:15" x14ac:dyDescent="0.25">
      <c r="O241964" s="9"/>
    </row>
    <row r="241985" spans="15:15" x14ac:dyDescent="0.25">
      <c r="O241985" s="9"/>
    </row>
    <row r="242006" spans="15:15" x14ac:dyDescent="0.25">
      <c r="O242006" s="9"/>
    </row>
    <row r="242027" spans="15:15" x14ac:dyDescent="0.25">
      <c r="O242027" s="9"/>
    </row>
    <row r="242048" spans="15:15" x14ac:dyDescent="0.25">
      <c r="O242048" s="9"/>
    </row>
    <row r="242069" spans="15:15" x14ac:dyDescent="0.25">
      <c r="O242069" s="9"/>
    </row>
    <row r="242090" spans="15:15" x14ac:dyDescent="0.25">
      <c r="O242090" s="9"/>
    </row>
    <row r="242111" spans="15:15" x14ac:dyDescent="0.25">
      <c r="O242111" s="9"/>
    </row>
    <row r="242132" spans="15:15" x14ac:dyDescent="0.25">
      <c r="O242132" s="9"/>
    </row>
    <row r="242153" spans="15:15" x14ac:dyDescent="0.25">
      <c r="O242153" s="9"/>
    </row>
    <row r="242174" spans="15:15" x14ac:dyDescent="0.25">
      <c r="O242174" s="9"/>
    </row>
    <row r="242195" spans="15:15" x14ac:dyDescent="0.25">
      <c r="O242195" s="9"/>
    </row>
    <row r="242216" spans="15:15" x14ac:dyDescent="0.25">
      <c r="O242216" s="9"/>
    </row>
    <row r="242237" spans="15:15" x14ac:dyDescent="0.25">
      <c r="O242237" s="9"/>
    </row>
    <row r="242258" spans="15:15" x14ac:dyDescent="0.25">
      <c r="O242258" s="9"/>
    </row>
    <row r="242279" spans="15:15" x14ac:dyDescent="0.25">
      <c r="O242279" s="9"/>
    </row>
    <row r="242300" spans="15:15" x14ac:dyDescent="0.25">
      <c r="O242300" s="9"/>
    </row>
    <row r="242321" spans="15:15" x14ac:dyDescent="0.25">
      <c r="O242321" s="9"/>
    </row>
    <row r="242342" spans="15:15" x14ac:dyDescent="0.25">
      <c r="O242342" s="9"/>
    </row>
    <row r="242363" spans="15:15" x14ac:dyDescent="0.25">
      <c r="O242363" s="9"/>
    </row>
    <row r="242384" spans="15:15" x14ac:dyDescent="0.25">
      <c r="O242384" s="9"/>
    </row>
    <row r="242405" spans="15:15" x14ac:dyDescent="0.25">
      <c r="O242405" s="9"/>
    </row>
    <row r="242426" spans="15:15" x14ac:dyDescent="0.25">
      <c r="O242426" s="9"/>
    </row>
    <row r="242447" spans="15:15" x14ac:dyDescent="0.25">
      <c r="O242447" s="9"/>
    </row>
    <row r="242468" spans="15:15" x14ac:dyDescent="0.25">
      <c r="O242468" s="9"/>
    </row>
    <row r="242489" spans="15:15" x14ac:dyDescent="0.25">
      <c r="O242489" s="9"/>
    </row>
    <row r="242510" spans="15:15" x14ac:dyDescent="0.25">
      <c r="O242510" s="9"/>
    </row>
    <row r="242531" spans="15:15" x14ac:dyDescent="0.25">
      <c r="O242531" s="9"/>
    </row>
    <row r="242552" spans="15:15" x14ac:dyDescent="0.25">
      <c r="O242552" s="9"/>
    </row>
    <row r="242573" spans="15:15" x14ac:dyDescent="0.25">
      <c r="O242573" s="9"/>
    </row>
    <row r="242594" spans="15:15" x14ac:dyDescent="0.25">
      <c r="O242594" s="9"/>
    </row>
    <row r="242615" spans="15:15" x14ac:dyDescent="0.25">
      <c r="O242615" s="9"/>
    </row>
    <row r="242636" spans="15:15" x14ac:dyDescent="0.25">
      <c r="O242636" s="9"/>
    </row>
    <row r="242657" spans="15:15" x14ac:dyDescent="0.25">
      <c r="O242657" s="9"/>
    </row>
    <row r="242678" spans="15:15" x14ac:dyDescent="0.25">
      <c r="O242678" s="9"/>
    </row>
    <row r="242699" spans="15:15" x14ac:dyDescent="0.25">
      <c r="O242699" s="9"/>
    </row>
    <row r="242720" spans="15:15" x14ac:dyDescent="0.25">
      <c r="O242720" s="9"/>
    </row>
    <row r="242741" spans="15:15" x14ac:dyDescent="0.25">
      <c r="O242741" s="9"/>
    </row>
    <row r="242762" spans="15:15" x14ac:dyDescent="0.25">
      <c r="O242762" s="9"/>
    </row>
    <row r="242783" spans="15:15" x14ac:dyDescent="0.25">
      <c r="O242783" s="9"/>
    </row>
    <row r="242804" spans="15:15" x14ac:dyDescent="0.25">
      <c r="O242804" s="9"/>
    </row>
    <row r="242825" spans="15:15" x14ac:dyDescent="0.25">
      <c r="O242825" s="9"/>
    </row>
    <row r="242846" spans="15:15" x14ac:dyDescent="0.25">
      <c r="O242846" s="9"/>
    </row>
    <row r="242867" spans="15:15" x14ac:dyDescent="0.25">
      <c r="O242867" s="9"/>
    </row>
    <row r="242888" spans="15:15" x14ac:dyDescent="0.25">
      <c r="O242888" s="9"/>
    </row>
    <row r="242909" spans="15:15" x14ac:dyDescent="0.25">
      <c r="O242909" s="9"/>
    </row>
    <row r="242930" spans="15:15" x14ac:dyDescent="0.25">
      <c r="O242930" s="9"/>
    </row>
    <row r="242951" spans="15:15" x14ac:dyDescent="0.25">
      <c r="O242951" s="9"/>
    </row>
    <row r="242972" spans="15:15" x14ac:dyDescent="0.25">
      <c r="O242972" s="9"/>
    </row>
    <row r="242993" spans="15:15" x14ac:dyDescent="0.25">
      <c r="O242993" s="9"/>
    </row>
    <row r="243014" spans="15:15" x14ac:dyDescent="0.25">
      <c r="O243014" s="9"/>
    </row>
    <row r="243035" spans="15:15" x14ac:dyDescent="0.25">
      <c r="O243035" s="9"/>
    </row>
    <row r="243056" spans="15:15" x14ac:dyDescent="0.25">
      <c r="O243056" s="9"/>
    </row>
    <row r="243077" spans="15:15" x14ac:dyDescent="0.25">
      <c r="O243077" s="9"/>
    </row>
    <row r="243098" spans="15:15" x14ac:dyDescent="0.25">
      <c r="O243098" s="9"/>
    </row>
    <row r="243119" spans="15:15" x14ac:dyDescent="0.25">
      <c r="O243119" s="9"/>
    </row>
    <row r="243140" spans="15:15" x14ac:dyDescent="0.25">
      <c r="O243140" s="9"/>
    </row>
    <row r="243161" spans="15:15" x14ac:dyDescent="0.25">
      <c r="O243161" s="9"/>
    </row>
    <row r="243182" spans="15:15" x14ac:dyDescent="0.25">
      <c r="O243182" s="9"/>
    </row>
    <row r="243203" spans="15:15" x14ac:dyDescent="0.25">
      <c r="O243203" s="9"/>
    </row>
    <row r="243224" spans="15:15" x14ac:dyDescent="0.25">
      <c r="O243224" s="9"/>
    </row>
    <row r="243245" spans="15:15" x14ac:dyDescent="0.25">
      <c r="O243245" s="9"/>
    </row>
    <row r="243266" spans="15:15" x14ac:dyDescent="0.25">
      <c r="O243266" s="9"/>
    </row>
    <row r="243287" spans="15:15" x14ac:dyDescent="0.25">
      <c r="O243287" s="9"/>
    </row>
    <row r="243308" spans="15:15" x14ac:dyDescent="0.25">
      <c r="O243308" s="9"/>
    </row>
    <row r="243329" spans="15:15" x14ac:dyDescent="0.25">
      <c r="O243329" s="9"/>
    </row>
    <row r="243350" spans="15:15" x14ac:dyDescent="0.25">
      <c r="O243350" s="9"/>
    </row>
    <row r="243371" spans="15:15" x14ac:dyDescent="0.25">
      <c r="O243371" s="9"/>
    </row>
    <row r="243392" spans="15:15" x14ac:dyDescent="0.25">
      <c r="O243392" s="9"/>
    </row>
    <row r="243413" spans="15:15" x14ac:dyDescent="0.25">
      <c r="O243413" s="9"/>
    </row>
    <row r="243434" spans="15:15" x14ac:dyDescent="0.25">
      <c r="O243434" s="9"/>
    </row>
    <row r="243455" spans="15:15" x14ac:dyDescent="0.25">
      <c r="O243455" s="9"/>
    </row>
    <row r="243476" spans="15:15" x14ac:dyDescent="0.25">
      <c r="O243476" s="9"/>
    </row>
    <row r="243497" spans="15:15" x14ac:dyDescent="0.25">
      <c r="O243497" s="9"/>
    </row>
    <row r="243518" spans="15:15" x14ac:dyDescent="0.25">
      <c r="O243518" s="9"/>
    </row>
    <row r="243539" spans="15:15" x14ac:dyDescent="0.25">
      <c r="O243539" s="9"/>
    </row>
    <row r="243560" spans="15:15" x14ac:dyDescent="0.25">
      <c r="O243560" s="9"/>
    </row>
    <row r="243581" spans="15:15" x14ac:dyDescent="0.25">
      <c r="O243581" s="9"/>
    </row>
    <row r="243602" spans="15:15" x14ac:dyDescent="0.25">
      <c r="O243602" s="9"/>
    </row>
    <row r="243623" spans="15:15" x14ac:dyDescent="0.25">
      <c r="O243623" s="9"/>
    </row>
    <row r="243644" spans="15:15" x14ac:dyDescent="0.25">
      <c r="O243644" s="9"/>
    </row>
    <row r="243665" spans="15:15" x14ac:dyDescent="0.25">
      <c r="O243665" s="9"/>
    </row>
    <row r="243686" spans="15:15" x14ac:dyDescent="0.25">
      <c r="O243686" s="9"/>
    </row>
    <row r="243707" spans="15:15" x14ac:dyDescent="0.25">
      <c r="O243707" s="9"/>
    </row>
    <row r="243728" spans="15:15" x14ac:dyDescent="0.25">
      <c r="O243728" s="9"/>
    </row>
    <row r="243749" spans="15:15" x14ac:dyDescent="0.25">
      <c r="O243749" s="9"/>
    </row>
    <row r="243770" spans="15:15" x14ac:dyDescent="0.25">
      <c r="O243770" s="9"/>
    </row>
    <row r="243791" spans="15:15" x14ac:dyDescent="0.25">
      <c r="O243791" s="9"/>
    </row>
    <row r="243812" spans="15:15" x14ac:dyDescent="0.25">
      <c r="O243812" s="9"/>
    </row>
    <row r="243833" spans="15:15" x14ac:dyDescent="0.25">
      <c r="O243833" s="9"/>
    </row>
    <row r="243854" spans="15:15" x14ac:dyDescent="0.25">
      <c r="O243854" s="9"/>
    </row>
    <row r="243875" spans="15:15" x14ac:dyDescent="0.25">
      <c r="O243875" s="9"/>
    </row>
    <row r="243896" spans="15:15" x14ac:dyDescent="0.25">
      <c r="O243896" s="9"/>
    </row>
    <row r="243917" spans="15:15" x14ac:dyDescent="0.25">
      <c r="O243917" s="9"/>
    </row>
    <row r="243938" spans="15:15" x14ac:dyDescent="0.25">
      <c r="O243938" s="9"/>
    </row>
    <row r="243959" spans="15:15" x14ac:dyDescent="0.25">
      <c r="O243959" s="9"/>
    </row>
    <row r="243980" spans="15:15" x14ac:dyDescent="0.25">
      <c r="O243980" s="9"/>
    </row>
    <row r="244001" spans="15:15" x14ac:dyDescent="0.25">
      <c r="O244001" s="9"/>
    </row>
    <row r="244022" spans="15:15" x14ac:dyDescent="0.25">
      <c r="O244022" s="9"/>
    </row>
    <row r="244043" spans="15:15" x14ac:dyDescent="0.25">
      <c r="O244043" s="9"/>
    </row>
    <row r="244064" spans="15:15" x14ac:dyDescent="0.25">
      <c r="O244064" s="9"/>
    </row>
    <row r="244085" spans="15:15" x14ac:dyDescent="0.25">
      <c r="O244085" s="9"/>
    </row>
    <row r="244106" spans="15:15" x14ac:dyDescent="0.25">
      <c r="O244106" s="9"/>
    </row>
    <row r="244127" spans="15:15" x14ac:dyDescent="0.25">
      <c r="O244127" s="9"/>
    </row>
    <row r="244148" spans="15:15" x14ac:dyDescent="0.25">
      <c r="O244148" s="9"/>
    </row>
    <row r="244169" spans="15:15" x14ac:dyDescent="0.25">
      <c r="O244169" s="9"/>
    </row>
    <row r="244190" spans="15:15" x14ac:dyDescent="0.25">
      <c r="O244190" s="9"/>
    </row>
    <row r="244211" spans="15:15" x14ac:dyDescent="0.25">
      <c r="O244211" s="9"/>
    </row>
    <row r="244232" spans="15:15" x14ac:dyDescent="0.25">
      <c r="O244232" s="9"/>
    </row>
    <row r="244253" spans="15:15" x14ac:dyDescent="0.25">
      <c r="O244253" s="9"/>
    </row>
    <row r="244274" spans="15:15" x14ac:dyDescent="0.25">
      <c r="O244274" s="9"/>
    </row>
    <row r="244295" spans="15:15" x14ac:dyDescent="0.25">
      <c r="O244295" s="9"/>
    </row>
    <row r="244316" spans="15:15" x14ac:dyDescent="0.25">
      <c r="O244316" s="9"/>
    </row>
    <row r="244337" spans="15:15" x14ac:dyDescent="0.25">
      <c r="O244337" s="9"/>
    </row>
    <row r="244358" spans="15:15" x14ac:dyDescent="0.25">
      <c r="O244358" s="9"/>
    </row>
    <row r="244379" spans="15:15" x14ac:dyDescent="0.25">
      <c r="O244379" s="9"/>
    </row>
    <row r="244400" spans="15:15" x14ac:dyDescent="0.25">
      <c r="O244400" s="9"/>
    </row>
    <row r="244421" spans="15:15" x14ac:dyDescent="0.25">
      <c r="O244421" s="9"/>
    </row>
    <row r="244442" spans="15:15" x14ac:dyDescent="0.25">
      <c r="O244442" s="9"/>
    </row>
    <row r="244463" spans="15:15" x14ac:dyDescent="0.25">
      <c r="O244463" s="9"/>
    </row>
    <row r="244484" spans="15:15" x14ac:dyDescent="0.25">
      <c r="O244484" s="9"/>
    </row>
    <row r="244505" spans="15:15" x14ac:dyDescent="0.25">
      <c r="O244505" s="9"/>
    </row>
    <row r="244526" spans="15:15" x14ac:dyDescent="0.25">
      <c r="O244526" s="9"/>
    </row>
    <row r="244547" spans="15:15" x14ac:dyDescent="0.25">
      <c r="O244547" s="9"/>
    </row>
    <row r="244568" spans="15:15" x14ac:dyDescent="0.25">
      <c r="O244568" s="9"/>
    </row>
    <row r="244589" spans="15:15" x14ac:dyDescent="0.25">
      <c r="O244589" s="9"/>
    </row>
    <row r="244610" spans="15:15" x14ac:dyDescent="0.25">
      <c r="O244610" s="9"/>
    </row>
    <row r="244631" spans="15:15" x14ac:dyDescent="0.25">
      <c r="O244631" s="9"/>
    </row>
    <row r="244652" spans="15:15" x14ac:dyDescent="0.25">
      <c r="O244652" s="9"/>
    </row>
    <row r="244673" spans="15:15" x14ac:dyDescent="0.25">
      <c r="O244673" s="9"/>
    </row>
    <row r="244694" spans="15:15" x14ac:dyDescent="0.25">
      <c r="O244694" s="9"/>
    </row>
    <row r="244715" spans="15:15" x14ac:dyDescent="0.25">
      <c r="O244715" s="9"/>
    </row>
    <row r="244736" spans="15:15" x14ac:dyDescent="0.25">
      <c r="O244736" s="9"/>
    </row>
    <row r="244757" spans="15:15" x14ac:dyDescent="0.25">
      <c r="O244757" s="9"/>
    </row>
    <row r="244778" spans="15:15" x14ac:dyDescent="0.25">
      <c r="O244778" s="9"/>
    </row>
    <row r="244799" spans="15:15" x14ac:dyDescent="0.25">
      <c r="O244799" s="9"/>
    </row>
    <row r="244820" spans="15:15" x14ac:dyDescent="0.25">
      <c r="O244820" s="9"/>
    </row>
    <row r="244841" spans="15:15" x14ac:dyDescent="0.25">
      <c r="O244841" s="9"/>
    </row>
    <row r="244862" spans="15:15" x14ac:dyDescent="0.25">
      <c r="O244862" s="9"/>
    </row>
    <row r="244883" spans="15:15" x14ac:dyDescent="0.25">
      <c r="O244883" s="9"/>
    </row>
    <row r="244904" spans="15:15" x14ac:dyDescent="0.25">
      <c r="O244904" s="9"/>
    </row>
    <row r="244925" spans="15:15" x14ac:dyDescent="0.25">
      <c r="O244925" s="9"/>
    </row>
    <row r="244946" spans="15:15" x14ac:dyDescent="0.25">
      <c r="O244946" s="9"/>
    </row>
    <row r="244967" spans="15:15" x14ac:dyDescent="0.25">
      <c r="O244967" s="9"/>
    </row>
    <row r="244988" spans="15:15" x14ac:dyDescent="0.25">
      <c r="O244988" s="9"/>
    </row>
    <row r="245009" spans="15:15" x14ac:dyDescent="0.25">
      <c r="O245009" s="9"/>
    </row>
    <row r="245030" spans="15:15" x14ac:dyDescent="0.25">
      <c r="O245030" s="9"/>
    </row>
    <row r="245051" spans="15:15" x14ac:dyDescent="0.25">
      <c r="O245051" s="9"/>
    </row>
    <row r="245072" spans="15:15" x14ac:dyDescent="0.25">
      <c r="O245072" s="9"/>
    </row>
    <row r="245093" spans="15:15" x14ac:dyDescent="0.25">
      <c r="O245093" s="9"/>
    </row>
    <row r="245114" spans="15:15" x14ac:dyDescent="0.25">
      <c r="O245114" s="9"/>
    </row>
    <row r="245135" spans="15:15" x14ac:dyDescent="0.25">
      <c r="O245135" s="9"/>
    </row>
    <row r="245156" spans="15:15" x14ac:dyDescent="0.25">
      <c r="O245156" s="9"/>
    </row>
    <row r="245177" spans="15:15" x14ac:dyDescent="0.25">
      <c r="O245177" s="9"/>
    </row>
    <row r="245198" spans="15:15" x14ac:dyDescent="0.25">
      <c r="O245198" s="9"/>
    </row>
    <row r="245219" spans="15:15" x14ac:dyDescent="0.25">
      <c r="O245219" s="9"/>
    </row>
    <row r="245240" spans="15:15" x14ac:dyDescent="0.25">
      <c r="O245240" s="9"/>
    </row>
    <row r="245261" spans="15:15" x14ac:dyDescent="0.25">
      <c r="O245261" s="9"/>
    </row>
    <row r="245282" spans="15:15" x14ac:dyDescent="0.25">
      <c r="O245282" s="9"/>
    </row>
    <row r="245303" spans="15:15" x14ac:dyDescent="0.25">
      <c r="O245303" s="9"/>
    </row>
    <row r="245324" spans="15:15" x14ac:dyDescent="0.25">
      <c r="O245324" s="9"/>
    </row>
    <row r="245345" spans="15:15" x14ac:dyDescent="0.25">
      <c r="O245345" s="9"/>
    </row>
    <row r="245366" spans="15:15" x14ac:dyDescent="0.25">
      <c r="O245366" s="9"/>
    </row>
    <row r="245387" spans="15:15" x14ac:dyDescent="0.25">
      <c r="O245387" s="9"/>
    </row>
    <row r="245408" spans="15:15" x14ac:dyDescent="0.25">
      <c r="O245408" s="9"/>
    </row>
    <row r="245429" spans="15:15" x14ac:dyDescent="0.25">
      <c r="O245429" s="9"/>
    </row>
    <row r="245450" spans="15:15" x14ac:dyDescent="0.25">
      <c r="O245450" s="9"/>
    </row>
    <row r="245471" spans="15:15" x14ac:dyDescent="0.25">
      <c r="O245471" s="9"/>
    </row>
    <row r="245492" spans="15:15" x14ac:dyDescent="0.25">
      <c r="O245492" s="9"/>
    </row>
    <row r="245513" spans="15:15" x14ac:dyDescent="0.25">
      <c r="O245513" s="9"/>
    </row>
    <row r="245534" spans="15:15" x14ac:dyDescent="0.25">
      <c r="O245534" s="9"/>
    </row>
    <row r="245555" spans="15:15" x14ac:dyDescent="0.25">
      <c r="O245555" s="9"/>
    </row>
    <row r="245576" spans="15:15" x14ac:dyDescent="0.25">
      <c r="O245576" s="9"/>
    </row>
    <row r="245597" spans="15:15" x14ac:dyDescent="0.25">
      <c r="O245597" s="9"/>
    </row>
    <row r="245618" spans="15:15" x14ac:dyDescent="0.25">
      <c r="O245618" s="9"/>
    </row>
    <row r="245639" spans="15:15" x14ac:dyDescent="0.25">
      <c r="O245639" s="9"/>
    </row>
    <row r="245660" spans="15:15" x14ac:dyDescent="0.25">
      <c r="O245660" s="9"/>
    </row>
    <row r="245681" spans="15:15" x14ac:dyDescent="0.25">
      <c r="O245681" s="9"/>
    </row>
    <row r="245702" spans="15:15" x14ac:dyDescent="0.25">
      <c r="O245702" s="9"/>
    </row>
    <row r="245723" spans="15:15" x14ac:dyDescent="0.25">
      <c r="O245723" s="9"/>
    </row>
    <row r="245744" spans="15:15" x14ac:dyDescent="0.25">
      <c r="O245744" s="9"/>
    </row>
    <row r="245765" spans="15:15" x14ac:dyDescent="0.25">
      <c r="O245765" s="9"/>
    </row>
    <row r="245786" spans="15:15" x14ac:dyDescent="0.25">
      <c r="O245786" s="9"/>
    </row>
    <row r="245807" spans="15:15" x14ac:dyDescent="0.25">
      <c r="O245807" s="9"/>
    </row>
    <row r="245828" spans="15:15" x14ac:dyDescent="0.25">
      <c r="O245828" s="9"/>
    </row>
    <row r="245849" spans="15:15" x14ac:dyDescent="0.25">
      <c r="O245849" s="9"/>
    </row>
    <row r="245870" spans="15:15" x14ac:dyDescent="0.25">
      <c r="O245870" s="9"/>
    </row>
    <row r="245891" spans="15:15" x14ac:dyDescent="0.25">
      <c r="O245891" s="9"/>
    </row>
    <row r="245912" spans="15:15" x14ac:dyDescent="0.25">
      <c r="O245912" s="9"/>
    </row>
    <row r="245933" spans="15:15" x14ac:dyDescent="0.25">
      <c r="O245933" s="9"/>
    </row>
    <row r="245954" spans="15:15" x14ac:dyDescent="0.25">
      <c r="O245954" s="9"/>
    </row>
    <row r="245975" spans="15:15" x14ac:dyDescent="0.25">
      <c r="O245975" s="9"/>
    </row>
    <row r="245996" spans="15:15" x14ac:dyDescent="0.25">
      <c r="O245996" s="9"/>
    </row>
    <row r="246017" spans="15:15" x14ac:dyDescent="0.25">
      <c r="O246017" s="9"/>
    </row>
    <row r="246038" spans="15:15" x14ac:dyDescent="0.25">
      <c r="O246038" s="9"/>
    </row>
    <row r="246059" spans="15:15" x14ac:dyDescent="0.25">
      <c r="O246059" s="9"/>
    </row>
    <row r="246080" spans="15:15" x14ac:dyDescent="0.25">
      <c r="O246080" s="9"/>
    </row>
    <row r="246101" spans="15:15" x14ac:dyDescent="0.25">
      <c r="O246101" s="9"/>
    </row>
    <row r="246122" spans="15:15" x14ac:dyDescent="0.25">
      <c r="O246122" s="9"/>
    </row>
    <row r="246143" spans="15:15" x14ac:dyDescent="0.25">
      <c r="O246143" s="9"/>
    </row>
    <row r="246164" spans="15:15" x14ac:dyDescent="0.25">
      <c r="O246164" s="9"/>
    </row>
    <row r="246185" spans="15:15" x14ac:dyDescent="0.25">
      <c r="O246185" s="9"/>
    </row>
    <row r="246206" spans="15:15" x14ac:dyDescent="0.25">
      <c r="O246206" s="9"/>
    </row>
    <row r="246227" spans="15:15" x14ac:dyDescent="0.25">
      <c r="O246227" s="9"/>
    </row>
    <row r="246248" spans="15:15" x14ac:dyDescent="0.25">
      <c r="O246248" s="9"/>
    </row>
    <row r="246269" spans="15:15" x14ac:dyDescent="0.25">
      <c r="O246269" s="9"/>
    </row>
    <row r="246290" spans="15:15" x14ac:dyDescent="0.25">
      <c r="O246290" s="9"/>
    </row>
    <row r="246311" spans="15:15" x14ac:dyDescent="0.25">
      <c r="O246311" s="9"/>
    </row>
    <row r="246332" spans="15:15" x14ac:dyDescent="0.25">
      <c r="O246332" s="9"/>
    </row>
    <row r="246353" spans="15:15" x14ac:dyDescent="0.25">
      <c r="O246353" s="9"/>
    </row>
    <row r="246374" spans="15:15" x14ac:dyDescent="0.25">
      <c r="O246374" s="9"/>
    </row>
    <row r="246395" spans="15:15" x14ac:dyDescent="0.25">
      <c r="O246395" s="9"/>
    </row>
    <row r="246416" spans="15:15" x14ac:dyDescent="0.25">
      <c r="O246416" s="9"/>
    </row>
    <row r="246437" spans="15:15" x14ac:dyDescent="0.25">
      <c r="O246437" s="9"/>
    </row>
    <row r="246458" spans="15:15" x14ac:dyDescent="0.25">
      <c r="O246458" s="9"/>
    </row>
    <row r="246479" spans="15:15" x14ac:dyDescent="0.25">
      <c r="O246479" s="9"/>
    </row>
    <row r="246500" spans="15:15" x14ac:dyDescent="0.25">
      <c r="O246500" s="9"/>
    </row>
    <row r="246521" spans="15:15" x14ac:dyDescent="0.25">
      <c r="O246521" s="9"/>
    </row>
    <row r="246542" spans="15:15" x14ac:dyDescent="0.25">
      <c r="O246542" s="9"/>
    </row>
    <row r="246563" spans="15:15" x14ac:dyDescent="0.25">
      <c r="O246563" s="9"/>
    </row>
    <row r="246584" spans="15:15" x14ac:dyDescent="0.25">
      <c r="O246584" s="9"/>
    </row>
    <row r="246605" spans="15:15" x14ac:dyDescent="0.25">
      <c r="O246605" s="9"/>
    </row>
    <row r="246626" spans="15:15" x14ac:dyDescent="0.25">
      <c r="O246626" s="9"/>
    </row>
    <row r="246647" spans="15:15" x14ac:dyDescent="0.25">
      <c r="O246647" s="9"/>
    </row>
    <row r="246668" spans="15:15" x14ac:dyDescent="0.25">
      <c r="O246668" s="9"/>
    </row>
    <row r="246689" spans="15:15" x14ac:dyDescent="0.25">
      <c r="O246689" s="9"/>
    </row>
    <row r="246710" spans="15:15" x14ac:dyDescent="0.25">
      <c r="O246710" s="9"/>
    </row>
    <row r="246731" spans="15:15" x14ac:dyDescent="0.25">
      <c r="O246731" s="9"/>
    </row>
    <row r="246752" spans="15:15" x14ac:dyDescent="0.25">
      <c r="O246752" s="9"/>
    </row>
    <row r="246773" spans="15:15" x14ac:dyDescent="0.25">
      <c r="O246773" s="9"/>
    </row>
    <row r="246794" spans="15:15" x14ac:dyDescent="0.25">
      <c r="O246794" s="9"/>
    </row>
    <row r="246815" spans="15:15" x14ac:dyDescent="0.25">
      <c r="O246815" s="9"/>
    </row>
    <row r="246836" spans="15:15" x14ac:dyDescent="0.25">
      <c r="O246836" s="9"/>
    </row>
    <row r="246857" spans="15:15" x14ac:dyDescent="0.25">
      <c r="O246857" s="9"/>
    </row>
    <row r="246878" spans="15:15" x14ac:dyDescent="0.25">
      <c r="O246878" s="9"/>
    </row>
    <row r="246899" spans="15:15" x14ac:dyDescent="0.25">
      <c r="O246899" s="9"/>
    </row>
    <row r="246920" spans="15:15" x14ac:dyDescent="0.25">
      <c r="O246920" s="9"/>
    </row>
    <row r="246941" spans="15:15" x14ac:dyDescent="0.25">
      <c r="O246941" s="9"/>
    </row>
    <row r="246962" spans="15:15" x14ac:dyDescent="0.25">
      <c r="O246962" s="9"/>
    </row>
    <row r="246983" spans="15:15" x14ac:dyDescent="0.25">
      <c r="O246983" s="9"/>
    </row>
    <row r="247004" spans="15:15" x14ac:dyDescent="0.25">
      <c r="O247004" s="9"/>
    </row>
    <row r="247025" spans="15:15" x14ac:dyDescent="0.25">
      <c r="O247025" s="9"/>
    </row>
    <row r="247046" spans="15:15" x14ac:dyDescent="0.25">
      <c r="O247046" s="9"/>
    </row>
    <row r="247067" spans="15:15" x14ac:dyDescent="0.25">
      <c r="O247067" s="9"/>
    </row>
    <row r="247088" spans="15:15" x14ac:dyDescent="0.25">
      <c r="O247088" s="9"/>
    </row>
    <row r="247109" spans="15:15" x14ac:dyDescent="0.25">
      <c r="O247109" s="9"/>
    </row>
    <row r="247130" spans="15:15" x14ac:dyDescent="0.25">
      <c r="O247130" s="9"/>
    </row>
    <row r="247151" spans="15:15" x14ac:dyDescent="0.25">
      <c r="O247151" s="9"/>
    </row>
    <row r="247172" spans="15:15" x14ac:dyDescent="0.25">
      <c r="O247172" s="9"/>
    </row>
    <row r="247193" spans="15:15" x14ac:dyDescent="0.25">
      <c r="O247193" s="9"/>
    </row>
    <row r="247214" spans="15:15" x14ac:dyDescent="0.25">
      <c r="O247214" s="9"/>
    </row>
    <row r="247235" spans="15:15" x14ac:dyDescent="0.25">
      <c r="O247235" s="9"/>
    </row>
    <row r="247256" spans="15:15" x14ac:dyDescent="0.25">
      <c r="O247256" s="9"/>
    </row>
    <row r="247277" spans="15:15" x14ac:dyDescent="0.25">
      <c r="O247277" s="9"/>
    </row>
    <row r="247298" spans="15:15" x14ac:dyDescent="0.25">
      <c r="O247298" s="9"/>
    </row>
    <row r="247319" spans="15:15" x14ac:dyDescent="0.25">
      <c r="O247319" s="9"/>
    </row>
    <row r="247340" spans="15:15" x14ac:dyDescent="0.25">
      <c r="O247340" s="9"/>
    </row>
    <row r="247361" spans="15:15" x14ac:dyDescent="0.25">
      <c r="O247361" s="9"/>
    </row>
    <row r="247382" spans="15:15" x14ac:dyDescent="0.25">
      <c r="O247382" s="9"/>
    </row>
    <row r="247403" spans="15:15" x14ac:dyDescent="0.25">
      <c r="O247403" s="9"/>
    </row>
    <row r="247424" spans="15:15" x14ac:dyDescent="0.25">
      <c r="O247424" s="9"/>
    </row>
    <row r="247445" spans="15:15" x14ac:dyDescent="0.25">
      <c r="O247445" s="9"/>
    </row>
    <row r="247466" spans="15:15" x14ac:dyDescent="0.25">
      <c r="O247466" s="9"/>
    </row>
    <row r="247487" spans="15:15" x14ac:dyDescent="0.25">
      <c r="O247487" s="9"/>
    </row>
    <row r="247508" spans="15:15" x14ac:dyDescent="0.25">
      <c r="O247508" s="9"/>
    </row>
    <row r="247529" spans="15:15" x14ac:dyDescent="0.25">
      <c r="O247529" s="9"/>
    </row>
    <row r="247550" spans="15:15" x14ac:dyDescent="0.25">
      <c r="O247550" s="9"/>
    </row>
    <row r="247571" spans="15:15" x14ac:dyDescent="0.25">
      <c r="O247571" s="9"/>
    </row>
    <row r="247592" spans="15:15" x14ac:dyDescent="0.25">
      <c r="O247592" s="9"/>
    </row>
    <row r="247613" spans="15:15" x14ac:dyDescent="0.25">
      <c r="O247613" s="9"/>
    </row>
    <row r="247634" spans="15:15" x14ac:dyDescent="0.25">
      <c r="O247634" s="9"/>
    </row>
    <row r="247655" spans="15:15" x14ac:dyDescent="0.25">
      <c r="O247655" s="9"/>
    </row>
    <row r="247676" spans="15:15" x14ac:dyDescent="0.25">
      <c r="O247676" s="9"/>
    </row>
    <row r="247697" spans="15:15" x14ac:dyDescent="0.25">
      <c r="O247697" s="9"/>
    </row>
    <row r="247718" spans="15:15" x14ac:dyDescent="0.25">
      <c r="O247718" s="9"/>
    </row>
    <row r="247739" spans="15:15" x14ac:dyDescent="0.25">
      <c r="O247739" s="9"/>
    </row>
    <row r="247760" spans="15:15" x14ac:dyDescent="0.25">
      <c r="O247760" s="9"/>
    </row>
    <row r="247781" spans="15:15" x14ac:dyDescent="0.25">
      <c r="O247781" s="9"/>
    </row>
    <row r="247802" spans="15:15" x14ac:dyDescent="0.25">
      <c r="O247802" s="9"/>
    </row>
    <row r="247823" spans="15:15" x14ac:dyDescent="0.25">
      <c r="O247823" s="9"/>
    </row>
    <row r="247844" spans="15:15" x14ac:dyDescent="0.25">
      <c r="O247844" s="9"/>
    </row>
    <row r="247865" spans="15:15" x14ac:dyDescent="0.25">
      <c r="O247865" s="9"/>
    </row>
    <row r="247886" spans="15:15" x14ac:dyDescent="0.25">
      <c r="O247886" s="9"/>
    </row>
    <row r="247907" spans="15:15" x14ac:dyDescent="0.25">
      <c r="O247907" s="9"/>
    </row>
    <row r="247928" spans="15:15" x14ac:dyDescent="0.25">
      <c r="O247928" s="9"/>
    </row>
    <row r="247949" spans="15:15" x14ac:dyDescent="0.25">
      <c r="O247949" s="9"/>
    </row>
    <row r="247970" spans="15:15" x14ac:dyDescent="0.25">
      <c r="O247970" s="9"/>
    </row>
    <row r="247991" spans="15:15" x14ac:dyDescent="0.25">
      <c r="O247991" s="9"/>
    </row>
    <row r="248012" spans="15:15" x14ac:dyDescent="0.25">
      <c r="O248012" s="9"/>
    </row>
    <row r="248033" spans="15:15" x14ac:dyDescent="0.25">
      <c r="O248033" s="9"/>
    </row>
    <row r="248054" spans="15:15" x14ac:dyDescent="0.25">
      <c r="O248054" s="9"/>
    </row>
    <row r="248075" spans="15:15" x14ac:dyDescent="0.25">
      <c r="O248075" s="9"/>
    </row>
    <row r="248096" spans="15:15" x14ac:dyDescent="0.25">
      <c r="O248096" s="9"/>
    </row>
    <row r="248117" spans="15:15" x14ac:dyDescent="0.25">
      <c r="O248117" s="9"/>
    </row>
    <row r="248138" spans="15:15" x14ac:dyDescent="0.25">
      <c r="O248138" s="9"/>
    </row>
    <row r="248159" spans="15:15" x14ac:dyDescent="0.25">
      <c r="O248159" s="9"/>
    </row>
    <row r="248180" spans="15:15" x14ac:dyDescent="0.25">
      <c r="O248180" s="9"/>
    </row>
    <row r="248201" spans="15:15" x14ac:dyDescent="0.25">
      <c r="O248201" s="9"/>
    </row>
    <row r="248222" spans="15:15" x14ac:dyDescent="0.25">
      <c r="O248222" s="9"/>
    </row>
    <row r="248243" spans="15:15" x14ac:dyDescent="0.25">
      <c r="O248243" s="9"/>
    </row>
    <row r="248264" spans="15:15" x14ac:dyDescent="0.25">
      <c r="O248264" s="9"/>
    </row>
    <row r="248285" spans="15:15" x14ac:dyDescent="0.25">
      <c r="O248285" s="9"/>
    </row>
    <row r="248306" spans="15:15" x14ac:dyDescent="0.25">
      <c r="O248306" s="9"/>
    </row>
    <row r="248327" spans="15:15" x14ac:dyDescent="0.25">
      <c r="O248327" s="9"/>
    </row>
    <row r="248348" spans="15:15" x14ac:dyDescent="0.25">
      <c r="O248348" s="9"/>
    </row>
    <row r="248369" spans="15:15" x14ac:dyDescent="0.25">
      <c r="O248369" s="9"/>
    </row>
    <row r="248390" spans="15:15" x14ac:dyDescent="0.25">
      <c r="O248390" s="9"/>
    </row>
    <row r="248411" spans="15:15" x14ac:dyDescent="0.25">
      <c r="O248411" s="9"/>
    </row>
    <row r="248432" spans="15:15" x14ac:dyDescent="0.25">
      <c r="O248432" s="9"/>
    </row>
    <row r="248453" spans="15:15" x14ac:dyDescent="0.25">
      <c r="O248453" s="9"/>
    </row>
    <row r="248474" spans="15:15" x14ac:dyDescent="0.25">
      <c r="O248474" s="9"/>
    </row>
    <row r="248495" spans="15:15" x14ac:dyDescent="0.25">
      <c r="O248495" s="9"/>
    </row>
    <row r="248516" spans="15:15" x14ac:dyDescent="0.25">
      <c r="O248516" s="9"/>
    </row>
    <row r="248537" spans="15:15" x14ac:dyDescent="0.25">
      <c r="O248537" s="9"/>
    </row>
    <row r="248558" spans="15:15" x14ac:dyDescent="0.25">
      <c r="O248558" s="9"/>
    </row>
    <row r="248579" spans="15:15" x14ac:dyDescent="0.25">
      <c r="O248579" s="9"/>
    </row>
    <row r="248600" spans="15:15" x14ac:dyDescent="0.25">
      <c r="O248600" s="9"/>
    </row>
    <row r="248621" spans="15:15" x14ac:dyDescent="0.25">
      <c r="O248621" s="9"/>
    </row>
    <row r="248642" spans="15:15" x14ac:dyDescent="0.25">
      <c r="O248642" s="9"/>
    </row>
    <row r="248663" spans="15:15" x14ac:dyDescent="0.25">
      <c r="O248663" s="9"/>
    </row>
    <row r="248684" spans="15:15" x14ac:dyDescent="0.25">
      <c r="O248684" s="9"/>
    </row>
    <row r="248705" spans="15:15" x14ac:dyDescent="0.25">
      <c r="O248705" s="9"/>
    </row>
    <row r="248726" spans="15:15" x14ac:dyDescent="0.25">
      <c r="O248726" s="9"/>
    </row>
    <row r="248747" spans="15:15" x14ac:dyDescent="0.25">
      <c r="O248747" s="9"/>
    </row>
    <row r="248768" spans="15:15" x14ac:dyDescent="0.25">
      <c r="O248768" s="9"/>
    </row>
    <row r="248789" spans="15:15" x14ac:dyDescent="0.25">
      <c r="O248789" s="9"/>
    </row>
    <row r="248810" spans="15:15" x14ac:dyDescent="0.25">
      <c r="O248810" s="9"/>
    </row>
    <row r="248831" spans="15:15" x14ac:dyDescent="0.25">
      <c r="O248831" s="9"/>
    </row>
    <row r="248852" spans="15:15" x14ac:dyDescent="0.25">
      <c r="O248852" s="9"/>
    </row>
    <row r="248873" spans="15:15" x14ac:dyDescent="0.25">
      <c r="O248873" s="9"/>
    </row>
    <row r="248894" spans="15:15" x14ac:dyDescent="0.25">
      <c r="O248894" s="9"/>
    </row>
    <row r="248915" spans="15:15" x14ac:dyDescent="0.25">
      <c r="O248915" s="9"/>
    </row>
    <row r="248936" spans="15:15" x14ac:dyDescent="0.25">
      <c r="O248936" s="9"/>
    </row>
    <row r="248957" spans="15:15" x14ac:dyDescent="0.25">
      <c r="O248957" s="9"/>
    </row>
    <row r="248978" spans="15:15" x14ac:dyDescent="0.25">
      <c r="O248978" s="9"/>
    </row>
    <row r="248999" spans="15:15" x14ac:dyDescent="0.25">
      <c r="O248999" s="9"/>
    </row>
    <row r="249020" spans="15:15" x14ac:dyDescent="0.25">
      <c r="O249020" s="9"/>
    </row>
    <row r="249041" spans="15:15" x14ac:dyDescent="0.25">
      <c r="O249041" s="9"/>
    </row>
    <row r="249062" spans="15:15" x14ac:dyDescent="0.25">
      <c r="O249062" s="9"/>
    </row>
    <row r="249083" spans="15:15" x14ac:dyDescent="0.25">
      <c r="O249083" s="9"/>
    </row>
    <row r="249104" spans="15:15" x14ac:dyDescent="0.25">
      <c r="O249104" s="9"/>
    </row>
    <row r="249125" spans="15:15" x14ac:dyDescent="0.25">
      <c r="O249125" s="9"/>
    </row>
    <row r="249146" spans="15:15" x14ac:dyDescent="0.25">
      <c r="O249146" s="9"/>
    </row>
    <row r="249167" spans="15:15" x14ac:dyDescent="0.25">
      <c r="O249167" s="9"/>
    </row>
    <row r="249188" spans="15:15" x14ac:dyDescent="0.25">
      <c r="O249188" s="9"/>
    </row>
    <row r="249209" spans="15:15" x14ac:dyDescent="0.25">
      <c r="O249209" s="9"/>
    </row>
    <row r="249230" spans="15:15" x14ac:dyDescent="0.25">
      <c r="O249230" s="9"/>
    </row>
    <row r="249251" spans="15:15" x14ac:dyDescent="0.25">
      <c r="O249251" s="9"/>
    </row>
    <row r="249272" spans="15:15" x14ac:dyDescent="0.25">
      <c r="O249272" s="9"/>
    </row>
    <row r="249293" spans="15:15" x14ac:dyDescent="0.25">
      <c r="O249293" s="9"/>
    </row>
    <row r="249314" spans="15:15" x14ac:dyDescent="0.25">
      <c r="O249314" s="9"/>
    </row>
    <row r="249335" spans="15:15" x14ac:dyDescent="0.25">
      <c r="O249335" s="9"/>
    </row>
    <row r="249356" spans="15:15" x14ac:dyDescent="0.25">
      <c r="O249356" s="9"/>
    </row>
    <row r="249377" spans="15:15" x14ac:dyDescent="0.25">
      <c r="O249377" s="9"/>
    </row>
    <row r="249398" spans="15:15" x14ac:dyDescent="0.25">
      <c r="O249398" s="9"/>
    </row>
    <row r="249419" spans="15:15" x14ac:dyDescent="0.25">
      <c r="O249419" s="9"/>
    </row>
    <row r="249440" spans="15:15" x14ac:dyDescent="0.25">
      <c r="O249440" s="9"/>
    </row>
    <row r="249461" spans="15:15" x14ac:dyDescent="0.25">
      <c r="O249461" s="9"/>
    </row>
    <row r="249482" spans="15:15" x14ac:dyDescent="0.25">
      <c r="O249482" s="9"/>
    </row>
    <row r="249503" spans="15:15" x14ac:dyDescent="0.25">
      <c r="O249503" s="9"/>
    </row>
    <row r="249524" spans="15:15" x14ac:dyDescent="0.25">
      <c r="O249524" s="9"/>
    </row>
    <row r="249545" spans="15:15" x14ac:dyDescent="0.25">
      <c r="O249545" s="9"/>
    </row>
    <row r="249566" spans="15:15" x14ac:dyDescent="0.25">
      <c r="O249566" s="9"/>
    </row>
    <row r="249587" spans="15:15" x14ac:dyDescent="0.25">
      <c r="O249587" s="9"/>
    </row>
    <row r="249608" spans="15:15" x14ac:dyDescent="0.25">
      <c r="O249608" s="9"/>
    </row>
    <row r="249629" spans="15:15" x14ac:dyDescent="0.25">
      <c r="O249629" s="9"/>
    </row>
    <row r="249650" spans="15:15" x14ac:dyDescent="0.25">
      <c r="O249650" s="9"/>
    </row>
    <row r="249671" spans="15:15" x14ac:dyDescent="0.25">
      <c r="O249671" s="9"/>
    </row>
    <row r="249692" spans="15:15" x14ac:dyDescent="0.25">
      <c r="O249692" s="9"/>
    </row>
    <row r="249713" spans="15:15" x14ac:dyDescent="0.25">
      <c r="O249713" s="9"/>
    </row>
    <row r="249734" spans="15:15" x14ac:dyDescent="0.25">
      <c r="O249734" s="9"/>
    </row>
    <row r="249755" spans="15:15" x14ac:dyDescent="0.25">
      <c r="O249755" s="9"/>
    </row>
    <row r="249776" spans="15:15" x14ac:dyDescent="0.25">
      <c r="O249776" s="9"/>
    </row>
    <row r="249797" spans="15:15" x14ac:dyDescent="0.25">
      <c r="O249797" s="9"/>
    </row>
    <row r="249818" spans="15:15" x14ac:dyDescent="0.25">
      <c r="O249818" s="9"/>
    </row>
    <row r="249839" spans="15:15" x14ac:dyDescent="0.25">
      <c r="O249839" s="9"/>
    </row>
    <row r="249860" spans="15:15" x14ac:dyDescent="0.25">
      <c r="O249860" s="9"/>
    </row>
    <row r="249881" spans="15:15" x14ac:dyDescent="0.25">
      <c r="O249881" s="9"/>
    </row>
    <row r="249902" spans="15:15" x14ac:dyDescent="0.25">
      <c r="O249902" s="9"/>
    </row>
    <row r="249923" spans="15:15" x14ac:dyDescent="0.25">
      <c r="O249923" s="9"/>
    </row>
    <row r="249944" spans="15:15" x14ac:dyDescent="0.25">
      <c r="O249944" s="9"/>
    </row>
    <row r="249965" spans="15:15" x14ac:dyDescent="0.25">
      <c r="O249965" s="9"/>
    </row>
    <row r="249986" spans="15:15" x14ac:dyDescent="0.25">
      <c r="O249986" s="9"/>
    </row>
    <row r="250007" spans="15:15" x14ac:dyDescent="0.25">
      <c r="O250007" s="9"/>
    </row>
    <row r="250028" spans="15:15" x14ac:dyDescent="0.25">
      <c r="O250028" s="9"/>
    </row>
    <row r="250049" spans="15:15" x14ac:dyDescent="0.25">
      <c r="O250049" s="9"/>
    </row>
    <row r="250070" spans="15:15" x14ac:dyDescent="0.25">
      <c r="O250070" s="9"/>
    </row>
    <row r="250091" spans="15:15" x14ac:dyDescent="0.25">
      <c r="O250091" s="9"/>
    </row>
    <row r="250112" spans="15:15" x14ac:dyDescent="0.25">
      <c r="O250112" s="9"/>
    </row>
    <row r="250133" spans="15:15" x14ac:dyDescent="0.25">
      <c r="O250133" s="9"/>
    </row>
    <row r="250154" spans="15:15" x14ac:dyDescent="0.25">
      <c r="O250154" s="9"/>
    </row>
    <row r="250175" spans="15:15" x14ac:dyDescent="0.25">
      <c r="O250175" s="9"/>
    </row>
    <row r="250196" spans="15:15" x14ac:dyDescent="0.25">
      <c r="O250196" s="9"/>
    </row>
    <row r="250217" spans="15:15" x14ac:dyDescent="0.25">
      <c r="O250217" s="9"/>
    </row>
    <row r="250238" spans="15:15" x14ac:dyDescent="0.25">
      <c r="O250238" s="9"/>
    </row>
    <row r="250259" spans="15:15" x14ac:dyDescent="0.25">
      <c r="O250259" s="9"/>
    </row>
    <row r="250280" spans="15:15" x14ac:dyDescent="0.25">
      <c r="O250280" s="9"/>
    </row>
    <row r="250301" spans="15:15" x14ac:dyDescent="0.25">
      <c r="O250301" s="9"/>
    </row>
    <row r="250322" spans="15:15" x14ac:dyDescent="0.25">
      <c r="O250322" s="9"/>
    </row>
    <row r="250343" spans="15:15" x14ac:dyDescent="0.25">
      <c r="O250343" s="9"/>
    </row>
    <row r="250364" spans="15:15" x14ac:dyDescent="0.25">
      <c r="O250364" s="9"/>
    </row>
    <row r="250385" spans="15:15" x14ac:dyDescent="0.25">
      <c r="O250385" s="9"/>
    </row>
    <row r="250406" spans="15:15" x14ac:dyDescent="0.25">
      <c r="O250406" s="9"/>
    </row>
    <row r="250427" spans="15:15" x14ac:dyDescent="0.25">
      <c r="O250427" s="9"/>
    </row>
    <row r="250448" spans="15:15" x14ac:dyDescent="0.25">
      <c r="O250448" s="9"/>
    </row>
    <row r="250469" spans="15:15" x14ac:dyDescent="0.25">
      <c r="O250469" s="9"/>
    </row>
    <row r="250490" spans="15:15" x14ac:dyDescent="0.25">
      <c r="O250490" s="9"/>
    </row>
    <row r="250511" spans="15:15" x14ac:dyDescent="0.25">
      <c r="O250511" s="9"/>
    </row>
    <row r="250532" spans="15:15" x14ac:dyDescent="0.25">
      <c r="O250532" s="9"/>
    </row>
    <row r="250553" spans="15:15" x14ac:dyDescent="0.25">
      <c r="O250553" s="9"/>
    </row>
    <row r="250574" spans="15:15" x14ac:dyDescent="0.25">
      <c r="O250574" s="9"/>
    </row>
    <row r="250595" spans="15:15" x14ac:dyDescent="0.25">
      <c r="O250595" s="9"/>
    </row>
    <row r="250616" spans="15:15" x14ac:dyDescent="0.25">
      <c r="O250616" s="9"/>
    </row>
    <row r="250637" spans="15:15" x14ac:dyDescent="0.25">
      <c r="O250637" s="9"/>
    </row>
    <row r="250658" spans="15:15" x14ac:dyDescent="0.25">
      <c r="O250658" s="9"/>
    </row>
    <row r="250679" spans="15:15" x14ac:dyDescent="0.25">
      <c r="O250679" s="9"/>
    </row>
    <row r="250700" spans="15:15" x14ac:dyDescent="0.25">
      <c r="O250700" s="9"/>
    </row>
    <row r="250721" spans="15:15" x14ac:dyDescent="0.25">
      <c r="O250721" s="9"/>
    </row>
    <row r="250742" spans="15:15" x14ac:dyDescent="0.25">
      <c r="O250742" s="9"/>
    </row>
    <row r="250763" spans="15:15" x14ac:dyDescent="0.25">
      <c r="O250763" s="9"/>
    </row>
    <row r="250784" spans="15:15" x14ac:dyDescent="0.25">
      <c r="O250784" s="9"/>
    </row>
    <row r="250805" spans="15:15" x14ac:dyDescent="0.25">
      <c r="O250805" s="9"/>
    </row>
    <row r="250826" spans="15:15" x14ac:dyDescent="0.25">
      <c r="O250826" s="9"/>
    </row>
    <row r="250847" spans="15:15" x14ac:dyDescent="0.25">
      <c r="O250847" s="9"/>
    </row>
    <row r="250868" spans="15:15" x14ac:dyDescent="0.25">
      <c r="O250868" s="9"/>
    </row>
    <row r="250889" spans="15:15" x14ac:dyDescent="0.25">
      <c r="O250889" s="9"/>
    </row>
    <row r="250910" spans="15:15" x14ac:dyDescent="0.25">
      <c r="O250910" s="9"/>
    </row>
    <row r="250931" spans="15:15" x14ac:dyDescent="0.25">
      <c r="O250931" s="9"/>
    </row>
    <row r="250952" spans="15:15" x14ac:dyDescent="0.25">
      <c r="O250952" s="9"/>
    </row>
    <row r="250973" spans="15:15" x14ac:dyDescent="0.25">
      <c r="O250973" s="9"/>
    </row>
    <row r="250994" spans="15:15" x14ac:dyDescent="0.25">
      <c r="O250994" s="9"/>
    </row>
    <row r="251015" spans="15:15" x14ac:dyDescent="0.25">
      <c r="O251015" s="9"/>
    </row>
    <row r="251036" spans="15:15" x14ac:dyDescent="0.25">
      <c r="O251036" s="9"/>
    </row>
    <row r="251057" spans="15:15" x14ac:dyDescent="0.25">
      <c r="O251057" s="9"/>
    </row>
    <row r="251078" spans="15:15" x14ac:dyDescent="0.25">
      <c r="O251078" s="9"/>
    </row>
    <row r="251099" spans="15:15" x14ac:dyDescent="0.25">
      <c r="O251099" s="9"/>
    </row>
    <row r="251120" spans="15:15" x14ac:dyDescent="0.25">
      <c r="O251120" s="9"/>
    </row>
    <row r="251141" spans="15:15" x14ac:dyDescent="0.25">
      <c r="O251141" s="9"/>
    </row>
    <row r="251162" spans="15:15" x14ac:dyDescent="0.25">
      <c r="O251162" s="9"/>
    </row>
    <row r="251183" spans="15:15" x14ac:dyDescent="0.25">
      <c r="O251183" s="9"/>
    </row>
    <row r="251204" spans="15:15" x14ac:dyDescent="0.25">
      <c r="O251204" s="9"/>
    </row>
    <row r="251225" spans="15:15" x14ac:dyDescent="0.25">
      <c r="O251225" s="9"/>
    </row>
    <row r="251246" spans="15:15" x14ac:dyDescent="0.25">
      <c r="O251246" s="9"/>
    </row>
    <row r="251267" spans="15:15" x14ac:dyDescent="0.25">
      <c r="O251267" s="9"/>
    </row>
    <row r="251288" spans="15:15" x14ac:dyDescent="0.25">
      <c r="O251288" s="9"/>
    </row>
    <row r="251309" spans="15:15" x14ac:dyDescent="0.25">
      <c r="O251309" s="9"/>
    </row>
    <row r="251330" spans="15:15" x14ac:dyDescent="0.25">
      <c r="O251330" s="9"/>
    </row>
    <row r="251351" spans="15:15" x14ac:dyDescent="0.25">
      <c r="O251351" s="9"/>
    </row>
    <row r="251372" spans="15:15" x14ac:dyDescent="0.25">
      <c r="O251372" s="9"/>
    </row>
    <row r="251393" spans="15:15" x14ac:dyDescent="0.25">
      <c r="O251393" s="9"/>
    </row>
    <row r="251414" spans="15:15" x14ac:dyDescent="0.25">
      <c r="O251414" s="9"/>
    </row>
    <row r="251435" spans="15:15" x14ac:dyDescent="0.25">
      <c r="O251435" s="9"/>
    </row>
    <row r="251456" spans="15:15" x14ac:dyDescent="0.25">
      <c r="O251456" s="9"/>
    </row>
    <row r="251477" spans="15:15" x14ac:dyDescent="0.25">
      <c r="O251477" s="9"/>
    </row>
    <row r="251498" spans="15:15" x14ac:dyDescent="0.25">
      <c r="O251498" s="9"/>
    </row>
    <row r="251519" spans="15:15" x14ac:dyDescent="0.25">
      <c r="O251519" s="9"/>
    </row>
    <row r="251540" spans="15:15" x14ac:dyDescent="0.25">
      <c r="O251540" s="9"/>
    </row>
    <row r="251561" spans="15:15" x14ac:dyDescent="0.25">
      <c r="O251561" s="9"/>
    </row>
    <row r="251582" spans="15:15" x14ac:dyDescent="0.25">
      <c r="O251582" s="9"/>
    </row>
    <row r="251603" spans="15:15" x14ac:dyDescent="0.25">
      <c r="O251603" s="9"/>
    </row>
    <row r="251624" spans="15:15" x14ac:dyDescent="0.25">
      <c r="O251624" s="9"/>
    </row>
    <row r="251645" spans="15:15" x14ac:dyDescent="0.25">
      <c r="O251645" s="9"/>
    </row>
    <row r="251666" spans="15:15" x14ac:dyDescent="0.25">
      <c r="O251666" s="9"/>
    </row>
    <row r="251687" spans="15:15" x14ac:dyDescent="0.25">
      <c r="O251687" s="9"/>
    </row>
    <row r="251708" spans="15:15" x14ac:dyDescent="0.25">
      <c r="O251708" s="9"/>
    </row>
    <row r="251729" spans="15:15" x14ac:dyDescent="0.25">
      <c r="O251729" s="9"/>
    </row>
    <row r="251750" spans="15:15" x14ac:dyDescent="0.25">
      <c r="O251750" s="9"/>
    </row>
    <row r="251771" spans="15:15" x14ac:dyDescent="0.25">
      <c r="O251771" s="9"/>
    </row>
    <row r="251792" spans="15:15" x14ac:dyDescent="0.25">
      <c r="O251792" s="9"/>
    </row>
    <row r="251813" spans="15:15" x14ac:dyDescent="0.25">
      <c r="O251813" s="9"/>
    </row>
    <row r="251834" spans="15:15" x14ac:dyDescent="0.25">
      <c r="O251834" s="9"/>
    </row>
    <row r="251855" spans="15:15" x14ac:dyDescent="0.25">
      <c r="O251855" s="9"/>
    </row>
    <row r="251876" spans="15:15" x14ac:dyDescent="0.25">
      <c r="O251876" s="9"/>
    </row>
    <row r="251897" spans="15:15" x14ac:dyDescent="0.25">
      <c r="O251897" s="9"/>
    </row>
    <row r="251918" spans="15:15" x14ac:dyDescent="0.25">
      <c r="O251918" s="9"/>
    </row>
    <row r="251939" spans="15:15" x14ac:dyDescent="0.25">
      <c r="O251939" s="9"/>
    </row>
    <row r="251960" spans="15:15" x14ac:dyDescent="0.25">
      <c r="O251960" s="9"/>
    </row>
    <row r="251981" spans="15:15" x14ac:dyDescent="0.25">
      <c r="O251981" s="9"/>
    </row>
    <row r="252002" spans="15:15" x14ac:dyDescent="0.25">
      <c r="O252002" s="9"/>
    </row>
    <row r="252023" spans="15:15" x14ac:dyDescent="0.25">
      <c r="O252023" s="9"/>
    </row>
    <row r="252044" spans="15:15" x14ac:dyDescent="0.25">
      <c r="O252044" s="9"/>
    </row>
    <row r="252065" spans="15:15" x14ac:dyDescent="0.25">
      <c r="O252065" s="9"/>
    </row>
    <row r="252086" spans="15:15" x14ac:dyDescent="0.25">
      <c r="O252086" s="9"/>
    </row>
    <row r="252107" spans="15:15" x14ac:dyDescent="0.25">
      <c r="O252107" s="9"/>
    </row>
    <row r="252128" spans="15:15" x14ac:dyDescent="0.25">
      <c r="O252128" s="9"/>
    </row>
    <row r="252149" spans="15:15" x14ac:dyDescent="0.25">
      <c r="O252149" s="9"/>
    </row>
    <row r="252170" spans="15:15" x14ac:dyDescent="0.25">
      <c r="O252170" s="9"/>
    </row>
    <row r="252191" spans="15:15" x14ac:dyDescent="0.25">
      <c r="O252191" s="9"/>
    </row>
    <row r="252212" spans="15:15" x14ac:dyDescent="0.25">
      <c r="O252212" s="9"/>
    </row>
    <row r="252233" spans="15:15" x14ac:dyDescent="0.25">
      <c r="O252233" s="9"/>
    </row>
    <row r="252254" spans="15:15" x14ac:dyDescent="0.25">
      <c r="O252254" s="9"/>
    </row>
    <row r="252275" spans="15:15" x14ac:dyDescent="0.25">
      <c r="O252275" s="9"/>
    </row>
    <row r="252296" spans="15:15" x14ac:dyDescent="0.25">
      <c r="O252296" s="9"/>
    </row>
    <row r="252317" spans="15:15" x14ac:dyDescent="0.25">
      <c r="O252317" s="9"/>
    </row>
    <row r="252338" spans="15:15" x14ac:dyDescent="0.25">
      <c r="O252338" s="9"/>
    </row>
    <row r="252359" spans="15:15" x14ac:dyDescent="0.25">
      <c r="O252359" s="9"/>
    </row>
    <row r="252380" spans="15:15" x14ac:dyDescent="0.25">
      <c r="O252380" s="9"/>
    </row>
    <row r="252401" spans="15:15" x14ac:dyDescent="0.25">
      <c r="O252401" s="9"/>
    </row>
    <row r="252422" spans="15:15" x14ac:dyDescent="0.25">
      <c r="O252422" s="9"/>
    </row>
    <row r="252443" spans="15:15" x14ac:dyDescent="0.25">
      <c r="O252443" s="9"/>
    </row>
    <row r="252464" spans="15:15" x14ac:dyDescent="0.25">
      <c r="O252464" s="9"/>
    </row>
    <row r="252485" spans="15:15" x14ac:dyDescent="0.25">
      <c r="O252485" s="9"/>
    </row>
    <row r="252506" spans="15:15" x14ac:dyDescent="0.25">
      <c r="O252506" s="9"/>
    </row>
    <row r="252527" spans="15:15" x14ac:dyDescent="0.25">
      <c r="O252527" s="9"/>
    </row>
    <row r="252548" spans="15:15" x14ac:dyDescent="0.25">
      <c r="O252548" s="9"/>
    </row>
    <row r="252569" spans="15:15" x14ac:dyDescent="0.25">
      <c r="O252569" s="9"/>
    </row>
    <row r="252590" spans="15:15" x14ac:dyDescent="0.25">
      <c r="O252590" s="9"/>
    </row>
    <row r="252611" spans="15:15" x14ac:dyDescent="0.25">
      <c r="O252611" s="9"/>
    </row>
    <row r="252632" spans="15:15" x14ac:dyDescent="0.25">
      <c r="O252632" s="9"/>
    </row>
    <row r="252653" spans="15:15" x14ac:dyDescent="0.25">
      <c r="O252653" s="9"/>
    </row>
    <row r="252674" spans="15:15" x14ac:dyDescent="0.25">
      <c r="O252674" s="9"/>
    </row>
    <row r="252695" spans="15:15" x14ac:dyDescent="0.25">
      <c r="O252695" s="9"/>
    </row>
    <row r="252716" spans="15:15" x14ac:dyDescent="0.25">
      <c r="O252716" s="9"/>
    </row>
    <row r="252737" spans="15:15" x14ac:dyDescent="0.25">
      <c r="O252737" s="9"/>
    </row>
    <row r="252758" spans="15:15" x14ac:dyDescent="0.25">
      <c r="O252758" s="9"/>
    </row>
    <row r="252779" spans="15:15" x14ac:dyDescent="0.25">
      <c r="O252779" s="9"/>
    </row>
    <row r="252800" spans="15:15" x14ac:dyDescent="0.25">
      <c r="O252800" s="9"/>
    </row>
    <row r="252821" spans="15:15" x14ac:dyDescent="0.25">
      <c r="O252821" s="9"/>
    </row>
    <row r="252842" spans="15:15" x14ac:dyDescent="0.25">
      <c r="O252842" s="9"/>
    </row>
    <row r="252863" spans="15:15" x14ac:dyDescent="0.25">
      <c r="O252863" s="9"/>
    </row>
    <row r="252884" spans="15:15" x14ac:dyDescent="0.25">
      <c r="O252884" s="9"/>
    </row>
    <row r="252905" spans="15:15" x14ac:dyDescent="0.25">
      <c r="O252905" s="9"/>
    </row>
    <row r="252926" spans="15:15" x14ac:dyDescent="0.25">
      <c r="O252926" s="9"/>
    </row>
    <row r="252947" spans="15:15" x14ac:dyDescent="0.25">
      <c r="O252947" s="9"/>
    </row>
    <row r="252968" spans="15:15" x14ac:dyDescent="0.25">
      <c r="O252968" s="9"/>
    </row>
    <row r="252989" spans="15:15" x14ac:dyDescent="0.25">
      <c r="O252989" s="9"/>
    </row>
    <row r="253010" spans="15:15" x14ac:dyDescent="0.25">
      <c r="O253010" s="9"/>
    </row>
    <row r="253031" spans="15:15" x14ac:dyDescent="0.25">
      <c r="O253031" s="9"/>
    </row>
    <row r="253052" spans="15:15" x14ac:dyDescent="0.25">
      <c r="O253052" s="9"/>
    </row>
    <row r="253073" spans="15:15" x14ac:dyDescent="0.25">
      <c r="O253073" s="9"/>
    </row>
    <row r="253094" spans="15:15" x14ac:dyDescent="0.25">
      <c r="O253094" s="9"/>
    </row>
    <row r="253115" spans="15:15" x14ac:dyDescent="0.25">
      <c r="O253115" s="9"/>
    </row>
    <row r="253136" spans="15:15" x14ac:dyDescent="0.25">
      <c r="O253136" s="9"/>
    </row>
    <row r="253157" spans="15:15" x14ac:dyDescent="0.25">
      <c r="O253157" s="9"/>
    </row>
    <row r="253178" spans="15:15" x14ac:dyDescent="0.25">
      <c r="O253178" s="9"/>
    </row>
    <row r="253199" spans="15:15" x14ac:dyDescent="0.25">
      <c r="O253199" s="9"/>
    </row>
    <row r="253220" spans="15:15" x14ac:dyDescent="0.25">
      <c r="O253220" s="9"/>
    </row>
    <row r="253241" spans="15:15" x14ac:dyDescent="0.25">
      <c r="O253241" s="9"/>
    </row>
    <row r="253262" spans="15:15" x14ac:dyDescent="0.25">
      <c r="O253262" s="9"/>
    </row>
    <row r="253283" spans="15:15" x14ac:dyDescent="0.25">
      <c r="O253283" s="9"/>
    </row>
    <row r="253304" spans="15:15" x14ac:dyDescent="0.25">
      <c r="O253304" s="9"/>
    </row>
    <row r="253325" spans="15:15" x14ac:dyDescent="0.25">
      <c r="O253325" s="9"/>
    </row>
    <row r="253346" spans="15:15" x14ac:dyDescent="0.25">
      <c r="O253346" s="9"/>
    </row>
    <row r="253367" spans="15:15" x14ac:dyDescent="0.25">
      <c r="O253367" s="9"/>
    </row>
    <row r="253388" spans="15:15" x14ac:dyDescent="0.25">
      <c r="O253388" s="9"/>
    </row>
    <row r="253409" spans="15:15" x14ac:dyDescent="0.25">
      <c r="O253409" s="9"/>
    </row>
    <row r="253430" spans="15:15" x14ac:dyDescent="0.25">
      <c r="O253430" s="9"/>
    </row>
    <row r="253451" spans="15:15" x14ac:dyDescent="0.25">
      <c r="O253451" s="9"/>
    </row>
    <row r="253472" spans="15:15" x14ac:dyDescent="0.25">
      <c r="O253472" s="9"/>
    </row>
    <row r="253493" spans="15:15" x14ac:dyDescent="0.25">
      <c r="O253493" s="9"/>
    </row>
    <row r="253514" spans="15:15" x14ac:dyDescent="0.25">
      <c r="O253514" s="9"/>
    </row>
    <row r="253535" spans="15:15" x14ac:dyDescent="0.25">
      <c r="O253535" s="9"/>
    </row>
    <row r="253556" spans="15:15" x14ac:dyDescent="0.25">
      <c r="O253556" s="9"/>
    </row>
    <row r="253577" spans="15:15" x14ac:dyDescent="0.25">
      <c r="O253577" s="9"/>
    </row>
    <row r="253598" spans="15:15" x14ac:dyDescent="0.25">
      <c r="O253598" s="9"/>
    </row>
    <row r="253619" spans="15:15" x14ac:dyDescent="0.25">
      <c r="O253619" s="9"/>
    </row>
    <row r="253640" spans="15:15" x14ac:dyDescent="0.25">
      <c r="O253640" s="9"/>
    </row>
    <row r="253661" spans="15:15" x14ac:dyDescent="0.25">
      <c r="O253661" s="9"/>
    </row>
    <row r="253682" spans="15:15" x14ac:dyDescent="0.25">
      <c r="O253682" s="9"/>
    </row>
    <row r="253703" spans="15:15" x14ac:dyDescent="0.25">
      <c r="O253703" s="9"/>
    </row>
    <row r="253724" spans="15:15" x14ac:dyDescent="0.25">
      <c r="O253724" s="9"/>
    </row>
    <row r="253745" spans="15:15" x14ac:dyDescent="0.25">
      <c r="O253745" s="9"/>
    </row>
    <row r="253766" spans="15:15" x14ac:dyDescent="0.25">
      <c r="O253766" s="9"/>
    </row>
    <row r="253787" spans="15:15" x14ac:dyDescent="0.25">
      <c r="O253787" s="9"/>
    </row>
    <row r="253808" spans="15:15" x14ac:dyDescent="0.25">
      <c r="O253808" s="9"/>
    </row>
    <row r="253829" spans="15:15" x14ac:dyDescent="0.25">
      <c r="O253829" s="9"/>
    </row>
    <row r="253850" spans="15:15" x14ac:dyDescent="0.25">
      <c r="O253850" s="9"/>
    </row>
    <row r="253871" spans="15:15" x14ac:dyDescent="0.25">
      <c r="O253871" s="9"/>
    </row>
    <row r="253892" spans="15:15" x14ac:dyDescent="0.25">
      <c r="O253892" s="9"/>
    </row>
    <row r="253913" spans="15:15" x14ac:dyDescent="0.25">
      <c r="O253913" s="9"/>
    </row>
    <row r="253934" spans="15:15" x14ac:dyDescent="0.25">
      <c r="O253934" s="9"/>
    </row>
    <row r="253955" spans="15:15" x14ac:dyDescent="0.25">
      <c r="O253955" s="9"/>
    </row>
    <row r="253976" spans="15:15" x14ac:dyDescent="0.25">
      <c r="O253976" s="9"/>
    </row>
    <row r="253997" spans="15:15" x14ac:dyDescent="0.25">
      <c r="O253997" s="9"/>
    </row>
    <row r="254018" spans="15:15" x14ac:dyDescent="0.25">
      <c r="O254018" s="9"/>
    </row>
    <row r="254039" spans="15:15" x14ac:dyDescent="0.25">
      <c r="O254039" s="9"/>
    </row>
    <row r="254060" spans="15:15" x14ac:dyDescent="0.25">
      <c r="O254060" s="9"/>
    </row>
    <row r="254081" spans="15:15" x14ac:dyDescent="0.25">
      <c r="O254081" s="9"/>
    </row>
    <row r="254102" spans="15:15" x14ac:dyDescent="0.25">
      <c r="O254102" s="9"/>
    </row>
    <row r="254123" spans="15:15" x14ac:dyDescent="0.25">
      <c r="O254123" s="9"/>
    </row>
    <row r="254144" spans="15:15" x14ac:dyDescent="0.25">
      <c r="O254144" s="9"/>
    </row>
    <row r="254165" spans="15:15" x14ac:dyDescent="0.25">
      <c r="O254165" s="9"/>
    </row>
    <row r="254186" spans="15:15" x14ac:dyDescent="0.25">
      <c r="O254186" s="9"/>
    </row>
    <row r="254207" spans="15:15" x14ac:dyDescent="0.25">
      <c r="O254207" s="9"/>
    </row>
    <row r="254228" spans="15:15" x14ac:dyDescent="0.25">
      <c r="O254228" s="9"/>
    </row>
    <row r="254249" spans="15:15" x14ac:dyDescent="0.25">
      <c r="O254249" s="9"/>
    </row>
    <row r="254270" spans="15:15" x14ac:dyDescent="0.25">
      <c r="O254270" s="9"/>
    </row>
    <row r="254291" spans="15:15" x14ac:dyDescent="0.25">
      <c r="O254291" s="9"/>
    </row>
    <row r="254312" spans="15:15" x14ac:dyDescent="0.25">
      <c r="O254312" s="9"/>
    </row>
    <row r="254333" spans="15:15" x14ac:dyDescent="0.25">
      <c r="O254333" s="9"/>
    </row>
    <row r="254354" spans="15:15" x14ac:dyDescent="0.25">
      <c r="O254354" s="9"/>
    </row>
    <row r="254375" spans="15:15" x14ac:dyDescent="0.25">
      <c r="O254375" s="9"/>
    </row>
    <row r="254396" spans="15:15" x14ac:dyDescent="0.25">
      <c r="O254396" s="9"/>
    </row>
    <row r="254417" spans="15:15" x14ac:dyDescent="0.25">
      <c r="O254417" s="9"/>
    </row>
    <row r="254438" spans="15:15" x14ac:dyDescent="0.25">
      <c r="O254438" s="9"/>
    </row>
    <row r="254459" spans="15:15" x14ac:dyDescent="0.25">
      <c r="O254459" s="9"/>
    </row>
    <row r="254480" spans="15:15" x14ac:dyDescent="0.25">
      <c r="O254480" s="9"/>
    </row>
    <row r="254501" spans="15:15" x14ac:dyDescent="0.25">
      <c r="O254501" s="9"/>
    </row>
    <row r="254522" spans="15:15" x14ac:dyDescent="0.25">
      <c r="O254522" s="9"/>
    </row>
    <row r="254543" spans="15:15" x14ac:dyDescent="0.25">
      <c r="O254543" s="9"/>
    </row>
    <row r="254564" spans="15:15" x14ac:dyDescent="0.25">
      <c r="O254564" s="9"/>
    </row>
    <row r="254585" spans="15:15" x14ac:dyDescent="0.25">
      <c r="O254585" s="9"/>
    </row>
    <row r="254606" spans="15:15" x14ac:dyDescent="0.25">
      <c r="O254606" s="9"/>
    </row>
    <row r="254627" spans="15:15" x14ac:dyDescent="0.25">
      <c r="O254627" s="9"/>
    </row>
    <row r="254648" spans="15:15" x14ac:dyDescent="0.25">
      <c r="O254648" s="9"/>
    </row>
    <row r="254669" spans="15:15" x14ac:dyDescent="0.25">
      <c r="O254669" s="9"/>
    </row>
    <row r="254690" spans="15:15" x14ac:dyDescent="0.25">
      <c r="O254690" s="9"/>
    </row>
    <row r="254711" spans="15:15" x14ac:dyDescent="0.25">
      <c r="O254711" s="9"/>
    </row>
    <row r="254732" spans="15:15" x14ac:dyDescent="0.25">
      <c r="O254732" s="9"/>
    </row>
    <row r="254753" spans="15:15" x14ac:dyDescent="0.25">
      <c r="O254753" s="9"/>
    </row>
    <row r="254774" spans="15:15" x14ac:dyDescent="0.25">
      <c r="O254774" s="9"/>
    </row>
    <row r="254795" spans="15:15" x14ac:dyDescent="0.25">
      <c r="O254795" s="9"/>
    </row>
    <row r="254816" spans="15:15" x14ac:dyDescent="0.25">
      <c r="O254816" s="9"/>
    </row>
    <row r="254837" spans="15:15" x14ac:dyDescent="0.25">
      <c r="O254837" s="9"/>
    </row>
    <row r="254858" spans="15:15" x14ac:dyDescent="0.25">
      <c r="O254858" s="9"/>
    </row>
    <row r="254879" spans="15:15" x14ac:dyDescent="0.25">
      <c r="O254879" s="9"/>
    </row>
    <row r="254900" spans="15:15" x14ac:dyDescent="0.25">
      <c r="O254900" s="9"/>
    </row>
    <row r="254921" spans="15:15" x14ac:dyDescent="0.25">
      <c r="O254921" s="9"/>
    </row>
    <row r="254942" spans="15:15" x14ac:dyDescent="0.25">
      <c r="O254942" s="9"/>
    </row>
    <row r="254963" spans="15:15" x14ac:dyDescent="0.25">
      <c r="O254963" s="9"/>
    </row>
    <row r="254984" spans="15:15" x14ac:dyDescent="0.25">
      <c r="O254984" s="9"/>
    </row>
    <row r="255005" spans="15:15" x14ac:dyDescent="0.25">
      <c r="O255005" s="9"/>
    </row>
    <row r="255026" spans="15:15" x14ac:dyDescent="0.25">
      <c r="O255026" s="9"/>
    </row>
    <row r="255047" spans="15:15" x14ac:dyDescent="0.25">
      <c r="O255047" s="9"/>
    </row>
    <row r="255068" spans="15:15" x14ac:dyDescent="0.25">
      <c r="O255068" s="9"/>
    </row>
    <row r="255089" spans="15:15" x14ac:dyDescent="0.25">
      <c r="O255089" s="9"/>
    </row>
    <row r="255110" spans="15:15" x14ac:dyDescent="0.25">
      <c r="O255110" s="9"/>
    </row>
    <row r="255131" spans="15:15" x14ac:dyDescent="0.25">
      <c r="O255131" s="9"/>
    </row>
    <row r="255152" spans="15:15" x14ac:dyDescent="0.25">
      <c r="O255152" s="9"/>
    </row>
    <row r="255173" spans="15:15" x14ac:dyDescent="0.25">
      <c r="O255173" s="9"/>
    </row>
    <row r="255194" spans="15:15" x14ac:dyDescent="0.25">
      <c r="O255194" s="9"/>
    </row>
    <row r="255215" spans="15:15" x14ac:dyDescent="0.25">
      <c r="O255215" s="9"/>
    </row>
    <row r="255236" spans="15:15" x14ac:dyDescent="0.25">
      <c r="O255236" s="9"/>
    </row>
    <row r="255257" spans="15:15" x14ac:dyDescent="0.25">
      <c r="O255257" s="9"/>
    </row>
    <row r="255278" spans="15:15" x14ac:dyDescent="0.25">
      <c r="O255278" s="9"/>
    </row>
    <row r="255299" spans="15:15" x14ac:dyDescent="0.25">
      <c r="O255299" s="9"/>
    </row>
    <row r="255320" spans="15:15" x14ac:dyDescent="0.25">
      <c r="O255320" s="9"/>
    </row>
    <row r="255341" spans="15:15" x14ac:dyDescent="0.25">
      <c r="O255341" s="9"/>
    </row>
    <row r="255362" spans="15:15" x14ac:dyDescent="0.25">
      <c r="O255362" s="9"/>
    </row>
    <row r="255383" spans="15:15" x14ac:dyDescent="0.25">
      <c r="O255383" s="9"/>
    </row>
    <row r="255404" spans="15:15" x14ac:dyDescent="0.25">
      <c r="O255404" s="9"/>
    </row>
    <row r="255425" spans="15:15" x14ac:dyDescent="0.25">
      <c r="O255425" s="9"/>
    </row>
    <row r="255446" spans="15:15" x14ac:dyDescent="0.25">
      <c r="O255446" s="9"/>
    </row>
    <row r="255467" spans="15:15" x14ac:dyDescent="0.25">
      <c r="O255467" s="9"/>
    </row>
    <row r="255488" spans="15:15" x14ac:dyDescent="0.25">
      <c r="O255488" s="9"/>
    </row>
    <row r="255509" spans="15:15" x14ac:dyDescent="0.25">
      <c r="O255509" s="9"/>
    </row>
    <row r="255530" spans="15:15" x14ac:dyDescent="0.25">
      <c r="O255530" s="9"/>
    </row>
    <row r="255551" spans="15:15" x14ac:dyDescent="0.25">
      <c r="O255551" s="9"/>
    </row>
    <row r="255572" spans="15:15" x14ac:dyDescent="0.25">
      <c r="O255572" s="9"/>
    </row>
    <row r="255593" spans="15:15" x14ac:dyDescent="0.25">
      <c r="O255593" s="9"/>
    </row>
    <row r="255614" spans="15:15" x14ac:dyDescent="0.25">
      <c r="O255614" s="9"/>
    </row>
    <row r="255635" spans="15:15" x14ac:dyDescent="0.25">
      <c r="O255635" s="9"/>
    </row>
    <row r="255656" spans="15:15" x14ac:dyDescent="0.25">
      <c r="O255656" s="9"/>
    </row>
    <row r="255677" spans="15:15" x14ac:dyDescent="0.25">
      <c r="O255677" s="9"/>
    </row>
    <row r="255698" spans="15:15" x14ac:dyDescent="0.25">
      <c r="O255698" s="9"/>
    </row>
    <row r="255719" spans="15:15" x14ac:dyDescent="0.25">
      <c r="O255719" s="9"/>
    </row>
    <row r="255740" spans="15:15" x14ac:dyDescent="0.25">
      <c r="O255740" s="9"/>
    </row>
    <row r="255761" spans="15:15" x14ac:dyDescent="0.25">
      <c r="O255761" s="9"/>
    </row>
    <row r="255782" spans="15:15" x14ac:dyDescent="0.25">
      <c r="O255782" s="9"/>
    </row>
    <row r="255803" spans="15:15" x14ac:dyDescent="0.25">
      <c r="O255803" s="9"/>
    </row>
    <row r="255824" spans="15:15" x14ac:dyDescent="0.25">
      <c r="O255824" s="9"/>
    </row>
    <row r="255845" spans="15:15" x14ac:dyDescent="0.25">
      <c r="O255845" s="9"/>
    </row>
    <row r="255866" spans="15:15" x14ac:dyDescent="0.25">
      <c r="O255866" s="9"/>
    </row>
    <row r="255887" spans="15:15" x14ac:dyDescent="0.25">
      <c r="O255887" s="9"/>
    </row>
    <row r="255908" spans="15:15" x14ac:dyDescent="0.25">
      <c r="O255908" s="9"/>
    </row>
    <row r="255929" spans="15:15" x14ac:dyDescent="0.25">
      <c r="O255929" s="9"/>
    </row>
    <row r="255950" spans="15:15" x14ac:dyDescent="0.25">
      <c r="O255950" s="9"/>
    </row>
    <row r="255971" spans="15:15" x14ac:dyDescent="0.25">
      <c r="O255971" s="9"/>
    </row>
    <row r="255992" spans="15:15" x14ac:dyDescent="0.25">
      <c r="O255992" s="9"/>
    </row>
    <row r="256013" spans="15:15" x14ac:dyDescent="0.25">
      <c r="O256013" s="9"/>
    </row>
    <row r="256034" spans="15:15" x14ac:dyDescent="0.25">
      <c r="O256034" s="9"/>
    </row>
    <row r="256055" spans="15:15" x14ac:dyDescent="0.25">
      <c r="O256055" s="9"/>
    </row>
    <row r="256076" spans="15:15" x14ac:dyDescent="0.25">
      <c r="O256076" s="9"/>
    </row>
    <row r="256097" spans="15:15" x14ac:dyDescent="0.25">
      <c r="O256097" s="9"/>
    </row>
    <row r="256118" spans="15:15" x14ac:dyDescent="0.25">
      <c r="O256118" s="9"/>
    </row>
    <row r="256139" spans="15:15" x14ac:dyDescent="0.25">
      <c r="O256139" s="9"/>
    </row>
    <row r="256160" spans="15:15" x14ac:dyDescent="0.25">
      <c r="O256160" s="9"/>
    </row>
    <row r="256181" spans="15:15" x14ac:dyDescent="0.25">
      <c r="O256181" s="9"/>
    </row>
    <row r="256202" spans="15:15" x14ac:dyDescent="0.25">
      <c r="O256202" s="9"/>
    </row>
    <row r="256223" spans="15:15" x14ac:dyDescent="0.25">
      <c r="O256223" s="9"/>
    </row>
    <row r="256244" spans="15:15" x14ac:dyDescent="0.25">
      <c r="O256244" s="9"/>
    </row>
    <row r="256265" spans="15:15" x14ac:dyDescent="0.25">
      <c r="O256265" s="9"/>
    </row>
    <row r="256286" spans="15:15" x14ac:dyDescent="0.25">
      <c r="O256286" s="9"/>
    </row>
    <row r="256307" spans="15:15" x14ac:dyDescent="0.25">
      <c r="O256307" s="9"/>
    </row>
    <row r="256328" spans="15:15" x14ac:dyDescent="0.25">
      <c r="O256328" s="9"/>
    </row>
    <row r="256349" spans="15:15" x14ac:dyDescent="0.25">
      <c r="O256349" s="9"/>
    </row>
    <row r="256370" spans="15:15" x14ac:dyDescent="0.25">
      <c r="O256370" s="9"/>
    </row>
    <row r="256391" spans="15:15" x14ac:dyDescent="0.25">
      <c r="O256391" s="9"/>
    </row>
    <row r="256412" spans="15:15" x14ac:dyDescent="0.25">
      <c r="O256412" s="9"/>
    </row>
    <row r="256433" spans="15:15" x14ac:dyDescent="0.25">
      <c r="O256433" s="9"/>
    </row>
    <row r="256454" spans="15:15" x14ac:dyDescent="0.25">
      <c r="O256454" s="9"/>
    </row>
    <row r="256475" spans="15:15" x14ac:dyDescent="0.25">
      <c r="O256475" s="9"/>
    </row>
    <row r="256496" spans="15:15" x14ac:dyDescent="0.25">
      <c r="O256496" s="9"/>
    </row>
    <row r="256517" spans="15:15" x14ac:dyDescent="0.25">
      <c r="O256517" s="9"/>
    </row>
    <row r="256538" spans="15:15" x14ac:dyDescent="0.25">
      <c r="O256538" s="9"/>
    </row>
    <row r="256559" spans="15:15" x14ac:dyDescent="0.25">
      <c r="O256559" s="9"/>
    </row>
    <row r="256580" spans="15:15" x14ac:dyDescent="0.25">
      <c r="O256580" s="9"/>
    </row>
    <row r="256601" spans="15:15" x14ac:dyDescent="0.25">
      <c r="O256601" s="9"/>
    </row>
    <row r="256622" spans="15:15" x14ac:dyDescent="0.25">
      <c r="O256622" s="9"/>
    </row>
    <row r="256643" spans="15:15" x14ac:dyDescent="0.25">
      <c r="O256643" s="9"/>
    </row>
    <row r="256664" spans="15:15" x14ac:dyDescent="0.25">
      <c r="O256664" s="9"/>
    </row>
    <row r="256685" spans="15:15" x14ac:dyDescent="0.25">
      <c r="O256685" s="9"/>
    </row>
    <row r="256706" spans="15:15" x14ac:dyDescent="0.25">
      <c r="O256706" s="9"/>
    </row>
    <row r="256727" spans="15:15" x14ac:dyDescent="0.25">
      <c r="O256727" s="9"/>
    </row>
    <row r="256748" spans="15:15" x14ac:dyDescent="0.25">
      <c r="O256748" s="9"/>
    </row>
    <row r="256769" spans="15:15" x14ac:dyDescent="0.25">
      <c r="O256769" s="9"/>
    </row>
    <row r="256790" spans="15:15" x14ac:dyDescent="0.25">
      <c r="O256790" s="9"/>
    </row>
    <row r="256811" spans="15:15" x14ac:dyDescent="0.25">
      <c r="O256811" s="9"/>
    </row>
    <row r="256832" spans="15:15" x14ac:dyDescent="0.25">
      <c r="O256832" s="9"/>
    </row>
    <row r="256853" spans="15:15" x14ac:dyDescent="0.25">
      <c r="O256853" s="9"/>
    </row>
    <row r="256874" spans="15:15" x14ac:dyDescent="0.25">
      <c r="O256874" s="9"/>
    </row>
    <row r="256895" spans="15:15" x14ac:dyDescent="0.25">
      <c r="O256895" s="9"/>
    </row>
    <row r="256916" spans="15:15" x14ac:dyDescent="0.25">
      <c r="O256916" s="9"/>
    </row>
    <row r="256937" spans="15:15" x14ac:dyDescent="0.25">
      <c r="O256937" s="9"/>
    </row>
    <row r="256958" spans="15:15" x14ac:dyDescent="0.25">
      <c r="O256958" s="9"/>
    </row>
    <row r="256979" spans="15:15" x14ac:dyDescent="0.25">
      <c r="O256979" s="9"/>
    </row>
    <row r="257000" spans="15:15" x14ac:dyDescent="0.25">
      <c r="O257000" s="9"/>
    </row>
    <row r="257021" spans="15:15" x14ac:dyDescent="0.25">
      <c r="O257021" s="9"/>
    </row>
    <row r="257042" spans="15:15" x14ac:dyDescent="0.25">
      <c r="O257042" s="9"/>
    </row>
    <row r="257063" spans="15:15" x14ac:dyDescent="0.25">
      <c r="O257063" s="9"/>
    </row>
    <row r="257084" spans="15:15" x14ac:dyDescent="0.25">
      <c r="O257084" s="9"/>
    </row>
    <row r="257105" spans="15:15" x14ac:dyDescent="0.25">
      <c r="O257105" s="9"/>
    </row>
    <row r="257126" spans="15:15" x14ac:dyDescent="0.25">
      <c r="O257126" s="9"/>
    </row>
    <row r="257147" spans="15:15" x14ac:dyDescent="0.25">
      <c r="O257147" s="9"/>
    </row>
    <row r="257168" spans="15:15" x14ac:dyDescent="0.25">
      <c r="O257168" s="9"/>
    </row>
    <row r="257189" spans="15:15" x14ac:dyDescent="0.25">
      <c r="O257189" s="9"/>
    </row>
    <row r="257210" spans="15:15" x14ac:dyDescent="0.25">
      <c r="O257210" s="9"/>
    </row>
    <row r="257231" spans="15:15" x14ac:dyDescent="0.25">
      <c r="O257231" s="9"/>
    </row>
    <row r="257252" spans="15:15" x14ac:dyDescent="0.25">
      <c r="O257252" s="9"/>
    </row>
    <row r="257273" spans="15:15" x14ac:dyDescent="0.25">
      <c r="O257273" s="9"/>
    </row>
    <row r="257294" spans="15:15" x14ac:dyDescent="0.25">
      <c r="O257294" s="9"/>
    </row>
    <row r="257315" spans="15:15" x14ac:dyDescent="0.25">
      <c r="O257315" s="9"/>
    </row>
    <row r="257336" spans="15:15" x14ac:dyDescent="0.25">
      <c r="O257336" s="9"/>
    </row>
    <row r="257357" spans="15:15" x14ac:dyDescent="0.25">
      <c r="O257357" s="9"/>
    </row>
    <row r="257378" spans="15:15" x14ac:dyDescent="0.25">
      <c r="O257378" s="9"/>
    </row>
    <row r="257399" spans="15:15" x14ac:dyDescent="0.25">
      <c r="O257399" s="9"/>
    </row>
    <row r="257420" spans="15:15" x14ac:dyDescent="0.25">
      <c r="O257420" s="9"/>
    </row>
    <row r="257441" spans="15:15" x14ac:dyDescent="0.25">
      <c r="O257441" s="9"/>
    </row>
    <row r="257462" spans="15:15" x14ac:dyDescent="0.25">
      <c r="O257462" s="9"/>
    </row>
    <row r="257483" spans="15:15" x14ac:dyDescent="0.25">
      <c r="O257483" s="9"/>
    </row>
    <row r="257504" spans="15:15" x14ac:dyDescent="0.25">
      <c r="O257504" s="9"/>
    </row>
    <row r="257525" spans="15:15" x14ac:dyDescent="0.25">
      <c r="O257525" s="9"/>
    </row>
    <row r="257546" spans="15:15" x14ac:dyDescent="0.25">
      <c r="O257546" s="9"/>
    </row>
    <row r="257567" spans="15:15" x14ac:dyDescent="0.25">
      <c r="O257567" s="9"/>
    </row>
    <row r="257588" spans="15:15" x14ac:dyDescent="0.25">
      <c r="O257588" s="9"/>
    </row>
    <row r="257609" spans="15:15" x14ac:dyDescent="0.25">
      <c r="O257609" s="9"/>
    </row>
    <row r="257630" spans="15:15" x14ac:dyDescent="0.25">
      <c r="O257630" s="9"/>
    </row>
    <row r="257651" spans="15:15" x14ac:dyDescent="0.25">
      <c r="O257651" s="9"/>
    </row>
    <row r="257672" spans="15:15" x14ac:dyDescent="0.25">
      <c r="O257672" s="9"/>
    </row>
    <row r="257693" spans="15:15" x14ac:dyDescent="0.25">
      <c r="O257693" s="9"/>
    </row>
    <row r="257714" spans="15:15" x14ac:dyDescent="0.25">
      <c r="O257714" s="9"/>
    </row>
    <row r="257735" spans="15:15" x14ac:dyDescent="0.25">
      <c r="O257735" s="9"/>
    </row>
    <row r="257756" spans="15:15" x14ac:dyDescent="0.25">
      <c r="O257756" s="9"/>
    </row>
    <row r="257777" spans="15:15" x14ac:dyDescent="0.25">
      <c r="O257777" s="9"/>
    </row>
    <row r="257798" spans="15:15" x14ac:dyDescent="0.25">
      <c r="O257798" s="9"/>
    </row>
    <row r="257819" spans="15:15" x14ac:dyDescent="0.25">
      <c r="O257819" s="9"/>
    </row>
    <row r="257840" spans="15:15" x14ac:dyDescent="0.25">
      <c r="O257840" s="9"/>
    </row>
    <row r="257861" spans="15:15" x14ac:dyDescent="0.25">
      <c r="O257861" s="9"/>
    </row>
    <row r="257882" spans="15:15" x14ac:dyDescent="0.25">
      <c r="O257882" s="9"/>
    </row>
    <row r="257903" spans="15:15" x14ac:dyDescent="0.25">
      <c r="O257903" s="9"/>
    </row>
    <row r="257924" spans="15:15" x14ac:dyDescent="0.25">
      <c r="O257924" s="9"/>
    </row>
    <row r="257945" spans="15:15" x14ac:dyDescent="0.25">
      <c r="O257945" s="9"/>
    </row>
    <row r="257966" spans="15:15" x14ac:dyDescent="0.25">
      <c r="O257966" s="9"/>
    </row>
    <row r="257987" spans="15:15" x14ac:dyDescent="0.25">
      <c r="O257987" s="9"/>
    </row>
    <row r="258008" spans="15:15" x14ac:dyDescent="0.25">
      <c r="O258008" s="9"/>
    </row>
    <row r="258029" spans="15:15" x14ac:dyDescent="0.25">
      <c r="O258029" s="9"/>
    </row>
    <row r="258050" spans="15:15" x14ac:dyDescent="0.25">
      <c r="O258050" s="9"/>
    </row>
    <row r="258071" spans="15:15" x14ac:dyDescent="0.25">
      <c r="O258071" s="9"/>
    </row>
    <row r="258092" spans="15:15" x14ac:dyDescent="0.25">
      <c r="O258092" s="9"/>
    </row>
    <row r="258113" spans="15:15" x14ac:dyDescent="0.25">
      <c r="O258113" s="9"/>
    </row>
    <row r="258134" spans="15:15" x14ac:dyDescent="0.25">
      <c r="O258134" s="9"/>
    </row>
    <row r="258155" spans="15:15" x14ac:dyDescent="0.25">
      <c r="O258155" s="9"/>
    </row>
    <row r="258176" spans="15:15" x14ac:dyDescent="0.25">
      <c r="O258176" s="9"/>
    </row>
    <row r="258197" spans="15:15" x14ac:dyDescent="0.25">
      <c r="O258197" s="9"/>
    </row>
    <row r="258218" spans="15:15" x14ac:dyDescent="0.25">
      <c r="O258218" s="9"/>
    </row>
    <row r="258239" spans="15:15" x14ac:dyDescent="0.25">
      <c r="O258239" s="9"/>
    </row>
    <row r="258260" spans="15:15" x14ac:dyDescent="0.25">
      <c r="O258260" s="9"/>
    </row>
    <row r="258281" spans="15:15" x14ac:dyDescent="0.25">
      <c r="O258281" s="9"/>
    </row>
    <row r="258302" spans="15:15" x14ac:dyDescent="0.25">
      <c r="O258302" s="9"/>
    </row>
    <row r="258323" spans="15:15" x14ac:dyDescent="0.25">
      <c r="O258323" s="9"/>
    </row>
    <row r="258344" spans="15:15" x14ac:dyDescent="0.25">
      <c r="O258344" s="9"/>
    </row>
    <row r="258365" spans="15:15" x14ac:dyDescent="0.25">
      <c r="O258365" s="9"/>
    </row>
    <row r="258386" spans="15:15" x14ac:dyDescent="0.25">
      <c r="O258386" s="9"/>
    </row>
    <row r="258407" spans="15:15" x14ac:dyDescent="0.25">
      <c r="O258407" s="9"/>
    </row>
    <row r="258428" spans="15:15" x14ac:dyDescent="0.25">
      <c r="O258428" s="9"/>
    </row>
    <row r="258449" spans="15:15" x14ac:dyDescent="0.25">
      <c r="O258449" s="9"/>
    </row>
    <row r="258470" spans="15:15" x14ac:dyDescent="0.25">
      <c r="O258470" s="9"/>
    </row>
    <row r="258491" spans="15:15" x14ac:dyDescent="0.25">
      <c r="O258491" s="9"/>
    </row>
    <row r="258512" spans="15:15" x14ac:dyDescent="0.25">
      <c r="O258512" s="9"/>
    </row>
    <row r="258533" spans="15:15" x14ac:dyDescent="0.25">
      <c r="O258533" s="9"/>
    </row>
    <row r="258554" spans="15:15" x14ac:dyDescent="0.25">
      <c r="O258554" s="9"/>
    </row>
    <row r="258575" spans="15:15" x14ac:dyDescent="0.25">
      <c r="O258575" s="9"/>
    </row>
    <row r="258596" spans="15:15" x14ac:dyDescent="0.25">
      <c r="O258596" s="9"/>
    </row>
    <row r="258617" spans="15:15" x14ac:dyDescent="0.25">
      <c r="O258617" s="9"/>
    </row>
    <row r="258638" spans="15:15" x14ac:dyDescent="0.25">
      <c r="O258638" s="9"/>
    </row>
    <row r="258659" spans="15:15" x14ac:dyDescent="0.25">
      <c r="O258659" s="9"/>
    </row>
    <row r="258680" spans="15:15" x14ac:dyDescent="0.25">
      <c r="O258680" s="9"/>
    </row>
    <row r="258701" spans="15:15" x14ac:dyDescent="0.25">
      <c r="O258701" s="9"/>
    </row>
    <row r="258722" spans="15:15" x14ac:dyDescent="0.25">
      <c r="O258722" s="9"/>
    </row>
    <row r="258743" spans="15:15" x14ac:dyDescent="0.25">
      <c r="O258743" s="9"/>
    </row>
    <row r="258764" spans="15:15" x14ac:dyDescent="0.25">
      <c r="O258764" s="9"/>
    </row>
    <row r="258785" spans="15:15" x14ac:dyDescent="0.25">
      <c r="O258785" s="9"/>
    </row>
    <row r="258806" spans="15:15" x14ac:dyDescent="0.25">
      <c r="O258806" s="9"/>
    </row>
    <row r="258827" spans="15:15" x14ac:dyDescent="0.25">
      <c r="O258827" s="9"/>
    </row>
    <row r="258848" spans="15:15" x14ac:dyDescent="0.25">
      <c r="O258848" s="9"/>
    </row>
    <row r="258869" spans="15:15" x14ac:dyDescent="0.25">
      <c r="O258869" s="9"/>
    </row>
    <row r="258890" spans="15:15" x14ac:dyDescent="0.25">
      <c r="O258890" s="9"/>
    </row>
    <row r="258911" spans="15:15" x14ac:dyDescent="0.25">
      <c r="O258911" s="9"/>
    </row>
    <row r="258932" spans="15:15" x14ac:dyDescent="0.25">
      <c r="O258932" s="9"/>
    </row>
    <row r="258953" spans="15:15" x14ac:dyDescent="0.25">
      <c r="O258953" s="9"/>
    </row>
    <row r="258974" spans="15:15" x14ac:dyDescent="0.25">
      <c r="O258974" s="9"/>
    </row>
    <row r="258995" spans="15:15" x14ac:dyDescent="0.25">
      <c r="O258995" s="9"/>
    </row>
    <row r="259016" spans="15:15" x14ac:dyDescent="0.25">
      <c r="O259016" s="9"/>
    </row>
    <row r="259037" spans="15:15" x14ac:dyDescent="0.25">
      <c r="O259037" s="9"/>
    </row>
    <row r="259058" spans="15:15" x14ac:dyDescent="0.25">
      <c r="O259058" s="9"/>
    </row>
    <row r="259079" spans="15:15" x14ac:dyDescent="0.25">
      <c r="O259079" s="9"/>
    </row>
    <row r="259100" spans="15:15" x14ac:dyDescent="0.25">
      <c r="O259100" s="9"/>
    </row>
    <row r="259121" spans="15:15" x14ac:dyDescent="0.25">
      <c r="O259121" s="9"/>
    </row>
    <row r="259142" spans="15:15" x14ac:dyDescent="0.25">
      <c r="O259142" s="9"/>
    </row>
    <row r="259163" spans="15:15" x14ac:dyDescent="0.25">
      <c r="O259163" s="9"/>
    </row>
    <row r="259184" spans="15:15" x14ac:dyDescent="0.25">
      <c r="O259184" s="9"/>
    </row>
    <row r="259205" spans="15:15" x14ac:dyDescent="0.25">
      <c r="O259205" s="9"/>
    </row>
    <row r="259226" spans="15:15" x14ac:dyDescent="0.25">
      <c r="O259226" s="9"/>
    </row>
    <row r="259247" spans="15:15" x14ac:dyDescent="0.25">
      <c r="O259247" s="9"/>
    </row>
    <row r="259268" spans="15:15" x14ac:dyDescent="0.25">
      <c r="O259268" s="9"/>
    </row>
    <row r="259289" spans="15:15" x14ac:dyDescent="0.25">
      <c r="O259289" s="9"/>
    </row>
    <row r="259310" spans="15:15" x14ac:dyDescent="0.25">
      <c r="O259310" s="9"/>
    </row>
    <row r="259331" spans="15:15" x14ac:dyDescent="0.25">
      <c r="O259331" s="9"/>
    </row>
    <row r="259352" spans="15:15" x14ac:dyDescent="0.25">
      <c r="O259352" s="9"/>
    </row>
    <row r="259373" spans="15:15" x14ac:dyDescent="0.25">
      <c r="O259373" s="9"/>
    </row>
    <row r="259394" spans="15:15" x14ac:dyDescent="0.25">
      <c r="O259394" s="9"/>
    </row>
    <row r="259415" spans="15:15" x14ac:dyDescent="0.25">
      <c r="O259415" s="9"/>
    </row>
    <row r="259436" spans="15:15" x14ac:dyDescent="0.25">
      <c r="O259436" s="9"/>
    </row>
    <row r="259457" spans="15:15" x14ac:dyDescent="0.25">
      <c r="O259457" s="9"/>
    </row>
    <row r="259478" spans="15:15" x14ac:dyDescent="0.25">
      <c r="O259478" s="9"/>
    </row>
    <row r="259499" spans="15:15" x14ac:dyDescent="0.25">
      <c r="O259499" s="9"/>
    </row>
    <row r="259520" spans="15:15" x14ac:dyDescent="0.25">
      <c r="O259520" s="9"/>
    </row>
    <row r="259541" spans="15:15" x14ac:dyDescent="0.25">
      <c r="O259541" s="9"/>
    </row>
    <row r="259562" spans="15:15" x14ac:dyDescent="0.25">
      <c r="O259562" s="9"/>
    </row>
    <row r="259583" spans="15:15" x14ac:dyDescent="0.25">
      <c r="O259583" s="9"/>
    </row>
    <row r="259604" spans="15:15" x14ac:dyDescent="0.25">
      <c r="O259604" s="9"/>
    </row>
    <row r="259625" spans="15:15" x14ac:dyDescent="0.25">
      <c r="O259625" s="9"/>
    </row>
    <row r="259646" spans="15:15" x14ac:dyDescent="0.25">
      <c r="O259646" s="9"/>
    </row>
    <row r="259667" spans="15:15" x14ac:dyDescent="0.25">
      <c r="O259667" s="9"/>
    </row>
    <row r="259688" spans="15:15" x14ac:dyDescent="0.25">
      <c r="O259688" s="9"/>
    </row>
    <row r="259709" spans="15:15" x14ac:dyDescent="0.25">
      <c r="O259709" s="9"/>
    </row>
    <row r="259730" spans="15:15" x14ac:dyDescent="0.25">
      <c r="O259730" s="9"/>
    </row>
    <row r="259751" spans="15:15" x14ac:dyDescent="0.25">
      <c r="O259751" s="9"/>
    </row>
    <row r="259772" spans="15:15" x14ac:dyDescent="0.25">
      <c r="O259772" s="9"/>
    </row>
    <row r="259793" spans="15:15" x14ac:dyDescent="0.25">
      <c r="O259793" s="9"/>
    </row>
    <row r="259814" spans="15:15" x14ac:dyDescent="0.25">
      <c r="O259814" s="9"/>
    </row>
    <row r="259835" spans="15:15" x14ac:dyDescent="0.25">
      <c r="O259835" s="9"/>
    </row>
    <row r="259856" spans="15:15" x14ac:dyDescent="0.25">
      <c r="O259856" s="9"/>
    </row>
    <row r="259877" spans="15:15" x14ac:dyDescent="0.25">
      <c r="O259877" s="9"/>
    </row>
    <row r="259898" spans="15:15" x14ac:dyDescent="0.25">
      <c r="O259898" s="9"/>
    </row>
    <row r="259919" spans="15:15" x14ac:dyDescent="0.25">
      <c r="O259919" s="9"/>
    </row>
    <row r="259940" spans="15:15" x14ac:dyDescent="0.25">
      <c r="O259940" s="9"/>
    </row>
    <row r="259961" spans="15:15" x14ac:dyDescent="0.25">
      <c r="O259961" s="9"/>
    </row>
    <row r="259982" spans="15:15" x14ac:dyDescent="0.25">
      <c r="O259982" s="9"/>
    </row>
    <row r="260003" spans="15:15" x14ac:dyDescent="0.25">
      <c r="O260003" s="9"/>
    </row>
    <row r="260024" spans="15:15" x14ac:dyDescent="0.25">
      <c r="O260024" s="9"/>
    </row>
    <row r="260045" spans="15:15" x14ac:dyDescent="0.25">
      <c r="O260045" s="9"/>
    </row>
    <row r="260066" spans="15:15" x14ac:dyDescent="0.25">
      <c r="O260066" s="9"/>
    </row>
    <row r="260087" spans="15:15" x14ac:dyDescent="0.25">
      <c r="O260087" s="9"/>
    </row>
    <row r="260108" spans="15:15" x14ac:dyDescent="0.25">
      <c r="O260108" s="9"/>
    </row>
    <row r="260129" spans="15:15" x14ac:dyDescent="0.25">
      <c r="O260129" s="9"/>
    </row>
    <row r="260150" spans="15:15" x14ac:dyDescent="0.25">
      <c r="O260150" s="9"/>
    </row>
    <row r="260171" spans="15:15" x14ac:dyDescent="0.25">
      <c r="O260171" s="9"/>
    </row>
    <row r="260192" spans="15:15" x14ac:dyDescent="0.25">
      <c r="O260192" s="9"/>
    </row>
    <row r="260213" spans="15:15" x14ac:dyDescent="0.25">
      <c r="O260213" s="9"/>
    </row>
    <row r="260234" spans="15:15" x14ac:dyDescent="0.25">
      <c r="O260234" s="9"/>
    </row>
    <row r="260255" spans="15:15" x14ac:dyDescent="0.25">
      <c r="O260255" s="9"/>
    </row>
    <row r="260276" spans="15:15" x14ac:dyDescent="0.25">
      <c r="O260276" s="9"/>
    </row>
    <row r="260297" spans="15:15" x14ac:dyDescent="0.25">
      <c r="O260297" s="9"/>
    </row>
    <row r="260318" spans="15:15" x14ac:dyDescent="0.25">
      <c r="O260318" s="9"/>
    </row>
    <row r="260339" spans="15:15" x14ac:dyDescent="0.25">
      <c r="O260339" s="9"/>
    </row>
    <row r="260360" spans="15:15" x14ac:dyDescent="0.25">
      <c r="O260360" s="9"/>
    </row>
    <row r="260381" spans="15:15" x14ac:dyDescent="0.25">
      <c r="O260381" s="9"/>
    </row>
    <row r="260402" spans="15:15" x14ac:dyDescent="0.25">
      <c r="O260402" s="9"/>
    </row>
    <row r="260423" spans="15:15" x14ac:dyDescent="0.25">
      <c r="O260423" s="9"/>
    </row>
    <row r="260444" spans="15:15" x14ac:dyDescent="0.25">
      <c r="O260444" s="9"/>
    </row>
    <row r="260465" spans="15:15" x14ac:dyDescent="0.25">
      <c r="O260465" s="9"/>
    </row>
    <row r="260486" spans="15:15" x14ac:dyDescent="0.25">
      <c r="O260486" s="9"/>
    </row>
    <row r="260507" spans="15:15" x14ac:dyDescent="0.25">
      <c r="O260507" s="9"/>
    </row>
    <row r="260528" spans="15:15" x14ac:dyDescent="0.25">
      <c r="O260528" s="9"/>
    </row>
    <row r="260549" spans="15:15" x14ac:dyDescent="0.25">
      <c r="O260549" s="9"/>
    </row>
    <row r="260570" spans="15:15" x14ac:dyDescent="0.25">
      <c r="O260570" s="9"/>
    </row>
    <row r="260591" spans="15:15" x14ac:dyDescent="0.25">
      <c r="O260591" s="9"/>
    </row>
    <row r="260612" spans="15:15" x14ac:dyDescent="0.25">
      <c r="O260612" s="9"/>
    </row>
    <row r="260633" spans="15:15" x14ac:dyDescent="0.25">
      <c r="O260633" s="9"/>
    </row>
    <row r="260654" spans="15:15" x14ac:dyDescent="0.25">
      <c r="O260654" s="9"/>
    </row>
    <row r="260675" spans="15:15" x14ac:dyDescent="0.25">
      <c r="O260675" s="9"/>
    </row>
    <row r="260696" spans="15:15" x14ac:dyDescent="0.25">
      <c r="O260696" s="9"/>
    </row>
    <row r="260717" spans="15:15" x14ac:dyDescent="0.25">
      <c r="O260717" s="9"/>
    </row>
    <row r="260738" spans="15:15" x14ac:dyDescent="0.25">
      <c r="O260738" s="9"/>
    </row>
    <row r="260759" spans="15:15" x14ac:dyDescent="0.25">
      <c r="O260759" s="9"/>
    </row>
    <row r="260780" spans="15:15" x14ac:dyDescent="0.25">
      <c r="O260780" s="9"/>
    </row>
    <row r="260801" spans="15:15" x14ac:dyDescent="0.25">
      <c r="O260801" s="9"/>
    </row>
    <row r="260822" spans="15:15" x14ac:dyDescent="0.25">
      <c r="O260822" s="9"/>
    </row>
    <row r="260843" spans="15:15" x14ac:dyDescent="0.25">
      <c r="O260843" s="9"/>
    </row>
    <row r="260864" spans="15:15" x14ac:dyDescent="0.25">
      <c r="O260864" s="9"/>
    </row>
    <row r="260885" spans="15:15" x14ac:dyDescent="0.25">
      <c r="O260885" s="9"/>
    </row>
    <row r="260906" spans="15:15" x14ac:dyDescent="0.25">
      <c r="O260906" s="9"/>
    </row>
    <row r="260927" spans="15:15" x14ac:dyDescent="0.25">
      <c r="O260927" s="9"/>
    </row>
    <row r="260948" spans="15:15" x14ac:dyDescent="0.25">
      <c r="O260948" s="9"/>
    </row>
    <row r="260969" spans="15:15" x14ac:dyDescent="0.25">
      <c r="O260969" s="9"/>
    </row>
    <row r="260990" spans="15:15" x14ac:dyDescent="0.25">
      <c r="O260990" s="9"/>
    </row>
    <row r="261011" spans="15:15" x14ac:dyDescent="0.25">
      <c r="O261011" s="9"/>
    </row>
    <row r="261032" spans="15:15" x14ac:dyDescent="0.25">
      <c r="O261032" s="9"/>
    </row>
    <row r="261053" spans="15:15" x14ac:dyDescent="0.25">
      <c r="O261053" s="9"/>
    </row>
    <row r="261074" spans="15:15" x14ac:dyDescent="0.25">
      <c r="O261074" s="9"/>
    </row>
    <row r="261095" spans="15:15" x14ac:dyDescent="0.25">
      <c r="O261095" s="9"/>
    </row>
    <row r="261116" spans="15:15" x14ac:dyDescent="0.25">
      <c r="O261116" s="9"/>
    </row>
    <row r="261137" spans="15:15" x14ac:dyDescent="0.25">
      <c r="O261137" s="9"/>
    </row>
    <row r="261158" spans="15:15" x14ac:dyDescent="0.25">
      <c r="O261158" s="9"/>
    </row>
    <row r="261179" spans="15:15" x14ac:dyDescent="0.25">
      <c r="O261179" s="9"/>
    </row>
    <row r="261200" spans="15:15" x14ac:dyDescent="0.25">
      <c r="O261200" s="9"/>
    </row>
    <row r="261221" spans="15:15" x14ac:dyDescent="0.25">
      <c r="O261221" s="9"/>
    </row>
    <row r="261242" spans="15:15" x14ac:dyDescent="0.25">
      <c r="O261242" s="9"/>
    </row>
    <row r="261263" spans="15:15" x14ac:dyDescent="0.25">
      <c r="O261263" s="9"/>
    </row>
    <row r="261284" spans="15:15" x14ac:dyDescent="0.25">
      <c r="O261284" s="9"/>
    </row>
    <row r="261305" spans="15:15" x14ac:dyDescent="0.25">
      <c r="O261305" s="9"/>
    </row>
    <row r="261326" spans="15:15" x14ac:dyDescent="0.25">
      <c r="O261326" s="9"/>
    </row>
    <row r="261347" spans="15:15" x14ac:dyDescent="0.25">
      <c r="O261347" s="9"/>
    </row>
    <row r="261368" spans="15:15" x14ac:dyDescent="0.25">
      <c r="O261368" s="9"/>
    </row>
    <row r="261389" spans="15:15" x14ac:dyDescent="0.25">
      <c r="O261389" s="9"/>
    </row>
    <row r="261410" spans="15:15" x14ac:dyDescent="0.25">
      <c r="O261410" s="9"/>
    </row>
    <row r="261431" spans="15:15" x14ac:dyDescent="0.25">
      <c r="O261431" s="9"/>
    </row>
    <row r="261452" spans="15:15" x14ac:dyDescent="0.25">
      <c r="O261452" s="9"/>
    </row>
    <row r="261473" spans="15:15" x14ac:dyDescent="0.25">
      <c r="O261473" s="9"/>
    </row>
    <row r="261494" spans="15:15" x14ac:dyDescent="0.25">
      <c r="O261494" s="9"/>
    </row>
    <row r="261515" spans="15:15" x14ac:dyDescent="0.25">
      <c r="O261515" s="9"/>
    </row>
    <row r="261536" spans="15:15" x14ac:dyDescent="0.25">
      <c r="O261536" s="9"/>
    </row>
    <row r="261557" spans="15:15" x14ac:dyDescent="0.25">
      <c r="O261557" s="9"/>
    </row>
    <row r="261578" spans="15:15" x14ac:dyDescent="0.25">
      <c r="O261578" s="9"/>
    </row>
    <row r="261599" spans="15:15" x14ac:dyDescent="0.25">
      <c r="O261599" s="9"/>
    </row>
    <row r="261620" spans="15:15" x14ac:dyDescent="0.25">
      <c r="O261620" s="9"/>
    </row>
    <row r="261641" spans="15:15" x14ac:dyDescent="0.25">
      <c r="O261641" s="9"/>
    </row>
    <row r="261662" spans="15:15" x14ac:dyDescent="0.25">
      <c r="O261662" s="9"/>
    </row>
    <row r="261683" spans="15:15" x14ac:dyDescent="0.25">
      <c r="O261683" s="9"/>
    </row>
    <row r="261704" spans="15:15" x14ac:dyDescent="0.25">
      <c r="O261704" s="9"/>
    </row>
    <row r="261725" spans="15:15" x14ac:dyDescent="0.25">
      <c r="O261725" s="9"/>
    </row>
    <row r="261746" spans="15:15" x14ac:dyDescent="0.25">
      <c r="O261746" s="9"/>
    </row>
    <row r="261767" spans="15:15" x14ac:dyDescent="0.25">
      <c r="O261767" s="9"/>
    </row>
    <row r="261788" spans="15:15" x14ac:dyDescent="0.25">
      <c r="O261788" s="9"/>
    </row>
    <row r="261809" spans="15:15" x14ac:dyDescent="0.25">
      <c r="O261809" s="9"/>
    </row>
    <row r="261830" spans="15:15" x14ac:dyDescent="0.25">
      <c r="O261830" s="9"/>
    </row>
    <row r="261851" spans="15:15" x14ac:dyDescent="0.25">
      <c r="O261851" s="9"/>
    </row>
    <row r="261872" spans="15:15" x14ac:dyDescent="0.25">
      <c r="O261872" s="9"/>
    </row>
    <row r="261893" spans="15:15" x14ac:dyDescent="0.25">
      <c r="O261893" s="9"/>
    </row>
    <row r="261914" spans="15:15" x14ac:dyDescent="0.25">
      <c r="O261914" s="9"/>
    </row>
    <row r="261935" spans="15:15" x14ac:dyDescent="0.25">
      <c r="O261935" s="9"/>
    </row>
    <row r="261956" spans="15:15" x14ac:dyDescent="0.25">
      <c r="O261956" s="9"/>
    </row>
    <row r="261977" spans="15:15" x14ac:dyDescent="0.25">
      <c r="O261977" s="9"/>
    </row>
    <row r="261998" spans="15:15" x14ac:dyDescent="0.25">
      <c r="O261998" s="9"/>
    </row>
    <row r="262019" spans="15:15" x14ac:dyDescent="0.25">
      <c r="O262019" s="9"/>
    </row>
    <row r="262040" spans="15:15" x14ac:dyDescent="0.25">
      <c r="O262040" s="9"/>
    </row>
    <row r="262061" spans="15:15" x14ac:dyDescent="0.25">
      <c r="O262061" s="9"/>
    </row>
    <row r="262082" spans="15:15" x14ac:dyDescent="0.25">
      <c r="O262082" s="9"/>
    </row>
    <row r="262103" spans="15:15" x14ac:dyDescent="0.25">
      <c r="O262103" s="9"/>
    </row>
    <row r="262124" spans="15:15" x14ac:dyDescent="0.25">
      <c r="O262124" s="9"/>
    </row>
    <row r="262145" spans="15:15" x14ac:dyDescent="0.25">
      <c r="O262145" s="9"/>
    </row>
    <row r="262166" spans="15:15" x14ac:dyDescent="0.25">
      <c r="O262166" s="9"/>
    </row>
    <row r="262187" spans="15:15" x14ac:dyDescent="0.25">
      <c r="O262187" s="9"/>
    </row>
    <row r="262208" spans="15:15" x14ac:dyDescent="0.25">
      <c r="O262208" s="9"/>
    </row>
    <row r="262229" spans="15:15" x14ac:dyDescent="0.25">
      <c r="O262229" s="9"/>
    </row>
    <row r="262250" spans="15:15" x14ac:dyDescent="0.25">
      <c r="O262250" s="9"/>
    </row>
    <row r="262271" spans="15:15" x14ac:dyDescent="0.25">
      <c r="O262271" s="9"/>
    </row>
    <row r="262292" spans="15:15" x14ac:dyDescent="0.25">
      <c r="O262292" s="9"/>
    </row>
    <row r="262313" spans="15:15" x14ac:dyDescent="0.25">
      <c r="O262313" s="9"/>
    </row>
    <row r="262334" spans="15:15" x14ac:dyDescent="0.25">
      <c r="O262334" s="9"/>
    </row>
    <row r="262355" spans="15:15" x14ac:dyDescent="0.25">
      <c r="O262355" s="9"/>
    </row>
    <row r="262376" spans="15:15" x14ac:dyDescent="0.25">
      <c r="O262376" s="9"/>
    </row>
    <row r="262397" spans="15:15" x14ac:dyDescent="0.25">
      <c r="O262397" s="9"/>
    </row>
    <row r="262418" spans="15:15" x14ac:dyDescent="0.25">
      <c r="O262418" s="9"/>
    </row>
    <row r="262439" spans="15:15" x14ac:dyDescent="0.25">
      <c r="O262439" s="9"/>
    </row>
    <row r="262460" spans="15:15" x14ac:dyDescent="0.25">
      <c r="O262460" s="9"/>
    </row>
    <row r="262481" spans="15:15" x14ac:dyDescent="0.25">
      <c r="O262481" s="9"/>
    </row>
    <row r="262502" spans="15:15" x14ac:dyDescent="0.25">
      <c r="O262502" s="9"/>
    </row>
    <row r="262523" spans="15:15" x14ac:dyDescent="0.25">
      <c r="O262523" s="9"/>
    </row>
    <row r="262544" spans="15:15" x14ac:dyDescent="0.25">
      <c r="O262544" s="9"/>
    </row>
    <row r="262565" spans="15:15" x14ac:dyDescent="0.25">
      <c r="O262565" s="9"/>
    </row>
    <row r="262586" spans="15:15" x14ac:dyDescent="0.25">
      <c r="O262586" s="9"/>
    </row>
    <row r="262607" spans="15:15" x14ac:dyDescent="0.25">
      <c r="O262607" s="9"/>
    </row>
    <row r="262628" spans="15:15" x14ac:dyDescent="0.25">
      <c r="O262628" s="9"/>
    </row>
    <row r="262649" spans="15:15" x14ac:dyDescent="0.25">
      <c r="O262649" s="9"/>
    </row>
    <row r="262670" spans="15:15" x14ac:dyDescent="0.25">
      <c r="O262670" s="9"/>
    </row>
    <row r="262691" spans="15:15" x14ac:dyDescent="0.25">
      <c r="O262691" s="9"/>
    </row>
    <row r="262712" spans="15:15" x14ac:dyDescent="0.25">
      <c r="O262712" s="9"/>
    </row>
    <row r="262733" spans="15:15" x14ac:dyDescent="0.25">
      <c r="O262733" s="9"/>
    </row>
    <row r="262754" spans="15:15" x14ac:dyDescent="0.25">
      <c r="O262754" s="9"/>
    </row>
    <row r="262775" spans="15:15" x14ac:dyDescent="0.25">
      <c r="O262775" s="9"/>
    </row>
    <row r="262796" spans="15:15" x14ac:dyDescent="0.25">
      <c r="O262796" s="9"/>
    </row>
    <row r="262817" spans="15:15" x14ac:dyDescent="0.25">
      <c r="O262817" s="9"/>
    </row>
    <row r="262838" spans="15:15" x14ac:dyDescent="0.25">
      <c r="O262838" s="9"/>
    </row>
    <row r="262859" spans="15:15" x14ac:dyDescent="0.25">
      <c r="O262859" s="9"/>
    </row>
    <row r="262880" spans="15:15" x14ac:dyDescent="0.25">
      <c r="O262880" s="9"/>
    </row>
    <row r="262901" spans="15:15" x14ac:dyDescent="0.25">
      <c r="O262901" s="9"/>
    </row>
    <row r="262922" spans="15:15" x14ac:dyDescent="0.25">
      <c r="O262922" s="9"/>
    </row>
    <row r="262943" spans="15:15" x14ac:dyDescent="0.25">
      <c r="O262943" s="9"/>
    </row>
    <row r="262964" spans="15:15" x14ac:dyDescent="0.25">
      <c r="O262964" s="9"/>
    </row>
    <row r="262985" spans="15:15" x14ac:dyDescent="0.25">
      <c r="O262985" s="9"/>
    </row>
    <row r="263006" spans="15:15" x14ac:dyDescent="0.25">
      <c r="O263006" s="9"/>
    </row>
    <row r="263027" spans="15:15" x14ac:dyDescent="0.25">
      <c r="O263027" s="9"/>
    </row>
    <row r="263048" spans="15:15" x14ac:dyDescent="0.25">
      <c r="O263048" s="9"/>
    </row>
    <row r="263069" spans="15:15" x14ac:dyDescent="0.25">
      <c r="O263069" s="9"/>
    </row>
    <row r="263090" spans="15:15" x14ac:dyDescent="0.25">
      <c r="O263090" s="9"/>
    </row>
    <row r="263111" spans="15:15" x14ac:dyDescent="0.25">
      <c r="O263111" s="9"/>
    </row>
    <row r="263132" spans="15:15" x14ac:dyDescent="0.25">
      <c r="O263132" s="9"/>
    </row>
    <row r="263153" spans="15:15" x14ac:dyDescent="0.25">
      <c r="O263153" s="9"/>
    </row>
    <row r="263174" spans="15:15" x14ac:dyDescent="0.25">
      <c r="O263174" s="9"/>
    </row>
    <row r="263195" spans="15:15" x14ac:dyDescent="0.25">
      <c r="O263195" s="9"/>
    </row>
    <row r="263216" spans="15:15" x14ac:dyDescent="0.25">
      <c r="O263216" s="9"/>
    </row>
    <row r="263237" spans="15:15" x14ac:dyDescent="0.25">
      <c r="O263237" s="9"/>
    </row>
    <row r="263258" spans="15:15" x14ac:dyDescent="0.25">
      <c r="O263258" s="9"/>
    </row>
    <row r="263279" spans="15:15" x14ac:dyDescent="0.25">
      <c r="O263279" s="9"/>
    </row>
    <row r="263300" spans="15:15" x14ac:dyDescent="0.25">
      <c r="O263300" s="9"/>
    </row>
    <row r="263321" spans="15:15" x14ac:dyDescent="0.25">
      <c r="O263321" s="9"/>
    </row>
    <row r="263342" spans="15:15" x14ac:dyDescent="0.25">
      <c r="O263342" s="9"/>
    </row>
    <row r="263363" spans="15:15" x14ac:dyDescent="0.25">
      <c r="O263363" s="9"/>
    </row>
    <row r="263384" spans="15:15" x14ac:dyDescent="0.25">
      <c r="O263384" s="9"/>
    </row>
    <row r="263405" spans="15:15" x14ac:dyDescent="0.25">
      <c r="O263405" s="9"/>
    </row>
    <row r="263426" spans="15:15" x14ac:dyDescent="0.25">
      <c r="O263426" s="9"/>
    </row>
    <row r="263447" spans="15:15" x14ac:dyDescent="0.25">
      <c r="O263447" s="9"/>
    </row>
    <row r="263468" spans="15:15" x14ac:dyDescent="0.25">
      <c r="O263468" s="9"/>
    </row>
    <row r="263489" spans="15:15" x14ac:dyDescent="0.25">
      <c r="O263489" s="9"/>
    </row>
    <row r="263510" spans="15:15" x14ac:dyDescent="0.25">
      <c r="O263510" s="9"/>
    </row>
    <row r="263531" spans="15:15" x14ac:dyDescent="0.25">
      <c r="O263531" s="9"/>
    </row>
    <row r="263552" spans="15:15" x14ac:dyDescent="0.25">
      <c r="O263552" s="9"/>
    </row>
    <row r="263573" spans="15:15" x14ac:dyDescent="0.25">
      <c r="O263573" s="9"/>
    </row>
    <row r="263594" spans="15:15" x14ac:dyDescent="0.25">
      <c r="O263594" s="9"/>
    </row>
    <row r="263615" spans="15:15" x14ac:dyDescent="0.25">
      <c r="O263615" s="9"/>
    </row>
    <row r="263636" spans="15:15" x14ac:dyDescent="0.25">
      <c r="O263636" s="9"/>
    </row>
    <row r="263657" spans="15:15" x14ac:dyDescent="0.25">
      <c r="O263657" s="9"/>
    </row>
    <row r="263678" spans="15:15" x14ac:dyDescent="0.25">
      <c r="O263678" s="9"/>
    </row>
    <row r="263699" spans="15:15" x14ac:dyDescent="0.25">
      <c r="O263699" s="9"/>
    </row>
    <row r="263720" spans="15:15" x14ac:dyDescent="0.25">
      <c r="O263720" s="9"/>
    </row>
    <row r="263741" spans="15:15" x14ac:dyDescent="0.25">
      <c r="O263741" s="9"/>
    </row>
    <row r="263762" spans="15:15" x14ac:dyDescent="0.25">
      <c r="O263762" s="9"/>
    </row>
    <row r="263783" spans="15:15" x14ac:dyDescent="0.25">
      <c r="O263783" s="9"/>
    </row>
    <row r="263804" spans="15:15" x14ac:dyDescent="0.25">
      <c r="O263804" s="9"/>
    </row>
    <row r="263825" spans="15:15" x14ac:dyDescent="0.25">
      <c r="O263825" s="9"/>
    </row>
    <row r="263846" spans="15:15" x14ac:dyDescent="0.25">
      <c r="O263846" s="9"/>
    </row>
    <row r="263867" spans="15:15" x14ac:dyDescent="0.25">
      <c r="O263867" s="9"/>
    </row>
    <row r="263888" spans="15:15" x14ac:dyDescent="0.25">
      <c r="O263888" s="9"/>
    </row>
    <row r="263909" spans="15:15" x14ac:dyDescent="0.25">
      <c r="O263909" s="9"/>
    </row>
    <row r="263930" spans="15:15" x14ac:dyDescent="0.25">
      <c r="O263930" s="9"/>
    </row>
    <row r="263951" spans="15:15" x14ac:dyDescent="0.25">
      <c r="O263951" s="9"/>
    </row>
    <row r="263972" spans="15:15" x14ac:dyDescent="0.25">
      <c r="O263972" s="9"/>
    </row>
    <row r="263993" spans="15:15" x14ac:dyDescent="0.25">
      <c r="O263993" s="9"/>
    </row>
    <row r="264014" spans="15:15" x14ac:dyDescent="0.25">
      <c r="O264014" s="9"/>
    </row>
    <row r="264035" spans="15:15" x14ac:dyDescent="0.25">
      <c r="O264035" s="9"/>
    </row>
    <row r="264056" spans="15:15" x14ac:dyDescent="0.25">
      <c r="O264056" s="9"/>
    </row>
    <row r="264077" spans="15:15" x14ac:dyDescent="0.25">
      <c r="O264077" s="9"/>
    </row>
    <row r="264098" spans="15:15" x14ac:dyDescent="0.25">
      <c r="O264098" s="9"/>
    </row>
    <row r="264119" spans="15:15" x14ac:dyDescent="0.25">
      <c r="O264119" s="9"/>
    </row>
    <row r="264140" spans="15:15" x14ac:dyDescent="0.25">
      <c r="O264140" s="9"/>
    </row>
    <row r="264161" spans="15:15" x14ac:dyDescent="0.25">
      <c r="O264161" s="9"/>
    </row>
    <row r="264182" spans="15:15" x14ac:dyDescent="0.25">
      <c r="O264182" s="9"/>
    </row>
    <row r="264203" spans="15:15" x14ac:dyDescent="0.25">
      <c r="O264203" s="9"/>
    </row>
    <row r="264224" spans="15:15" x14ac:dyDescent="0.25">
      <c r="O264224" s="9"/>
    </row>
    <row r="264245" spans="15:15" x14ac:dyDescent="0.25">
      <c r="O264245" s="9"/>
    </row>
    <row r="264266" spans="15:15" x14ac:dyDescent="0.25">
      <c r="O264266" s="9"/>
    </row>
    <row r="264287" spans="15:15" x14ac:dyDescent="0.25">
      <c r="O264287" s="9"/>
    </row>
    <row r="264308" spans="15:15" x14ac:dyDescent="0.25">
      <c r="O264308" s="9"/>
    </row>
    <row r="264329" spans="15:15" x14ac:dyDescent="0.25">
      <c r="O264329" s="9"/>
    </row>
    <row r="264350" spans="15:15" x14ac:dyDescent="0.25">
      <c r="O264350" s="9"/>
    </row>
    <row r="264371" spans="15:15" x14ac:dyDescent="0.25">
      <c r="O264371" s="9"/>
    </row>
    <row r="264392" spans="15:15" x14ac:dyDescent="0.25">
      <c r="O264392" s="9"/>
    </row>
    <row r="264413" spans="15:15" x14ac:dyDescent="0.25">
      <c r="O264413" s="9"/>
    </row>
    <row r="264434" spans="15:15" x14ac:dyDescent="0.25">
      <c r="O264434" s="9"/>
    </row>
    <row r="264455" spans="15:15" x14ac:dyDescent="0.25">
      <c r="O264455" s="9"/>
    </row>
    <row r="264476" spans="15:15" x14ac:dyDescent="0.25">
      <c r="O264476" s="9"/>
    </row>
    <row r="264497" spans="15:15" x14ac:dyDescent="0.25">
      <c r="O264497" s="9"/>
    </row>
    <row r="264518" spans="15:15" x14ac:dyDescent="0.25">
      <c r="O264518" s="9"/>
    </row>
    <row r="264539" spans="15:15" x14ac:dyDescent="0.25">
      <c r="O264539" s="9"/>
    </row>
    <row r="264560" spans="15:15" x14ac:dyDescent="0.25">
      <c r="O264560" s="9"/>
    </row>
    <row r="264581" spans="15:15" x14ac:dyDescent="0.25">
      <c r="O264581" s="9"/>
    </row>
    <row r="264602" spans="15:15" x14ac:dyDescent="0.25">
      <c r="O264602" s="9"/>
    </row>
    <row r="264623" spans="15:15" x14ac:dyDescent="0.25">
      <c r="O264623" s="9"/>
    </row>
    <row r="264644" spans="15:15" x14ac:dyDescent="0.25">
      <c r="O264644" s="9"/>
    </row>
    <row r="264665" spans="15:15" x14ac:dyDescent="0.25">
      <c r="O264665" s="9"/>
    </row>
    <row r="264686" spans="15:15" x14ac:dyDescent="0.25">
      <c r="O264686" s="9"/>
    </row>
    <row r="264707" spans="15:15" x14ac:dyDescent="0.25">
      <c r="O264707" s="9"/>
    </row>
    <row r="264728" spans="15:15" x14ac:dyDescent="0.25">
      <c r="O264728" s="9"/>
    </row>
    <row r="264749" spans="15:15" x14ac:dyDescent="0.25">
      <c r="O264749" s="9"/>
    </row>
    <row r="264770" spans="15:15" x14ac:dyDescent="0.25">
      <c r="O264770" s="9"/>
    </row>
    <row r="264791" spans="15:15" x14ac:dyDescent="0.25">
      <c r="O264791" s="9"/>
    </row>
    <row r="264812" spans="15:15" x14ac:dyDescent="0.25">
      <c r="O264812" s="9"/>
    </row>
    <row r="264833" spans="15:15" x14ac:dyDescent="0.25">
      <c r="O264833" s="9"/>
    </row>
    <row r="264854" spans="15:15" x14ac:dyDescent="0.25">
      <c r="O264854" s="9"/>
    </row>
    <row r="264875" spans="15:15" x14ac:dyDescent="0.25">
      <c r="O264875" s="9"/>
    </row>
    <row r="264896" spans="15:15" x14ac:dyDescent="0.25">
      <c r="O264896" s="9"/>
    </row>
    <row r="264917" spans="15:15" x14ac:dyDescent="0.25">
      <c r="O264917" s="9"/>
    </row>
    <row r="264938" spans="15:15" x14ac:dyDescent="0.25">
      <c r="O264938" s="9"/>
    </row>
    <row r="264959" spans="15:15" x14ac:dyDescent="0.25">
      <c r="O264959" s="9"/>
    </row>
    <row r="264980" spans="15:15" x14ac:dyDescent="0.25">
      <c r="O264980" s="9"/>
    </row>
    <row r="265001" spans="15:15" x14ac:dyDescent="0.25">
      <c r="O265001" s="9"/>
    </row>
    <row r="265022" spans="15:15" x14ac:dyDescent="0.25">
      <c r="O265022" s="9"/>
    </row>
    <row r="265043" spans="15:15" x14ac:dyDescent="0.25">
      <c r="O265043" s="9"/>
    </row>
    <row r="265064" spans="15:15" x14ac:dyDescent="0.25">
      <c r="O265064" s="9"/>
    </row>
    <row r="265085" spans="15:15" x14ac:dyDescent="0.25">
      <c r="O265085" s="9"/>
    </row>
    <row r="265106" spans="15:15" x14ac:dyDescent="0.25">
      <c r="O265106" s="9"/>
    </row>
    <row r="265127" spans="15:15" x14ac:dyDescent="0.25">
      <c r="O265127" s="9"/>
    </row>
    <row r="265148" spans="15:15" x14ac:dyDescent="0.25">
      <c r="O265148" s="9"/>
    </row>
    <row r="265169" spans="15:15" x14ac:dyDescent="0.25">
      <c r="O265169" s="9"/>
    </row>
    <row r="265190" spans="15:15" x14ac:dyDescent="0.25">
      <c r="O265190" s="9"/>
    </row>
    <row r="265211" spans="15:15" x14ac:dyDescent="0.25">
      <c r="O265211" s="9"/>
    </row>
    <row r="265232" spans="15:15" x14ac:dyDescent="0.25">
      <c r="O265232" s="9"/>
    </row>
    <row r="265253" spans="15:15" x14ac:dyDescent="0.25">
      <c r="O265253" s="9"/>
    </row>
    <row r="265274" spans="15:15" x14ac:dyDescent="0.25">
      <c r="O265274" s="9"/>
    </row>
    <row r="265295" spans="15:15" x14ac:dyDescent="0.25">
      <c r="O265295" s="9"/>
    </row>
    <row r="265316" spans="15:15" x14ac:dyDescent="0.25">
      <c r="O265316" s="9"/>
    </row>
    <row r="265337" spans="15:15" x14ac:dyDescent="0.25">
      <c r="O265337" s="9"/>
    </row>
    <row r="265358" spans="15:15" x14ac:dyDescent="0.25">
      <c r="O265358" s="9"/>
    </row>
    <row r="265379" spans="15:15" x14ac:dyDescent="0.25">
      <c r="O265379" s="9"/>
    </row>
    <row r="265400" spans="15:15" x14ac:dyDescent="0.25">
      <c r="O265400" s="9"/>
    </row>
    <row r="265421" spans="15:15" x14ac:dyDescent="0.25">
      <c r="O265421" s="9"/>
    </row>
    <row r="265442" spans="15:15" x14ac:dyDescent="0.25">
      <c r="O265442" s="9"/>
    </row>
    <row r="265463" spans="15:15" x14ac:dyDescent="0.25">
      <c r="O265463" s="9"/>
    </row>
    <row r="265484" spans="15:15" x14ac:dyDescent="0.25">
      <c r="O265484" s="9"/>
    </row>
    <row r="265505" spans="15:15" x14ac:dyDescent="0.25">
      <c r="O265505" s="9"/>
    </row>
    <row r="265526" spans="15:15" x14ac:dyDescent="0.25">
      <c r="O265526" s="9"/>
    </row>
    <row r="265547" spans="15:15" x14ac:dyDescent="0.25">
      <c r="O265547" s="9"/>
    </row>
    <row r="265568" spans="15:15" x14ac:dyDescent="0.25">
      <c r="O265568" s="9"/>
    </row>
    <row r="265589" spans="15:15" x14ac:dyDescent="0.25">
      <c r="O265589" s="9"/>
    </row>
    <row r="265610" spans="15:15" x14ac:dyDescent="0.25">
      <c r="O265610" s="9"/>
    </row>
    <row r="265631" spans="15:15" x14ac:dyDescent="0.25">
      <c r="O265631" s="9"/>
    </row>
    <row r="265652" spans="15:15" x14ac:dyDescent="0.25">
      <c r="O265652" s="9"/>
    </row>
    <row r="265673" spans="15:15" x14ac:dyDescent="0.25">
      <c r="O265673" s="9"/>
    </row>
    <row r="265694" spans="15:15" x14ac:dyDescent="0.25">
      <c r="O265694" s="9"/>
    </row>
    <row r="265715" spans="15:15" x14ac:dyDescent="0.25">
      <c r="O265715" s="9"/>
    </row>
    <row r="265736" spans="15:15" x14ac:dyDescent="0.25">
      <c r="O265736" s="9"/>
    </row>
    <row r="265757" spans="15:15" x14ac:dyDescent="0.25">
      <c r="O265757" s="9"/>
    </row>
    <row r="265778" spans="15:15" x14ac:dyDescent="0.25">
      <c r="O265778" s="9"/>
    </row>
    <row r="265799" spans="15:15" x14ac:dyDescent="0.25">
      <c r="O265799" s="9"/>
    </row>
    <row r="265820" spans="15:15" x14ac:dyDescent="0.25">
      <c r="O265820" s="9"/>
    </row>
    <row r="265841" spans="15:15" x14ac:dyDescent="0.25">
      <c r="O265841" s="9"/>
    </row>
    <row r="265862" spans="15:15" x14ac:dyDescent="0.25">
      <c r="O265862" s="9"/>
    </row>
    <row r="265883" spans="15:15" x14ac:dyDescent="0.25">
      <c r="O265883" s="9"/>
    </row>
    <row r="265904" spans="15:15" x14ac:dyDescent="0.25">
      <c r="O265904" s="9"/>
    </row>
    <row r="265925" spans="15:15" x14ac:dyDescent="0.25">
      <c r="O265925" s="9"/>
    </row>
    <row r="265946" spans="15:15" x14ac:dyDescent="0.25">
      <c r="O265946" s="9"/>
    </row>
    <row r="265967" spans="15:15" x14ac:dyDescent="0.25">
      <c r="O265967" s="9"/>
    </row>
    <row r="265988" spans="15:15" x14ac:dyDescent="0.25">
      <c r="O265988" s="9"/>
    </row>
    <row r="266009" spans="15:15" x14ac:dyDescent="0.25">
      <c r="O266009" s="9"/>
    </row>
    <row r="266030" spans="15:15" x14ac:dyDescent="0.25">
      <c r="O266030" s="9"/>
    </row>
    <row r="266051" spans="15:15" x14ac:dyDescent="0.25">
      <c r="O266051" s="9"/>
    </row>
    <row r="266072" spans="15:15" x14ac:dyDescent="0.25">
      <c r="O266072" s="9"/>
    </row>
    <row r="266093" spans="15:15" x14ac:dyDescent="0.25">
      <c r="O266093" s="9"/>
    </row>
    <row r="266114" spans="15:15" x14ac:dyDescent="0.25">
      <c r="O266114" s="9"/>
    </row>
    <row r="266135" spans="15:15" x14ac:dyDescent="0.25">
      <c r="O266135" s="9"/>
    </row>
    <row r="266156" spans="15:15" x14ac:dyDescent="0.25">
      <c r="O266156" s="9"/>
    </row>
    <row r="266177" spans="15:15" x14ac:dyDescent="0.25">
      <c r="O266177" s="9"/>
    </row>
    <row r="266198" spans="15:15" x14ac:dyDescent="0.25">
      <c r="O266198" s="9"/>
    </row>
    <row r="266219" spans="15:15" x14ac:dyDescent="0.25">
      <c r="O266219" s="9"/>
    </row>
    <row r="266240" spans="15:15" x14ac:dyDescent="0.25">
      <c r="O266240" s="9"/>
    </row>
    <row r="266261" spans="15:15" x14ac:dyDescent="0.25">
      <c r="O266261" s="9"/>
    </row>
    <row r="266282" spans="15:15" x14ac:dyDescent="0.25">
      <c r="O266282" s="9"/>
    </row>
    <row r="266303" spans="15:15" x14ac:dyDescent="0.25">
      <c r="O266303" s="9"/>
    </row>
    <row r="266324" spans="15:15" x14ac:dyDescent="0.25">
      <c r="O266324" s="9"/>
    </row>
    <row r="266345" spans="15:15" x14ac:dyDescent="0.25">
      <c r="O266345" s="9"/>
    </row>
    <row r="266366" spans="15:15" x14ac:dyDescent="0.25">
      <c r="O266366" s="9"/>
    </row>
    <row r="266387" spans="15:15" x14ac:dyDescent="0.25">
      <c r="O266387" s="9"/>
    </row>
    <row r="266408" spans="15:15" x14ac:dyDescent="0.25">
      <c r="O266408" s="9"/>
    </row>
    <row r="266429" spans="15:15" x14ac:dyDescent="0.25">
      <c r="O266429" s="9"/>
    </row>
    <row r="266450" spans="15:15" x14ac:dyDescent="0.25">
      <c r="O266450" s="9"/>
    </row>
    <row r="266471" spans="15:15" x14ac:dyDescent="0.25">
      <c r="O266471" s="9"/>
    </row>
    <row r="266492" spans="15:15" x14ac:dyDescent="0.25">
      <c r="O266492" s="9"/>
    </row>
    <row r="266513" spans="15:15" x14ac:dyDescent="0.25">
      <c r="O266513" s="9"/>
    </row>
    <row r="266534" spans="15:15" x14ac:dyDescent="0.25">
      <c r="O266534" s="9"/>
    </row>
    <row r="266555" spans="15:15" x14ac:dyDescent="0.25">
      <c r="O266555" s="9"/>
    </row>
    <row r="266576" spans="15:15" x14ac:dyDescent="0.25">
      <c r="O266576" s="9"/>
    </row>
    <row r="266597" spans="15:15" x14ac:dyDescent="0.25">
      <c r="O266597" s="9"/>
    </row>
    <row r="266618" spans="15:15" x14ac:dyDescent="0.25">
      <c r="O266618" s="9"/>
    </row>
    <row r="266639" spans="15:15" x14ac:dyDescent="0.25">
      <c r="O266639" s="9"/>
    </row>
    <row r="266660" spans="15:15" x14ac:dyDescent="0.25">
      <c r="O266660" s="9"/>
    </row>
    <row r="266681" spans="15:15" x14ac:dyDescent="0.25">
      <c r="O266681" s="9"/>
    </row>
    <row r="266702" spans="15:15" x14ac:dyDescent="0.25">
      <c r="O266702" s="9"/>
    </row>
    <row r="266723" spans="15:15" x14ac:dyDescent="0.25">
      <c r="O266723" s="9"/>
    </row>
    <row r="266744" spans="15:15" x14ac:dyDescent="0.25">
      <c r="O266744" s="9"/>
    </row>
    <row r="266765" spans="15:15" x14ac:dyDescent="0.25">
      <c r="O266765" s="9"/>
    </row>
    <row r="266786" spans="15:15" x14ac:dyDescent="0.25">
      <c r="O266786" s="9"/>
    </row>
    <row r="266807" spans="15:15" x14ac:dyDescent="0.25">
      <c r="O266807" s="9"/>
    </row>
    <row r="266828" spans="15:15" x14ac:dyDescent="0.25">
      <c r="O266828" s="9"/>
    </row>
    <row r="266849" spans="15:15" x14ac:dyDescent="0.25">
      <c r="O266849" s="9"/>
    </row>
    <row r="266870" spans="15:15" x14ac:dyDescent="0.25">
      <c r="O266870" s="9"/>
    </row>
    <row r="266891" spans="15:15" x14ac:dyDescent="0.25">
      <c r="O266891" s="9"/>
    </row>
    <row r="266912" spans="15:15" x14ac:dyDescent="0.25">
      <c r="O266912" s="9"/>
    </row>
    <row r="266933" spans="15:15" x14ac:dyDescent="0.25">
      <c r="O266933" s="9"/>
    </row>
    <row r="266954" spans="15:15" x14ac:dyDescent="0.25">
      <c r="O266954" s="9"/>
    </row>
    <row r="266975" spans="15:15" x14ac:dyDescent="0.25">
      <c r="O266975" s="9"/>
    </row>
    <row r="266996" spans="15:15" x14ac:dyDescent="0.25">
      <c r="O266996" s="9"/>
    </row>
    <row r="267017" spans="15:15" x14ac:dyDescent="0.25">
      <c r="O267017" s="9"/>
    </row>
    <row r="267038" spans="15:15" x14ac:dyDescent="0.25">
      <c r="O267038" s="9"/>
    </row>
    <row r="267059" spans="15:15" x14ac:dyDescent="0.25">
      <c r="O267059" s="9"/>
    </row>
    <row r="267080" spans="15:15" x14ac:dyDescent="0.25">
      <c r="O267080" s="9"/>
    </row>
    <row r="267101" spans="15:15" x14ac:dyDescent="0.25">
      <c r="O267101" s="9"/>
    </row>
    <row r="267122" spans="15:15" x14ac:dyDescent="0.25">
      <c r="O267122" s="9"/>
    </row>
    <row r="267143" spans="15:15" x14ac:dyDescent="0.25">
      <c r="O267143" s="9"/>
    </row>
    <row r="267164" spans="15:15" x14ac:dyDescent="0.25">
      <c r="O267164" s="9"/>
    </row>
    <row r="267185" spans="15:15" x14ac:dyDescent="0.25">
      <c r="O267185" s="9"/>
    </row>
    <row r="267206" spans="15:15" x14ac:dyDescent="0.25">
      <c r="O267206" s="9"/>
    </row>
    <row r="267227" spans="15:15" x14ac:dyDescent="0.25">
      <c r="O267227" s="9"/>
    </row>
    <row r="267248" spans="15:15" x14ac:dyDescent="0.25">
      <c r="O267248" s="9"/>
    </row>
    <row r="267269" spans="15:15" x14ac:dyDescent="0.25">
      <c r="O267269" s="9"/>
    </row>
    <row r="267290" spans="15:15" x14ac:dyDescent="0.25">
      <c r="O267290" s="9"/>
    </row>
    <row r="267311" spans="15:15" x14ac:dyDescent="0.25">
      <c r="O267311" s="9"/>
    </row>
    <row r="267332" spans="15:15" x14ac:dyDescent="0.25">
      <c r="O267332" s="9"/>
    </row>
    <row r="267353" spans="15:15" x14ac:dyDescent="0.25">
      <c r="O267353" s="9"/>
    </row>
    <row r="267374" spans="15:15" x14ac:dyDescent="0.25">
      <c r="O267374" s="9"/>
    </row>
    <row r="267395" spans="15:15" x14ac:dyDescent="0.25">
      <c r="O267395" s="9"/>
    </row>
    <row r="267416" spans="15:15" x14ac:dyDescent="0.25">
      <c r="O267416" s="9"/>
    </row>
    <row r="267437" spans="15:15" x14ac:dyDescent="0.25">
      <c r="O267437" s="9"/>
    </row>
    <row r="267458" spans="15:15" x14ac:dyDescent="0.25">
      <c r="O267458" s="9"/>
    </row>
    <row r="267479" spans="15:15" x14ac:dyDescent="0.25">
      <c r="O267479" s="9"/>
    </row>
    <row r="267500" spans="15:15" x14ac:dyDescent="0.25">
      <c r="O267500" s="9"/>
    </row>
    <row r="267521" spans="15:15" x14ac:dyDescent="0.25">
      <c r="O267521" s="9"/>
    </row>
    <row r="267542" spans="15:15" x14ac:dyDescent="0.25">
      <c r="O267542" s="9"/>
    </row>
    <row r="267563" spans="15:15" x14ac:dyDescent="0.25">
      <c r="O267563" s="9"/>
    </row>
    <row r="267584" spans="15:15" x14ac:dyDescent="0.25">
      <c r="O267584" s="9"/>
    </row>
    <row r="267605" spans="15:15" x14ac:dyDescent="0.25">
      <c r="O267605" s="9"/>
    </row>
    <row r="267626" spans="15:15" x14ac:dyDescent="0.25">
      <c r="O267626" s="9"/>
    </row>
    <row r="267647" spans="15:15" x14ac:dyDescent="0.25">
      <c r="O267647" s="9"/>
    </row>
    <row r="267668" spans="15:15" x14ac:dyDescent="0.25">
      <c r="O267668" s="9"/>
    </row>
    <row r="267689" spans="15:15" x14ac:dyDescent="0.25">
      <c r="O267689" s="9"/>
    </row>
    <row r="267710" spans="15:15" x14ac:dyDescent="0.25">
      <c r="O267710" s="9"/>
    </row>
    <row r="267731" spans="15:15" x14ac:dyDescent="0.25">
      <c r="O267731" s="9"/>
    </row>
    <row r="267752" spans="15:15" x14ac:dyDescent="0.25">
      <c r="O267752" s="9"/>
    </row>
    <row r="267773" spans="15:15" x14ac:dyDescent="0.25">
      <c r="O267773" s="9"/>
    </row>
    <row r="267794" spans="15:15" x14ac:dyDescent="0.25">
      <c r="O267794" s="9"/>
    </row>
    <row r="267815" spans="15:15" x14ac:dyDescent="0.25">
      <c r="O267815" s="9"/>
    </row>
    <row r="267836" spans="15:15" x14ac:dyDescent="0.25">
      <c r="O267836" s="9"/>
    </row>
    <row r="267857" spans="15:15" x14ac:dyDescent="0.25">
      <c r="O267857" s="9"/>
    </row>
    <row r="267878" spans="15:15" x14ac:dyDescent="0.25">
      <c r="O267878" s="9"/>
    </row>
    <row r="267899" spans="15:15" x14ac:dyDescent="0.25">
      <c r="O267899" s="9"/>
    </row>
    <row r="267920" spans="15:15" x14ac:dyDescent="0.25">
      <c r="O267920" s="9"/>
    </row>
    <row r="267941" spans="15:15" x14ac:dyDescent="0.25">
      <c r="O267941" s="9"/>
    </row>
    <row r="267962" spans="15:15" x14ac:dyDescent="0.25">
      <c r="O267962" s="9"/>
    </row>
    <row r="267983" spans="15:15" x14ac:dyDescent="0.25">
      <c r="O267983" s="9"/>
    </row>
    <row r="268004" spans="15:15" x14ac:dyDescent="0.25">
      <c r="O268004" s="9"/>
    </row>
    <row r="268025" spans="15:15" x14ac:dyDescent="0.25">
      <c r="O268025" s="9"/>
    </row>
    <row r="268046" spans="15:15" x14ac:dyDescent="0.25">
      <c r="O268046" s="9"/>
    </row>
    <row r="268067" spans="15:15" x14ac:dyDescent="0.25">
      <c r="O268067" s="9"/>
    </row>
    <row r="268088" spans="15:15" x14ac:dyDescent="0.25">
      <c r="O268088" s="9"/>
    </row>
    <row r="268109" spans="15:15" x14ac:dyDescent="0.25">
      <c r="O268109" s="9"/>
    </row>
    <row r="268130" spans="15:15" x14ac:dyDescent="0.25">
      <c r="O268130" s="9"/>
    </row>
    <row r="268151" spans="15:15" x14ac:dyDescent="0.25">
      <c r="O268151" s="9"/>
    </row>
    <row r="268172" spans="15:15" x14ac:dyDescent="0.25">
      <c r="O268172" s="9"/>
    </row>
    <row r="268193" spans="15:15" x14ac:dyDescent="0.25">
      <c r="O268193" s="9"/>
    </row>
    <row r="268214" spans="15:15" x14ac:dyDescent="0.25">
      <c r="O268214" s="9"/>
    </row>
    <row r="268235" spans="15:15" x14ac:dyDescent="0.25">
      <c r="O268235" s="9"/>
    </row>
    <row r="268256" spans="15:15" x14ac:dyDescent="0.25">
      <c r="O268256" s="9"/>
    </row>
    <row r="268277" spans="15:15" x14ac:dyDescent="0.25">
      <c r="O268277" s="9"/>
    </row>
    <row r="268298" spans="15:15" x14ac:dyDescent="0.25">
      <c r="O268298" s="9"/>
    </row>
    <row r="268319" spans="15:15" x14ac:dyDescent="0.25">
      <c r="O268319" s="9"/>
    </row>
    <row r="268340" spans="15:15" x14ac:dyDescent="0.25">
      <c r="O268340" s="9"/>
    </row>
    <row r="268361" spans="15:15" x14ac:dyDescent="0.25">
      <c r="O268361" s="9"/>
    </row>
    <row r="268382" spans="15:15" x14ac:dyDescent="0.25">
      <c r="O268382" s="9"/>
    </row>
    <row r="268403" spans="15:15" x14ac:dyDescent="0.25">
      <c r="O268403" s="9"/>
    </row>
    <row r="268424" spans="15:15" x14ac:dyDescent="0.25">
      <c r="O268424" s="9"/>
    </row>
    <row r="268445" spans="15:15" x14ac:dyDescent="0.25">
      <c r="O268445" s="9"/>
    </row>
    <row r="268466" spans="15:15" x14ac:dyDescent="0.25">
      <c r="O268466" s="9"/>
    </row>
    <row r="268487" spans="15:15" x14ac:dyDescent="0.25">
      <c r="O268487" s="9"/>
    </row>
    <row r="268508" spans="15:15" x14ac:dyDescent="0.25">
      <c r="O268508" s="9"/>
    </row>
    <row r="268529" spans="15:15" x14ac:dyDescent="0.25">
      <c r="O268529" s="9"/>
    </row>
    <row r="268550" spans="15:15" x14ac:dyDescent="0.25">
      <c r="O268550" s="9"/>
    </row>
    <row r="268571" spans="15:15" x14ac:dyDescent="0.25">
      <c r="O268571" s="9"/>
    </row>
    <row r="268592" spans="15:15" x14ac:dyDescent="0.25">
      <c r="O268592" s="9"/>
    </row>
    <row r="268613" spans="15:15" x14ac:dyDescent="0.25">
      <c r="O268613" s="9"/>
    </row>
    <row r="268634" spans="15:15" x14ac:dyDescent="0.25">
      <c r="O268634" s="9"/>
    </row>
    <row r="268655" spans="15:15" x14ac:dyDescent="0.25">
      <c r="O268655" s="9"/>
    </row>
    <row r="268676" spans="15:15" x14ac:dyDescent="0.25">
      <c r="O268676" s="9"/>
    </row>
    <row r="268697" spans="15:15" x14ac:dyDescent="0.25">
      <c r="O268697" s="9"/>
    </row>
    <row r="268718" spans="15:15" x14ac:dyDescent="0.25">
      <c r="O268718" s="9"/>
    </row>
    <row r="268739" spans="15:15" x14ac:dyDescent="0.25">
      <c r="O268739" s="9"/>
    </row>
    <row r="268760" spans="15:15" x14ac:dyDescent="0.25">
      <c r="O268760" s="9"/>
    </row>
    <row r="268781" spans="15:15" x14ac:dyDescent="0.25">
      <c r="O268781" s="9"/>
    </row>
    <row r="268802" spans="15:15" x14ac:dyDescent="0.25">
      <c r="O268802" s="9"/>
    </row>
    <row r="268823" spans="15:15" x14ac:dyDescent="0.25">
      <c r="O268823" s="9"/>
    </row>
    <row r="268844" spans="15:15" x14ac:dyDescent="0.25">
      <c r="O268844" s="9"/>
    </row>
    <row r="268865" spans="15:15" x14ac:dyDescent="0.25">
      <c r="O268865" s="9"/>
    </row>
    <row r="268886" spans="15:15" x14ac:dyDescent="0.25">
      <c r="O268886" s="9"/>
    </row>
    <row r="268907" spans="15:15" x14ac:dyDescent="0.25">
      <c r="O268907" s="9"/>
    </row>
    <row r="268928" spans="15:15" x14ac:dyDescent="0.25">
      <c r="O268928" s="9"/>
    </row>
    <row r="268949" spans="15:15" x14ac:dyDescent="0.25">
      <c r="O268949" s="9"/>
    </row>
    <row r="268970" spans="15:15" x14ac:dyDescent="0.25">
      <c r="O268970" s="9"/>
    </row>
    <row r="268991" spans="15:15" x14ac:dyDescent="0.25">
      <c r="O268991" s="9"/>
    </row>
    <row r="269012" spans="15:15" x14ac:dyDescent="0.25">
      <c r="O269012" s="9"/>
    </row>
    <row r="269033" spans="15:15" x14ac:dyDescent="0.25">
      <c r="O269033" s="9"/>
    </row>
    <row r="269054" spans="15:15" x14ac:dyDescent="0.25">
      <c r="O269054" s="9"/>
    </row>
    <row r="269075" spans="15:15" x14ac:dyDescent="0.25">
      <c r="O269075" s="9"/>
    </row>
    <row r="269096" spans="15:15" x14ac:dyDescent="0.25">
      <c r="O269096" s="9"/>
    </row>
    <row r="269117" spans="15:15" x14ac:dyDescent="0.25">
      <c r="O269117" s="9"/>
    </row>
    <row r="269138" spans="15:15" x14ac:dyDescent="0.25">
      <c r="O269138" s="9"/>
    </row>
    <row r="269159" spans="15:15" x14ac:dyDescent="0.25">
      <c r="O269159" s="9"/>
    </row>
    <row r="269180" spans="15:15" x14ac:dyDescent="0.25">
      <c r="O269180" s="9"/>
    </row>
    <row r="269201" spans="15:15" x14ac:dyDescent="0.25">
      <c r="O269201" s="9"/>
    </row>
    <row r="269222" spans="15:15" x14ac:dyDescent="0.25">
      <c r="O269222" s="9"/>
    </row>
    <row r="269243" spans="15:15" x14ac:dyDescent="0.25">
      <c r="O269243" s="9"/>
    </row>
    <row r="269264" spans="15:15" x14ac:dyDescent="0.25">
      <c r="O269264" s="9"/>
    </row>
    <row r="269285" spans="15:15" x14ac:dyDescent="0.25">
      <c r="O269285" s="9"/>
    </row>
    <row r="269306" spans="15:15" x14ac:dyDescent="0.25">
      <c r="O269306" s="9"/>
    </row>
    <row r="269327" spans="15:15" x14ac:dyDescent="0.25">
      <c r="O269327" s="9"/>
    </row>
    <row r="269348" spans="15:15" x14ac:dyDescent="0.25">
      <c r="O269348" s="9"/>
    </row>
    <row r="269369" spans="15:15" x14ac:dyDescent="0.25">
      <c r="O269369" s="9"/>
    </row>
    <row r="269390" spans="15:15" x14ac:dyDescent="0.25">
      <c r="O269390" s="9"/>
    </row>
    <row r="269411" spans="15:15" x14ac:dyDescent="0.25">
      <c r="O269411" s="9"/>
    </row>
    <row r="269432" spans="15:15" x14ac:dyDescent="0.25">
      <c r="O269432" s="9"/>
    </row>
    <row r="269453" spans="15:15" x14ac:dyDescent="0.25">
      <c r="O269453" s="9"/>
    </row>
    <row r="269474" spans="15:15" x14ac:dyDescent="0.25">
      <c r="O269474" s="9"/>
    </row>
    <row r="269495" spans="15:15" x14ac:dyDescent="0.25">
      <c r="O269495" s="9"/>
    </row>
    <row r="269516" spans="15:15" x14ac:dyDescent="0.25">
      <c r="O269516" s="9"/>
    </row>
    <row r="269537" spans="15:15" x14ac:dyDescent="0.25">
      <c r="O269537" s="9"/>
    </row>
    <row r="269558" spans="15:15" x14ac:dyDescent="0.25">
      <c r="O269558" s="9"/>
    </row>
    <row r="269579" spans="15:15" x14ac:dyDescent="0.25">
      <c r="O269579" s="9"/>
    </row>
    <row r="269600" spans="15:15" x14ac:dyDescent="0.25">
      <c r="O269600" s="9"/>
    </row>
    <row r="269621" spans="15:15" x14ac:dyDescent="0.25">
      <c r="O269621" s="9"/>
    </row>
    <row r="269642" spans="15:15" x14ac:dyDescent="0.25">
      <c r="O269642" s="9"/>
    </row>
    <row r="269663" spans="15:15" x14ac:dyDescent="0.25">
      <c r="O269663" s="9"/>
    </row>
    <row r="269684" spans="15:15" x14ac:dyDescent="0.25">
      <c r="O269684" s="9"/>
    </row>
    <row r="269705" spans="15:15" x14ac:dyDescent="0.25">
      <c r="O269705" s="9"/>
    </row>
    <row r="269726" spans="15:15" x14ac:dyDescent="0.25">
      <c r="O269726" s="9"/>
    </row>
    <row r="269747" spans="15:15" x14ac:dyDescent="0.25">
      <c r="O269747" s="9"/>
    </row>
    <row r="269768" spans="15:15" x14ac:dyDescent="0.25">
      <c r="O269768" s="9"/>
    </row>
    <row r="269789" spans="15:15" x14ac:dyDescent="0.25">
      <c r="O269789" s="9"/>
    </row>
    <row r="269810" spans="15:15" x14ac:dyDescent="0.25">
      <c r="O269810" s="9"/>
    </row>
    <row r="269831" spans="15:15" x14ac:dyDescent="0.25">
      <c r="O269831" s="9"/>
    </row>
    <row r="269852" spans="15:15" x14ac:dyDescent="0.25">
      <c r="O269852" s="9"/>
    </row>
    <row r="269873" spans="15:15" x14ac:dyDescent="0.25">
      <c r="O269873" s="9"/>
    </row>
    <row r="269894" spans="15:15" x14ac:dyDescent="0.25">
      <c r="O269894" s="9"/>
    </row>
    <row r="269915" spans="15:15" x14ac:dyDescent="0.25">
      <c r="O269915" s="9"/>
    </row>
    <row r="269936" spans="15:15" x14ac:dyDescent="0.25">
      <c r="O269936" s="9"/>
    </row>
    <row r="269957" spans="15:15" x14ac:dyDescent="0.25">
      <c r="O269957" s="9"/>
    </row>
    <row r="269978" spans="15:15" x14ac:dyDescent="0.25">
      <c r="O269978" s="9"/>
    </row>
    <row r="269999" spans="15:15" x14ac:dyDescent="0.25">
      <c r="O269999" s="9"/>
    </row>
    <row r="270020" spans="15:15" x14ac:dyDescent="0.25">
      <c r="O270020" s="9"/>
    </row>
    <row r="270041" spans="15:15" x14ac:dyDescent="0.25">
      <c r="O270041" s="9"/>
    </row>
    <row r="270062" spans="15:15" x14ac:dyDescent="0.25">
      <c r="O270062" s="9"/>
    </row>
    <row r="270083" spans="15:15" x14ac:dyDescent="0.25">
      <c r="O270083" s="9"/>
    </row>
    <row r="270104" spans="15:15" x14ac:dyDescent="0.25">
      <c r="O270104" s="9"/>
    </row>
    <row r="270125" spans="15:15" x14ac:dyDescent="0.25">
      <c r="O270125" s="9"/>
    </row>
    <row r="270146" spans="15:15" x14ac:dyDescent="0.25">
      <c r="O270146" s="9"/>
    </row>
    <row r="270167" spans="15:15" x14ac:dyDescent="0.25">
      <c r="O270167" s="9"/>
    </row>
    <row r="270188" spans="15:15" x14ac:dyDescent="0.25">
      <c r="O270188" s="9"/>
    </row>
    <row r="270209" spans="15:15" x14ac:dyDescent="0.25">
      <c r="O270209" s="9"/>
    </row>
    <row r="270230" spans="15:15" x14ac:dyDescent="0.25">
      <c r="O270230" s="9"/>
    </row>
    <row r="270251" spans="15:15" x14ac:dyDescent="0.25">
      <c r="O270251" s="9"/>
    </row>
    <row r="270272" spans="15:15" x14ac:dyDescent="0.25">
      <c r="O270272" s="9"/>
    </row>
    <row r="270293" spans="15:15" x14ac:dyDescent="0.25">
      <c r="O270293" s="9"/>
    </row>
    <row r="270314" spans="15:15" x14ac:dyDescent="0.25">
      <c r="O270314" s="9"/>
    </row>
    <row r="270335" spans="15:15" x14ac:dyDescent="0.25">
      <c r="O270335" s="9"/>
    </row>
    <row r="270356" spans="15:15" x14ac:dyDescent="0.25">
      <c r="O270356" s="9"/>
    </row>
    <row r="270377" spans="15:15" x14ac:dyDescent="0.25">
      <c r="O270377" s="9"/>
    </row>
    <row r="270398" spans="15:15" x14ac:dyDescent="0.25">
      <c r="O270398" s="9"/>
    </row>
    <row r="270419" spans="15:15" x14ac:dyDescent="0.25">
      <c r="O270419" s="9"/>
    </row>
    <row r="270440" spans="15:15" x14ac:dyDescent="0.25">
      <c r="O270440" s="9"/>
    </row>
    <row r="270461" spans="15:15" x14ac:dyDescent="0.25">
      <c r="O270461" s="9"/>
    </row>
    <row r="270482" spans="15:15" x14ac:dyDescent="0.25">
      <c r="O270482" s="9"/>
    </row>
    <row r="270503" spans="15:15" x14ac:dyDescent="0.25">
      <c r="O270503" s="9"/>
    </row>
    <row r="270524" spans="15:15" x14ac:dyDescent="0.25">
      <c r="O270524" s="9"/>
    </row>
    <row r="270545" spans="15:15" x14ac:dyDescent="0.25">
      <c r="O270545" s="9"/>
    </row>
    <row r="270566" spans="15:15" x14ac:dyDescent="0.25">
      <c r="O270566" s="9"/>
    </row>
    <row r="270587" spans="15:15" x14ac:dyDescent="0.25">
      <c r="O270587" s="9"/>
    </row>
    <row r="270608" spans="15:15" x14ac:dyDescent="0.25">
      <c r="O270608" s="9"/>
    </row>
    <row r="270629" spans="15:15" x14ac:dyDescent="0.25">
      <c r="O270629" s="9"/>
    </row>
    <row r="270650" spans="15:15" x14ac:dyDescent="0.25">
      <c r="O270650" s="9"/>
    </row>
    <row r="270671" spans="15:15" x14ac:dyDescent="0.25">
      <c r="O270671" s="9"/>
    </row>
    <row r="270692" spans="15:15" x14ac:dyDescent="0.25">
      <c r="O270692" s="9"/>
    </row>
    <row r="270713" spans="15:15" x14ac:dyDescent="0.25">
      <c r="O270713" s="9"/>
    </row>
    <row r="270734" spans="15:15" x14ac:dyDescent="0.25">
      <c r="O270734" s="9"/>
    </row>
    <row r="270755" spans="15:15" x14ac:dyDescent="0.25">
      <c r="O270755" s="9"/>
    </row>
    <row r="270776" spans="15:15" x14ac:dyDescent="0.25">
      <c r="O270776" s="9"/>
    </row>
    <row r="270797" spans="15:15" x14ac:dyDescent="0.25">
      <c r="O270797" s="9"/>
    </row>
    <row r="270818" spans="15:15" x14ac:dyDescent="0.25">
      <c r="O270818" s="9"/>
    </row>
    <row r="270839" spans="15:15" x14ac:dyDescent="0.25">
      <c r="O270839" s="9"/>
    </row>
    <row r="270860" spans="15:15" x14ac:dyDescent="0.25">
      <c r="O270860" s="9"/>
    </row>
    <row r="270881" spans="15:15" x14ac:dyDescent="0.25">
      <c r="O270881" s="9"/>
    </row>
    <row r="270902" spans="15:15" x14ac:dyDescent="0.25">
      <c r="O270902" s="9"/>
    </row>
    <row r="270923" spans="15:15" x14ac:dyDescent="0.25">
      <c r="O270923" s="9"/>
    </row>
    <row r="270944" spans="15:15" x14ac:dyDescent="0.25">
      <c r="O270944" s="9"/>
    </row>
    <row r="270965" spans="15:15" x14ac:dyDescent="0.25">
      <c r="O270965" s="9"/>
    </row>
    <row r="270986" spans="15:15" x14ac:dyDescent="0.25">
      <c r="O270986" s="9"/>
    </row>
    <row r="271007" spans="15:15" x14ac:dyDescent="0.25">
      <c r="O271007" s="9"/>
    </row>
    <row r="271028" spans="15:15" x14ac:dyDescent="0.25">
      <c r="O271028" s="9"/>
    </row>
    <row r="271049" spans="15:15" x14ac:dyDescent="0.25">
      <c r="O271049" s="9"/>
    </row>
    <row r="271070" spans="15:15" x14ac:dyDescent="0.25">
      <c r="O271070" s="9"/>
    </row>
    <row r="271091" spans="15:15" x14ac:dyDescent="0.25">
      <c r="O271091" s="9"/>
    </row>
    <row r="271112" spans="15:15" x14ac:dyDescent="0.25">
      <c r="O271112" s="9"/>
    </row>
    <row r="271133" spans="15:15" x14ac:dyDescent="0.25">
      <c r="O271133" s="9"/>
    </row>
    <row r="271154" spans="15:15" x14ac:dyDescent="0.25">
      <c r="O271154" s="9"/>
    </row>
    <row r="271175" spans="15:15" x14ac:dyDescent="0.25">
      <c r="O271175" s="9"/>
    </row>
    <row r="271196" spans="15:15" x14ac:dyDescent="0.25">
      <c r="O271196" s="9"/>
    </row>
    <row r="271217" spans="15:15" x14ac:dyDescent="0.25">
      <c r="O271217" s="9"/>
    </row>
    <row r="271238" spans="15:15" x14ac:dyDescent="0.25">
      <c r="O271238" s="9"/>
    </row>
    <row r="271259" spans="15:15" x14ac:dyDescent="0.25">
      <c r="O271259" s="9"/>
    </row>
    <row r="271280" spans="15:15" x14ac:dyDescent="0.25">
      <c r="O271280" s="9"/>
    </row>
    <row r="271301" spans="15:15" x14ac:dyDescent="0.25">
      <c r="O271301" s="9"/>
    </row>
    <row r="271322" spans="15:15" x14ac:dyDescent="0.25">
      <c r="O271322" s="9"/>
    </row>
    <row r="271343" spans="15:15" x14ac:dyDescent="0.25">
      <c r="O271343" s="9"/>
    </row>
    <row r="271364" spans="15:15" x14ac:dyDescent="0.25">
      <c r="O271364" s="9"/>
    </row>
    <row r="271385" spans="15:15" x14ac:dyDescent="0.25">
      <c r="O271385" s="9"/>
    </row>
    <row r="271406" spans="15:15" x14ac:dyDescent="0.25">
      <c r="O271406" s="9"/>
    </row>
    <row r="271427" spans="15:15" x14ac:dyDescent="0.25">
      <c r="O271427" s="9"/>
    </row>
    <row r="271448" spans="15:15" x14ac:dyDescent="0.25">
      <c r="O271448" s="9"/>
    </row>
    <row r="271469" spans="15:15" x14ac:dyDescent="0.25">
      <c r="O271469" s="9"/>
    </row>
    <row r="271490" spans="15:15" x14ac:dyDescent="0.25">
      <c r="O271490" s="9"/>
    </row>
    <row r="271511" spans="15:15" x14ac:dyDescent="0.25">
      <c r="O271511" s="9"/>
    </row>
    <row r="271532" spans="15:15" x14ac:dyDescent="0.25">
      <c r="O271532" s="9"/>
    </row>
    <row r="271553" spans="15:15" x14ac:dyDescent="0.25">
      <c r="O271553" s="9"/>
    </row>
    <row r="271574" spans="15:15" x14ac:dyDescent="0.25">
      <c r="O271574" s="9"/>
    </row>
    <row r="271595" spans="15:15" x14ac:dyDescent="0.25">
      <c r="O271595" s="9"/>
    </row>
    <row r="271616" spans="15:15" x14ac:dyDescent="0.25">
      <c r="O271616" s="9"/>
    </row>
    <row r="271637" spans="15:15" x14ac:dyDescent="0.25">
      <c r="O271637" s="9"/>
    </row>
    <row r="271658" spans="15:15" x14ac:dyDescent="0.25">
      <c r="O271658" s="9"/>
    </row>
    <row r="271679" spans="15:15" x14ac:dyDescent="0.25">
      <c r="O271679" s="9"/>
    </row>
    <row r="271700" spans="15:15" x14ac:dyDescent="0.25">
      <c r="O271700" s="9"/>
    </row>
    <row r="271721" spans="15:15" x14ac:dyDescent="0.25">
      <c r="O271721" s="9"/>
    </row>
    <row r="271742" spans="15:15" x14ac:dyDescent="0.25">
      <c r="O271742" s="9"/>
    </row>
    <row r="271763" spans="15:15" x14ac:dyDescent="0.25">
      <c r="O271763" s="9"/>
    </row>
    <row r="271784" spans="15:15" x14ac:dyDescent="0.25">
      <c r="O271784" s="9"/>
    </row>
    <row r="271805" spans="15:15" x14ac:dyDescent="0.25">
      <c r="O271805" s="9"/>
    </row>
    <row r="271826" spans="15:15" x14ac:dyDescent="0.25">
      <c r="O271826" s="9"/>
    </row>
    <row r="271847" spans="15:15" x14ac:dyDescent="0.25">
      <c r="O271847" s="9"/>
    </row>
    <row r="271868" spans="15:15" x14ac:dyDescent="0.25">
      <c r="O271868" s="9"/>
    </row>
    <row r="271889" spans="15:15" x14ac:dyDescent="0.25">
      <c r="O271889" s="9"/>
    </row>
    <row r="271910" spans="15:15" x14ac:dyDescent="0.25">
      <c r="O271910" s="9"/>
    </row>
    <row r="271931" spans="15:15" x14ac:dyDescent="0.25">
      <c r="O271931" s="9"/>
    </row>
    <row r="271952" spans="15:15" x14ac:dyDescent="0.25">
      <c r="O271952" s="9"/>
    </row>
    <row r="271973" spans="15:15" x14ac:dyDescent="0.25">
      <c r="O271973" s="9"/>
    </row>
    <row r="271994" spans="15:15" x14ac:dyDescent="0.25">
      <c r="O271994" s="9"/>
    </row>
    <row r="272015" spans="15:15" x14ac:dyDescent="0.25">
      <c r="O272015" s="9"/>
    </row>
    <row r="272036" spans="15:15" x14ac:dyDescent="0.25">
      <c r="O272036" s="9"/>
    </row>
    <row r="272057" spans="15:15" x14ac:dyDescent="0.25">
      <c r="O272057" s="9"/>
    </row>
    <row r="272078" spans="15:15" x14ac:dyDescent="0.25">
      <c r="O272078" s="9"/>
    </row>
    <row r="272099" spans="15:15" x14ac:dyDescent="0.25">
      <c r="O272099" s="9"/>
    </row>
    <row r="272120" spans="15:15" x14ac:dyDescent="0.25">
      <c r="O272120" s="9"/>
    </row>
    <row r="272141" spans="15:15" x14ac:dyDescent="0.25">
      <c r="O272141" s="9"/>
    </row>
    <row r="272162" spans="15:15" x14ac:dyDescent="0.25">
      <c r="O272162" s="9"/>
    </row>
    <row r="272183" spans="15:15" x14ac:dyDescent="0.25">
      <c r="O272183" s="9"/>
    </row>
    <row r="272204" spans="15:15" x14ac:dyDescent="0.25">
      <c r="O272204" s="9"/>
    </row>
    <row r="272225" spans="15:15" x14ac:dyDescent="0.25">
      <c r="O272225" s="9"/>
    </row>
    <row r="272246" spans="15:15" x14ac:dyDescent="0.25">
      <c r="O272246" s="9"/>
    </row>
    <row r="272267" spans="15:15" x14ac:dyDescent="0.25">
      <c r="O272267" s="9"/>
    </row>
    <row r="272288" spans="15:15" x14ac:dyDescent="0.25">
      <c r="O272288" s="9"/>
    </row>
    <row r="272309" spans="15:15" x14ac:dyDescent="0.25">
      <c r="O272309" s="9"/>
    </row>
    <row r="272330" spans="15:15" x14ac:dyDescent="0.25">
      <c r="O272330" s="9"/>
    </row>
    <row r="272351" spans="15:15" x14ac:dyDescent="0.25">
      <c r="O272351" s="9"/>
    </row>
    <row r="272372" spans="15:15" x14ac:dyDescent="0.25">
      <c r="O272372" s="9"/>
    </row>
    <row r="272393" spans="15:15" x14ac:dyDescent="0.25">
      <c r="O272393" s="9"/>
    </row>
    <row r="272414" spans="15:15" x14ac:dyDescent="0.25">
      <c r="O272414" s="9"/>
    </row>
    <row r="272435" spans="15:15" x14ac:dyDescent="0.25">
      <c r="O272435" s="9"/>
    </row>
    <row r="272456" spans="15:15" x14ac:dyDescent="0.25">
      <c r="O272456" s="9"/>
    </row>
    <row r="272477" spans="15:15" x14ac:dyDescent="0.25">
      <c r="O272477" s="9"/>
    </row>
    <row r="272498" spans="15:15" x14ac:dyDescent="0.25">
      <c r="O272498" s="9"/>
    </row>
    <row r="272519" spans="15:15" x14ac:dyDescent="0.25">
      <c r="O272519" s="9"/>
    </row>
    <row r="272540" spans="15:15" x14ac:dyDescent="0.25">
      <c r="O272540" s="9"/>
    </row>
    <row r="272561" spans="15:15" x14ac:dyDescent="0.25">
      <c r="O272561" s="9"/>
    </row>
    <row r="272582" spans="15:15" x14ac:dyDescent="0.25">
      <c r="O272582" s="9"/>
    </row>
    <row r="272603" spans="15:15" x14ac:dyDescent="0.25">
      <c r="O272603" s="9"/>
    </row>
    <row r="272624" spans="15:15" x14ac:dyDescent="0.25">
      <c r="O272624" s="9"/>
    </row>
    <row r="272645" spans="15:15" x14ac:dyDescent="0.25">
      <c r="O272645" s="9"/>
    </row>
    <row r="272666" spans="15:15" x14ac:dyDescent="0.25">
      <c r="O272666" s="9"/>
    </row>
    <row r="272687" spans="15:15" x14ac:dyDescent="0.25">
      <c r="O272687" s="9"/>
    </row>
    <row r="272708" spans="15:15" x14ac:dyDescent="0.25">
      <c r="O272708" s="9"/>
    </row>
    <row r="272729" spans="15:15" x14ac:dyDescent="0.25">
      <c r="O272729" s="9"/>
    </row>
    <row r="272750" spans="15:15" x14ac:dyDescent="0.25">
      <c r="O272750" s="9"/>
    </row>
    <row r="272771" spans="15:15" x14ac:dyDescent="0.25">
      <c r="O272771" s="9"/>
    </row>
    <row r="272792" spans="15:15" x14ac:dyDescent="0.25">
      <c r="O272792" s="9"/>
    </row>
    <row r="272813" spans="15:15" x14ac:dyDescent="0.25">
      <c r="O272813" s="9"/>
    </row>
    <row r="272834" spans="15:15" x14ac:dyDescent="0.25">
      <c r="O272834" s="9"/>
    </row>
    <row r="272855" spans="15:15" x14ac:dyDescent="0.25">
      <c r="O272855" s="9"/>
    </row>
    <row r="272876" spans="15:15" x14ac:dyDescent="0.25">
      <c r="O272876" s="9"/>
    </row>
    <row r="272897" spans="15:15" x14ac:dyDescent="0.25">
      <c r="O272897" s="9"/>
    </row>
    <row r="272918" spans="15:15" x14ac:dyDescent="0.25">
      <c r="O272918" s="9"/>
    </row>
    <row r="272939" spans="15:15" x14ac:dyDescent="0.25">
      <c r="O272939" s="9"/>
    </row>
    <row r="272960" spans="15:15" x14ac:dyDescent="0.25">
      <c r="O272960" s="9"/>
    </row>
    <row r="272981" spans="15:15" x14ac:dyDescent="0.25">
      <c r="O272981" s="9"/>
    </row>
    <row r="273002" spans="15:15" x14ac:dyDescent="0.25">
      <c r="O273002" s="9"/>
    </row>
    <row r="273023" spans="15:15" x14ac:dyDescent="0.25">
      <c r="O273023" s="9"/>
    </row>
    <row r="273044" spans="15:15" x14ac:dyDescent="0.25">
      <c r="O273044" s="9"/>
    </row>
    <row r="273065" spans="15:15" x14ac:dyDescent="0.25">
      <c r="O273065" s="9"/>
    </row>
    <row r="273086" spans="15:15" x14ac:dyDescent="0.25">
      <c r="O273086" s="9"/>
    </row>
    <row r="273107" spans="15:15" x14ac:dyDescent="0.25">
      <c r="O273107" s="9"/>
    </row>
    <row r="273128" spans="15:15" x14ac:dyDescent="0.25">
      <c r="O273128" s="9"/>
    </row>
    <row r="273149" spans="15:15" x14ac:dyDescent="0.25">
      <c r="O273149" s="9"/>
    </row>
    <row r="273170" spans="15:15" x14ac:dyDescent="0.25">
      <c r="O273170" s="9"/>
    </row>
    <row r="273191" spans="15:15" x14ac:dyDescent="0.25">
      <c r="O273191" s="9"/>
    </row>
    <row r="273212" spans="15:15" x14ac:dyDescent="0.25">
      <c r="O273212" s="9"/>
    </row>
    <row r="273233" spans="15:15" x14ac:dyDescent="0.25">
      <c r="O273233" s="9"/>
    </row>
    <row r="273254" spans="15:15" x14ac:dyDescent="0.25">
      <c r="O273254" s="9"/>
    </row>
    <row r="273275" spans="15:15" x14ac:dyDescent="0.25">
      <c r="O273275" s="9"/>
    </row>
    <row r="273296" spans="15:15" x14ac:dyDescent="0.25">
      <c r="O273296" s="9"/>
    </row>
    <row r="273317" spans="15:15" x14ac:dyDescent="0.25">
      <c r="O273317" s="9"/>
    </row>
    <row r="273338" spans="15:15" x14ac:dyDescent="0.25">
      <c r="O273338" s="9"/>
    </row>
    <row r="273359" spans="15:15" x14ac:dyDescent="0.25">
      <c r="O273359" s="9"/>
    </row>
    <row r="273380" spans="15:15" x14ac:dyDescent="0.25">
      <c r="O273380" s="9"/>
    </row>
    <row r="273401" spans="15:15" x14ac:dyDescent="0.25">
      <c r="O273401" s="9"/>
    </row>
    <row r="273422" spans="15:15" x14ac:dyDescent="0.25">
      <c r="O273422" s="9"/>
    </row>
    <row r="273443" spans="15:15" x14ac:dyDescent="0.25">
      <c r="O273443" s="9"/>
    </row>
    <row r="273464" spans="15:15" x14ac:dyDescent="0.25">
      <c r="O273464" s="9"/>
    </row>
    <row r="273485" spans="15:15" x14ac:dyDescent="0.25">
      <c r="O273485" s="9"/>
    </row>
    <row r="273506" spans="15:15" x14ac:dyDescent="0.25">
      <c r="O273506" s="9"/>
    </row>
    <row r="273527" spans="15:15" x14ac:dyDescent="0.25">
      <c r="O273527" s="9"/>
    </row>
    <row r="273548" spans="15:15" x14ac:dyDescent="0.25">
      <c r="O273548" s="9"/>
    </row>
    <row r="273569" spans="15:15" x14ac:dyDescent="0.25">
      <c r="O273569" s="9"/>
    </row>
    <row r="273590" spans="15:15" x14ac:dyDescent="0.25">
      <c r="O273590" s="9"/>
    </row>
    <row r="273611" spans="15:15" x14ac:dyDescent="0.25">
      <c r="O273611" s="9"/>
    </row>
    <row r="273632" spans="15:15" x14ac:dyDescent="0.25">
      <c r="O273632" s="9"/>
    </row>
    <row r="273653" spans="15:15" x14ac:dyDescent="0.25">
      <c r="O273653" s="9"/>
    </row>
    <row r="273674" spans="15:15" x14ac:dyDescent="0.25">
      <c r="O273674" s="9"/>
    </row>
    <row r="273695" spans="15:15" x14ac:dyDescent="0.25">
      <c r="O273695" s="9"/>
    </row>
    <row r="273716" spans="15:15" x14ac:dyDescent="0.25">
      <c r="O273716" s="9"/>
    </row>
    <row r="273737" spans="15:15" x14ac:dyDescent="0.25">
      <c r="O273737" s="9"/>
    </row>
    <row r="273758" spans="15:15" x14ac:dyDescent="0.25">
      <c r="O273758" s="9"/>
    </row>
    <row r="273779" spans="15:15" x14ac:dyDescent="0.25">
      <c r="O273779" s="9"/>
    </row>
    <row r="273800" spans="15:15" x14ac:dyDescent="0.25">
      <c r="O273800" s="9"/>
    </row>
    <row r="273821" spans="15:15" x14ac:dyDescent="0.25">
      <c r="O273821" s="9"/>
    </row>
    <row r="273842" spans="15:15" x14ac:dyDescent="0.25">
      <c r="O273842" s="9"/>
    </row>
    <row r="273863" spans="15:15" x14ac:dyDescent="0.25">
      <c r="O273863" s="9"/>
    </row>
    <row r="273884" spans="15:15" x14ac:dyDescent="0.25">
      <c r="O273884" s="9"/>
    </row>
    <row r="273905" spans="15:15" x14ac:dyDescent="0.25">
      <c r="O273905" s="9"/>
    </row>
    <row r="273926" spans="15:15" x14ac:dyDescent="0.25">
      <c r="O273926" s="9"/>
    </row>
    <row r="273947" spans="15:15" x14ac:dyDescent="0.25">
      <c r="O273947" s="9"/>
    </row>
    <row r="273968" spans="15:15" x14ac:dyDescent="0.25">
      <c r="O273968" s="9"/>
    </row>
    <row r="273989" spans="15:15" x14ac:dyDescent="0.25">
      <c r="O273989" s="9"/>
    </row>
    <row r="274010" spans="15:15" x14ac:dyDescent="0.25">
      <c r="O274010" s="9"/>
    </row>
    <row r="274031" spans="15:15" x14ac:dyDescent="0.25">
      <c r="O274031" s="9"/>
    </row>
    <row r="274052" spans="15:15" x14ac:dyDescent="0.25">
      <c r="O274052" s="9"/>
    </row>
    <row r="274073" spans="15:15" x14ac:dyDescent="0.25">
      <c r="O274073" s="9"/>
    </row>
    <row r="274094" spans="15:15" x14ac:dyDescent="0.25">
      <c r="O274094" s="9"/>
    </row>
    <row r="274115" spans="15:15" x14ac:dyDescent="0.25">
      <c r="O274115" s="9"/>
    </row>
    <row r="274136" spans="15:15" x14ac:dyDescent="0.25">
      <c r="O274136" s="9"/>
    </row>
    <row r="274157" spans="15:15" x14ac:dyDescent="0.25">
      <c r="O274157" s="9"/>
    </row>
    <row r="274178" spans="15:15" x14ac:dyDescent="0.25">
      <c r="O274178" s="9"/>
    </row>
    <row r="274199" spans="15:15" x14ac:dyDescent="0.25">
      <c r="O274199" s="9"/>
    </row>
    <row r="274220" spans="15:15" x14ac:dyDescent="0.25">
      <c r="O274220" s="9"/>
    </row>
    <row r="274241" spans="15:15" x14ac:dyDescent="0.25">
      <c r="O274241" s="9"/>
    </row>
    <row r="274262" spans="15:15" x14ac:dyDescent="0.25">
      <c r="O274262" s="9"/>
    </row>
    <row r="274283" spans="15:15" x14ac:dyDescent="0.25">
      <c r="O274283" s="9"/>
    </row>
    <row r="274304" spans="15:15" x14ac:dyDescent="0.25">
      <c r="O274304" s="9"/>
    </row>
    <row r="274325" spans="15:15" x14ac:dyDescent="0.25">
      <c r="O274325" s="9"/>
    </row>
    <row r="274346" spans="15:15" x14ac:dyDescent="0.25">
      <c r="O274346" s="9"/>
    </row>
    <row r="274367" spans="15:15" x14ac:dyDescent="0.25">
      <c r="O274367" s="9"/>
    </row>
    <row r="274388" spans="15:15" x14ac:dyDescent="0.25">
      <c r="O274388" s="9"/>
    </row>
    <row r="274409" spans="15:15" x14ac:dyDescent="0.25">
      <c r="O274409" s="9"/>
    </row>
    <row r="274430" spans="15:15" x14ac:dyDescent="0.25">
      <c r="O274430" s="9"/>
    </row>
    <row r="274451" spans="15:15" x14ac:dyDescent="0.25">
      <c r="O274451" s="9"/>
    </row>
    <row r="274472" spans="15:15" x14ac:dyDescent="0.25">
      <c r="O274472" s="9"/>
    </row>
    <row r="274493" spans="15:15" x14ac:dyDescent="0.25">
      <c r="O274493" s="9"/>
    </row>
    <row r="274514" spans="15:15" x14ac:dyDescent="0.25">
      <c r="O274514" s="9"/>
    </row>
    <row r="274535" spans="15:15" x14ac:dyDescent="0.25">
      <c r="O274535" s="9"/>
    </row>
    <row r="274556" spans="15:15" x14ac:dyDescent="0.25">
      <c r="O274556" s="9"/>
    </row>
    <row r="274577" spans="15:15" x14ac:dyDescent="0.25">
      <c r="O274577" s="9"/>
    </row>
    <row r="274598" spans="15:15" x14ac:dyDescent="0.25">
      <c r="O274598" s="9"/>
    </row>
    <row r="274619" spans="15:15" x14ac:dyDescent="0.25">
      <c r="O274619" s="9"/>
    </row>
    <row r="274640" spans="15:15" x14ac:dyDescent="0.25">
      <c r="O274640" s="9"/>
    </row>
    <row r="274661" spans="15:15" x14ac:dyDescent="0.25">
      <c r="O274661" s="9"/>
    </row>
    <row r="274682" spans="15:15" x14ac:dyDescent="0.25">
      <c r="O274682" s="9"/>
    </row>
    <row r="274703" spans="15:15" x14ac:dyDescent="0.25">
      <c r="O274703" s="9"/>
    </row>
    <row r="274724" spans="15:15" x14ac:dyDescent="0.25">
      <c r="O274724" s="9"/>
    </row>
    <row r="274745" spans="15:15" x14ac:dyDescent="0.25">
      <c r="O274745" s="9"/>
    </row>
    <row r="274766" spans="15:15" x14ac:dyDescent="0.25">
      <c r="O274766" s="9"/>
    </row>
    <row r="274787" spans="15:15" x14ac:dyDescent="0.25">
      <c r="O274787" s="9"/>
    </row>
    <row r="274808" spans="15:15" x14ac:dyDescent="0.25">
      <c r="O274808" s="9"/>
    </row>
    <row r="274829" spans="15:15" x14ac:dyDescent="0.25">
      <c r="O274829" s="9"/>
    </row>
    <row r="274850" spans="15:15" x14ac:dyDescent="0.25">
      <c r="O274850" s="9"/>
    </row>
    <row r="274871" spans="15:15" x14ac:dyDescent="0.25">
      <c r="O274871" s="9"/>
    </row>
    <row r="274892" spans="15:15" x14ac:dyDescent="0.25">
      <c r="O274892" s="9"/>
    </row>
    <row r="274913" spans="15:15" x14ac:dyDescent="0.25">
      <c r="O274913" s="9"/>
    </row>
    <row r="274934" spans="15:15" x14ac:dyDescent="0.25">
      <c r="O274934" s="9"/>
    </row>
    <row r="274955" spans="15:15" x14ac:dyDescent="0.25">
      <c r="O274955" s="9"/>
    </row>
    <row r="274976" spans="15:15" x14ac:dyDescent="0.25">
      <c r="O274976" s="9"/>
    </row>
    <row r="274997" spans="15:15" x14ac:dyDescent="0.25">
      <c r="O274997" s="9"/>
    </row>
    <row r="275018" spans="15:15" x14ac:dyDescent="0.25">
      <c r="O275018" s="9"/>
    </row>
    <row r="275039" spans="15:15" x14ac:dyDescent="0.25">
      <c r="O275039" s="9"/>
    </row>
    <row r="275060" spans="15:15" x14ac:dyDescent="0.25">
      <c r="O275060" s="9"/>
    </row>
    <row r="275081" spans="15:15" x14ac:dyDescent="0.25">
      <c r="O275081" s="9"/>
    </row>
    <row r="275102" spans="15:15" x14ac:dyDescent="0.25">
      <c r="O275102" s="9"/>
    </row>
    <row r="275123" spans="15:15" x14ac:dyDescent="0.25">
      <c r="O275123" s="9"/>
    </row>
    <row r="275144" spans="15:15" x14ac:dyDescent="0.25">
      <c r="O275144" s="9"/>
    </row>
    <row r="275165" spans="15:15" x14ac:dyDescent="0.25">
      <c r="O275165" s="9"/>
    </row>
    <row r="275186" spans="15:15" x14ac:dyDescent="0.25">
      <c r="O275186" s="9"/>
    </row>
    <row r="275207" spans="15:15" x14ac:dyDescent="0.25">
      <c r="O275207" s="9"/>
    </row>
    <row r="275228" spans="15:15" x14ac:dyDescent="0.25">
      <c r="O275228" s="9"/>
    </row>
    <row r="275249" spans="15:15" x14ac:dyDescent="0.25">
      <c r="O275249" s="9"/>
    </row>
    <row r="275270" spans="15:15" x14ac:dyDescent="0.25">
      <c r="O275270" s="9"/>
    </row>
    <row r="275291" spans="15:15" x14ac:dyDescent="0.25">
      <c r="O275291" s="9"/>
    </row>
    <row r="275312" spans="15:15" x14ac:dyDescent="0.25">
      <c r="O275312" s="9"/>
    </row>
    <row r="275333" spans="15:15" x14ac:dyDescent="0.25">
      <c r="O275333" s="9"/>
    </row>
    <row r="275354" spans="15:15" x14ac:dyDescent="0.25">
      <c r="O275354" s="9"/>
    </row>
    <row r="275375" spans="15:15" x14ac:dyDescent="0.25">
      <c r="O275375" s="9"/>
    </row>
    <row r="275396" spans="15:15" x14ac:dyDescent="0.25">
      <c r="O275396" s="9"/>
    </row>
    <row r="275417" spans="15:15" x14ac:dyDescent="0.25">
      <c r="O275417" s="9"/>
    </row>
    <row r="275438" spans="15:15" x14ac:dyDescent="0.25">
      <c r="O275438" s="9"/>
    </row>
    <row r="275459" spans="15:15" x14ac:dyDescent="0.25">
      <c r="O275459" s="9"/>
    </row>
    <row r="275480" spans="15:15" x14ac:dyDescent="0.25">
      <c r="O275480" s="9"/>
    </row>
    <row r="275501" spans="15:15" x14ac:dyDescent="0.25">
      <c r="O275501" s="9"/>
    </row>
    <row r="275522" spans="15:15" x14ac:dyDescent="0.25">
      <c r="O275522" s="9"/>
    </row>
    <row r="275543" spans="15:15" x14ac:dyDescent="0.25">
      <c r="O275543" s="9"/>
    </row>
    <row r="275564" spans="15:15" x14ac:dyDescent="0.25">
      <c r="O275564" s="9"/>
    </row>
    <row r="275585" spans="15:15" x14ac:dyDescent="0.25">
      <c r="O275585" s="9"/>
    </row>
    <row r="275606" spans="15:15" x14ac:dyDescent="0.25">
      <c r="O275606" s="9"/>
    </row>
    <row r="275627" spans="15:15" x14ac:dyDescent="0.25">
      <c r="O275627" s="9"/>
    </row>
    <row r="275648" spans="15:15" x14ac:dyDescent="0.25">
      <c r="O275648" s="9"/>
    </row>
    <row r="275669" spans="15:15" x14ac:dyDescent="0.25">
      <c r="O275669" s="9"/>
    </row>
    <row r="275690" spans="15:15" x14ac:dyDescent="0.25">
      <c r="O275690" s="9"/>
    </row>
    <row r="275711" spans="15:15" x14ac:dyDescent="0.25">
      <c r="O275711" s="9"/>
    </row>
    <row r="275732" spans="15:15" x14ac:dyDescent="0.25">
      <c r="O275732" s="9"/>
    </row>
    <row r="275753" spans="15:15" x14ac:dyDescent="0.25">
      <c r="O275753" s="9"/>
    </row>
    <row r="275774" spans="15:15" x14ac:dyDescent="0.25">
      <c r="O275774" s="9"/>
    </row>
    <row r="275795" spans="15:15" x14ac:dyDescent="0.25">
      <c r="O275795" s="9"/>
    </row>
    <row r="275816" spans="15:15" x14ac:dyDescent="0.25">
      <c r="O275816" s="9"/>
    </row>
    <row r="275837" spans="15:15" x14ac:dyDescent="0.25">
      <c r="O275837" s="9"/>
    </row>
    <row r="275858" spans="15:15" x14ac:dyDescent="0.25">
      <c r="O275858" s="9"/>
    </row>
    <row r="275879" spans="15:15" x14ac:dyDescent="0.25">
      <c r="O275879" s="9"/>
    </row>
    <row r="275900" spans="15:15" x14ac:dyDescent="0.25">
      <c r="O275900" s="9"/>
    </row>
    <row r="275921" spans="15:15" x14ac:dyDescent="0.25">
      <c r="O275921" s="9"/>
    </row>
    <row r="275942" spans="15:15" x14ac:dyDescent="0.25">
      <c r="O275942" s="9"/>
    </row>
    <row r="275963" spans="15:15" x14ac:dyDescent="0.25">
      <c r="O275963" s="9"/>
    </row>
    <row r="275984" spans="15:15" x14ac:dyDescent="0.25">
      <c r="O275984" s="9"/>
    </row>
    <row r="276005" spans="15:15" x14ac:dyDescent="0.25">
      <c r="O276005" s="9"/>
    </row>
    <row r="276026" spans="15:15" x14ac:dyDescent="0.25">
      <c r="O276026" s="9"/>
    </row>
    <row r="276047" spans="15:15" x14ac:dyDescent="0.25">
      <c r="O276047" s="9"/>
    </row>
    <row r="276068" spans="15:15" x14ac:dyDescent="0.25">
      <c r="O276068" s="9"/>
    </row>
    <row r="276089" spans="15:15" x14ac:dyDescent="0.25">
      <c r="O276089" s="9"/>
    </row>
    <row r="276110" spans="15:15" x14ac:dyDescent="0.25">
      <c r="O276110" s="9"/>
    </row>
    <row r="276131" spans="15:15" x14ac:dyDescent="0.25">
      <c r="O276131" s="9"/>
    </row>
    <row r="276152" spans="15:15" x14ac:dyDescent="0.25">
      <c r="O276152" s="9"/>
    </row>
    <row r="276173" spans="15:15" x14ac:dyDescent="0.25">
      <c r="O276173" s="9"/>
    </row>
    <row r="276194" spans="15:15" x14ac:dyDescent="0.25">
      <c r="O276194" s="9"/>
    </row>
    <row r="276215" spans="15:15" x14ac:dyDescent="0.25">
      <c r="O276215" s="9"/>
    </row>
    <row r="276236" spans="15:15" x14ac:dyDescent="0.25">
      <c r="O276236" s="9"/>
    </row>
    <row r="276257" spans="15:15" x14ac:dyDescent="0.25">
      <c r="O276257" s="9"/>
    </row>
    <row r="276278" spans="15:15" x14ac:dyDescent="0.25">
      <c r="O276278" s="9"/>
    </row>
    <row r="276299" spans="15:15" x14ac:dyDescent="0.25">
      <c r="O276299" s="9"/>
    </row>
    <row r="276320" spans="15:15" x14ac:dyDescent="0.25">
      <c r="O276320" s="9"/>
    </row>
    <row r="276341" spans="15:15" x14ac:dyDescent="0.25">
      <c r="O276341" s="9"/>
    </row>
    <row r="276362" spans="15:15" x14ac:dyDescent="0.25">
      <c r="O276362" s="9"/>
    </row>
    <row r="276383" spans="15:15" x14ac:dyDescent="0.25">
      <c r="O276383" s="9"/>
    </row>
    <row r="276404" spans="15:15" x14ac:dyDescent="0.25">
      <c r="O276404" s="9"/>
    </row>
    <row r="276425" spans="15:15" x14ac:dyDescent="0.25">
      <c r="O276425" s="9"/>
    </row>
    <row r="276446" spans="15:15" x14ac:dyDescent="0.25">
      <c r="O276446" s="9"/>
    </row>
    <row r="276467" spans="15:15" x14ac:dyDescent="0.25">
      <c r="O276467" s="9"/>
    </row>
    <row r="276488" spans="15:15" x14ac:dyDescent="0.25">
      <c r="O276488" s="9"/>
    </row>
    <row r="276509" spans="15:15" x14ac:dyDescent="0.25">
      <c r="O276509" s="9"/>
    </row>
    <row r="276530" spans="15:15" x14ac:dyDescent="0.25">
      <c r="O276530" s="9"/>
    </row>
    <row r="276551" spans="15:15" x14ac:dyDescent="0.25">
      <c r="O276551" s="9"/>
    </row>
    <row r="276572" spans="15:15" x14ac:dyDescent="0.25">
      <c r="O276572" s="9"/>
    </row>
    <row r="276593" spans="15:15" x14ac:dyDescent="0.25">
      <c r="O276593" s="9"/>
    </row>
    <row r="276614" spans="15:15" x14ac:dyDescent="0.25">
      <c r="O276614" s="9"/>
    </row>
    <row r="276635" spans="15:15" x14ac:dyDescent="0.25">
      <c r="O276635" s="9"/>
    </row>
    <row r="276656" spans="15:15" x14ac:dyDescent="0.25">
      <c r="O276656" s="9"/>
    </row>
    <row r="276677" spans="15:15" x14ac:dyDescent="0.25">
      <c r="O276677" s="9"/>
    </row>
    <row r="276698" spans="15:15" x14ac:dyDescent="0.25">
      <c r="O276698" s="9"/>
    </row>
    <row r="276719" spans="15:15" x14ac:dyDescent="0.25">
      <c r="O276719" s="9"/>
    </row>
    <row r="276740" spans="15:15" x14ac:dyDescent="0.25">
      <c r="O276740" s="9"/>
    </row>
    <row r="276761" spans="15:15" x14ac:dyDescent="0.25">
      <c r="O276761" s="9"/>
    </row>
    <row r="276782" spans="15:15" x14ac:dyDescent="0.25">
      <c r="O276782" s="9"/>
    </row>
    <row r="276803" spans="15:15" x14ac:dyDescent="0.25">
      <c r="O276803" s="9"/>
    </row>
    <row r="276824" spans="15:15" x14ac:dyDescent="0.25">
      <c r="O276824" s="9"/>
    </row>
    <row r="276845" spans="15:15" x14ac:dyDescent="0.25">
      <c r="O276845" s="9"/>
    </row>
    <row r="276866" spans="15:15" x14ac:dyDescent="0.25">
      <c r="O276866" s="9"/>
    </row>
    <row r="276887" spans="15:15" x14ac:dyDescent="0.25">
      <c r="O276887" s="9"/>
    </row>
    <row r="276908" spans="15:15" x14ac:dyDescent="0.25">
      <c r="O276908" s="9"/>
    </row>
    <row r="276929" spans="15:15" x14ac:dyDescent="0.25">
      <c r="O276929" s="9"/>
    </row>
    <row r="276950" spans="15:15" x14ac:dyDescent="0.25">
      <c r="O276950" s="9"/>
    </row>
    <row r="276971" spans="15:15" x14ac:dyDescent="0.25">
      <c r="O276971" s="9"/>
    </row>
    <row r="276992" spans="15:15" x14ac:dyDescent="0.25">
      <c r="O276992" s="9"/>
    </row>
    <row r="277013" spans="15:15" x14ac:dyDescent="0.25">
      <c r="O277013" s="9"/>
    </row>
    <row r="277034" spans="15:15" x14ac:dyDescent="0.25">
      <c r="O277034" s="9"/>
    </row>
    <row r="277055" spans="15:15" x14ac:dyDescent="0.25">
      <c r="O277055" s="9"/>
    </row>
    <row r="277076" spans="15:15" x14ac:dyDescent="0.25">
      <c r="O277076" s="9"/>
    </row>
    <row r="277097" spans="15:15" x14ac:dyDescent="0.25">
      <c r="O277097" s="9"/>
    </row>
    <row r="277118" spans="15:15" x14ac:dyDescent="0.25">
      <c r="O277118" s="9"/>
    </row>
    <row r="277139" spans="15:15" x14ac:dyDescent="0.25">
      <c r="O277139" s="9"/>
    </row>
    <row r="277160" spans="15:15" x14ac:dyDescent="0.25">
      <c r="O277160" s="9"/>
    </row>
    <row r="277181" spans="15:15" x14ac:dyDescent="0.25">
      <c r="O277181" s="9"/>
    </row>
    <row r="277202" spans="15:15" x14ac:dyDescent="0.25">
      <c r="O277202" s="9"/>
    </row>
    <row r="277223" spans="15:15" x14ac:dyDescent="0.25">
      <c r="O277223" s="9"/>
    </row>
    <row r="277244" spans="15:15" x14ac:dyDescent="0.25">
      <c r="O277244" s="9"/>
    </row>
    <row r="277265" spans="15:15" x14ac:dyDescent="0.25">
      <c r="O277265" s="9"/>
    </row>
    <row r="277286" spans="15:15" x14ac:dyDescent="0.25">
      <c r="O277286" s="9"/>
    </row>
    <row r="277307" spans="15:15" x14ac:dyDescent="0.25">
      <c r="O277307" s="9"/>
    </row>
    <row r="277328" spans="15:15" x14ac:dyDescent="0.25">
      <c r="O277328" s="9"/>
    </row>
    <row r="277349" spans="15:15" x14ac:dyDescent="0.25">
      <c r="O277349" s="9"/>
    </row>
    <row r="277370" spans="15:15" x14ac:dyDescent="0.25">
      <c r="O277370" s="9"/>
    </row>
    <row r="277391" spans="15:15" x14ac:dyDescent="0.25">
      <c r="O277391" s="9"/>
    </row>
    <row r="277412" spans="15:15" x14ac:dyDescent="0.25">
      <c r="O277412" s="9"/>
    </row>
    <row r="277433" spans="15:15" x14ac:dyDescent="0.25">
      <c r="O277433" s="9"/>
    </row>
    <row r="277454" spans="15:15" x14ac:dyDescent="0.25">
      <c r="O277454" s="9"/>
    </row>
    <row r="277475" spans="15:15" x14ac:dyDescent="0.25">
      <c r="O277475" s="9"/>
    </row>
    <row r="277496" spans="15:15" x14ac:dyDescent="0.25">
      <c r="O277496" s="9"/>
    </row>
    <row r="277517" spans="15:15" x14ac:dyDescent="0.25">
      <c r="O277517" s="9"/>
    </row>
    <row r="277538" spans="15:15" x14ac:dyDescent="0.25">
      <c r="O277538" s="9"/>
    </row>
    <row r="277559" spans="15:15" x14ac:dyDescent="0.25">
      <c r="O277559" s="9"/>
    </row>
    <row r="277580" spans="15:15" x14ac:dyDescent="0.25">
      <c r="O277580" s="9"/>
    </row>
    <row r="277601" spans="15:15" x14ac:dyDescent="0.25">
      <c r="O277601" s="9"/>
    </row>
    <row r="277622" spans="15:15" x14ac:dyDescent="0.25">
      <c r="O277622" s="9"/>
    </row>
    <row r="277643" spans="15:15" x14ac:dyDescent="0.25">
      <c r="O277643" s="9"/>
    </row>
    <row r="277664" spans="15:15" x14ac:dyDescent="0.25">
      <c r="O277664" s="9"/>
    </row>
    <row r="277685" spans="15:15" x14ac:dyDescent="0.25">
      <c r="O277685" s="9"/>
    </row>
    <row r="277706" spans="15:15" x14ac:dyDescent="0.25">
      <c r="O277706" s="9"/>
    </row>
    <row r="277727" spans="15:15" x14ac:dyDescent="0.25">
      <c r="O277727" s="9"/>
    </row>
    <row r="277748" spans="15:15" x14ac:dyDescent="0.25">
      <c r="O277748" s="9"/>
    </row>
    <row r="277769" spans="15:15" x14ac:dyDescent="0.25">
      <c r="O277769" s="9"/>
    </row>
    <row r="277790" spans="15:15" x14ac:dyDescent="0.25">
      <c r="O277790" s="9"/>
    </row>
    <row r="277811" spans="15:15" x14ac:dyDescent="0.25">
      <c r="O277811" s="9"/>
    </row>
    <row r="277832" spans="15:15" x14ac:dyDescent="0.25">
      <c r="O277832" s="9"/>
    </row>
    <row r="277853" spans="15:15" x14ac:dyDescent="0.25">
      <c r="O277853" s="9"/>
    </row>
    <row r="277874" spans="15:15" x14ac:dyDescent="0.25">
      <c r="O277874" s="9"/>
    </row>
    <row r="277895" spans="15:15" x14ac:dyDescent="0.25">
      <c r="O277895" s="9"/>
    </row>
    <row r="277916" spans="15:15" x14ac:dyDescent="0.25">
      <c r="O277916" s="9"/>
    </row>
    <row r="277937" spans="15:15" x14ac:dyDescent="0.25">
      <c r="O277937" s="9"/>
    </row>
    <row r="277958" spans="15:15" x14ac:dyDescent="0.25">
      <c r="O277958" s="9"/>
    </row>
    <row r="277979" spans="15:15" x14ac:dyDescent="0.25">
      <c r="O277979" s="9"/>
    </row>
    <row r="278000" spans="15:15" x14ac:dyDescent="0.25">
      <c r="O278000" s="9"/>
    </row>
    <row r="278021" spans="15:15" x14ac:dyDescent="0.25">
      <c r="O278021" s="9"/>
    </row>
    <row r="278042" spans="15:15" x14ac:dyDescent="0.25">
      <c r="O278042" s="9"/>
    </row>
    <row r="278063" spans="15:15" x14ac:dyDescent="0.25">
      <c r="O278063" s="9"/>
    </row>
    <row r="278084" spans="15:15" x14ac:dyDescent="0.25">
      <c r="O278084" s="9"/>
    </row>
    <row r="278105" spans="15:15" x14ac:dyDescent="0.25">
      <c r="O278105" s="9"/>
    </row>
    <row r="278126" spans="15:15" x14ac:dyDescent="0.25">
      <c r="O278126" s="9"/>
    </row>
    <row r="278147" spans="15:15" x14ac:dyDescent="0.25">
      <c r="O278147" s="9"/>
    </row>
    <row r="278168" spans="15:15" x14ac:dyDescent="0.25">
      <c r="O278168" s="9"/>
    </row>
    <row r="278189" spans="15:15" x14ac:dyDescent="0.25">
      <c r="O278189" s="9"/>
    </row>
    <row r="278210" spans="15:15" x14ac:dyDescent="0.25">
      <c r="O278210" s="9"/>
    </row>
    <row r="278231" spans="15:15" x14ac:dyDescent="0.25">
      <c r="O278231" s="9"/>
    </row>
    <row r="278252" spans="15:15" x14ac:dyDescent="0.25">
      <c r="O278252" s="9"/>
    </row>
    <row r="278273" spans="15:15" x14ac:dyDescent="0.25">
      <c r="O278273" s="9"/>
    </row>
    <row r="278294" spans="15:15" x14ac:dyDescent="0.25">
      <c r="O278294" s="9"/>
    </row>
    <row r="278315" spans="15:15" x14ac:dyDescent="0.25">
      <c r="O278315" s="9"/>
    </row>
    <row r="278336" spans="15:15" x14ac:dyDescent="0.25">
      <c r="O278336" s="9"/>
    </row>
    <row r="278357" spans="15:15" x14ac:dyDescent="0.25">
      <c r="O278357" s="9"/>
    </row>
    <row r="278378" spans="15:15" x14ac:dyDescent="0.25">
      <c r="O278378" s="9"/>
    </row>
    <row r="278399" spans="15:15" x14ac:dyDescent="0.25">
      <c r="O278399" s="9"/>
    </row>
    <row r="278420" spans="15:15" x14ac:dyDescent="0.25">
      <c r="O278420" s="9"/>
    </row>
    <row r="278441" spans="15:15" x14ac:dyDescent="0.25">
      <c r="O278441" s="9"/>
    </row>
    <row r="278462" spans="15:15" x14ac:dyDescent="0.25">
      <c r="O278462" s="9"/>
    </row>
    <row r="278483" spans="15:15" x14ac:dyDescent="0.25">
      <c r="O278483" s="9"/>
    </row>
    <row r="278504" spans="15:15" x14ac:dyDescent="0.25">
      <c r="O278504" s="9"/>
    </row>
    <row r="278525" spans="15:15" x14ac:dyDescent="0.25">
      <c r="O278525" s="9"/>
    </row>
    <row r="278546" spans="15:15" x14ac:dyDescent="0.25">
      <c r="O278546" s="9"/>
    </row>
    <row r="278567" spans="15:15" x14ac:dyDescent="0.25">
      <c r="O278567" s="9"/>
    </row>
    <row r="278588" spans="15:15" x14ac:dyDescent="0.25">
      <c r="O278588" s="9"/>
    </row>
    <row r="278609" spans="15:15" x14ac:dyDescent="0.25">
      <c r="O278609" s="9"/>
    </row>
    <row r="278630" spans="15:15" x14ac:dyDescent="0.25">
      <c r="O278630" s="9"/>
    </row>
    <row r="278651" spans="15:15" x14ac:dyDescent="0.25">
      <c r="O278651" s="9"/>
    </row>
    <row r="278672" spans="15:15" x14ac:dyDescent="0.25">
      <c r="O278672" s="9"/>
    </row>
    <row r="278693" spans="15:15" x14ac:dyDescent="0.25">
      <c r="O278693" s="9"/>
    </row>
    <row r="278714" spans="15:15" x14ac:dyDescent="0.25">
      <c r="O278714" s="9"/>
    </row>
    <row r="278735" spans="15:15" x14ac:dyDescent="0.25">
      <c r="O278735" s="9"/>
    </row>
    <row r="278756" spans="15:15" x14ac:dyDescent="0.25">
      <c r="O278756" s="9"/>
    </row>
    <row r="278777" spans="15:15" x14ac:dyDescent="0.25">
      <c r="O278777" s="9"/>
    </row>
    <row r="278798" spans="15:15" x14ac:dyDescent="0.25">
      <c r="O278798" s="9"/>
    </row>
    <row r="278819" spans="15:15" x14ac:dyDescent="0.25">
      <c r="O278819" s="9"/>
    </row>
    <row r="278840" spans="15:15" x14ac:dyDescent="0.25">
      <c r="O278840" s="9"/>
    </row>
    <row r="278861" spans="15:15" x14ac:dyDescent="0.25">
      <c r="O278861" s="9"/>
    </row>
    <row r="278882" spans="15:15" x14ac:dyDescent="0.25">
      <c r="O278882" s="9"/>
    </row>
    <row r="278903" spans="15:15" x14ac:dyDescent="0.25">
      <c r="O278903" s="9"/>
    </row>
    <row r="278924" spans="15:15" x14ac:dyDescent="0.25">
      <c r="O278924" s="9"/>
    </row>
    <row r="278945" spans="15:15" x14ac:dyDescent="0.25">
      <c r="O278945" s="9"/>
    </row>
    <row r="278966" spans="15:15" x14ac:dyDescent="0.25">
      <c r="O278966" s="9"/>
    </row>
    <row r="278987" spans="15:15" x14ac:dyDescent="0.25">
      <c r="O278987" s="9"/>
    </row>
    <row r="279008" spans="15:15" x14ac:dyDescent="0.25">
      <c r="O279008" s="9"/>
    </row>
    <row r="279029" spans="15:15" x14ac:dyDescent="0.25">
      <c r="O279029" s="9"/>
    </row>
    <row r="279050" spans="15:15" x14ac:dyDescent="0.25">
      <c r="O279050" s="9"/>
    </row>
    <row r="279071" spans="15:15" x14ac:dyDescent="0.25">
      <c r="O279071" s="9"/>
    </row>
    <row r="279092" spans="15:15" x14ac:dyDescent="0.25">
      <c r="O279092" s="9"/>
    </row>
    <row r="279113" spans="15:15" x14ac:dyDescent="0.25">
      <c r="O279113" s="9"/>
    </row>
    <row r="279134" spans="15:15" x14ac:dyDescent="0.25">
      <c r="O279134" s="9"/>
    </row>
    <row r="279155" spans="15:15" x14ac:dyDescent="0.25">
      <c r="O279155" s="9"/>
    </row>
    <row r="279176" spans="15:15" x14ac:dyDescent="0.25">
      <c r="O279176" s="9"/>
    </row>
    <row r="279197" spans="15:15" x14ac:dyDescent="0.25">
      <c r="O279197" s="9"/>
    </row>
    <row r="279218" spans="15:15" x14ac:dyDescent="0.25">
      <c r="O279218" s="9"/>
    </row>
    <row r="279239" spans="15:15" x14ac:dyDescent="0.25">
      <c r="O279239" s="9"/>
    </row>
    <row r="279260" spans="15:15" x14ac:dyDescent="0.25">
      <c r="O279260" s="9"/>
    </row>
    <row r="279281" spans="15:15" x14ac:dyDescent="0.25">
      <c r="O279281" s="9"/>
    </row>
    <row r="279302" spans="15:15" x14ac:dyDescent="0.25">
      <c r="O279302" s="9"/>
    </row>
    <row r="279323" spans="15:15" x14ac:dyDescent="0.25">
      <c r="O279323" s="9"/>
    </row>
    <row r="279344" spans="15:15" x14ac:dyDescent="0.25">
      <c r="O279344" s="9"/>
    </row>
    <row r="279365" spans="15:15" x14ac:dyDescent="0.25">
      <c r="O279365" s="9"/>
    </row>
    <row r="279386" spans="15:15" x14ac:dyDescent="0.25">
      <c r="O279386" s="9"/>
    </row>
    <row r="279407" spans="15:15" x14ac:dyDescent="0.25">
      <c r="O279407" s="9"/>
    </row>
    <row r="279428" spans="15:15" x14ac:dyDescent="0.25">
      <c r="O279428" s="9"/>
    </row>
    <row r="279449" spans="15:15" x14ac:dyDescent="0.25">
      <c r="O279449" s="9"/>
    </row>
    <row r="279470" spans="15:15" x14ac:dyDescent="0.25">
      <c r="O279470" s="9"/>
    </row>
    <row r="279491" spans="15:15" x14ac:dyDescent="0.25">
      <c r="O279491" s="9"/>
    </row>
    <row r="279512" spans="15:15" x14ac:dyDescent="0.25">
      <c r="O279512" s="9"/>
    </row>
    <row r="279533" spans="15:15" x14ac:dyDescent="0.25">
      <c r="O279533" s="9"/>
    </row>
    <row r="279554" spans="15:15" x14ac:dyDescent="0.25">
      <c r="O279554" s="9"/>
    </row>
    <row r="279575" spans="15:15" x14ac:dyDescent="0.25">
      <c r="O279575" s="9"/>
    </row>
    <row r="279596" spans="15:15" x14ac:dyDescent="0.25">
      <c r="O279596" s="9"/>
    </row>
    <row r="279617" spans="15:15" x14ac:dyDescent="0.25">
      <c r="O279617" s="9"/>
    </row>
    <row r="279638" spans="15:15" x14ac:dyDescent="0.25">
      <c r="O279638" s="9"/>
    </row>
    <row r="279659" spans="15:15" x14ac:dyDescent="0.25">
      <c r="O279659" s="9"/>
    </row>
    <row r="279680" spans="15:15" x14ac:dyDescent="0.25">
      <c r="O279680" s="9"/>
    </row>
    <row r="279701" spans="15:15" x14ac:dyDescent="0.25">
      <c r="O279701" s="9"/>
    </row>
    <row r="279722" spans="15:15" x14ac:dyDescent="0.25">
      <c r="O279722" s="9"/>
    </row>
    <row r="279743" spans="15:15" x14ac:dyDescent="0.25">
      <c r="O279743" s="9"/>
    </row>
    <row r="279764" spans="15:15" x14ac:dyDescent="0.25">
      <c r="O279764" s="9"/>
    </row>
    <row r="279785" spans="15:15" x14ac:dyDescent="0.25">
      <c r="O279785" s="9"/>
    </row>
    <row r="279806" spans="15:15" x14ac:dyDescent="0.25">
      <c r="O279806" s="9"/>
    </row>
    <row r="279827" spans="15:15" x14ac:dyDescent="0.25">
      <c r="O279827" s="9"/>
    </row>
    <row r="279848" spans="15:15" x14ac:dyDescent="0.25">
      <c r="O279848" s="9"/>
    </row>
    <row r="279869" spans="15:15" x14ac:dyDescent="0.25">
      <c r="O279869" s="9"/>
    </row>
    <row r="279890" spans="15:15" x14ac:dyDescent="0.25">
      <c r="O279890" s="9"/>
    </row>
    <row r="279911" spans="15:15" x14ac:dyDescent="0.25">
      <c r="O279911" s="9"/>
    </row>
    <row r="279932" spans="15:15" x14ac:dyDescent="0.25">
      <c r="O279932" s="9"/>
    </row>
    <row r="279953" spans="15:15" x14ac:dyDescent="0.25">
      <c r="O279953" s="9"/>
    </row>
    <row r="279974" spans="15:15" x14ac:dyDescent="0.25">
      <c r="O279974" s="9"/>
    </row>
    <row r="279995" spans="15:15" x14ac:dyDescent="0.25">
      <c r="O279995" s="9"/>
    </row>
    <row r="280016" spans="15:15" x14ac:dyDescent="0.25">
      <c r="O280016" s="9"/>
    </row>
    <row r="280037" spans="15:15" x14ac:dyDescent="0.25">
      <c r="O280037" s="9"/>
    </row>
    <row r="280058" spans="15:15" x14ac:dyDescent="0.25">
      <c r="O280058" s="9"/>
    </row>
    <row r="280079" spans="15:15" x14ac:dyDescent="0.25">
      <c r="O280079" s="9"/>
    </row>
    <row r="280100" spans="15:15" x14ac:dyDescent="0.25">
      <c r="O280100" s="9"/>
    </row>
    <row r="280121" spans="15:15" x14ac:dyDescent="0.25">
      <c r="O280121" s="9"/>
    </row>
    <row r="280142" spans="15:15" x14ac:dyDescent="0.25">
      <c r="O280142" s="9"/>
    </row>
    <row r="280163" spans="15:15" x14ac:dyDescent="0.25">
      <c r="O280163" s="9"/>
    </row>
    <row r="280184" spans="15:15" x14ac:dyDescent="0.25">
      <c r="O280184" s="9"/>
    </row>
    <row r="280205" spans="15:15" x14ac:dyDescent="0.25">
      <c r="O280205" s="9"/>
    </row>
    <row r="280226" spans="15:15" x14ac:dyDescent="0.25">
      <c r="O280226" s="9"/>
    </row>
    <row r="280247" spans="15:15" x14ac:dyDescent="0.25">
      <c r="O280247" s="9"/>
    </row>
    <row r="280268" spans="15:15" x14ac:dyDescent="0.25">
      <c r="O280268" s="9"/>
    </row>
    <row r="280289" spans="15:15" x14ac:dyDescent="0.25">
      <c r="O280289" s="9"/>
    </row>
    <row r="280310" spans="15:15" x14ac:dyDescent="0.25">
      <c r="O280310" s="9"/>
    </row>
    <row r="280331" spans="15:15" x14ac:dyDescent="0.25">
      <c r="O280331" s="9"/>
    </row>
    <row r="280352" spans="15:15" x14ac:dyDescent="0.25">
      <c r="O280352" s="9"/>
    </row>
    <row r="280373" spans="15:15" x14ac:dyDescent="0.25">
      <c r="O280373" s="9"/>
    </row>
    <row r="280394" spans="15:15" x14ac:dyDescent="0.25">
      <c r="O280394" s="9"/>
    </row>
    <row r="280415" spans="15:15" x14ac:dyDescent="0.25">
      <c r="O280415" s="9"/>
    </row>
    <row r="280436" spans="15:15" x14ac:dyDescent="0.25">
      <c r="O280436" s="9"/>
    </row>
    <row r="280457" spans="15:15" x14ac:dyDescent="0.25">
      <c r="O280457" s="9"/>
    </row>
    <row r="280478" spans="15:15" x14ac:dyDescent="0.25">
      <c r="O280478" s="9"/>
    </row>
    <row r="280499" spans="15:15" x14ac:dyDescent="0.25">
      <c r="O280499" s="9"/>
    </row>
    <row r="280520" spans="15:15" x14ac:dyDescent="0.25">
      <c r="O280520" s="9"/>
    </row>
    <row r="280541" spans="15:15" x14ac:dyDescent="0.25">
      <c r="O280541" s="9"/>
    </row>
    <row r="280562" spans="15:15" x14ac:dyDescent="0.25">
      <c r="O280562" s="9"/>
    </row>
    <row r="280583" spans="15:15" x14ac:dyDescent="0.25">
      <c r="O280583" s="9"/>
    </row>
    <row r="280604" spans="15:15" x14ac:dyDescent="0.25">
      <c r="O280604" s="9"/>
    </row>
    <row r="280625" spans="15:15" x14ac:dyDescent="0.25">
      <c r="O280625" s="9"/>
    </row>
    <row r="280646" spans="15:15" x14ac:dyDescent="0.25">
      <c r="O280646" s="9"/>
    </row>
    <row r="280667" spans="15:15" x14ac:dyDescent="0.25">
      <c r="O280667" s="9"/>
    </row>
    <row r="280688" spans="15:15" x14ac:dyDescent="0.25">
      <c r="O280688" s="9"/>
    </row>
    <row r="280709" spans="15:15" x14ac:dyDescent="0.25">
      <c r="O280709" s="9"/>
    </row>
    <row r="280730" spans="15:15" x14ac:dyDescent="0.25">
      <c r="O280730" s="9"/>
    </row>
    <row r="280751" spans="15:15" x14ac:dyDescent="0.25">
      <c r="O280751" s="9"/>
    </row>
    <row r="280772" spans="15:15" x14ac:dyDescent="0.25">
      <c r="O280772" s="9"/>
    </row>
    <row r="280793" spans="15:15" x14ac:dyDescent="0.25">
      <c r="O280793" s="9"/>
    </row>
    <row r="280814" spans="15:15" x14ac:dyDescent="0.25">
      <c r="O280814" s="9"/>
    </row>
    <row r="280835" spans="15:15" x14ac:dyDescent="0.25">
      <c r="O280835" s="9"/>
    </row>
    <row r="280856" spans="15:15" x14ac:dyDescent="0.25">
      <c r="O280856" s="9"/>
    </row>
    <row r="280877" spans="15:15" x14ac:dyDescent="0.25">
      <c r="O280877" s="9"/>
    </row>
    <row r="280898" spans="15:15" x14ac:dyDescent="0.25">
      <c r="O280898" s="9"/>
    </row>
    <row r="280919" spans="15:15" x14ac:dyDescent="0.25">
      <c r="O280919" s="9"/>
    </row>
    <row r="280940" spans="15:15" x14ac:dyDescent="0.25">
      <c r="O280940" s="9"/>
    </row>
    <row r="280961" spans="15:15" x14ac:dyDescent="0.25">
      <c r="O280961" s="9"/>
    </row>
    <row r="280982" spans="15:15" x14ac:dyDescent="0.25">
      <c r="O280982" s="9"/>
    </row>
    <row r="281003" spans="15:15" x14ac:dyDescent="0.25">
      <c r="O281003" s="9"/>
    </row>
    <row r="281024" spans="15:15" x14ac:dyDescent="0.25">
      <c r="O281024" s="9"/>
    </row>
    <row r="281045" spans="15:15" x14ac:dyDescent="0.25">
      <c r="O281045" s="9"/>
    </row>
    <row r="281066" spans="15:15" x14ac:dyDescent="0.25">
      <c r="O281066" s="9"/>
    </row>
    <row r="281087" spans="15:15" x14ac:dyDescent="0.25">
      <c r="O281087" s="9"/>
    </row>
    <row r="281108" spans="15:15" x14ac:dyDescent="0.25">
      <c r="O281108" s="9"/>
    </row>
    <row r="281129" spans="15:15" x14ac:dyDescent="0.25">
      <c r="O281129" s="9"/>
    </row>
    <row r="281150" spans="15:15" x14ac:dyDescent="0.25">
      <c r="O281150" s="9"/>
    </row>
    <row r="281171" spans="15:15" x14ac:dyDescent="0.25">
      <c r="O281171" s="9"/>
    </row>
    <row r="281192" spans="15:15" x14ac:dyDescent="0.25">
      <c r="O281192" s="9"/>
    </row>
    <row r="281213" spans="15:15" x14ac:dyDescent="0.25">
      <c r="O281213" s="9"/>
    </row>
    <row r="281234" spans="15:15" x14ac:dyDescent="0.25">
      <c r="O281234" s="9"/>
    </row>
    <row r="281255" spans="15:15" x14ac:dyDescent="0.25">
      <c r="O281255" s="9"/>
    </row>
    <row r="281276" spans="15:15" x14ac:dyDescent="0.25">
      <c r="O281276" s="9"/>
    </row>
    <row r="281297" spans="15:15" x14ac:dyDescent="0.25">
      <c r="O281297" s="9"/>
    </row>
    <row r="281318" spans="15:15" x14ac:dyDescent="0.25">
      <c r="O281318" s="9"/>
    </row>
    <row r="281339" spans="15:15" x14ac:dyDescent="0.25">
      <c r="O281339" s="9"/>
    </row>
    <row r="281360" spans="15:15" x14ac:dyDescent="0.25">
      <c r="O281360" s="9"/>
    </row>
    <row r="281381" spans="15:15" x14ac:dyDescent="0.25">
      <c r="O281381" s="9"/>
    </row>
    <row r="281402" spans="15:15" x14ac:dyDescent="0.25">
      <c r="O281402" s="9"/>
    </row>
    <row r="281423" spans="15:15" x14ac:dyDescent="0.25">
      <c r="O281423" s="9"/>
    </row>
    <row r="281444" spans="15:15" x14ac:dyDescent="0.25">
      <c r="O281444" s="9"/>
    </row>
    <row r="281465" spans="15:15" x14ac:dyDescent="0.25">
      <c r="O281465" s="9"/>
    </row>
    <row r="281486" spans="15:15" x14ac:dyDescent="0.25">
      <c r="O281486" s="9"/>
    </row>
    <row r="281507" spans="15:15" x14ac:dyDescent="0.25">
      <c r="O281507" s="9"/>
    </row>
    <row r="281528" spans="15:15" x14ac:dyDescent="0.25">
      <c r="O281528" s="9"/>
    </row>
    <row r="281549" spans="15:15" x14ac:dyDescent="0.25">
      <c r="O281549" s="9"/>
    </row>
    <row r="281570" spans="15:15" x14ac:dyDescent="0.25">
      <c r="O281570" s="9"/>
    </row>
    <row r="281591" spans="15:15" x14ac:dyDescent="0.25">
      <c r="O281591" s="9"/>
    </row>
    <row r="281612" spans="15:15" x14ac:dyDescent="0.25">
      <c r="O281612" s="9"/>
    </row>
    <row r="281633" spans="15:15" x14ac:dyDescent="0.25">
      <c r="O281633" s="9"/>
    </row>
    <row r="281654" spans="15:15" x14ac:dyDescent="0.25">
      <c r="O281654" s="9"/>
    </row>
    <row r="281675" spans="15:15" x14ac:dyDescent="0.25">
      <c r="O281675" s="9"/>
    </row>
    <row r="281696" spans="15:15" x14ac:dyDescent="0.25">
      <c r="O281696" s="9"/>
    </row>
    <row r="281717" spans="15:15" x14ac:dyDescent="0.25">
      <c r="O281717" s="9"/>
    </row>
    <row r="281738" spans="15:15" x14ac:dyDescent="0.25">
      <c r="O281738" s="9"/>
    </row>
    <row r="281759" spans="15:15" x14ac:dyDescent="0.25">
      <c r="O281759" s="9"/>
    </row>
    <row r="281780" spans="15:15" x14ac:dyDescent="0.25">
      <c r="O281780" s="9"/>
    </row>
    <row r="281801" spans="15:15" x14ac:dyDescent="0.25">
      <c r="O281801" s="9"/>
    </row>
    <row r="281822" spans="15:15" x14ac:dyDescent="0.25">
      <c r="O281822" s="9"/>
    </row>
    <row r="281843" spans="15:15" x14ac:dyDescent="0.25">
      <c r="O281843" s="9"/>
    </row>
    <row r="281864" spans="15:15" x14ac:dyDescent="0.25">
      <c r="O281864" s="9"/>
    </row>
    <row r="281885" spans="15:15" x14ac:dyDescent="0.25">
      <c r="O281885" s="9"/>
    </row>
    <row r="281906" spans="15:15" x14ac:dyDescent="0.25">
      <c r="O281906" s="9"/>
    </row>
    <row r="281927" spans="15:15" x14ac:dyDescent="0.25">
      <c r="O281927" s="9"/>
    </row>
    <row r="281948" spans="15:15" x14ac:dyDescent="0.25">
      <c r="O281948" s="9"/>
    </row>
    <row r="281969" spans="15:15" x14ac:dyDescent="0.25">
      <c r="O281969" s="9"/>
    </row>
    <row r="281990" spans="15:15" x14ac:dyDescent="0.25">
      <c r="O281990" s="9"/>
    </row>
    <row r="282011" spans="15:15" x14ac:dyDescent="0.25">
      <c r="O282011" s="9"/>
    </row>
    <row r="282032" spans="15:15" x14ac:dyDescent="0.25">
      <c r="O282032" s="9"/>
    </row>
    <row r="282053" spans="15:15" x14ac:dyDescent="0.25">
      <c r="O282053" s="9"/>
    </row>
    <row r="282074" spans="15:15" x14ac:dyDescent="0.25">
      <c r="O282074" s="9"/>
    </row>
    <row r="282095" spans="15:15" x14ac:dyDescent="0.25">
      <c r="O282095" s="9"/>
    </row>
    <row r="282116" spans="15:15" x14ac:dyDescent="0.25">
      <c r="O282116" s="9"/>
    </row>
    <row r="282137" spans="15:15" x14ac:dyDescent="0.25">
      <c r="O282137" s="9"/>
    </row>
    <row r="282158" spans="15:15" x14ac:dyDescent="0.25">
      <c r="O282158" s="9"/>
    </row>
    <row r="282179" spans="15:15" x14ac:dyDescent="0.25">
      <c r="O282179" s="9"/>
    </row>
    <row r="282200" spans="15:15" x14ac:dyDescent="0.25">
      <c r="O282200" s="9"/>
    </row>
    <row r="282221" spans="15:15" x14ac:dyDescent="0.25">
      <c r="O282221" s="9"/>
    </row>
    <row r="282242" spans="15:15" x14ac:dyDescent="0.25">
      <c r="O282242" s="9"/>
    </row>
    <row r="282263" spans="15:15" x14ac:dyDescent="0.25">
      <c r="O282263" s="9"/>
    </row>
    <row r="282284" spans="15:15" x14ac:dyDescent="0.25">
      <c r="O282284" s="9"/>
    </row>
    <row r="282305" spans="15:15" x14ac:dyDescent="0.25">
      <c r="O282305" s="9"/>
    </row>
    <row r="282326" spans="15:15" x14ac:dyDescent="0.25">
      <c r="O282326" s="9"/>
    </row>
    <row r="282347" spans="15:15" x14ac:dyDescent="0.25">
      <c r="O282347" s="9"/>
    </row>
    <row r="282368" spans="15:15" x14ac:dyDescent="0.25">
      <c r="O282368" s="9"/>
    </row>
    <row r="282389" spans="15:15" x14ac:dyDescent="0.25">
      <c r="O282389" s="9"/>
    </row>
    <row r="282410" spans="15:15" x14ac:dyDescent="0.25">
      <c r="O282410" s="9"/>
    </row>
    <row r="282431" spans="15:15" x14ac:dyDescent="0.25">
      <c r="O282431" s="9"/>
    </row>
    <row r="282452" spans="15:15" x14ac:dyDescent="0.25">
      <c r="O282452" s="9"/>
    </row>
    <row r="282473" spans="15:15" x14ac:dyDescent="0.25">
      <c r="O282473" s="9"/>
    </row>
    <row r="282494" spans="15:15" x14ac:dyDescent="0.25">
      <c r="O282494" s="9"/>
    </row>
    <row r="282515" spans="15:15" x14ac:dyDescent="0.25">
      <c r="O282515" s="9"/>
    </row>
    <row r="282536" spans="15:15" x14ac:dyDescent="0.25">
      <c r="O282536" s="9"/>
    </row>
    <row r="282557" spans="15:15" x14ac:dyDescent="0.25">
      <c r="O282557" s="9"/>
    </row>
    <row r="282578" spans="15:15" x14ac:dyDescent="0.25">
      <c r="O282578" s="9"/>
    </row>
    <row r="282599" spans="15:15" x14ac:dyDescent="0.25">
      <c r="O282599" s="9"/>
    </row>
    <row r="282620" spans="15:15" x14ac:dyDescent="0.25">
      <c r="O282620" s="9"/>
    </row>
    <row r="282641" spans="15:15" x14ac:dyDescent="0.25">
      <c r="O282641" s="9"/>
    </row>
    <row r="282662" spans="15:15" x14ac:dyDescent="0.25">
      <c r="O282662" s="9"/>
    </row>
    <row r="282683" spans="15:15" x14ac:dyDescent="0.25">
      <c r="O282683" s="9"/>
    </row>
    <row r="282704" spans="15:15" x14ac:dyDescent="0.25">
      <c r="O282704" s="9"/>
    </row>
    <row r="282725" spans="15:15" x14ac:dyDescent="0.25">
      <c r="O282725" s="9"/>
    </row>
    <row r="282746" spans="15:15" x14ac:dyDescent="0.25">
      <c r="O282746" s="9"/>
    </row>
    <row r="282767" spans="15:15" x14ac:dyDescent="0.25">
      <c r="O282767" s="9"/>
    </row>
    <row r="282788" spans="15:15" x14ac:dyDescent="0.25">
      <c r="O282788" s="9"/>
    </row>
    <row r="282809" spans="15:15" x14ac:dyDescent="0.25">
      <c r="O282809" s="9"/>
    </row>
    <row r="282830" spans="15:15" x14ac:dyDescent="0.25">
      <c r="O282830" s="9"/>
    </row>
    <row r="282851" spans="15:15" x14ac:dyDescent="0.25">
      <c r="O282851" s="9"/>
    </row>
    <row r="282872" spans="15:15" x14ac:dyDescent="0.25">
      <c r="O282872" s="9"/>
    </row>
    <row r="282893" spans="15:15" x14ac:dyDescent="0.25">
      <c r="O282893" s="9"/>
    </row>
    <row r="282914" spans="15:15" x14ac:dyDescent="0.25">
      <c r="O282914" s="9"/>
    </row>
    <row r="282935" spans="15:15" x14ac:dyDescent="0.25">
      <c r="O282935" s="9"/>
    </row>
    <row r="282956" spans="15:15" x14ac:dyDescent="0.25">
      <c r="O282956" s="9"/>
    </row>
    <row r="282977" spans="15:15" x14ac:dyDescent="0.25">
      <c r="O282977" s="9"/>
    </row>
    <row r="282998" spans="15:15" x14ac:dyDescent="0.25">
      <c r="O282998" s="9"/>
    </row>
    <row r="283019" spans="15:15" x14ac:dyDescent="0.25">
      <c r="O283019" s="9"/>
    </row>
    <row r="283040" spans="15:15" x14ac:dyDescent="0.25">
      <c r="O283040" s="9"/>
    </row>
    <row r="283061" spans="15:15" x14ac:dyDescent="0.25">
      <c r="O283061" s="9"/>
    </row>
    <row r="283082" spans="15:15" x14ac:dyDescent="0.25">
      <c r="O283082" s="9"/>
    </row>
    <row r="283103" spans="15:15" x14ac:dyDescent="0.25">
      <c r="O283103" s="9"/>
    </row>
    <row r="283124" spans="15:15" x14ac:dyDescent="0.25">
      <c r="O283124" s="9"/>
    </row>
    <row r="283145" spans="15:15" x14ac:dyDescent="0.25">
      <c r="O283145" s="9"/>
    </row>
    <row r="283166" spans="15:15" x14ac:dyDescent="0.25">
      <c r="O283166" s="9"/>
    </row>
    <row r="283187" spans="15:15" x14ac:dyDescent="0.25">
      <c r="O283187" s="9"/>
    </row>
    <row r="283208" spans="15:15" x14ac:dyDescent="0.25">
      <c r="O283208" s="9"/>
    </row>
    <row r="283229" spans="15:15" x14ac:dyDescent="0.25">
      <c r="O283229" s="9"/>
    </row>
    <row r="283250" spans="15:15" x14ac:dyDescent="0.25">
      <c r="O283250" s="9"/>
    </row>
    <row r="283271" spans="15:15" x14ac:dyDescent="0.25">
      <c r="O283271" s="9"/>
    </row>
    <row r="283292" spans="15:15" x14ac:dyDescent="0.25">
      <c r="O283292" s="9"/>
    </row>
    <row r="283313" spans="15:15" x14ac:dyDescent="0.25">
      <c r="O283313" s="9"/>
    </row>
    <row r="283334" spans="15:15" x14ac:dyDescent="0.25">
      <c r="O283334" s="9"/>
    </row>
    <row r="283355" spans="15:15" x14ac:dyDescent="0.25">
      <c r="O283355" s="9"/>
    </row>
    <row r="283376" spans="15:15" x14ac:dyDescent="0.25">
      <c r="O283376" s="9"/>
    </row>
    <row r="283397" spans="15:15" x14ac:dyDescent="0.25">
      <c r="O283397" s="9"/>
    </row>
    <row r="283418" spans="15:15" x14ac:dyDescent="0.25">
      <c r="O283418" s="9"/>
    </row>
    <row r="283439" spans="15:15" x14ac:dyDescent="0.25">
      <c r="O283439" s="9"/>
    </row>
    <row r="283460" spans="15:15" x14ac:dyDescent="0.25">
      <c r="O283460" s="9"/>
    </row>
    <row r="283481" spans="15:15" x14ac:dyDescent="0.25">
      <c r="O283481" s="9"/>
    </row>
    <row r="283502" spans="15:15" x14ac:dyDescent="0.25">
      <c r="O283502" s="9"/>
    </row>
    <row r="283523" spans="15:15" x14ac:dyDescent="0.25">
      <c r="O283523" s="9"/>
    </row>
    <row r="283544" spans="15:15" x14ac:dyDescent="0.25">
      <c r="O283544" s="9"/>
    </row>
    <row r="283565" spans="15:15" x14ac:dyDescent="0.25">
      <c r="O283565" s="9"/>
    </row>
    <row r="283586" spans="15:15" x14ac:dyDescent="0.25">
      <c r="O283586" s="9"/>
    </row>
    <row r="283607" spans="15:15" x14ac:dyDescent="0.25">
      <c r="O283607" s="9"/>
    </row>
    <row r="283628" spans="15:15" x14ac:dyDescent="0.25">
      <c r="O283628" s="9"/>
    </row>
    <row r="283649" spans="15:15" x14ac:dyDescent="0.25">
      <c r="O283649" s="9"/>
    </row>
    <row r="283670" spans="15:15" x14ac:dyDescent="0.25">
      <c r="O283670" s="9"/>
    </row>
    <row r="283691" spans="15:15" x14ac:dyDescent="0.25">
      <c r="O283691" s="9"/>
    </row>
    <row r="283712" spans="15:15" x14ac:dyDescent="0.25">
      <c r="O283712" s="9"/>
    </row>
    <row r="283733" spans="15:15" x14ac:dyDescent="0.25">
      <c r="O283733" s="9"/>
    </row>
    <row r="283754" spans="15:15" x14ac:dyDescent="0.25">
      <c r="O283754" s="9"/>
    </row>
    <row r="283775" spans="15:15" x14ac:dyDescent="0.25">
      <c r="O283775" s="9"/>
    </row>
    <row r="283796" spans="15:15" x14ac:dyDescent="0.25">
      <c r="O283796" s="9"/>
    </row>
    <row r="283817" spans="15:15" x14ac:dyDescent="0.25">
      <c r="O283817" s="9"/>
    </row>
    <row r="283838" spans="15:15" x14ac:dyDescent="0.25">
      <c r="O283838" s="9"/>
    </row>
    <row r="283859" spans="15:15" x14ac:dyDescent="0.25">
      <c r="O283859" s="9"/>
    </row>
    <row r="283880" spans="15:15" x14ac:dyDescent="0.25">
      <c r="O283880" s="9"/>
    </row>
    <row r="283901" spans="15:15" x14ac:dyDescent="0.25">
      <c r="O283901" s="9"/>
    </row>
    <row r="283922" spans="15:15" x14ac:dyDescent="0.25">
      <c r="O283922" s="9"/>
    </row>
    <row r="283943" spans="15:15" x14ac:dyDescent="0.25">
      <c r="O283943" s="9"/>
    </row>
    <row r="283964" spans="15:15" x14ac:dyDescent="0.25">
      <c r="O283964" s="9"/>
    </row>
    <row r="283985" spans="15:15" x14ac:dyDescent="0.25">
      <c r="O283985" s="9"/>
    </row>
    <row r="284006" spans="15:15" x14ac:dyDescent="0.25">
      <c r="O284006" s="9"/>
    </row>
    <row r="284027" spans="15:15" x14ac:dyDescent="0.25">
      <c r="O284027" s="9"/>
    </row>
    <row r="284048" spans="15:15" x14ac:dyDescent="0.25">
      <c r="O284048" s="9"/>
    </row>
    <row r="284069" spans="15:15" x14ac:dyDescent="0.25">
      <c r="O284069" s="9"/>
    </row>
    <row r="284090" spans="15:15" x14ac:dyDescent="0.25">
      <c r="O284090" s="9"/>
    </row>
    <row r="284111" spans="15:15" x14ac:dyDescent="0.25">
      <c r="O284111" s="9"/>
    </row>
    <row r="284132" spans="15:15" x14ac:dyDescent="0.25">
      <c r="O284132" s="9"/>
    </row>
    <row r="284153" spans="15:15" x14ac:dyDescent="0.25">
      <c r="O284153" s="9"/>
    </row>
    <row r="284174" spans="15:15" x14ac:dyDescent="0.25">
      <c r="O284174" s="9"/>
    </row>
    <row r="284195" spans="15:15" x14ac:dyDescent="0.25">
      <c r="O284195" s="9"/>
    </row>
    <row r="284216" spans="15:15" x14ac:dyDescent="0.25">
      <c r="O284216" s="9"/>
    </row>
    <row r="284237" spans="15:15" x14ac:dyDescent="0.25">
      <c r="O284237" s="9"/>
    </row>
    <row r="284258" spans="15:15" x14ac:dyDescent="0.25">
      <c r="O284258" s="9"/>
    </row>
    <row r="284279" spans="15:15" x14ac:dyDescent="0.25">
      <c r="O284279" s="9"/>
    </row>
    <row r="284300" spans="15:15" x14ac:dyDescent="0.25">
      <c r="O284300" s="9"/>
    </row>
    <row r="284321" spans="15:15" x14ac:dyDescent="0.25">
      <c r="O284321" s="9"/>
    </row>
    <row r="284342" spans="15:15" x14ac:dyDescent="0.25">
      <c r="O284342" s="9"/>
    </row>
    <row r="284363" spans="15:15" x14ac:dyDescent="0.25">
      <c r="O284363" s="9"/>
    </row>
    <row r="284384" spans="15:15" x14ac:dyDescent="0.25">
      <c r="O284384" s="9"/>
    </row>
    <row r="284405" spans="15:15" x14ac:dyDescent="0.25">
      <c r="O284405" s="9"/>
    </row>
    <row r="284426" spans="15:15" x14ac:dyDescent="0.25">
      <c r="O284426" s="9"/>
    </row>
    <row r="284447" spans="15:15" x14ac:dyDescent="0.25">
      <c r="O284447" s="9"/>
    </row>
    <row r="284468" spans="15:15" x14ac:dyDescent="0.25">
      <c r="O284468" s="9"/>
    </row>
    <row r="284489" spans="15:15" x14ac:dyDescent="0.25">
      <c r="O284489" s="9"/>
    </row>
    <row r="284510" spans="15:15" x14ac:dyDescent="0.25">
      <c r="O284510" s="9"/>
    </row>
    <row r="284531" spans="15:15" x14ac:dyDescent="0.25">
      <c r="O284531" s="9"/>
    </row>
    <row r="284552" spans="15:15" x14ac:dyDescent="0.25">
      <c r="O284552" s="9"/>
    </row>
    <row r="284573" spans="15:15" x14ac:dyDescent="0.25">
      <c r="O284573" s="9"/>
    </row>
    <row r="284594" spans="15:15" x14ac:dyDescent="0.25">
      <c r="O284594" s="9"/>
    </row>
    <row r="284615" spans="15:15" x14ac:dyDescent="0.25">
      <c r="O284615" s="9"/>
    </row>
    <row r="284636" spans="15:15" x14ac:dyDescent="0.25">
      <c r="O284636" s="9"/>
    </row>
    <row r="284657" spans="15:15" x14ac:dyDescent="0.25">
      <c r="O284657" s="9"/>
    </row>
    <row r="284678" spans="15:15" x14ac:dyDescent="0.25">
      <c r="O284678" s="9"/>
    </row>
    <row r="284699" spans="15:15" x14ac:dyDescent="0.25">
      <c r="O284699" s="9"/>
    </row>
    <row r="284720" spans="15:15" x14ac:dyDescent="0.25">
      <c r="O284720" s="9"/>
    </row>
    <row r="284741" spans="15:15" x14ac:dyDescent="0.25">
      <c r="O284741" s="9"/>
    </row>
    <row r="284762" spans="15:15" x14ac:dyDescent="0.25">
      <c r="O284762" s="9"/>
    </row>
    <row r="284783" spans="15:15" x14ac:dyDescent="0.25">
      <c r="O284783" s="9"/>
    </row>
    <row r="284804" spans="15:15" x14ac:dyDescent="0.25">
      <c r="O284804" s="9"/>
    </row>
    <row r="284825" spans="15:15" x14ac:dyDescent="0.25">
      <c r="O284825" s="9"/>
    </row>
    <row r="284846" spans="15:15" x14ac:dyDescent="0.25">
      <c r="O284846" s="9"/>
    </row>
    <row r="284867" spans="15:15" x14ac:dyDescent="0.25">
      <c r="O284867" s="9"/>
    </row>
    <row r="284888" spans="15:15" x14ac:dyDescent="0.25">
      <c r="O284888" s="9"/>
    </row>
    <row r="284909" spans="15:15" x14ac:dyDescent="0.25">
      <c r="O284909" s="9"/>
    </row>
    <row r="284930" spans="15:15" x14ac:dyDescent="0.25">
      <c r="O284930" s="9"/>
    </row>
    <row r="284951" spans="15:15" x14ac:dyDescent="0.25">
      <c r="O284951" s="9"/>
    </row>
    <row r="284972" spans="15:15" x14ac:dyDescent="0.25">
      <c r="O284972" s="9"/>
    </row>
    <row r="284993" spans="15:15" x14ac:dyDescent="0.25">
      <c r="O284993" s="9"/>
    </row>
    <row r="285014" spans="15:15" x14ac:dyDescent="0.25">
      <c r="O285014" s="9"/>
    </row>
    <row r="285035" spans="15:15" x14ac:dyDescent="0.25">
      <c r="O285035" s="9"/>
    </row>
    <row r="285056" spans="15:15" x14ac:dyDescent="0.25">
      <c r="O285056" s="9"/>
    </row>
    <row r="285077" spans="15:15" x14ac:dyDescent="0.25">
      <c r="O285077" s="9"/>
    </row>
    <row r="285098" spans="15:15" x14ac:dyDescent="0.25">
      <c r="O285098" s="9"/>
    </row>
    <row r="285119" spans="15:15" x14ac:dyDescent="0.25">
      <c r="O285119" s="9"/>
    </row>
    <row r="285140" spans="15:15" x14ac:dyDescent="0.25">
      <c r="O285140" s="9"/>
    </row>
    <row r="285161" spans="15:15" x14ac:dyDescent="0.25">
      <c r="O285161" s="9"/>
    </row>
    <row r="285182" spans="15:15" x14ac:dyDescent="0.25">
      <c r="O285182" s="9"/>
    </row>
    <row r="285203" spans="15:15" x14ac:dyDescent="0.25">
      <c r="O285203" s="9"/>
    </row>
    <row r="285224" spans="15:15" x14ac:dyDescent="0.25">
      <c r="O285224" s="9"/>
    </row>
    <row r="285245" spans="15:15" x14ac:dyDescent="0.25">
      <c r="O285245" s="9"/>
    </row>
    <row r="285266" spans="15:15" x14ac:dyDescent="0.25">
      <c r="O285266" s="9"/>
    </row>
    <row r="285287" spans="15:15" x14ac:dyDescent="0.25">
      <c r="O285287" s="9"/>
    </row>
    <row r="285308" spans="15:15" x14ac:dyDescent="0.25">
      <c r="O285308" s="9"/>
    </row>
    <row r="285329" spans="15:15" x14ac:dyDescent="0.25">
      <c r="O285329" s="9"/>
    </row>
    <row r="285350" spans="15:15" x14ac:dyDescent="0.25">
      <c r="O285350" s="9"/>
    </row>
    <row r="285371" spans="15:15" x14ac:dyDescent="0.25">
      <c r="O285371" s="9"/>
    </row>
    <row r="285392" spans="15:15" x14ac:dyDescent="0.25">
      <c r="O285392" s="9"/>
    </row>
    <row r="285413" spans="15:15" x14ac:dyDescent="0.25">
      <c r="O285413" s="9"/>
    </row>
    <row r="285434" spans="15:15" x14ac:dyDescent="0.25">
      <c r="O285434" s="9"/>
    </row>
    <row r="285455" spans="15:15" x14ac:dyDescent="0.25">
      <c r="O285455" s="9"/>
    </row>
    <row r="285476" spans="15:15" x14ac:dyDescent="0.25">
      <c r="O285476" s="9"/>
    </row>
    <row r="285497" spans="15:15" x14ac:dyDescent="0.25">
      <c r="O285497" s="9"/>
    </row>
    <row r="285518" spans="15:15" x14ac:dyDescent="0.25">
      <c r="O285518" s="9"/>
    </row>
    <row r="285539" spans="15:15" x14ac:dyDescent="0.25">
      <c r="O285539" s="9"/>
    </row>
    <row r="285560" spans="15:15" x14ac:dyDescent="0.25">
      <c r="O285560" s="9"/>
    </row>
    <row r="285581" spans="15:15" x14ac:dyDescent="0.25">
      <c r="O285581" s="9"/>
    </row>
    <row r="285602" spans="15:15" x14ac:dyDescent="0.25">
      <c r="O285602" s="9"/>
    </row>
    <row r="285623" spans="15:15" x14ac:dyDescent="0.25">
      <c r="O285623" s="9"/>
    </row>
    <row r="285644" spans="15:15" x14ac:dyDescent="0.25">
      <c r="O285644" s="9"/>
    </row>
    <row r="285665" spans="15:15" x14ac:dyDescent="0.25">
      <c r="O285665" s="9"/>
    </row>
    <row r="285686" spans="15:15" x14ac:dyDescent="0.25">
      <c r="O285686" s="9"/>
    </row>
    <row r="285707" spans="15:15" x14ac:dyDescent="0.25">
      <c r="O285707" s="9"/>
    </row>
    <row r="285728" spans="15:15" x14ac:dyDescent="0.25">
      <c r="O285728" s="9"/>
    </row>
    <row r="285749" spans="15:15" x14ac:dyDescent="0.25">
      <c r="O285749" s="9"/>
    </row>
    <row r="285770" spans="15:15" x14ac:dyDescent="0.25">
      <c r="O285770" s="9"/>
    </row>
    <row r="285791" spans="15:15" x14ac:dyDescent="0.25">
      <c r="O285791" s="9"/>
    </row>
    <row r="285812" spans="15:15" x14ac:dyDescent="0.25">
      <c r="O285812" s="9"/>
    </row>
    <row r="285833" spans="15:15" x14ac:dyDescent="0.25">
      <c r="O285833" s="9"/>
    </row>
    <row r="285854" spans="15:15" x14ac:dyDescent="0.25">
      <c r="O285854" s="9"/>
    </row>
    <row r="285875" spans="15:15" x14ac:dyDescent="0.25">
      <c r="O285875" s="9"/>
    </row>
    <row r="285896" spans="15:15" x14ac:dyDescent="0.25">
      <c r="O285896" s="9"/>
    </row>
    <row r="285917" spans="15:15" x14ac:dyDescent="0.25">
      <c r="O285917" s="9"/>
    </row>
    <row r="285938" spans="15:15" x14ac:dyDescent="0.25">
      <c r="O285938" s="9"/>
    </row>
    <row r="285959" spans="15:15" x14ac:dyDescent="0.25">
      <c r="O285959" s="9"/>
    </row>
    <row r="285980" spans="15:15" x14ac:dyDescent="0.25">
      <c r="O285980" s="9"/>
    </row>
    <row r="286001" spans="15:15" x14ac:dyDescent="0.25">
      <c r="O286001" s="9"/>
    </row>
    <row r="286022" spans="15:15" x14ac:dyDescent="0.25">
      <c r="O286022" s="9"/>
    </row>
    <row r="286043" spans="15:15" x14ac:dyDescent="0.25">
      <c r="O286043" s="9"/>
    </row>
    <row r="286064" spans="15:15" x14ac:dyDescent="0.25">
      <c r="O286064" s="9"/>
    </row>
    <row r="286085" spans="15:15" x14ac:dyDescent="0.25">
      <c r="O286085" s="9"/>
    </row>
    <row r="286106" spans="15:15" x14ac:dyDescent="0.25">
      <c r="O286106" s="9"/>
    </row>
    <row r="286127" spans="15:15" x14ac:dyDescent="0.25">
      <c r="O286127" s="9"/>
    </row>
    <row r="286148" spans="15:15" x14ac:dyDescent="0.25">
      <c r="O286148" s="9"/>
    </row>
    <row r="286169" spans="15:15" x14ac:dyDescent="0.25">
      <c r="O286169" s="9"/>
    </row>
    <row r="286190" spans="15:15" x14ac:dyDescent="0.25">
      <c r="O286190" s="9"/>
    </row>
    <row r="286211" spans="15:15" x14ac:dyDescent="0.25">
      <c r="O286211" s="9"/>
    </row>
    <row r="286232" spans="15:15" x14ac:dyDescent="0.25">
      <c r="O286232" s="9"/>
    </row>
    <row r="286253" spans="15:15" x14ac:dyDescent="0.25">
      <c r="O286253" s="9"/>
    </row>
    <row r="286274" spans="15:15" x14ac:dyDescent="0.25">
      <c r="O286274" s="9"/>
    </row>
    <row r="286295" spans="15:15" x14ac:dyDescent="0.25">
      <c r="O286295" s="9"/>
    </row>
    <row r="286316" spans="15:15" x14ac:dyDescent="0.25">
      <c r="O286316" s="9"/>
    </row>
    <row r="286337" spans="15:15" x14ac:dyDescent="0.25">
      <c r="O286337" s="9"/>
    </row>
    <row r="286358" spans="15:15" x14ac:dyDescent="0.25">
      <c r="O286358" s="9"/>
    </row>
    <row r="286379" spans="15:15" x14ac:dyDescent="0.25">
      <c r="O286379" s="9"/>
    </row>
    <row r="286400" spans="15:15" x14ac:dyDescent="0.25">
      <c r="O286400" s="9"/>
    </row>
    <row r="286421" spans="15:15" x14ac:dyDescent="0.25">
      <c r="O286421" s="9"/>
    </row>
    <row r="286442" spans="15:15" x14ac:dyDescent="0.25">
      <c r="O286442" s="9"/>
    </row>
    <row r="286463" spans="15:15" x14ac:dyDescent="0.25">
      <c r="O286463" s="9"/>
    </row>
    <row r="286484" spans="15:15" x14ac:dyDescent="0.25">
      <c r="O286484" s="9"/>
    </row>
    <row r="286505" spans="15:15" x14ac:dyDescent="0.25">
      <c r="O286505" s="9"/>
    </row>
    <row r="286526" spans="15:15" x14ac:dyDescent="0.25">
      <c r="O286526" s="9"/>
    </row>
    <row r="286547" spans="15:15" x14ac:dyDescent="0.25">
      <c r="O286547" s="9"/>
    </row>
    <row r="286568" spans="15:15" x14ac:dyDescent="0.25">
      <c r="O286568" s="9"/>
    </row>
    <row r="286589" spans="15:15" x14ac:dyDescent="0.25">
      <c r="O286589" s="9"/>
    </row>
    <row r="286610" spans="15:15" x14ac:dyDescent="0.25">
      <c r="O286610" s="9"/>
    </row>
    <row r="286631" spans="15:15" x14ac:dyDescent="0.25">
      <c r="O286631" s="9"/>
    </row>
    <row r="286652" spans="15:15" x14ac:dyDescent="0.25">
      <c r="O286652" s="9"/>
    </row>
    <row r="286673" spans="15:15" x14ac:dyDescent="0.25">
      <c r="O286673" s="9"/>
    </row>
    <row r="286694" spans="15:15" x14ac:dyDescent="0.25">
      <c r="O286694" s="9"/>
    </row>
    <row r="286715" spans="15:15" x14ac:dyDescent="0.25">
      <c r="O286715" s="9"/>
    </row>
    <row r="286736" spans="15:15" x14ac:dyDescent="0.25">
      <c r="O286736" s="9"/>
    </row>
    <row r="286757" spans="15:15" x14ac:dyDescent="0.25">
      <c r="O286757" s="9"/>
    </row>
    <row r="286778" spans="15:15" x14ac:dyDescent="0.25">
      <c r="O286778" s="9"/>
    </row>
    <row r="286799" spans="15:15" x14ac:dyDescent="0.25">
      <c r="O286799" s="9"/>
    </row>
    <row r="286820" spans="15:15" x14ac:dyDescent="0.25">
      <c r="O286820" s="9"/>
    </row>
    <row r="286841" spans="15:15" x14ac:dyDescent="0.25">
      <c r="O286841" s="9"/>
    </row>
    <row r="286862" spans="15:15" x14ac:dyDescent="0.25">
      <c r="O286862" s="9"/>
    </row>
    <row r="286883" spans="15:15" x14ac:dyDescent="0.25">
      <c r="O286883" s="9"/>
    </row>
    <row r="286904" spans="15:15" x14ac:dyDescent="0.25">
      <c r="O286904" s="9"/>
    </row>
    <row r="286925" spans="15:15" x14ac:dyDescent="0.25">
      <c r="O286925" s="9"/>
    </row>
    <row r="286946" spans="15:15" x14ac:dyDescent="0.25">
      <c r="O286946" s="9"/>
    </row>
    <row r="286967" spans="15:15" x14ac:dyDescent="0.25">
      <c r="O286967" s="9"/>
    </row>
    <row r="286988" spans="15:15" x14ac:dyDescent="0.25">
      <c r="O286988" s="9"/>
    </row>
    <row r="287009" spans="15:15" x14ac:dyDescent="0.25">
      <c r="O287009" s="9"/>
    </row>
    <row r="287030" spans="15:15" x14ac:dyDescent="0.25">
      <c r="O287030" s="9"/>
    </row>
    <row r="287051" spans="15:15" x14ac:dyDescent="0.25">
      <c r="O287051" s="9"/>
    </row>
    <row r="287072" spans="15:15" x14ac:dyDescent="0.25">
      <c r="O287072" s="9"/>
    </row>
    <row r="287093" spans="15:15" x14ac:dyDescent="0.25">
      <c r="O287093" s="9"/>
    </row>
    <row r="287114" spans="15:15" x14ac:dyDescent="0.25">
      <c r="O287114" s="9"/>
    </row>
    <row r="287135" spans="15:15" x14ac:dyDescent="0.25">
      <c r="O287135" s="9"/>
    </row>
    <row r="287156" spans="15:15" x14ac:dyDescent="0.25">
      <c r="O287156" s="9"/>
    </row>
    <row r="287177" spans="15:15" x14ac:dyDescent="0.25">
      <c r="O287177" s="9"/>
    </row>
    <row r="287198" spans="15:15" x14ac:dyDescent="0.25">
      <c r="O287198" s="9"/>
    </row>
    <row r="287219" spans="15:15" x14ac:dyDescent="0.25">
      <c r="O287219" s="9"/>
    </row>
    <row r="287240" spans="15:15" x14ac:dyDescent="0.25">
      <c r="O287240" s="9"/>
    </row>
    <row r="287261" spans="15:15" x14ac:dyDescent="0.25">
      <c r="O287261" s="9"/>
    </row>
    <row r="287282" spans="15:15" x14ac:dyDescent="0.25">
      <c r="O287282" s="9"/>
    </row>
    <row r="287303" spans="15:15" x14ac:dyDescent="0.25">
      <c r="O287303" s="9"/>
    </row>
    <row r="287324" spans="15:15" x14ac:dyDescent="0.25">
      <c r="O287324" s="9"/>
    </row>
    <row r="287345" spans="15:15" x14ac:dyDescent="0.25">
      <c r="O287345" s="9"/>
    </row>
    <row r="287366" spans="15:15" x14ac:dyDescent="0.25">
      <c r="O287366" s="9"/>
    </row>
    <row r="287387" spans="15:15" x14ac:dyDescent="0.25">
      <c r="O287387" s="9"/>
    </row>
    <row r="287408" spans="15:15" x14ac:dyDescent="0.25">
      <c r="O287408" s="9"/>
    </row>
    <row r="287429" spans="15:15" x14ac:dyDescent="0.25">
      <c r="O287429" s="9"/>
    </row>
    <row r="287450" spans="15:15" x14ac:dyDescent="0.25">
      <c r="O287450" s="9"/>
    </row>
    <row r="287471" spans="15:15" x14ac:dyDescent="0.25">
      <c r="O287471" s="9"/>
    </row>
    <row r="287492" spans="15:15" x14ac:dyDescent="0.25">
      <c r="O287492" s="9"/>
    </row>
    <row r="287513" spans="15:15" x14ac:dyDescent="0.25">
      <c r="O287513" s="9"/>
    </row>
    <row r="287534" spans="15:15" x14ac:dyDescent="0.25">
      <c r="O287534" s="9"/>
    </row>
    <row r="287555" spans="15:15" x14ac:dyDescent="0.25">
      <c r="O287555" s="9"/>
    </row>
    <row r="287576" spans="15:15" x14ac:dyDescent="0.25">
      <c r="O287576" s="9"/>
    </row>
    <row r="287597" spans="15:15" x14ac:dyDescent="0.25">
      <c r="O287597" s="9"/>
    </row>
    <row r="287618" spans="15:15" x14ac:dyDescent="0.25">
      <c r="O287618" s="9"/>
    </row>
    <row r="287639" spans="15:15" x14ac:dyDescent="0.25">
      <c r="O287639" s="9"/>
    </row>
    <row r="287660" spans="15:15" x14ac:dyDescent="0.25">
      <c r="O287660" s="9"/>
    </row>
    <row r="287681" spans="15:15" x14ac:dyDescent="0.25">
      <c r="O287681" s="9"/>
    </row>
    <row r="287702" spans="15:15" x14ac:dyDescent="0.25">
      <c r="O287702" s="9"/>
    </row>
    <row r="287723" spans="15:15" x14ac:dyDescent="0.25">
      <c r="O287723" s="9"/>
    </row>
    <row r="287744" spans="15:15" x14ac:dyDescent="0.25">
      <c r="O287744" s="9"/>
    </row>
    <row r="287765" spans="15:15" x14ac:dyDescent="0.25">
      <c r="O287765" s="9"/>
    </row>
    <row r="287786" spans="15:15" x14ac:dyDescent="0.25">
      <c r="O287786" s="9"/>
    </row>
    <row r="287807" spans="15:15" x14ac:dyDescent="0.25">
      <c r="O287807" s="9"/>
    </row>
    <row r="287828" spans="15:15" x14ac:dyDescent="0.25">
      <c r="O287828" s="9"/>
    </row>
    <row r="287849" spans="15:15" x14ac:dyDescent="0.25">
      <c r="O287849" s="9"/>
    </row>
    <row r="287870" spans="15:15" x14ac:dyDescent="0.25">
      <c r="O287870" s="9"/>
    </row>
    <row r="287891" spans="15:15" x14ac:dyDescent="0.25">
      <c r="O287891" s="9"/>
    </row>
    <row r="287912" spans="15:15" x14ac:dyDescent="0.25">
      <c r="O287912" s="9"/>
    </row>
    <row r="287933" spans="15:15" x14ac:dyDescent="0.25">
      <c r="O287933" s="9"/>
    </row>
    <row r="287954" spans="15:15" x14ac:dyDescent="0.25">
      <c r="O287954" s="9"/>
    </row>
    <row r="287975" spans="15:15" x14ac:dyDescent="0.25">
      <c r="O287975" s="9"/>
    </row>
    <row r="287996" spans="15:15" x14ac:dyDescent="0.25">
      <c r="O287996" s="9"/>
    </row>
    <row r="288017" spans="15:15" x14ac:dyDescent="0.25">
      <c r="O288017" s="9"/>
    </row>
    <row r="288038" spans="15:15" x14ac:dyDescent="0.25">
      <c r="O288038" s="9"/>
    </row>
    <row r="288059" spans="15:15" x14ac:dyDescent="0.25">
      <c r="O288059" s="9"/>
    </row>
    <row r="288080" spans="15:15" x14ac:dyDescent="0.25">
      <c r="O288080" s="9"/>
    </row>
    <row r="288101" spans="15:15" x14ac:dyDescent="0.25">
      <c r="O288101" s="9"/>
    </row>
    <row r="288122" spans="15:15" x14ac:dyDescent="0.25">
      <c r="O288122" s="9"/>
    </row>
    <row r="288143" spans="15:15" x14ac:dyDescent="0.25">
      <c r="O288143" s="9"/>
    </row>
    <row r="288164" spans="15:15" x14ac:dyDescent="0.25">
      <c r="O288164" s="9"/>
    </row>
    <row r="288185" spans="15:15" x14ac:dyDescent="0.25">
      <c r="O288185" s="9"/>
    </row>
    <row r="288206" spans="15:15" x14ac:dyDescent="0.25">
      <c r="O288206" s="9"/>
    </row>
    <row r="288227" spans="15:15" x14ac:dyDescent="0.25">
      <c r="O288227" s="9"/>
    </row>
    <row r="288248" spans="15:15" x14ac:dyDescent="0.25">
      <c r="O288248" s="9"/>
    </row>
    <row r="288269" spans="15:15" x14ac:dyDescent="0.25">
      <c r="O288269" s="9"/>
    </row>
    <row r="288290" spans="15:15" x14ac:dyDescent="0.25">
      <c r="O288290" s="9"/>
    </row>
    <row r="288311" spans="15:15" x14ac:dyDescent="0.25">
      <c r="O288311" s="9"/>
    </row>
    <row r="288332" spans="15:15" x14ac:dyDescent="0.25">
      <c r="O288332" s="9"/>
    </row>
    <row r="288353" spans="15:15" x14ac:dyDescent="0.25">
      <c r="O288353" s="9"/>
    </row>
    <row r="288374" spans="15:15" x14ac:dyDescent="0.25">
      <c r="O288374" s="9"/>
    </row>
    <row r="288395" spans="15:15" x14ac:dyDescent="0.25">
      <c r="O288395" s="9"/>
    </row>
    <row r="288416" spans="15:15" x14ac:dyDescent="0.25">
      <c r="O288416" s="9"/>
    </row>
    <row r="288437" spans="15:15" x14ac:dyDescent="0.25">
      <c r="O288437" s="9"/>
    </row>
    <row r="288458" spans="15:15" x14ac:dyDescent="0.25">
      <c r="O288458" s="9"/>
    </row>
    <row r="288479" spans="15:15" x14ac:dyDescent="0.25">
      <c r="O288479" s="9"/>
    </row>
    <row r="288500" spans="15:15" x14ac:dyDescent="0.25">
      <c r="O288500" s="9"/>
    </row>
    <row r="288521" spans="15:15" x14ac:dyDescent="0.25">
      <c r="O288521" s="9"/>
    </row>
    <row r="288542" spans="15:15" x14ac:dyDescent="0.25">
      <c r="O288542" s="9"/>
    </row>
    <row r="288563" spans="15:15" x14ac:dyDescent="0.25">
      <c r="O288563" s="9"/>
    </row>
    <row r="288584" spans="15:15" x14ac:dyDescent="0.25">
      <c r="O288584" s="9"/>
    </row>
    <row r="288605" spans="15:15" x14ac:dyDescent="0.25">
      <c r="O288605" s="9"/>
    </row>
    <row r="288626" spans="15:15" x14ac:dyDescent="0.25">
      <c r="O288626" s="9"/>
    </row>
    <row r="288647" spans="15:15" x14ac:dyDescent="0.25">
      <c r="O288647" s="9"/>
    </row>
    <row r="288668" spans="15:15" x14ac:dyDescent="0.25">
      <c r="O288668" s="9"/>
    </row>
    <row r="288689" spans="15:15" x14ac:dyDescent="0.25">
      <c r="O288689" s="9"/>
    </row>
    <row r="288710" spans="15:15" x14ac:dyDescent="0.25">
      <c r="O288710" s="9"/>
    </row>
    <row r="288731" spans="15:15" x14ac:dyDescent="0.25">
      <c r="O288731" s="9"/>
    </row>
    <row r="288752" spans="15:15" x14ac:dyDescent="0.25">
      <c r="O288752" s="9"/>
    </row>
    <row r="288773" spans="15:15" x14ac:dyDescent="0.25">
      <c r="O288773" s="9"/>
    </row>
    <row r="288794" spans="15:15" x14ac:dyDescent="0.25">
      <c r="O288794" s="9"/>
    </row>
    <row r="288815" spans="15:15" x14ac:dyDescent="0.25">
      <c r="O288815" s="9"/>
    </row>
    <row r="288836" spans="15:15" x14ac:dyDescent="0.25">
      <c r="O288836" s="9"/>
    </row>
    <row r="288857" spans="15:15" x14ac:dyDescent="0.25">
      <c r="O288857" s="9"/>
    </row>
    <row r="288878" spans="15:15" x14ac:dyDescent="0.25">
      <c r="O288878" s="9"/>
    </row>
    <row r="288899" spans="15:15" x14ac:dyDescent="0.25">
      <c r="O288899" s="9"/>
    </row>
    <row r="288920" spans="15:15" x14ac:dyDescent="0.25">
      <c r="O288920" s="9"/>
    </row>
    <row r="288941" spans="15:15" x14ac:dyDescent="0.25">
      <c r="O288941" s="9"/>
    </row>
    <row r="288962" spans="15:15" x14ac:dyDescent="0.25">
      <c r="O288962" s="9"/>
    </row>
    <row r="288983" spans="15:15" x14ac:dyDescent="0.25">
      <c r="O288983" s="9"/>
    </row>
    <row r="289004" spans="15:15" x14ac:dyDescent="0.25">
      <c r="O289004" s="9"/>
    </row>
    <row r="289025" spans="15:15" x14ac:dyDescent="0.25">
      <c r="O289025" s="9"/>
    </row>
    <row r="289046" spans="15:15" x14ac:dyDescent="0.25">
      <c r="O289046" s="9"/>
    </row>
    <row r="289067" spans="15:15" x14ac:dyDescent="0.25">
      <c r="O289067" s="9"/>
    </row>
    <row r="289088" spans="15:15" x14ac:dyDescent="0.25">
      <c r="O289088" s="9"/>
    </row>
    <row r="289109" spans="15:15" x14ac:dyDescent="0.25">
      <c r="O289109" s="9"/>
    </row>
    <row r="289130" spans="15:15" x14ac:dyDescent="0.25">
      <c r="O289130" s="9"/>
    </row>
    <row r="289151" spans="15:15" x14ac:dyDescent="0.25">
      <c r="O289151" s="9"/>
    </row>
    <row r="289172" spans="15:15" x14ac:dyDescent="0.25">
      <c r="O289172" s="9"/>
    </row>
    <row r="289193" spans="15:15" x14ac:dyDescent="0.25">
      <c r="O289193" s="9"/>
    </row>
    <row r="289214" spans="15:15" x14ac:dyDescent="0.25">
      <c r="O289214" s="9"/>
    </row>
    <row r="289235" spans="15:15" x14ac:dyDescent="0.25">
      <c r="O289235" s="9"/>
    </row>
    <row r="289256" spans="15:15" x14ac:dyDescent="0.25">
      <c r="O289256" s="9"/>
    </row>
    <row r="289277" spans="15:15" x14ac:dyDescent="0.25">
      <c r="O289277" s="9"/>
    </row>
    <row r="289298" spans="15:15" x14ac:dyDescent="0.25">
      <c r="O289298" s="9"/>
    </row>
    <row r="289319" spans="15:15" x14ac:dyDescent="0.25">
      <c r="O289319" s="9"/>
    </row>
    <row r="289340" spans="15:15" x14ac:dyDescent="0.25">
      <c r="O289340" s="9"/>
    </row>
    <row r="289361" spans="15:15" x14ac:dyDescent="0.25">
      <c r="O289361" s="9"/>
    </row>
    <row r="289382" spans="15:15" x14ac:dyDescent="0.25">
      <c r="O289382" s="9"/>
    </row>
    <row r="289403" spans="15:15" x14ac:dyDescent="0.25">
      <c r="O289403" s="9"/>
    </row>
    <row r="289424" spans="15:15" x14ac:dyDescent="0.25">
      <c r="O289424" s="9"/>
    </row>
    <row r="289445" spans="15:15" x14ac:dyDescent="0.25">
      <c r="O289445" s="9"/>
    </row>
    <row r="289466" spans="15:15" x14ac:dyDescent="0.25">
      <c r="O289466" s="9"/>
    </row>
    <row r="289487" spans="15:15" x14ac:dyDescent="0.25">
      <c r="O289487" s="9"/>
    </row>
    <row r="289508" spans="15:15" x14ac:dyDescent="0.25">
      <c r="O289508" s="9"/>
    </row>
    <row r="289529" spans="15:15" x14ac:dyDescent="0.25">
      <c r="O289529" s="9"/>
    </row>
    <row r="289550" spans="15:15" x14ac:dyDescent="0.25">
      <c r="O289550" s="9"/>
    </row>
    <row r="289571" spans="15:15" x14ac:dyDescent="0.25">
      <c r="O289571" s="9"/>
    </row>
    <row r="289592" spans="15:15" x14ac:dyDescent="0.25">
      <c r="O289592" s="9"/>
    </row>
    <row r="289613" spans="15:15" x14ac:dyDescent="0.25">
      <c r="O289613" s="9"/>
    </row>
    <row r="289634" spans="15:15" x14ac:dyDescent="0.25">
      <c r="O289634" s="9"/>
    </row>
    <row r="289655" spans="15:15" x14ac:dyDescent="0.25">
      <c r="O289655" s="9"/>
    </row>
    <row r="289676" spans="15:15" x14ac:dyDescent="0.25">
      <c r="O289676" s="9"/>
    </row>
    <row r="289697" spans="15:15" x14ac:dyDescent="0.25">
      <c r="O289697" s="9"/>
    </row>
    <row r="289718" spans="15:15" x14ac:dyDescent="0.25">
      <c r="O289718" s="9"/>
    </row>
    <row r="289739" spans="15:15" x14ac:dyDescent="0.25">
      <c r="O289739" s="9"/>
    </row>
    <row r="289760" spans="15:15" x14ac:dyDescent="0.25">
      <c r="O289760" s="9"/>
    </row>
    <row r="289781" spans="15:15" x14ac:dyDescent="0.25">
      <c r="O289781" s="9"/>
    </row>
    <row r="289802" spans="15:15" x14ac:dyDescent="0.25">
      <c r="O289802" s="9"/>
    </row>
    <row r="289823" spans="15:15" x14ac:dyDescent="0.25">
      <c r="O289823" s="9"/>
    </row>
    <row r="289844" spans="15:15" x14ac:dyDescent="0.25">
      <c r="O289844" s="9"/>
    </row>
    <row r="289865" spans="15:15" x14ac:dyDescent="0.25">
      <c r="O289865" s="9"/>
    </row>
    <row r="289886" spans="15:15" x14ac:dyDescent="0.25">
      <c r="O289886" s="9"/>
    </row>
    <row r="289907" spans="15:15" x14ac:dyDescent="0.25">
      <c r="O289907" s="9"/>
    </row>
    <row r="289928" spans="15:15" x14ac:dyDescent="0.25">
      <c r="O289928" s="9"/>
    </row>
    <row r="289949" spans="15:15" x14ac:dyDescent="0.25">
      <c r="O289949" s="9"/>
    </row>
    <row r="289970" spans="15:15" x14ac:dyDescent="0.25">
      <c r="O289970" s="9"/>
    </row>
    <row r="289991" spans="15:15" x14ac:dyDescent="0.25">
      <c r="O289991" s="9"/>
    </row>
    <row r="290012" spans="15:15" x14ac:dyDescent="0.25">
      <c r="O290012" s="9"/>
    </row>
    <row r="290033" spans="15:15" x14ac:dyDescent="0.25">
      <c r="O290033" s="9"/>
    </row>
    <row r="290054" spans="15:15" x14ac:dyDescent="0.25">
      <c r="O290054" s="9"/>
    </row>
    <row r="290075" spans="15:15" x14ac:dyDescent="0.25">
      <c r="O290075" s="9"/>
    </row>
    <row r="290096" spans="15:15" x14ac:dyDescent="0.25">
      <c r="O290096" s="9"/>
    </row>
    <row r="290117" spans="15:15" x14ac:dyDescent="0.25">
      <c r="O290117" s="9"/>
    </row>
    <row r="290138" spans="15:15" x14ac:dyDescent="0.25">
      <c r="O290138" s="9"/>
    </row>
    <row r="290159" spans="15:15" x14ac:dyDescent="0.25">
      <c r="O290159" s="9"/>
    </row>
    <row r="290180" spans="15:15" x14ac:dyDescent="0.25">
      <c r="O290180" s="9"/>
    </row>
    <row r="290201" spans="15:15" x14ac:dyDescent="0.25">
      <c r="O290201" s="9"/>
    </row>
    <row r="290222" spans="15:15" x14ac:dyDescent="0.25">
      <c r="O290222" s="9"/>
    </row>
    <row r="290243" spans="15:15" x14ac:dyDescent="0.25">
      <c r="O290243" s="9"/>
    </row>
    <row r="290264" spans="15:15" x14ac:dyDescent="0.25">
      <c r="O290264" s="9"/>
    </row>
    <row r="290285" spans="15:15" x14ac:dyDescent="0.25">
      <c r="O290285" s="9"/>
    </row>
    <row r="290306" spans="15:15" x14ac:dyDescent="0.25">
      <c r="O290306" s="9"/>
    </row>
    <row r="290327" spans="15:15" x14ac:dyDescent="0.25">
      <c r="O290327" s="9"/>
    </row>
    <row r="290348" spans="15:15" x14ac:dyDescent="0.25">
      <c r="O290348" s="9"/>
    </row>
    <row r="290369" spans="15:15" x14ac:dyDescent="0.25">
      <c r="O290369" s="9"/>
    </row>
    <row r="290390" spans="15:15" x14ac:dyDescent="0.25">
      <c r="O290390" s="9"/>
    </row>
    <row r="290411" spans="15:15" x14ac:dyDescent="0.25">
      <c r="O290411" s="9"/>
    </row>
    <row r="290432" spans="15:15" x14ac:dyDescent="0.25">
      <c r="O290432" s="9"/>
    </row>
    <row r="290453" spans="15:15" x14ac:dyDescent="0.25">
      <c r="O290453" s="9"/>
    </row>
    <row r="290474" spans="15:15" x14ac:dyDescent="0.25">
      <c r="O290474" s="9"/>
    </row>
    <row r="290495" spans="15:15" x14ac:dyDescent="0.25">
      <c r="O290495" s="9"/>
    </row>
    <row r="290516" spans="15:15" x14ac:dyDescent="0.25">
      <c r="O290516" s="9"/>
    </row>
    <row r="290537" spans="15:15" x14ac:dyDescent="0.25">
      <c r="O290537" s="9"/>
    </row>
    <row r="290558" spans="15:15" x14ac:dyDescent="0.25">
      <c r="O290558" s="9"/>
    </row>
    <row r="290579" spans="15:15" x14ac:dyDescent="0.25">
      <c r="O290579" s="9"/>
    </row>
    <row r="290600" spans="15:15" x14ac:dyDescent="0.25">
      <c r="O290600" s="9"/>
    </row>
    <row r="290621" spans="15:15" x14ac:dyDescent="0.25">
      <c r="O290621" s="9"/>
    </row>
    <row r="290642" spans="15:15" x14ac:dyDescent="0.25">
      <c r="O290642" s="9"/>
    </row>
    <row r="290663" spans="15:15" x14ac:dyDescent="0.25">
      <c r="O290663" s="9"/>
    </row>
    <row r="290684" spans="15:15" x14ac:dyDescent="0.25">
      <c r="O290684" s="9"/>
    </row>
    <row r="290705" spans="15:15" x14ac:dyDescent="0.25">
      <c r="O290705" s="9"/>
    </row>
    <row r="290726" spans="15:15" x14ac:dyDescent="0.25">
      <c r="O290726" s="9"/>
    </row>
    <row r="290747" spans="15:15" x14ac:dyDescent="0.25">
      <c r="O290747" s="9"/>
    </row>
    <row r="290768" spans="15:15" x14ac:dyDescent="0.25">
      <c r="O290768" s="9"/>
    </row>
    <row r="290789" spans="15:15" x14ac:dyDescent="0.25">
      <c r="O290789" s="9"/>
    </row>
    <row r="290810" spans="15:15" x14ac:dyDescent="0.25">
      <c r="O290810" s="9"/>
    </row>
    <row r="290831" spans="15:15" x14ac:dyDescent="0.25">
      <c r="O290831" s="9"/>
    </row>
    <row r="290852" spans="15:15" x14ac:dyDescent="0.25">
      <c r="O290852" s="9"/>
    </row>
    <row r="290873" spans="15:15" x14ac:dyDescent="0.25">
      <c r="O290873" s="9"/>
    </row>
    <row r="290894" spans="15:15" x14ac:dyDescent="0.25">
      <c r="O290894" s="9"/>
    </row>
    <row r="290915" spans="15:15" x14ac:dyDescent="0.25">
      <c r="O290915" s="9"/>
    </row>
    <row r="290936" spans="15:15" x14ac:dyDescent="0.25">
      <c r="O290936" s="9"/>
    </row>
    <row r="290957" spans="15:15" x14ac:dyDescent="0.25">
      <c r="O290957" s="9"/>
    </row>
    <row r="290978" spans="15:15" x14ac:dyDescent="0.25">
      <c r="O290978" s="9"/>
    </row>
    <row r="290999" spans="15:15" x14ac:dyDescent="0.25">
      <c r="O290999" s="9"/>
    </row>
    <row r="291020" spans="15:15" x14ac:dyDescent="0.25">
      <c r="O291020" s="9"/>
    </row>
    <row r="291041" spans="15:15" x14ac:dyDescent="0.25">
      <c r="O291041" s="9"/>
    </row>
    <row r="291062" spans="15:15" x14ac:dyDescent="0.25">
      <c r="O291062" s="9"/>
    </row>
    <row r="291083" spans="15:15" x14ac:dyDescent="0.25">
      <c r="O291083" s="9"/>
    </row>
    <row r="291104" spans="15:15" x14ac:dyDescent="0.25">
      <c r="O291104" s="9"/>
    </row>
    <row r="291125" spans="15:15" x14ac:dyDescent="0.25">
      <c r="O291125" s="9"/>
    </row>
    <row r="291146" spans="15:15" x14ac:dyDescent="0.25">
      <c r="O291146" s="9"/>
    </row>
    <row r="291167" spans="15:15" x14ac:dyDescent="0.25">
      <c r="O291167" s="9"/>
    </row>
    <row r="291188" spans="15:15" x14ac:dyDescent="0.25">
      <c r="O291188" s="9"/>
    </row>
    <row r="291209" spans="15:15" x14ac:dyDescent="0.25">
      <c r="O291209" s="9"/>
    </row>
    <row r="291230" spans="15:15" x14ac:dyDescent="0.25">
      <c r="O291230" s="9"/>
    </row>
    <row r="291251" spans="15:15" x14ac:dyDescent="0.25">
      <c r="O291251" s="9"/>
    </row>
    <row r="291272" spans="15:15" x14ac:dyDescent="0.25">
      <c r="O291272" s="9"/>
    </row>
    <row r="291293" spans="15:15" x14ac:dyDescent="0.25">
      <c r="O291293" s="9"/>
    </row>
    <row r="291314" spans="15:15" x14ac:dyDescent="0.25">
      <c r="O291314" s="9"/>
    </row>
    <row r="291335" spans="15:15" x14ac:dyDescent="0.25">
      <c r="O291335" s="9"/>
    </row>
    <row r="291356" spans="15:15" x14ac:dyDescent="0.25">
      <c r="O291356" s="9"/>
    </row>
    <row r="291377" spans="15:15" x14ac:dyDescent="0.25">
      <c r="O291377" s="9"/>
    </row>
    <row r="291398" spans="15:15" x14ac:dyDescent="0.25">
      <c r="O291398" s="9"/>
    </row>
    <row r="291419" spans="15:15" x14ac:dyDescent="0.25">
      <c r="O291419" s="9"/>
    </row>
    <row r="291440" spans="15:15" x14ac:dyDescent="0.25">
      <c r="O291440" s="9"/>
    </row>
    <row r="291461" spans="15:15" x14ac:dyDescent="0.25">
      <c r="O291461" s="9"/>
    </row>
    <row r="291482" spans="15:15" x14ac:dyDescent="0.25">
      <c r="O291482" s="9"/>
    </row>
    <row r="291503" spans="15:15" x14ac:dyDescent="0.25">
      <c r="O291503" s="9"/>
    </row>
    <row r="291524" spans="15:15" x14ac:dyDescent="0.25">
      <c r="O291524" s="9"/>
    </row>
    <row r="291545" spans="15:15" x14ac:dyDescent="0.25">
      <c r="O291545" s="9"/>
    </row>
    <row r="291566" spans="15:15" x14ac:dyDescent="0.25">
      <c r="O291566" s="9"/>
    </row>
    <row r="291587" spans="15:15" x14ac:dyDescent="0.25">
      <c r="O291587" s="9"/>
    </row>
    <row r="291608" spans="15:15" x14ac:dyDescent="0.25">
      <c r="O291608" s="9"/>
    </row>
    <row r="291629" spans="15:15" x14ac:dyDescent="0.25">
      <c r="O291629" s="9"/>
    </row>
    <row r="291650" spans="15:15" x14ac:dyDescent="0.25">
      <c r="O291650" s="9"/>
    </row>
    <row r="291671" spans="15:15" x14ac:dyDescent="0.25">
      <c r="O291671" s="9"/>
    </row>
    <row r="291692" spans="15:15" x14ac:dyDescent="0.25">
      <c r="O291692" s="9"/>
    </row>
    <row r="291713" spans="15:15" x14ac:dyDescent="0.25">
      <c r="O291713" s="9"/>
    </row>
    <row r="291734" spans="15:15" x14ac:dyDescent="0.25">
      <c r="O291734" s="9"/>
    </row>
    <row r="291755" spans="15:15" x14ac:dyDescent="0.25">
      <c r="O291755" s="9"/>
    </row>
    <row r="291776" spans="15:15" x14ac:dyDescent="0.25">
      <c r="O291776" s="9"/>
    </row>
    <row r="291797" spans="15:15" x14ac:dyDescent="0.25">
      <c r="O291797" s="9"/>
    </row>
    <row r="291818" spans="15:15" x14ac:dyDescent="0.25">
      <c r="O291818" s="9"/>
    </row>
    <row r="291839" spans="15:15" x14ac:dyDescent="0.25">
      <c r="O291839" s="9"/>
    </row>
    <row r="291860" spans="15:15" x14ac:dyDescent="0.25">
      <c r="O291860" s="9"/>
    </row>
    <row r="291881" spans="15:15" x14ac:dyDescent="0.25">
      <c r="O291881" s="9"/>
    </row>
    <row r="291902" spans="15:15" x14ac:dyDescent="0.25">
      <c r="O291902" s="9"/>
    </row>
    <row r="291923" spans="15:15" x14ac:dyDescent="0.25">
      <c r="O291923" s="9"/>
    </row>
    <row r="291944" spans="15:15" x14ac:dyDescent="0.25">
      <c r="O291944" s="9"/>
    </row>
    <row r="291965" spans="15:15" x14ac:dyDescent="0.25">
      <c r="O291965" s="9"/>
    </row>
    <row r="291986" spans="15:15" x14ac:dyDescent="0.25">
      <c r="O291986" s="9"/>
    </row>
    <row r="292007" spans="15:15" x14ac:dyDescent="0.25">
      <c r="O292007" s="9"/>
    </row>
    <row r="292028" spans="15:15" x14ac:dyDescent="0.25">
      <c r="O292028" s="9"/>
    </row>
    <row r="292049" spans="15:15" x14ac:dyDescent="0.25">
      <c r="O292049" s="9"/>
    </row>
    <row r="292070" spans="15:15" x14ac:dyDescent="0.25">
      <c r="O292070" s="9"/>
    </row>
    <row r="292091" spans="15:15" x14ac:dyDescent="0.25">
      <c r="O292091" s="9"/>
    </row>
    <row r="292112" spans="15:15" x14ac:dyDescent="0.25">
      <c r="O292112" s="9"/>
    </row>
    <row r="292133" spans="15:15" x14ac:dyDescent="0.25">
      <c r="O292133" s="9"/>
    </row>
    <row r="292154" spans="15:15" x14ac:dyDescent="0.25">
      <c r="O292154" s="9"/>
    </row>
    <row r="292175" spans="15:15" x14ac:dyDescent="0.25">
      <c r="O292175" s="9"/>
    </row>
    <row r="292196" spans="15:15" x14ac:dyDescent="0.25">
      <c r="O292196" s="9"/>
    </row>
    <row r="292217" spans="15:15" x14ac:dyDescent="0.25">
      <c r="O292217" s="9"/>
    </row>
    <row r="292238" spans="15:15" x14ac:dyDescent="0.25">
      <c r="O292238" s="9"/>
    </row>
    <row r="292259" spans="15:15" x14ac:dyDescent="0.25">
      <c r="O292259" s="9"/>
    </row>
    <row r="292280" spans="15:15" x14ac:dyDescent="0.25">
      <c r="O292280" s="9"/>
    </row>
    <row r="292301" spans="15:15" x14ac:dyDescent="0.25">
      <c r="O292301" s="9"/>
    </row>
    <row r="292322" spans="15:15" x14ac:dyDescent="0.25">
      <c r="O292322" s="9"/>
    </row>
    <row r="292343" spans="15:15" x14ac:dyDescent="0.25">
      <c r="O292343" s="9"/>
    </row>
    <row r="292364" spans="15:15" x14ac:dyDescent="0.25">
      <c r="O292364" s="9"/>
    </row>
    <row r="292385" spans="15:15" x14ac:dyDescent="0.25">
      <c r="O292385" s="9"/>
    </row>
    <row r="292406" spans="15:15" x14ac:dyDescent="0.25">
      <c r="O292406" s="9"/>
    </row>
    <row r="292427" spans="15:15" x14ac:dyDescent="0.25">
      <c r="O292427" s="9"/>
    </row>
    <row r="292448" spans="15:15" x14ac:dyDescent="0.25">
      <c r="O292448" s="9"/>
    </row>
    <row r="292469" spans="15:15" x14ac:dyDescent="0.25">
      <c r="O292469" s="9"/>
    </row>
    <row r="292490" spans="15:15" x14ac:dyDescent="0.25">
      <c r="O292490" s="9"/>
    </row>
    <row r="292511" spans="15:15" x14ac:dyDescent="0.25">
      <c r="O292511" s="9"/>
    </row>
    <row r="292532" spans="15:15" x14ac:dyDescent="0.25">
      <c r="O292532" s="9"/>
    </row>
    <row r="292553" spans="15:15" x14ac:dyDescent="0.25">
      <c r="O292553" s="9"/>
    </row>
    <row r="292574" spans="15:15" x14ac:dyDescent="0.25">
      <c r="O292574" s="9"/>
    </row>
    <row r="292595" spans="15:15" x14ac:dyDescent="0.25">
      <c r="O292595" s="9"/>
    </row>
    <row r="292616" spans="15:15" x14ac:dyDescent="0.25">
      <c r="O292616" s="9"/>
    </row>
    <row r="292637" spans="15:15" x14ac:dyDescent="0.25">
      <c r="O292637" s="9"/>
    </row>
    <row r="292658" spans="15:15" x14ac:dyDescent="0.25">
      <c r="O292658" s="9"/>
    </row>
    <row r="292679" spans="15:15" x14ac:dyDescent="0.25">
      <c r="O292679" s="9"/>
    </row>
    <row r="292700" spans="15:15" x14ac:dyDescent="0.25">
      <c r="O292700" s="9"/>
    </row>
    <row r="292721" spans="15:15" x14ac:dyDescent="0.25">
      <c r="O292721" s="9"/>
    </row>
    <row r="292742" spans="15:15" x14ac:dyDescent="0.25">
      <c r="O292742" s="9"/>
    </row>
    <row r="292763" spans="15:15" x14ac:dyDescent="0.25">
      <c r="O292763" s="9"/>
    </row>
    <row r="292784" spans="15:15" x14ac:dyDescent="0.25">
      <c r="O292784" s="9"/>
    </row>
    <row r="292805" spans="15:15" x14ac:dyDescent="0.25">
      <c r="O292805" s="9"/>
    </row>
    <row r="292826" spans="15:15" x14ac:dyDescent="0.25">
      <c r="O292826" s="9"/>
    </row>
    <row r="292847" spans="15:15" x14ac:dyDescent="0.25">
      <c r="O292847" s="9"/>
    </row>
    <row r="292868" spans="15:15" x14ac:dyDescent="0.25">
      <c r="O292868" s="9"/>
    </row>
    <row r="292889" spans="15:15" x14ac:dyDescent="0.25">
      <c r="O292889" s="9"/>
    </row>
    <row r="292910" spans="15:15" x14ac:dyDescent="0.25">
      <c r="O292910" s="9"/>
    </row>
    <row r="292931" spans="15:15" x14ac:dyDescent="0.25">
      <c r="O292931" s="9"/>
    </row>
    <row r="292952" spans="15:15" x14ac:dyDescent="0.25">
      <c r="O292952" s="9"/>
    </row>
    <row r="292973" spans="15:15" x14ac:dyDescent="0.25">
      <c r="O292973" s="9"/>
    </row>
    <row r="292994" spans="15:15" x14ac:dyDescent="0.25">
      <c r="O292994" s="9"/>
    </row>
    <row r="293015" spans="15:15" x14ac:dyDescent="0.25">
      <c r="O293015" s="9"/>
    </row>
    <row r="293036" spans="15:15" x14ac:dyDescent="0.25">
      <c r="O293036" s="9"/>
    </row>
    <row r="293057" spans="15:15" x14ac:dyDescent="0.25">
      <c r="O293057" s="9"/>
    </row>
    <row r="293078" spans="15:15" x14ac:dyDescent="0.25">
      <c r="O293078" s="9"/>
    </row>
    <row r="293099" spans="15:15" x14ac:dyDescent="0.25">
      <c r="O293099" s="9"/>
    </row>
    <row r="293120" spans="15:15" x14ac:dyDescent="0.25">
      <c r="O293120" s="9"/>
    </row>
    <row r="293141" spans="15:15" x14ac:dyDescent="0.25">
      <c r="O293141" s="9"/>
    </row>
    <row r="293162" spans="15:15" x14ac:dyDescent="0.25">
      <c r="O293162" s="9"/>
    </row>
    <row r="293183" spans="15:15" x14ac:dyDescent="0.25">
      <c r="O293183" s="9"/>
    </row>
    <row r="293204" spans="15:15" x14ac:dyDescent="0.25">
      <c r="O293204" s="9"/>
    </row>
    <row r="293225" spans="15:15" x14ac:dyDescent="0.25">
      <c r="O293225" s="9"/>
    </row>
    <row r="293246" spans="15:15" x14ac:dyDescent="0.25">
      <c r="O293246" s="9"/>
    </row>
    <row r="293267" spans="15:15" x14ac:dyDescent="0.25">
      <c r="O293267" s="9"/>
    </row>
    <row r="293288" spans="15:15" x14ac:dyDescent="0.25">
      <c r="O293288" s="9"/>
    </row>
    <row r="293309" spans="15:15" x14ac:dyDescent="0.25">
      <c r="O293309" s="9"/>
    </row>
    <row r="293330" spans="15:15" x14ac:dyDescent="0.25">
      <c r="O293330" s="9"/>
    </row>
    <row r="293351" spans="15:15" x14ac:dyDescent="0.25">
      <c r="O293351" s="9"/>
    </row>
    <row r="293372" spans="15:15" x14ac:dyDescent="0.25">
      <c r="O293372" s="9"/>
    </row>
    <row r="293393" spans="15:15" x14ac:dyDescent="0.25">
      <c r="O293393" s="9"/>
    </row>
    <row r="293414" spans="15:15" x14ac:dyDescent="0.25">
      <c r="O293414" s="9"/>
    </row>
    <row r="293435" spans="15:15" x14ac:dyDescent="0.25">
      <c r="O293435" s="9"/>
    </row>
    <row r="293456" spans="15:15" x14ac:dyDescent="0.25">
      <c r="O293456" s="9"/>
    </row>
    <row r="293477" spans="15:15" x14ac:dyDescent="0.25">
      <c r="O293477" s="9"/>
    </row>
    <row r="293498" spans="15:15" x14ac:dyDescent="0.25">
      <c r="O293498" s="9"/>
    </row>
    <row r="293519" spans="15:15" x14ac:dyDescent="0.25">
      <c r="O293519" s="9"/>
    </row>
    <row r="293540" spans="15:15" x14ac:dyDescent="0.25">
      <c r="O293540" s="9"/>
    </row>
    <row r="293561" spans="15:15" x14ac:dyDescent="0.25">
      <c r="O293561" s="9"/>
    </row>
    <row r="293582" spans="15:15" x14ac:dyDescent="0.25">
      <c r="O293582" s="9"/>
    </row>
    <row r="293603" spans="15:15" x14ac:dyDescent="0.25">
      <c r="O293603" s="9"/>
    </row>
    <row r="293624" spans="15:15" x14ac:dyDescent="0.25">
      <c r="O293624" s="9"/>
    </row>
    <row r="293645" spans="15:15" x14ac:dyDescent="0.25">
      <c r="O293645" s="9"/>
    </row>
    <row r="293666" spans="15:15" x14ac:dyDescent="0.25">
      <c r="O293666" s="9"/>
    </row>
    <row r="293687" spans="15:15" x14ac:dyDescent="0.25">
      <c r="O293687" s="9"/>
    </row>
    <row r="293708" spans="15:15" x14ac:dyDescent="0.25">
      <c r="O293708" s="9"/>
    </row>
    <row r="293729" spans="15:15" x14ac:dyDescent="0.25">
      <c r="O293729" s="9"/>
    </row>
    <row r="293750" spans="15:15" x14ac:dyDescent="0.25">
      <c r="O293750" s="9"/>
    </row>
    <row r="293771" spans="15:15" x14ac:dyDescent="0.25">
      <c r="O293771" s="9"/>
    </row>
    <row r="293792" spans="15:15" x14ac:dyDescent="0.25">
      <c r="O293792" s="9"/>
    </row>
    <row r="293813" spans="15:15" x14ac:dyDescent="0.25">
      <c r="O293813" s="9"/>
    </row>
    <row r="293834" spans="15:15" x14ac:dyDescent="0.25">
      <c r="O293834" s="9"/>
    </row>
    <row r="293855" spans="15:15" x14ac:dyDescent="0.25">
      <c r="O293855" s="9"/>
    </row>
    <row r="293876" spans="15:15" x14ac:dyDescent="0.25">
      <c r="O293876" s="9"/>
    </row>
    <row r="293897" spans="15:15" x14ac:dyDescent="0.25">
      <c r="O293897" s="9"/>
    </row>
    <row r="293918" spans="15:15" x14ac:dyDescent="0.25">
      <c r="O293918" s="9"/>
    </row>
    <row r="293939" spans="15:15" x14ac:dyDescent="0.25">
      <c r="O293939" s="9"/>
    </row>
    <row r="293960" spans="15:15" x14ac:dyDescent="0.25">
      <c r="O293960" s="9"/>
    </row>
    <row r="293981" spans="15:15" x14ac:dyDescent="0.25">
      <c r="O293981" s="9"/>
    </row>
    <row r="294002" spans="15:15" x14ac:dyDescent="0.25">
      <c r="O294002" s="9"/>
    </row>
    <row r="294023" spans="15:15" x14ac:dyDescent="0.25">
      <c r="O294023" s="9"/>
    </row>
    <row r="294044" spans="15:15" x14ac:dyDescent="0.25">
      <c r="O294044" s="9"/>
    </row>
    <row r="294065" spans="15:15" x14ac:dyDescent="0.25">
      <c r="O294065" s="9"/>
    </row>
    <row r="294086" spans="15:15" x14ac:dyDescent="0.25">
      <c r="O294086" s="9"/>
    </row>
    <row r="294107" spans="15:15" x14ac:dyDescent="0.25">
      <c r="O294107" s="9"/>
    </row>
    <row r="294128" spans="15:15" x14ac:dyDescent="0.25">
      <c r="O294128" s="9"/>
    </row>
    <row r="294149" spans="15:15" x14ac:dyDescent="0.25">
      <c r="O294149" s="9"/>
    </row>
    <row r="294170" spans="15:15" x14ac:dyDescent="0.25">
      <c r="O294170" s="9"/>
    </row>
    <row r="294191" spans="15:15" x14ac:dyDescent="0.25">
      <c r="O294191" s="9"/>
    </row>
    <row r="294212" spans="15:15" x14ac:dyDescent="0.25">
      <c r="O294212" s="9"/>
    </row>
    <row r="294233" spans="15:15" x14ac:dyDescent="0.25">
      <c r="O294233" s="9"/>
    </row>
    <row r="294254" spans="15:15" x14ac:dyDescent="0.25">
      <c r="O294254" s="9"/>
    </row>
    <row r="294275" spans="15:15" x14ac:dyDescent="0.25">
      <c r="O294275" s="9"/>
    </row>
    <row r="294296" spans="15:15" x14ac:dyDescent="0.25">
      <c r="O294296" s="9"/>
    </row>
    <row r="294317" spans="15:15" x14ac:dyDescent="0.25">
      <c r="O294317" s="9"/>
    </row>
    <row r="294338" spans="15:15" x14ac:dyDescent="0.25">
      <c r="O294338" s="9"/>
    </row>
    <row r="294359" spans="15:15" x14ac:dyDescent="0.25">
      <c r="O294359" s="9"/>
    </row>
    <row r="294380" spans="15:15" x14ac:dyDescent="0.25">
      <c r="O294380" s="9"/>
    </row>
    <row r="294401" spans="15:15" x14ac:dyDescent="0.25">
      <c r="O294401" s="9"/>
    </row>
    <row r="294422" spans="15:15" x14ac:dyDescent="0.25">
      <c r="O294422" s="9"/>
    </row>
    <row r="294443" spans="15:15" x14ac:dyDescent="0.25">
      <c r="O294443" s="9"/>
    </row>
    <row r="294464" spans="15:15" x14ac:dyDescent="0.25">
      <c r="O294464" s="9"/>
    </row>
    <row r="294485" spans="15:15" x14ac:dyDescent="0.25">
      <c r="O294485" s="9"/>
    </row>
    <row r="294506" spans="15:15" x14ac:dyDescent="0.25">
      <c r="O294506" s="9"/>
    </row>
    <row r="294527" spans="15:15" x14ac:dyDescent="0.25">
      <c r="O294527" s="9"/>
    </row>
    <row r="294548" spans="15:15" x14ac:dyDescent="0.25">
      <c r="O294548" s="9"/>
    </row>
    <row r="294569" spans="15:15" x14ac:dyDescent="0.25">
      <c r="O294569" s="9"/>
    </row>
    <row r="294590" spans="15:15" x14ac:dyDescent="0.25">
      <c r="O294590" s="9"/>
    </row>
    <row r="294611" spans="15:15" x14ac:dyDescent="0.25">
      <c r="O294611" s="9"/>
    </row>
    <row r="294632" spans="15:15" x14ac:dyDescent="0.25">
      <c r="O294632" s="9"/>
    </row>
    <row r="294653" spans="15:15" x14ac:dyDescent="0.25">
      <c r="O294653" s="9"/>
    </row>
    <row r="294674" spans="15:15" x14ac:dyDescent="0.25">
      <c r="O294674" s="9"/>
    </row>
    <row r="294695" spans="15:15" x14ac:dyDescent="0.25">
      <c r="O294695" s="9"/>
    </row>
    <row r="294716" spans="15:15" x14ac:dyDescent="0.25">
      <c r="O294716" s="9"/>
    </row>
    <row r="294737" spans="15:15" x14ac:dyDescent="0.25">
      <c r="O294737" s="9"/>
    </row>
    <row r="294758" spans="15:15" x14ac:dyDescent="0.25">
      <c r="O294758" s="9"/>
    </row>
    <row r="294779" spans="15:15" x14ac:dyDescent="0.25">
      <c r="O294779" s="9"/>
    </row>
    <row r="294800" spans="15:15" x14ac:dyDescent="0.25">
      <c r="O294800" s="9"/>
    </row>
    <row r="294821" spans="15:15" x14ac:dyDescent="0.25">
      <c r="O294821" s="9"/>
    </row>
    <row r="294842" spans="15:15" x14ac:dyDescent="0.25">
      <c r="O294842" s="9"/>
    </row>
    <row r="294863" spans="15:15" x14ac:dyDescent="0.25">
      <c r="O294863" s="9"/>
    </row>
    <row r="294884" spans="15:15" x14ac:dyDescent="0.25">
      <c r="O294884" s="9"/>
    </row>
    <row r="294905" spans="15:15" x14ac:dyDescent="0.25">
      <c r="O294905" s="9"/>
    </row>
    <row r="294926" spans="15:15" x14ac:dyDescent="0.25">
      <c r="O294926" s="9"/>
    </row>
    <row r="294947" spans="15:15" x14ac:dyDescent="0.25">
      <c r="O294947" s="9"/>
    </row>
    <row r="294968" spans="15:15" x14ac:dyDescent="0.25">
      <c r="O294968" s="9"/>
    </row>
    <row r="294989" spans="15:15" x14ac:dyDescent="0.25">
      <c r="O294989" s="9"/>
    </row>
    <row r="295010" spans="15:15" x14ac:dyDescent="0.25">
      <c r="O295010" s="9"/>
    </row>
    <row r="295031" spans="15:15" x14ac:dyDescent="0.25">
      <c r="O295031" s="9"/>
    </row>
    <row r="295052" spans="15:15" x14ac:dyDescent="0.25">
      <c r="O295052" s="9"/>
    </row>
    <row r="295073" spans="15:15" x14ac:dyDescent="0.25">
      <c r="O295073" s="9"/>
    </row>
    <row r="295094" spans="15:15" x14ac:dyDescent="0.25">
      <c r="O295094" s="9"/>
    </row>
    <row r="295115" spans="15:15" x14ac:dyDescent="0.25">
      <c r="O295115" s="9"/>
    </row>
    <row r="295136" spans="15:15" x14ac:dyDescent="0.25">
      <c r="O295136" s="9"/>
    </row>
    <row r="295157" spans="15:15" x14ac:dyDescent="0.25">
      <c r="O295157" s="9"/>
    </row>
    <row r="295178" spans="15:15" x14ac:dyDescent="0.25">
      <c r="O295178" s="9"/>
    </row>
    <row r="295199" spans="15:15" x14ac:dyDescent="0.25">
      <c r="O295199" s="9"/>
    </row>
    <row r="295220" spans="15:15" x14ac:dyDescent="0.25">
      <c r="O295220" s="9"/>
    </row>
    <row r="295241" spans="15:15" x14ac:dyDescent="0.25">
      <c r="O295241" s="9"/>
    </row>
    <row r="295262" spans="15:15" x14ac:dyDescent="0.25">
      <c r="O295262" s="9"/>
    </row>
    <row r="295283" spans="15:15" x14ac:dyDescent="0.25">
      <c r="O295283" s="9"/>
    </row>
    <row r="295304" spans="15:15" x14ac:dyDescent="0.25">
      <c r="O295304" s="9"/>
    </row>
    <row r="295325" spans="15:15" x14ac:dyDescent="0.25">
      <c r="O295325" s="9"/>
    </row>
    <row r="295346" spans="15:15" x14ac:dyDescent="0.25">
      <c r="O295346" s="9"/>
    </row>
    <row r="295367" spans="15:15" x14ac:dyDescent="0.25">
      <c r="O295367" s="9"/>
    </row>
    <row r="295388" spans="15:15" x14ac:dyDescent="0.25">
      <c r="O295388" s="9"/>
    </row>
    <row r="295409" spans="15:15" x14ac:dyDescent="0.25">
      <c r="O295409" s="9"/>
    </row>
    <row r="295430" spans="15:15" x14ac:dyDescent="0.25">
      <c r="O295430" s="9"/>
    </row>
    <row r="295451" spans="15:15" x14ac:dyDescent="0.25">
      <c r="O295451" s="9"/>
    </row>
    <row r="295472" spans="15:15" x14ac:dyDescent="0.25">
      <c r="O295472" s="9"/>
    </row>
    <row r="295493" spans="15:15" x14ac:dyDescent="0.25">
      <c r="O295493" s="9"/>
    </row>
    <row r="295514" spans="15:15" x14ac:dyDescent="0.25">
      <c r="O295514" s="9"/>
    </row>
    <row r="295535" spans="15:15" x14ac:dyDescent="0.25">
      <c r="O295535" s="9"/>
    </row>
    <row r="295556" spans="15:15" x14ac:dyDescent="0.25">
      <c r="O295556" s="9"/>
    </row>
    <row r="295577" spans="15:15" x14ac:dyDescent="0.25">
      <c r="O295577" s="9"/>
    </row>
    <row r="295598" spans="15:15" x14ac:dyDescent="0.25">
      <c r="O295598" s="9"/>
    </row>
    <row r="295619" spans="15:15" x14ac:dyDescent="0.25">
      <c r="O295619" s="9"/>
    </row>
    <row r="295640" spans="15:15" x14ac:dyDescent="0.25">
      <c r="O295640" s="9"/>
    </row>
    <row r="295661" spans="15:15" x14ac:dyDescent="0.25">
      <c r="O295661" s="9"/>
    </row>
    <row r="295682" spans="15:15" x14ac:dyDescent="0.25">
      <c r="O295682" s="9"/>
    </row>
    <row r="295703" spans="15:15" x14ac:dyDescent="0.25">
      <c r="O295703" s="9"/>
    </row>
    <row r="295724" spans="15:15" x14ac:dyDescent="0.25">
      <c r="O295724" s="9"/>
    </row>
    <row r="295745" spans="15:15" x14ac:dyDescent="0.25">
      <c r="O295745" s="9"/>
    </row>
    <row r="295766" spans="15:15" x14ac:dyDescent="0.25">
      <c r="O295766" s="9"/>
    </row>
    <row r="295787" spans="15:15" x14ac:dyDescent="0.25">
      <c r="O295787" s="9"/>
    </row>
    <row r="295808" spans="15:15" x14ac:dyDescent="0.25">
      <c r="O295808" s="9"/>
    </row>
    <row r="295829" spans="15:15" x14ac:dyDescent="0.25">
      <c r="O295829" s="9"/>
    </row>
    <row r="295850" spans="15:15" x14ac:dyDescent="0.25">
      <c r="O295850" s="9"/>
    </row>
    <row r="295871" spans="15:15" x14ac:dyDescent="0.25">
      <c r="O295871" s="9"/>
    </row>
    <row r="295892" spans="15:15" x14ac:dyDescent="0.25">
      <c r="O295892" s="9"/>
    </row>
    <row r="295913" spans="15:15" x14ac:dyDescent="0.25">
      <c r="O295913" s="9"/>
    </row>
    <row r="295934" spans="15:15" x14ac:dyDescent="0.25">
      <c r="O295934" s="9"/>
    </row>
    <row r="295955" spans="15:15" x14ac:dyDescent="0.25">
      <c r="O295955" s="9"/>
    </row>
    <row r="295976" spans="15:15" x14ac:dyDescent="0.25">
      <c r="O295976" s="9"/>
    </row>
    <row r="295997" spans="15:15" x14ac:dyDescent="0.25">
      <c r="O295997" s="9"/>
    </row>
    <row r="296018" spans="15:15" x14ac:dyDescent="0.25">
      <c r="O296018" s="9"/>
    </row>
    <row r="296039" spans="15:15" x14ac:dyDescent="0.25">
      <c r="O296039" s="9"/>
    </row>
    <row r="296060" spans="15:15" x14ac:dyDescent="0.25">
      <c r="O296060" s="9"/>
    </row>
    <row r="296081" spans="15:15" x14ac:dyDescent="0.25">
      <c r="O296081" s="9"/>
    </row>
    <row r="296102" spans="15:15" x14ac:dyDescent="0.25">
      <c r="O296102" s="9"/>
    </row>
    <row r="296123" spans="15:15" x14ac:dyDescent="0.25">
      <c r="O296123" s="9"/>
    </row>
    <row r="296144" spans="15:15" x14ac:dyDescent="0.25">
      <c r="O296144" s="9"/>
    </row>
    <row r="296165" spans="15:15" x14ac:dyDescent="0.25">
      <c r="O296165" s="9"/>
    </row>
    <row r="296186" spans="15:15" x14ac:dyDescent="0.25">
      <c r="O296186" s="9"/>
    </row>
    <row r="296207" spans="15:15" x14ac:dyDescent="0.25">
      <c r="O296207" s="9"/>
    </row>
    <row r="296228" spans="15:15" x14ac:dyDescent="0.25">
      <c r="O296228" s="9"/>
    </row>
    <row r="296249" spans="15:15" x14ac:dyDescent="0.25">
      <c r="O296249" s="9"/>
    </row>
    <row r="296270" spans="15:15" x14ac:dyDescent="0.25">
      <c r="O296270" s="9"/>
    </row>
    <row r="296291" spans="15:15" x14ac:dyDescent="0.25">
      <c r="O296291" s="9"/>
    </row>
    <row r="296312" spans="15:15" x14ac:dyDescent="0.25">
      <c r="O296312" s="9"/>
    </row>
    <row r="296333" spans="15:15" x14ac:dyDescent="0.25">
      <c r="O296333" s="9"/>
    </row>
    <row r="296354" spans="15:15" x14ac:dyDescent="0.25">
      <c r="O296354" s="9"/>
    </row>
    <row r="296375" spans="15:15" x14ac:dyDescent="0.25">
      <c r="O296375" s="9"/>
    </row>
    <row r="296396" spans="15:15" x14ac:dyDescent="0.25">
      <c r="O296396" s="9"/>
    </row>
    <row r="296417" spans="15:15" x14ac:dyDescent="0.25">
      <c r="O296417" s="9"/>
    </row>
    <row r="296438" spans="15:15" x14ac:dyDescent="0.25">
      <c r="O296438" s="9"/>
    </row>
    <row r="296459" spans="15:15" x14ac:dyDescent="0.25">
      <c r="O296459" s="9"/>
    </row>
    <row r="296480" spans="15:15" x14ac:dyDescent="0.25">
      <c r="O296480" s="9"/>
    </row>
    <row r="296501" spans="15:15" x14ac:dyDescent="0.25">
      <c r="O296501" s="9"/>
    </row>
    <row r="296522" spans="15:15" x14ac:dyDescent="0.25">
      <c r="O296522" s="9"/>
    </row>
    <row r="296543" spans="15:15" x14ac:dyDescent="0.25">
      <c r="O296543" s="9"/>
    </row>
    <row r="296564" spans="15:15" x14ac:dyDescent="0.25">
      <c r="O296564" s="9"/>
    </row>
    <row r="296585" spans="15:15" x14ac:dyDescent="0.25">
      <c r="O296585" s="9"/>
    </row>
    <row r="296606" spans="15:15" x14ac:dyDescent="0.25">
      <c r="O296606" s="9"/>
    </row>
    <row r="296627" spans="15:15" x14ac:dyDescent="0.25">
      <c r="O296627" s="9"/>
    </row>
    <row r="296648" spans="15:15" x14ac:dyDescent="0.25">
      <c r="O296648" s="9"/>
    </row>
    <row r="296669" spans="15:15" x14ac:dyDescent="0.25">
      <c r="O296669" s="9"/>
    </row>
    <row r="296690" spans="15:15" x14ac:dyDescent="0.25">
      <c r="O296690" s="9"/>
    </row>
    <row r="296711" spans="15:15" x14ac:dyDescent="0.25">
      <c r="O296711" s="9"/>
    </row>
    <row r="296732" spans="15:15" x14ac:dyDescent="0.25">
      <c r="O296732" s="9"/>
    </row>
    <row r="296753" spans="15:15" x14ac:dyDescent="0.25">
      <c r="O296753" s="9"/>
    </row>
    <row r="296774" spans="15:15" x14ac:dyDescent="0.25">
      <c r="O296774" s="9"/>
    </row>
    <row r="296795" spans="15:15" x14ac:dyDescent="0.25">
      <c r="O296795" s="9"/>
    </row>
    <row r="296816" spans="15:15" x14ac:dyDescent="0.25">
      <c r="O296816" s="9"/>
    </row>
    <row r="296837" spans="15:15" x14ac:dyDescent="0.25">
      <c r="O296837" s="9"/>
    </row>
    <row r="296858" spans="15:15" x14ac:dyDescent="0.25">
      <c r="O296858" s="9"/>
    </row>
    <row r="296879" spans="15:15" x14ac:dyDescent="0.25">
      <c r="O296879" s="9"/>
    </row>
    <row r="296900" spans="15:15" x14ac:dyDescent="0.25">
      <c r="O296900" s="9"/>
    </row>
    <row r="296921" spans="15:15" x14ac:dyDescent="0.25">
      <c r="O296921" s="9"/>
    </row>
    <row r="296942" spans="15:15" x14ac:dyDescent="0.25">
      <c r="O296942" s="9"/>
    </row>
    <row r="296963" spans="15:15" x14ac:dyDescent="0.25">
      <c r="O296963" s="9"/>
    </row>
    <row r="296984" spans="15:15" x14ac:dyDescent="0.25">
      <c r="O296984" s="9"/>
    </row>
    <row r="297005" spans="15:15" x14ac:dyDescent="0.25">
      <c r="O297005" s="9"/>
    </row>
    <row r="297026" spans="15:15" x14ac:dyDescent="0.25">
      <c r="O297026" s="9"/>
    </row>
    <row r="297047" spans="15:15" x14ac:dyDescent="0.25">
      <c r="O297047" s="9"/>
    </row>
    <row r="297068" spans="15:15" x14ac:dyDescent="0.25">
      <c r="O297068" s="9"/>
    </row>
    <row r="297089" spans="15:15" x14ac:dyDescent="0.25">
      <c r="O297089" s="9"/>
    </row>
    <row r="297110" spans="15:15" x14ac:dyDescent="0.25">
      <c r="O297110" s="9"/>
    </row>
    <row r="297131" spans="15:15" x14ac:dyDescent="0.25">
      <c r="O297131" s="9"/>
    </row>
    <row r="297152" spans="15:15" x14ac:dyDescent="0.25">
      <c r="O297152" s="9"/>
    </row>
    <row r="297173" spans="15:15" x14ac:dyDescent="0.25">
      <c r="O297173" s="9"/>
    </row>
    <row r="297194" spans="15:15" x14ac:dyDescent="0.25">
      <c r="O297194" s="9"/>
    </row>
    <row r="297215" spans="15:15" x14ac:dyDescent="0.25">
      <c r="O297215" s="9"/>
    </row>
    <row r="297236" spans="15:15" x14ac:dyDescent="0.25">
      <c r="O297236" s="9"/>
    </row>
    <row r="297257" spans="15:15" x14ac:dyDescent="0.25">
      <c r="O297257" s="9"/>
    </row>
    <row r="297278" spans="15:15" x14ac:dyDescent="0.25">
      <c r="O297278" s="9"/>
    </row>
    <row r="297299" spans="15:15" x14ac:dyDescent="0.25">
      <c r="O297299" s="9"/>
    </row>
    <row r="297320" spans="15:15" x14ac:dyDescent="0.25">
      <c r="O297320" s="9"/>
    </row>
    <row r="297341" spans="15:15" x14ac:dyDescent="0.25">
      <c r="O297341" s="9"/>
    </row>
    <row r="297362" spans="15:15" x14ac:dyDescent="0.25">
      <c r="O297362" s="9"/>
    </row>
    <row r="297383" spans="15:15" x14ac:dyDescent="0.25">
      <c r="O297383" s="9"/>
    </row>
    <row r="297404" spans="15:15" x14ac:dyDescent="0.25">
      <c r="O297404" s="9"/>
    </row>
    <row r="297425" spans="15:15" x14ac:dyDescent="0.25">
      <c r="O297425" s="9"/>
    </row>
    <row r="297446" spans="15:15" x14ac:dyDescent="0.25">
      <c r="O297446" s="9"/>
    </row>
    <row r="297467" spans="15:15" x14ac:dyDescent="0.25">
      <c r="O297467" s="9"/>
    </row>
    <row r="297488" spans="15:15" x14ac:dyDescent="0.25">
      <c r="O297488" s="9"/>
    </row>
    <row r="297509" spans="15:15" x14ac:dyDescent="0.25">
      <c r="O297509" s="9"/>
    </row>
    <row r="297530" spans="15:15" x14ac:dyDescent="0.25">
      <c r="O297530" s="9"/>
    </row>
    <row r="297551" spans="15:15" x14ac:dyDescent="0.25">
      <c r="O297551" s="9"/>
    </row>
    <row r="297572" spans="15:15" x14ac:dyDescent="0.25">
      <c r="O297572" s="9"/>
    </row>
    <row r="297593" spans="15:15" x14ac:dyDescent="0.25">
      <c r="O297593" s="9"/>
    </row>
    <row r="297614" spans="15:15" x14ac:dyDescent="0.25">
      <c r="O297614" s="9"/>
    </row>
    <row r="297635" spans="15:15" x14ac:dyDescent="0.25">
      <c r="O297635" s="9"/>
    </row>
    <row r="297656" spans="15:15" x14ac:dyDescent="0.25">
      <c r="O297656" s="9"/>
    </row>
    <row r="297677" spans="15:15" x14ac:dyDescent="0.25">
      <c r="O297677" s="9"/>
    </row>
    <row r="297698" spans="15:15" x14ac:dyDescent="0.25">
      <c r="O297698" s="9"/>
    </row>
    <row r="297719" spans="15:15" x14ac:dyDescent="0.25">
      <c r="O297719" s="9"/>
    </row>
    <row r="297740" spans="15:15" x14ac:dyDescent="0.25">
      <c r="O297740" s="9"/>
    </row>
    <row r="297761" spans="15:15" x14ac:dyDescent="0.25">
      <c r="O297761" s="9"/>
    </row>
    <row r="297782" spans="15:15" x14ac:dyDescent="0.25">
      <c r="O297782" s="9"/>
    </row>
    <row r="297803" spans="15:15" x14ac:dyDescent="0.25">
      <c r="O297803" s="9"/>
    </row>
    <row r="297824" spans="15:15" x14ac:dyDescent="0.25">
      <c r="O297824" s="9"/>
    </row>
    <row r="297845" spans="15:15" x14ac:dyDescent="0.25">
      <c r="O297845" s="9"/>
    </row>
    <row r="297866" spans="15:15" x14ac:dyDescent="0.25">
      <c r="O297866" s="9"/>
    </row>
    <row r="297887" spans="15:15" x14ac:dyDescent="0.25">
      <c r="O297887" s="9"/>
    </row>
    <row r="297908" spans="15:15" x14ac:dyDescent="0.25">
      <c r="O297908" s="9"/>
    </row>
    <row r="297929" spans="15:15" x14ac:dyDescent="0.25">
      <c r="O297929" s="9"/>
    </row>
    <row r="297950" spans="15:15" x14ac:dyDescent="0.25">
      <c r="O297950" s="9"/>
    </row>
    <row r="297971" spans="15:15" x14ac:dyDescent="0.25">
      <c r="O297971" s="9"/>
    </row>
    <row r="297992" spans="15:15" x14ac:dyDescent="0.25">
      <c r="O297992" s="9"/>
    </row>
    <row r="298013" spans="15:15" x14ac:dyDescent="0.25">
      <c r="O298013" s="9"/>
    </row>
    <row r="298034" spans="15:15" x14ac:dyDescent="0.25">
      <c r="O298034" s="9"/>
    </row>
    <row r="298055" spans="15:15" x14ac:dyDescent="0.25">
      <c r="O298055" s="9"/>
    </row>
    <row r="298076" spans="15:15" x14ac:dyDescent="0.25">
      <c r="O298076" s="9"/>
    </row>
    <row r="298097" spans="15:15" x14ac:dyDescent="0.25">
      <c r="O298097" s="9"/>
    </row>
    <row r="298118" spans="15:15" x14ac:dyDescent="0.25">
      <c r="O298118" s="9"/>
    </row>
    <row r="298139" spans="15:15" x14ac:dyDescent="0.25">
      <c r="O298139" s="9"/>
    </row>
    <row r="298160" spans="15:15" x14ac:dyDescent="0.25">
      <c r="O298160" s="9"/>
    </row>
    <row r="298181" spans="15:15" x14ac:dyDescent="0.25">
      <c r="O298181" s="9"/>
    </row>
    <row r="298202" spans="15:15" x14ac:dyDescent="0.25">
      <c r="O298202" s="9"/>
    </row>
    <row r="298223" spans="15:15" x14ac:dyDescent="0.25">
      <c r="O298223" s="9"/>
    </row>
    <row r="298244" spans="15:15" x14ac:dyDescent="0.25">
      <c r="O298244" s="9"/>
    </row>
    <row r="298265" spans="15:15" x14ac:dyDescent="0.25">
      <c r="O298265" s="9"/>
    </row>
    <row r="298286" spans="15:15" x14ac:dyDescent="0.25">
      <c r="O298286" s="9"/>
    </row>
    <row r="298307" spans="15:15" x14ac:dyDescent="0.25">
      <c r="O298307" s="9"/>
    </row>
    <row r="298328" spans="15:15" x14ac:dyDescent="0.25">
      <c r="O298328" s="9"/>
    </row>
    <row r="298349" spans="15:15" x14ac:dyDescent="0.25">
      <c r="O298349" s="9"/>
    </row>
    <row r="298370" spans="15:15" x14ac:dyDescent="0.25">
      <c r="O298370" s="9"/>
    </row>
    <row r="298391" spans="15:15" x14ac:dyDescent="0.25">
      <c r="O298391" s="9"/>
    </row>
    <row r="298412" spans="15:15" x14ac:dyDescent="0.25">
      <c r="O298412" s="9"/>
    </row>
    <row r="298433" spans="15:15" x14ac:dyDescent="0.25">
      <c r="O298433" s="9"/>
    </row>
    <row r="298454" spans="15:15" x14ac:dyDescent="0.25">
      <c r="O298454" s="9"/>
    </row>
    <row r="298475" spans="15:15" x14ac:dyDescent="0.25">
      <c r="O298475" s="9"/>
    </row>
    <row r="298496" spans="15:15" x14ac:dyDescent="0.25">
      <c r="O298496" s="9"/>
    </row>
    <row r="298517" spans="15:15" x14ac:dyDescent="0.25">
      <c r="O298517" s="9"/>
    </row>
    <row r="298538" spans="15:15" x14ac:dyDescent="0.25">
      <c r="O298538" s="9"/>
    </row>
    <row r="298559" spans="15:15" x14ac:dyDescent="0.25">
      <c r="O298559" s="9"/>
    </row>
    <row r="298580" spans="15:15" x14ac:dyDescent="0.25">
      <c r="O298580" s="9"/>
    </row>
    <row r="298601" spans="15:15" x14ac:dyDescent="0.25">
      <c r="O298601" s="9"/>
    </row>
    <row r="298622" spans="15:15" x14ac:dyDescent="0.25">
      <c r="O298622" s="9"/>
    </row>
    <row r="298643" spans="15:15" x14ac:dyDescent="0.25">
      <c r="O298643" s="9"/>
    </row>
    <row r="298664" spans="15:15" x14ac:dyDescent="0.25">
      <c r="O298664" s="9"/>
    </row>
    <row r="298685" spans="15:15" x14ac:dyDescent="0.25">
      <c r="O298685" s="9"/>
    </row>
    <row r="298706" spans="15:15" x14ac:dyDescent="0.25">
      <c r="O298706" s="9"/>
    </row>
    <row r="298727" spans="15:15" x14ac:dyDescent="0.25">
      <c r="O298727" s="9"/>
    </row>
    <row r="298748" spans="15:15" x14ac:dyDescent="0.25">
      <c r="O298748" s="9"/>
    </row>
    <row r="298769" spans="15:15" x14ac:dyDescent="0.25">
      <c r="O298769" s="9"/>
    </row>
    <row r="298790" spans="15:15" x14ac:dyDescent="0.25">
      <c r="O298790" s="9"/>
    </row>
    <row r="298811" spans="15:15" x14ac:dyDescent="0.25">
      <c r="O298811" s="9"/>
    </row>
    <row r="298832" spans="15:15" x14ac:dyDescent="0.25">
      <c r="O298832" s="9"/>
    </row>
    <row r="298853" spans="15:15" x14ac:dyDescent="0.25">
      <c r="O298853" s="9"/>
    </row>
    <row r="298874" spans="15:15" x14ac:dyDescent="0.25">
      <c r="O298874" s="9"/>
    </row>
    <row r="298895" spans="15:15" x14ac:dyDescent="0.25">
      <c r="O298895" s="9"/>
    </row>
    <row r="298916" spans="15:15" x14ac:dyDescent="0.25">
      <c r="O298916" s="9"/>
    </row>
    <row r="298937" spans="15:15" x14ac:dyDescent="0.25">
      <c r="O298937" s="9"/>
    </row>
    <row r="298958" spans="15:15" x14ac:dyDescent="0.25">
      <c r="O298958" s="9"/>
    </row>
    <row r="298979" spans="15:15" x14ac:dyDescent="0.25">
      <c r="O298979" s="9"/>
    </row>
    <row r="299000" spans="15:15" x14ac:dyDescent="0.25">
      <c r="O299000" s="9"/>
    </row>
    <row r="299021" spans="15:15" x14ac:dyDescent="0.25">
      <c r="O299021" s="9"/>
    </row>
    <row r="299042" spans="15:15" x14ac:dyDescent="0.25">
      <c r="O299042" s="9"/>
    </row>
    <row r="299063" spans="15:15" x14ac:dyDescent="0.25">
      <c r="O299063" s="9"/>
    </row>
    <row r="299084" spans="15:15" x14ac:dyDescent="0.25">
      <c r="O299084" s="9"/>
    </row>
    <row r="299105" spans="15:15" x14ac:dyDescent="0.25">
      <c r="O299105" s="9"/>
    </row>
    <row r="299126" spans="15:15" x14ac:dyDescent="0.25">
      <c r="O299126" s="9"/>
    </row>
    <row r="299147" spans="15:15" x14ac:dyDescent="0.25">
      <c r="O299147" s="9"/>
    </row>
    <row r="299168" spans="15:15" x14ac:dyDescent="0.25">
      <c r="O299168" s="9"/>
    </row>
    <row r="299189" spans="15:15" x14ac:dyDescent="0.25">
      <c r="O299189" s="9"/>
    </row>
    <row r="299210" spans="15:15" x14ac:dyDescent="0.25">
      <c r="O299210" s="9"/>
    </row>
    <row r="299231" spans="15:15" x14ac:dyDescent="0.25">
      <c r="O299231" s="9"/>
    </row>
    <row r="299252" spans="15:15" x14ac:dyDescent="0.25">
      <c r="O299252" s="9"/>
    </row>
    <row r="299273" spans="15:15" x14ac:dyDescent="0.25">
      <c r="O299273" s="9"/>
    </row>
    <row r="299294" spans="15:15" x14ac:dyDescent="0.25">
      <c r="O299294" s="9"/>
    </row>
    <row r="299315" spans="15:15" x14ac:dyDescent="0.25">
      <c r="O299315" s="9"/>
    </row>
    <row r="299336" spans="15:15" x14ac:dyDescent="0.25">
      <c r="O299336" s="9"/>
    </row>
    <row r="299357" spans="15:15" x14ac:dyDescent="0.25">
      <c r="O299357" s="9"/>
    </row>
    <row r="299378" spans="15:15" x14ac:dyDescent="0.25">
      <c r="O299378" s="9"/>
    </row>
    <row r="299399" spans="15:15" x14ac:dyDescent="0.25">
      <c r="O299399" s="9"/>
    </row>
    <row r="299420" spans="15:15" x14ac:dyDescent="0.25">
      <c r="O299420" s="9"/>
    </row>
    <row r="299441" spans="15:15" x14ac:dyDescent="0.25">
      <c r="O299441" s="9"/>
    </row>
    <row r="299462" spans="15:15" x14ac:dyDescent="0.25">
      <c r="O299462" s="9"/>
    </row>
    <row r="299483" spans="15:15" x14ac:dyDescent="0.25">
      <c r="O299483" s="9"/>
    </row>
    <row r="299504" spans="15:15" x14ac:dyDescent="0.25">
      <c r="O299504" s="9"/>
    </row>
    <row r="299525" spans="15:15" x14ac:dyDescent="0.25">
      <c r="O299525" s="9"/>
    </row>
    <row r="299546" spans="15:15" x14ac:dyDescent="0.25">
      <c r="O299546" s="9"/>
    </row>
    <row r="299567" spans="15:15" x14ac:dyDescent="0.25">
      <c r="O299567" s="9"/>
    </row>
    <row r="299588" spans="15:15" x14ac:dyDescent="0.25">
      <c r="O299588" s="9"/>
    </row>
    <row r="299609" spans="15:15" x14ac:dyDescent="0.25">
      <c r="O299609" s="9"/>
    </row>
    <row r="299630" spans="15:15" x14ac:dyDescent="0.25">
      <c r="O299630" s="9"/>
    </row>
    <row r="299651" spans="15:15" x14ac:dyDescent="0.25">
      <c r="O299651" s="9"/>
    </row>
    <row r="299672" spans="15:15" x14ac:dyDescent="0.25">
      <c r="O299672" s="9"/>
    </row>
    <row r="299693" spans="15:15" x14ac:dyDescent="0.25">
      <c r="O299693" s="9"/>
    </row>
    <row r="299714" spans="15:15" x14ac:dyDescent="0.25">
      <c r="O299714" s="9"/>
    </row>
    <row r="299735" spans="15:15" x14ac:dyDescent="0.25">
      <c r="O299735" s="9"/>
    </row>
    <row r="299756" spans="15:15" x14ac:dyDescent="0.25">
      <c r="O299756" s="9"/>
    </row>
    <row r="299777" spans="15:15" x14ac:dyDescent="0.25">
      <c r="O299777" s="9"/>
    </row>
    <row r="299798" spans="15:15" x14ac:dyDescent="0.25">
      <c r="O299798" s="9"/>
    </row>
    <row r="299819" spans="15:15" x14ac:dyDescent="0.25">
      <c r="O299819" s="9"/>
    </row>
    <row r="299840" spans="15:15" x14ac:dyDescent="0.25">
      <c r="O299840" s="9"/>
    </row>
    <row r="299861" spans="15:15" x14ac:dyDescent="0.25">
      <c r="O299861" s="9"/>
    </row>
    <row r="299882" spans="15:15" x14ac:dyDescent="0.25">
      <c r="O299882" s="9"/>
    </row>
    <row r="299903" spans="15:15" x14ac:dyDescent="0.25">
      <c r="O299903" s="9"/>
    </row>
    <row r="299924" spans="15:15" x14ac:dyDescent="0.25">
      <c r="O299924" s="9"/>
    </row>
    <row r="299945" spans="15:15" x14ac:dyDescent="0.25">
      <c r="O299945" s="9"/>
    </row>
    <row r="299966" spans="15:15" x14ac:dyDescent="0.25">
      <c r="O299966" s="9"/>
    </row>
    <row r="299987" spans="15:15" x14ac:dyDescent="0.25">
      <c r="O299987" s="9"/>
    </row>
    <row r="300008" spans="15:15" x14ac:dyDescent="0.25">
      <c r="O300008" s="9"/>
    </row>
    <row r="300029" spans="15:15" x14ac:dyDescent="0.25">
      <c r="O300029" s="9"/>
    </row>
    <row r="300050" spans="15:15" x14ac:dyDescent="0.25">
      <c r="O300050" s="9"/>
    </row>
    <row r="300071" spans="15:15" x14ac:dyDescent="0.25">
      <c r="O300071" s="9"/>
    </row>
    <row r="300092" spans="15:15" x14ac:dyDescent="0.25">
      <c r="O300092" s="9"/>
    </row>
    <row r="300113" spans="15:15" x14ac:dyDescent="0.25">
      <c r="O300113" s="9"/>
    </row>
    <row r="300134" spans="15:15" x14ac:dyDescent="0.25">
      <c r="O300134" s="9"/>
    </row>
    <row r="300155" spans="15:15" x14ac:dyDescent="0.25">
      <c r="O300155" s="9"/>
    </row>
    <row r="300176" spans="15:15" x14ac:dyDescent="0.25">
      <c r="O300176" s="9"/>
    </row>
    <row r="300197" spans="15:15" x14ac:dyDescent="0.25">
      <c r="O300197" s="9"/>
    </row>
    <row r="300218" spans="15:15" x14ac:dyDescent="0.25">
      <c r="O300218" s="9"/>
    </row>
    <row r="300239" spans="15:15" x14ac:dyDescent="0.25">
      <c r="O300239" s="9"/>
    </row>
    <row r="300260" spans="15:15" x14ac:dyDescent="0.25">
      <c r="O300260" s="9"/>
    </row>
    <row r="300281" spans="15:15" x14ac:dyDescent="0.25">
      <c r="O300281" s="9"/>
    </row>
    <row r="300302" spans="15:15" x14ac:dyDescent="0.25">
      <c r="O300302" s="9"/>
    </row>
    <row r="300323" spans="15:15" x14ac:dyDescent="0.25">
      <c r="O300323" s="9"/>
    </row>
    <row r="300344" spans="15:15" x14ac:dyDescent="0.25">
      <c r="O300344" s="9"/>
    </row>
    <row r="300365" spans="15:15" x14ac:dyDescent="0.25">
      <c r="O300365" s="9"/>
    </row>
    <row r="300386" spans="15:15" x14ac:dyDescent="0.25">
      <c r="O300386" s="9"/>
    </row>
    <row r="300407" spans="15:15" x14ac:dyDescent="0.25">
      <c r="O300407" s="9"/>
    </row>
    <row r="300428" spans="15:15" x14ac:dyDescent="0.25">
      <c r="O300428" s="9"/>
    </row>
    <row r="300449" spans="15:15" x14ac:dyDescent="0.25">
      <c r="O300449" s="9"/>
    </row>
    <row r="300470" spans="15:15" x14ac:dyDescent="0.25">
      <c r="O300470" s="9"/>
    </row>
    <row r="300491" spans="15:15" x14ac:dyDescent="0.25">
      <c r="O300491" s="9"/>
    </row>
    <row r="300512" spans="15:15" x14ac:dyDescent="0.25">
      <c r="O300512" s="9"/>
    </row>
    <row r="300533" spans="15:15" x14ac:dyDescent="0.25">
      <c r="O300533" s="9"/>
    </row>
    <row r="300554" spans="15:15" x14ac:dyDescent="0.25">
      <c r="O300554" s="9"/>
    </row>
    <row r="300575" spans="15:15" x14ac:dyDescent="0.25">
      <c r="O300575" s="9"/>
    </row>
    <row r="300596" spans="15:15" x14ac:dyDescent="0.25">
      <c r="O300596" s="9"/>
    </row>
    <row r="300617" spans="15:15" x14ac:dyDescent="0.25">
      <c r="O300617" s="9"/>
    </row>
    <row r="300638" spans="15:15" x14ac:dyDescent="0.25">
      <c r="O300638" s="9"/>
    </row>
    <row r="300659" spans="15:15" x14ac:dyDescent="0.25">
      <c r="O300659" s="9"/>
    </row>
    <row r="300680" spans="15:15" x14ac:dyDescent="0.25">
      <c r="O300680" s="9"/>
    </row>
    <row r="300701" spans="15:15" x14ac:dyDescent="0.25">
      <c r="O300701" s="9"/>
    </row>
    <row r="300722" spans="15:15" x14ac:dyDescent="0.25">
      <c r="O300722" s="9"/>
    </row>
    <row r="300743" spans="15:15" x14ac:dyDescent="0.25">
      <c r="O300743" s="9"/>
    </row>
    <row r="300764" spans="15:15" x14ac:dyDescent="0.25">
      <c r="O300764" s="9"/>
    </row>
    <row r="300785" spans="15:15" x14ac:dyDescent="0.25">
      <c r="O300785" s="9"/>
    </row>
    <row r="300806" spans="15:15" x14ac:dyDescent="0.25">
      <c r="O300806" s="9"/>
    </row>
    <row r="300827" spans="15:15" x14ac:dyDescent="0.25">
      <c r="O300827" s="9"/>
    </row>
    <row r="300848" spans="15:15" x14ac:dyDescent="0.25">
      <c r="O300848" s="9"/>
    </row>
    <row r="300869" spans="15:15" x14ac:dyDescent="0.25">
      <c r="O300869" s="9"/>
    </row>
    <row r="300890" spans="15:15" x14ac:dyDescent="0.25">
      <c r="O300890" s="9"/>
    </row>
    <row r="300911" spans="15:15" x14ac:dyDescent="0.25">
      <c r="O300911" s="9"/>
    </row>
    <row r="300932" spans="15:15" x14ac:dyDescent="0.25">
      <c r="O300932" s="9"/>
    </row>
    <row r="300953" spans="15:15" x14ac:dyDescent="0.25">
      <c r="O300953" s="9"/>
    </row>
    <row r="300974" spans="15:15" x14ac:dyDescent="0.25">
      <c r="O300974" s="9"/>
    </row>
    <row r="300995" spans="15:15" x14ac:dyDescent="0.25">
      <c r="O300995" s="9"/>
    </row>
    <row r="301016" spans="15:15" x14ac:dyDescent="0.25">
      <c r="O301016" s="9"/>
    </row>
    <row r="301037" spans="15:15" x14ac:dyDescent="0.25">
      <c r="O301037" s="9"/>
    </row>
    <row r="301058" spans="15:15" x14ac:dyDescent="0.25">
      <c r="O301058" s="9"/>
    </row>
    <row r="301079" spans="15:15" x14ac:dyDescent="0.25">
      <c r="O301079" s="9"/>
    </row>
    <row r="301100" spans="15:15" x14ac:dyDescent="0.25">
      <c r="O301100" s="9"/>
    </row>
    <row r="301121" spans="15:15" x14ac:dyDescent="0.25">
      <c r="O301121" s="9"/>
    </row>
    <row r="301142" spans="15:15" x14ac:dyDescent="0.25">
      <c r="O301142" s="9"/>
    </row>
    <row r="301163" spans="15:15" x14ac:dyDescent="0.25">
      <c r="O301163" s="9"/>
    </row>
    <row r="301184" spans="15:15" x14ac:dyDescent="0.25">
      <c r="O301184" s="9"/>
    </row>
    <row r="301205" spans="15:15" x14ac:dyDescent="0.25">
      <c r="O301205" s="9"/>
    </row>
    <row r="301226" spans="15:15" x14ac:dyDescent="0.25">
      <c r="O301226" s="9"/>
    </row>
    <row r="301247" spans="15:15" x14ac:dyDescent="0.25">
      <c r="O301247" s="9"/>
    </row>
    <row r="301268" spans="15:15" x14ac:dyDescent="0.25">
      <c r="O301268" s="9"/>
    </row>
    <row r="301289" spans="15:15" x14ac:dyDescent="0.25">
      <c r="O301289" s="9"/>
    </row>
    <row r="301310" spans="15:15" x14ac:dyDescent="0.25">
      <c r="O301310" s="9"/>
    </row>
    <row r="301331" spans="15:15" x14ac:dyDescent="0.25">
      <c r="O301331" s="9"/>
    </row>
    <row r="301352" spans="15:15" x14ac:dyDescent="0.25">
      <c r="O301352" s="9"/>
    </row>
    <row r="301373" spans="15:15" x14ac:dyDescent="0.25">
      <c r="O301373" s="9"/>
    </row>
    <row r="301394" spans="15:15" x14ac:dyDescent="0.25">
      <c r="O301394" s="9"/>
    </row>
    <row r="301415" spans="15:15" x14ac:dyDescent="0.25">
      <c r="O301415" s="9"/>
    </row>
    <row r="301436" spans="15:15" x14ac:dyDescent="0.25">
      <c r="O301436" s="9"/>
    </row>
    <row r="301457" spans="15:15" x14ac:dyDescent="0.25">
      <c r="O301457" s="9"/>
    </row>
    <row r="301478" spans="15:15" x14ac:dyDescent="0.25">
      <c r="O301478" s="9"/>
    </row>
    <row r="301499" spans="15:15" x14ac:dyDescent="0.25">
      <c r="O301499" s="9"/>
    </row>
    <row r="301520" spans="15:15" x14ac:dyDescent="0.25">
      <c r="O301520" s="9"/>
    </row>
    <row r="301541" spans="15:15" x14ac:dyDescent="0.25">
      <c r="O301541" s="9"/>
    </row>
    <row r="301562" spans="15:15" x14ac:dyDescent="0.25">
      <c r="O301562" s="9"/>
    </row>
    <row r="301583" spans="15:15" x14ac:dyDescent="0.25">
      <c r="O301583" s="9"/>
    </row>
    <row r="301604" spans="15:15" x14ac:dyDescent="0.25">
      <c r="O301604" s="9"/>
    </row>
    <row r="301625" spans="15:15" x14ac:dyDescent="0.25">
      <c r="O301625" s="9"/>
    </row>
    <row r="301646" spans="15:15" x14ac:dyDescent="0.25">
      <c r="O301646" s="9"/>
    </row>
    <row r="301667" spans="15:15" x14ac:dyDescent="0.25">
      <c r="O301667" s="9"/>
    </row>
    <row r="301688" spans="15:15" x14ac:dyDescent="0.25">
      <c r="O301688" s="9"/>
    </row>
    <row r="301709" spans="15:15" x14ac:dyDescent="0.25">
      <c r="O301709" s="9"/>
    </row>
    <row r="301730" spans="15:15" x14ac:dyDescent="0.25">
      <c r="O301730" s="9"/>
    </row>
    <row r="301751" spans="15:15" x14ac:dyDescent="0.25">
      <c r="O301751" s="9"/>
    </row>
    <row r="301772" spans="15:15" x14ac:dyDescent="0.25">
      <c r="O301772" s="9"/>
    </row>
    <row r="301793" spans="15:15" x14ac:dyDescent="0.25">
      <c r="O301793" s="9"/>
    </row>
    <row r="301814" spans="15:15" x14ac:dyDescent="0.25">
      <c r="O301814" s="9"/>
    </row>
    <row r="301835" spans="15:15" x14ac:dyDescent="0.25">
      <c r="O301835" s="9"/>
    </row>
    <row r="301856" spans="15:15" x14ac:dyDescent="0.25">
      <c r="O301856" s="9"/>
    </row>
    <row r="301877" spans="15:15" x14ac:dyDescent="0.25">
      <c r="O301877" s="9"/>
    </row>
    <row r="301898" spans="15:15" x14ac:dyDescent="0.25">
      <c r="O301898" s="9"/>
    </row>
    <row r="301919" spans="15:15" x14ac:dyDescent="0.25">
      <c r="O301919" s="9"/>
    </row>
    <row r="301940" spans="15:15" x14ac:dyDescent="0.25">
      <c r="O301940" s="9"/>
    </row>
    <row r="301961" spans="15:15" x14ac:dyDescent="0.25">
      <c r="O301961" s="9"/>
    </row>
    <row r="301982" spans="15:15" x14ac:dyDescent="0.25">
      <c r="O301982" s="9"/>
    </row>
    <row r="302003" spans="15:15" x14ac:dyDescent="0.25">
      <c r="O302003" s="9"/>
    </row>
    <row r="302024" spans="15:15" x14ac:dyDescent="0.25">
      <c r="O302024" s="9"/>
    </row>
    <row r="302045" spans="15:15" x14ac:dyDescent="0.25">
      <c r="O302045" s="9"/>
    </row>
    <row r="302066" spans="15:15" x14ac:dyDescent="0.25">
      <c r="O302066" s="9"/>
    </row>
    <row r="302087" spans="15:15" x14ac:dyDescent="0.25">
      <c r="O302087" s="9"/>
    </row>
    <row r="302108" spans="15:15" x14ac:dyDescent="0.25">
      <c r="O302108" s="9"/>
    </row>
    <row r="302129" spans="15:15" x14ac:dyDescent="0.25">
      <c r="O302129" s="9"/>
    </row>
    <row r="302150" spans="15:15" x14ac:dyDescent="0.25">
      <c r="O302150" s="9"/>
    </row>
    <row r="302171" spans="15:15" x14ac:dyDescent="0.25">
      <c r="O302171" s="9"/>
    </row>
    <row r="302192" spans="15:15" x14ac:dyDescent="0.25">
      <c r="O302192" s="9"/>
    </row>
    <row r="302213" spans="15:15" x14ac:dyDescent="0.25">
      <c r="O302213" s="9"/>
    </row>
    <row r="302234" spans="15:15" x14ac:dyDescent="0.25">
      <c r="O302234" s="9"/>
    </row>
    <row r="302255" spans="15:15" x14ac:dyDescent="0.25">
      <c r="O302255" s="9"/>
    </row>
    <row r="302276" spans="15:15" x14ac:dyDescent="0.25">
      <c r="O302276" s="9"/>
    </row>
    <row r="302297" spans="15:15" x14ac:dyDescent="0.25">
      <c r="O302297" s="9"/>
    </row>
    <row r="302318" spans="15:15" x14ac:dyDescent="0.25">
      <c r="O302318" s="9"/>
    </row>
    <row r="302339" spans="15:15" x14ac:dyDescent="0.25">
      <c r="O302339" s="9"/>
    </row>
    <row r="302360" spans="15:15" x14ac:dyDescent="0.25">
      <c r="O302360" s="9"/>
    </row>
    <row r="302381" spans="15:15" x14ac:dyDescent="0.25">
      <c r="O302381" s="9"/>
    </row>
    <row r="302402" spans="15:15" x14ac:dyDescent="0.25">
      <c r="O302402" s="9"/>
    </row>
    <row r="302423" spans="15:15" x14ac:dyDescent="0.25">
      <c r="O302423" s="9"/>
    </row>
    <row r="302444" spans="15:15" x14ac:dyDescent="0.25">
      <c r="O302444" s="9"/>
    </row>
    <row r="302465" spans="15:15" x14ac:dyDescent="0.25">
      <c r="O302465" s="9"/>
    </row>
    <row r="302486" spans="15:15" x14ac:dyDescent="0.25">
      <c r="O302486" s="9"/>
    </row>
    <row r="302507" spans="15:15" x14ac:dyDescent="0.25">
      <c r="O302507" s="9"/>
    </row>
    <row r="302528" spans="15:15" x14ac:dyDescent="0.25">
      <c r="O302528" s="9"/>
    </row>
    <row r="302549" spans="15:15" x14ac:dyDescent="0.25">
      <c r="O302549" s="9"/>
    </row>
    <row r="302570" spans="15:15" x14ac:dyDescent="0.25">
      <c r="O302570" s="9"/>
    </row>
    <row r="302591" spans="15:15" x14ac:dyDescent="0.25">
      <c r="O302591" s="9"/>
    </row>
    <row r="302612" spans="15:15" x14ac:dyDescent="0.25">
      <c r="O302612" s="9"/>
    </row>
    <row r="302633" spans="15:15" x14ac:dyDescent="0.25">
      <c r="O302633" s="9"/>
    </row>
    <row r="302654" spans="15:15" x14ac:dyDescent="0.25">
      <c r="O302654" s="9"/>
    </row>
    <row r="302675" spans="15:15" x14ac:dyDescent="0.25">
      <c r="O302675" s="9"/>
    </row>
    <row r="302696" spans="15:15" x14ac:dyDescent="0.25">
      <c r="O302696" s="9"/>
    </row>
    <row r="302717" spans="15:15" x14ac:dyDescent="0.25">
      <c r="O302717" s="9"/>
    </row>
    <row r="302738" spans="15:15" x14ac:dyDescent="0.25">
      <c r="O302738" s="9"/>
    </row>
    <row r="302759" spans="15:15" x14ac:dyDescent="0.25">
      <c r="O302759" s="9"/>
    </row>
    <row r="302780" spans="15:15" x14ac:dyDescent="0.25">
      <c r="O302780" s="9"/>
    </row>
    <row r="302801" spans="15:15" x14ac:dyDescent="0.25">
      <c r="O302801" s="9"/>
    </row>
    <row r="302822" spans="15:15" x14ac:dyDescent="0.25">
      <c r="O302822" s="9"/>
    </row>
    <row r="302843" spans="15:15" x14ac:dyDescent="0.25">
      <c r="O302843" s="9"/>
    </row>
    <row r="302864" spans="15:15" x14ac:dyDescent="0.25">
      <c r="O302864" s="9"/>
    </row>
    <row r="302885" spans="15:15" x14ac:dyDescent="0.25">
      <c r="O302885" s="9"/>
    </row>
    <row r="302906" spans="15:15" x14ac:dyDescent="0.25">
      <c r="O302906" s="9"/>
    </row>
    <row r="302927" spans="15:15" x14ac:dyDescent="0.25">
      <c r="O302927" s="9"/>
    </row>
    <row r="302948" spans="15:15" x14ac:dyDescent="0.25">
      <c r="O302948" s="9"/>
    </row>
    <row r="302969" spans="15:15" x14ac:dyDescent="0.25">
      <c r="O302969" s="9"/>
    </row>
    <row r="302990" spans="15:15" x14ac:dyDescent="0.25">
      <c r="O302990" s="9"/>
    </row>
    <row r="303011" spans="15:15" x14ac:dyDescent="0.25">
      <c r="O303011" s="9"/>
    </row>
    <row r="303032" spans="15:15" x14ac:dyDescent="0.25">
      <c r="O303032" s="9"/>
    </row>
    <row r="303053" spans="15:15" x14ac:dyDescent="0.25">
      <c r="O303053" s="9"/>
    </row>
    <row r="303074" spans="15:15" x14ac:dyDescent="0.25">
      <c r="O303074" s="9"/>
    </row>
    <row r="303095" spans="15:15" x14ac:dyDescent="0.25">
      <c r="O303095" s="9"/>
    </row>
    <row r="303116" spans="15:15" x14ac:dyDescent="0.25">
      <c r="O303116" s="9"/>
    </row>
    <row r="303137" spans="15:15" x14ac:dyDescent="0.25">
      <c r="O303137" s="9"/>
    </row>
    <row r="303158" spans="15:15" x14ac:dyDescent="0.25">
      <c r="O303158" s="9"/>
    </row>
    <row r="303179" spans="15:15" x14ac:dyDescent="0.25">
      <c r="O303179" s="9"/>
    </row>
    <row r="303200" spans="15:15" x14ac:dyDescent="0.25">
      <c r="O303200" s="9"/>
    </row>
    <row r="303221" spans="15:15" x14ac:dyDescent="0.25">
      <c r="O303221" s="9"/>
    </row>
    <row r="303242" spans="15:15" x14ac:dyDescent="0.25">
      <c r="O303242" s="9"/>
    </row>
    <row r="303263" spans="15:15" x14ac:dyDescent="0.25">
      <c r="O303263" s="9"/>
    </row>
    <row r="303284" spans="15:15" x14ac:dyDescent="0.25">
      <c r="O303284" s="9"/>
    </row>
    <row r="303305" spans="15:15" x14ac:dyDescent="0.25">
      <c r="O303305" s="9"/>
    </row>
    <row r="303326" spans="15:15" x14ac:dyDescent="0.25">
      <c r="O303326" s="9"/>
    </row>
    <row r="303347" spans="15:15" x14ac:dyDescent="0.25">
      <c r="O303347" s="9"/>
    </row>
    <row r="303368" spans="15:15" x14ac:dyDescent="0.25">
      <c r="O303368" s="9"/>
    </row>
    <row r="303389" spans="15:15" x14ac:dyDescent="0.25">
      <c r="O303389" s="9"/>
    </row>
    <row r="303410" spans="15:15" x14ac:dyDescent="0.25">
      <c r="O303410" s="9"/>
    </row>
    <row r="303431" spans="15:15" x14ac:dyDescent="0.25">
      <c r="O303431" s="9"/>
    </row>
    <row r="303452" spans="15:15" x14ac:dyDescent="0.25">
      <c r="O303452" s="9"/>
    </row>
    <row r="303473" spans="15:15" x14ac:dyDescent="0.25">
      <c r="O303473" s="9"/>
    </row>
    <row r="303494" spans="15:15" x14ac:dyDescent="0.25">
      <c r="O303494" s="9"/>
    </row>
    <row r="303515" spans="15:15" x14ac:dyDescent="0.25">
      <c r="O303515" s="9"/>
    </row>
    <row r="303536" spans="15:15" x14ac:dyDescent="0.25">
      <c r="O303536" s="9"/>
    </row>
    <row r="303557" spans="15:15" x14ac:dyDescent="0.25">
      <c r="O303557" s="9"/>
    </row>
    <row r="303578" spans="15:15" x14ac:dyDescent="0.25">
      <c r="O303578" s="9"/>
    </row>
    <row r="303599" spans="15:15" x14ac:dyDescent="0.25">
      <c r="O303599" s="9"/>
    </row>
    <row r="303620" spans="15:15" x14ac:dyDescent="0.25">
      <c r="O303620" s="9"/>
    </row>
    <row r="303641" spans="15:15" x14ac:dyDescent="0.25">
      <c r="O303641" s="9"/>
    </row>
    <row r="303662" spans="15:15" x14ac:dyDescent="0.25">
      <c r="O303662" s="9"/>
    </row>
    <row r="303683" spans="15:15" x14ac:dyDescent="0.25">
      <c r="O303683" s="9"/>
    </row>
    <row r="303704" spans="15:15" x14ac:dyDescent="0.25">
      <c r="O303704" s="9"/>
    </row>
    <row r="303725" spans="15:15" x14ac:dyDescent="0.25">
      <c r="O303725" s="9"/>
    </row>
    <row r="303746" spans="15:15" x14ac:dyDescent="0.25">
      <c r="O303746" s="9"/>
    </row>
    <row r="303767" spans="15:15" x14ac:dyDescent="0.25">
      <c r="O303767" s="9"/>
    </row>
    <row r="303788" spans="15:15" x14ac:dyDescent="0.25">
      <c r="O303788" s="9"/>
    </row>
    <row r="303809" spans="15:15" x14ac:dyDescent="0.25">
      <c r="O303809" s="9"/>
    </row>
    <row r="303830" spans="15:15" x14ac:dyDescent="0.25">
      <c r="O303830" s="9"/>
    </row>
    <row r="303851" spans="15:15" x14ac:dyDescent="0.25">
      <c r="O303851" s="9"/>
    </row>
    <row r="303872" spans="15:15" x14ac:dyDescent="0.25">
      <c r="O303872" s="9"/>
    </row>
    <row r="303893" spans="15:15" x14ac:dyDescent="0.25">
      <c r="O303893" s="9"/>
    </row>
    <row r="303914" spans="15:15" x14ac:dyDescent="0.25">
      <c r="O303914" s="9"/>
    </row>
    <row r="303935" spans="15:15" x14ac:dyDescent="0.25">
      <c r="O303935" s="9"/>
    </row>
    <row r="303956" spans="15:15" x14ac:dyDescent="0.25">
      <c r="O303956" s="9"/>
    </row>
    <row r="303977" spans="15:15" x14ac:dyDescent="0.25">
      <c r="O303977" s="9"/>
    </row>
    <row r="303998" spans="15:15" x14ac:dyDescent="0.25">
      <c r="O303998" s="9"/>
    </row>
    <row r="304019" spans="15:15" x14ac:dyDescent="0.25">
      <c r="O304019" s="9"/>
    </row>
    <row r="304040" spans="15:15" x14ac:dyDescent="0.25">
      <c r="O304040" s="9"/>
    </row>
    <row r="304061" spans="15:15" x14ac:dyDescent="0.25">
      <c r="O304061" s="9"/>
    </row>
    <row r="304082" spans="15:15" x14ac:dyDescent="0.25">
      <c r="O304082" s="9"/>
    </row>
    <row r="304103" spans="15:15" x14ac:dyDescent="0.25">
      <c r="O304103" s="9"/>
    </row>
    <row r="304124" spans="15:15" x14ac:dyDescent="0.25">
      <c r="O304124" s="9"/>
    </row>
    <row r="304145" spans="15:15" x14ac:dyDescent="0.25">
      <c r="O304145" s="9"/>
    </row>
    <row r="304166" spans="15:15" x14ac:dyDescent="0.25">
      <c r="O304166" s="9"/>
    </row>
    <row r="304187" spans="15:15" x14ac:dyDescent="0.25">
      <c r="O304187" s="9"/>
    </row>
    <row r="304208" spans="15:15" x14ac:dyDescent="0.25">
      <c r="O304208" s="9"/>
    </row>
    <row r="304229" spans="15:15" x14ac:dyDescent="0.25">
      <c r="O304229" s="9"/>
    </row>
    <row r="304250" spans="15:15" x14ac:dyDescent="0.25">
      <c r="O304250" s="9"/>
    </row>
    <row r="304271" spans="15:15" x14ac:dyDescent="0.25">
      <c r="O304271" s="9"/>
    </row>
    <row r="304292" spans="15:15" x14ac:dyDescent="0.25">
      <c r="O304292" s="9"/>
    </row>
    <row r="304313" spans="15:15" x14ac:dyDescent="0.25">
      <c r="O304313" s="9"/>
    </row>
    <row r="304334" spans="15:15" x14ac:dyDescent="0.25">
      <c r="O304334" s="9"/>
    </row>
    <row r="304355" spans="15:15" x14ac:dyDescent="0.25">
      <c r="O304355" s="9"/>
    </row>
    <row r="304376" spans="15:15" x14ac:dyDescent="0.25">
      <c r="O304376" s="9"/>
    </row>
    <row r="304397" spans="15:15" x14ac:dyDescent="0.25">
      <c r="O304397" s="9"/>
    </row>
    <row r="304418" spans="15:15" x14ac:dyDescent="0.25">
      <c r="O304418" s="9"/>
    </row>
    <row r="304439" spans="15:15" x14ac:dyDescent="0.25">
      <c r="O304439" s="9"/>
    </row>
    <row r="304460" spans="15:15" x14ac:dyDescent="0.25">
      <c r="O304460" s="9"/>
    </row>
    <row r="304481" spans="15:15" x14ac:dyDescent="0.25">
      <c r="O304481" s="9"/>
    </row>
    <row r="304502" spans="15:15" x14ac:dyDescent="0.25">
      <c r="O304502" s="9"/>
    </row>
    <row r="304523" spans="15:15" x14ac:dyDescent="0.25">
      <c r="O304523" s="9"/>
    </row>
    <row r="304544" spans="15:15" x14ac:dyDescent="0.25">
      <c r="O304544" s="9"/>
    </row>
    <row r="304565" spans="15:15" x14ac:dyDescent="0.25">
      <c r="O304565" s="9"/>
    </row>
    <row r="304586" spans="15:15" x14ac:dyDescent="0.25">
      <c r="O304586" s="9"/>
    </row>
    <row r="304607" spans="15:15" x14ac:dyDescent="0.25">
      <c r="O304607" s="9"/>
    </row>
    <row r="304628" spans="15:15" x14ac:dyDescent="0.25">
      <c r="O304628" s="9"/>
    </row>
    <row r="304649" spans="15:15" x14ac:dyDescent="0.25">
      <c r="O304649" s="9"/>
    </row>
    <row r="304670" spans="15:15" x14ac:dyDescent="0.25">
      <c r="O304670" s="9"/>
    </row>
    <row r="304691" spans="15:15" x14ac:dyDescent="0.25">
      <c r="O304691" s="9"/>
    </row>
    <row r="304712" spans="15:15" x14ac:dyDescent="0.25">
      <c r="O304712" s="9"/>
    </row>
    <row r="304733" spans="15:15" x14ac:dyDescent="0.25">
      <c r="O304733" s="9"/>
    </row>
    <row r="304754" spans="15:15" x14ac:dyDescent="0.25">
      <c r="O304754" s="9"/>
    </row>
    <row r="304775" spans="15:15" x14ac:dyDescent="0.25">
      <c r="O304775" s="9"/>
    </row>
    <row r="304796" spans="15:15" x14ac:dyDescent="0.25">
      <c r="O304796" s="9"/>
    </row>
    <row r="304817" spans="15:15" x14ac:dyDescent="0.25">
      <c r="O304817" s="9"/>
    </row>
    <row r="304838" spans="15:15" x14ac:dyDescent="0.25">
      <c r="O304838" s="9"/>
    </row>
    <row r="304859" spans="15:15" x14ac:dyDescent="0.25">
      <c r="O304859" s="9"/>
    </row>
    <row r="304880" spans="15:15" x14ac:dyDescent="0.25">
      <c r="O304880" s="9"/>
    </row>
    <row r="304901" spans="15:15" x14ac:dyDescent="0.25">
      <c r="O304901" s="9"/>
    </row>
    <row r="304922" spans="15:15" x14ac:dyDescent="0.25">
      <c r="O304922" s="9"/>
    </row>
    <row r="304943" spans="15:15" x14ac:dyDescent="0.25">
      <c r="O304943" s="9"/>
    </row>
    <row r="304964" spans="15:15" x14ac:dyDescent="0.25">
      <c r="O304964" s="9"/>
    </row>
    <row r="304985" spans="15:15" x14ac:dyDescent="0.25">
      <c r="O304985" s="9"/>
    </row>
    <row r="305006" spans="15:15" x14ac:dyDescent="0.25">
      <c r="O305006" s="9"/>
    </row>
    <row r="305027" spans="15:15" x14ac:dyDescent="0.25">
      <c r="O305027" s="9"/>
    </row>
    <row r="305048" spans="15:15" x14ac:dyDescent="0.25">
      <c r="O305048" s="9"/>
    </row>
    <row r="305069" spans="15:15" x14ac:dyDescent="0.25">
      <c r="O305069" s="9"/>
    </row>
    <row r="305090" spans="15:15" x14ac:dyDescent="0.25">
      <c r="O305090" s="9"/>
    </row>
    <row r="305111" spans="15:15" x14ac:dyDescent="0.25">
      <c r="O305111" s="9"/>
    </row>
    <row r="305132" spans="15:15" x14ac:dyDescent="0.25">
      <c r="O305132" s="9"/>
    </row>
    <row r="305153" spans="15:15" x14ac:dyDescent="0.25">
      <c r="O305153" s="9"/>
    </row>
    <row r="305174" spans="15:15" x14ac:dyDescent="0.25">
      <c r="O305174" s="9"/>
    </row>
    <row r="305195" spans="15:15" x14ac:dyDescent="0.25">
      <c r="O305195" s="9"/>
    </row>
    <row r="305216" spans="15:15" x14ac:dyDescent="0.25">
      <c r="O305216" s="9"/>
    </row>
    <row r="305237" spans="15:15" x14ac:dyDescent="0.25">
      <c r="O305237" s="9"/>
    </row>
    <row r="305258" spans="15:15" x14ac:dyDescent="0.25">
      <c r="O305258" s="9"/>
    </row>
    <row r="305279" spans="15:15" x14ac:dyDescent="0.25">
      <c r="O305279" s="9"/>
    </row>
    <row r="305300" spans="15:15" x14ac:dyDescent="0.25">
      <c r="O305300" s="9"/>
    </row>
    <row r="305321" spans="15:15" x14ac:dyDescent="0.25">
      <c r="O305321" s="9"/>
    </row>
    <row r="305342" spans="15:15" x14ac:dyDescent="0.25">
      <c r="O305342" s="9"/>
    </row>
    <row r="305363" spans="15:15" x14ac:dyDescent="0.25">
      <c r="O305363" s="9"/>
    </row>
    <row r="305384" spans="15:15" x14ac:dyDescent="0.25">
      <c r="O305384" s="9"/>
    </row>
    <row r="305405" spans="15:15" x14ac:dyDescent="0.25">
      <c r="O305405" s="9"/>
    </row>
    <row r="305426" spans="15:15" x14ac:dyDescent="0.25">
      <c r="O305426" s="9"/>
    </row>
    <row r="305447" spans="15:15" x14ac:dyDescent="0.25">
      <c r="O305447" s="9"/>
    </row>
    <row r="305468" spans="15:15" x14ac:dyDescent="0.25">
      <c r="O305468" s="9"/>
    </row>
    <row r="305489" spans="15:15" x14ac:dyDescent="0.25">
      <c r="O305489" s="9"/>
    </row>
    <row r="305510" spans="15:15" x14ac:dyDescent="0.25">
      <c r="O305510" s="9"/>
    </row>
    <row r="305531" spans="15:15" x14ac:dyDescent="0.25">
      <c r="O305531" s="9"/>
    </row>
    <row r="305552" spans="15:15" x14ac:dyDescent="0.25">
      <c r="O305552" s="9"/>
    </row>
    <row r="305573" spans="15:15" x14ac:dyDescent="0.25">
      <c r="O305573" s="9"/>
    </row>
    <row r="305594" spans="15:15" x14ac:dyDescent="0.25">
      <c r="O305594" s="9"/>
    </row>
    <row r="305615" spans="15:15" x14ac:dyDescent="0.25">
      <c r="O305615" s="9"/>
    </row>
    <row r="305636" spans="15:15" x14ac:dyDescent="0.25">
      <c r="O305636" s="9"/>
    </row>
    <row r="305657" spans="15:15" x14ac:dyDescent="0.25">
      <c r="O305657" s="9"/>
    </row>
    <row r="305678" spans="15:15" x14ac:dyDescent="0.25">
      <c r="O305678" s="9"/>
    </row>
    <row r="305699" spans="15:15" x14ac:dyDescent="0.25">
      <c r="O305699" s="9"/>
    </row>
    <row r="305720" spans="15:15" x14ac:dyDescent="0.25">
      <c r="O305720" s="9"/>
    </row>
    <row r="305741" spans="15:15" x14ac:dyDescent="0.25">
      <c r="O305741" s="9"/>
    </row>
    <row r="305762" spans="15:15" x14ac:dyDescent="0.25">
      <c r="O305762" s="9"/>
    </row>
    <row r="305783" spans="15:15" x14ac:dyDescent="0.25">
      <c r="O305783" s="9"/>
    </row>
    <row r="305804" spans="15:15" x14ac:dyDescent="0.25">
      <c r="O305804" s="9"/>
    </row>
    <row r="305825" spans="15:15" x14ac:dyDescent="0.25">
      <c r="O305825" s="9"/>
    </row>
    <row r="305846" spans="15:15" x14ac:dyDescent="0.25">
      <c r="O305846" s="9"/>
    </row>
    <row r="305867" spans="15:15" x14ac:dyDescent="0.25">
      <c r="O305867" s="9"/>
    </row>
    <row r="305888" spans="15:15" x14ac:dyDescent="0.25">
      <c r="O305888" s="9"/>
    </row>
    <row r="305909" spans="15:15" x14ac:dyDescent="0.25">
      <c r="O305909" s="9"/>
    </row>
    <row r="305930" spans="15:15" x14ac:dyDescent="0.25">
      <c r="O305930" s="9"/>
    </row>
    <row r="305951" spans="15:15" x14ac:dyDescent="0.25">
      <c r="O305951" s="9"/>
    </row>
    <row r="305972" spans="15:15" x14ac:dyDescent="0.25">
      <c r="O305972" s="9"/>
    </row>
    <row r="305993" spans="15:15" x14ac:dyDescent="0.25">
      <c r="O305993" s="9"/>
    </row>
    <row r="306014" spans="15:15" x14ac:dyDescent="0.25">
      <c r="O306014" s="9"/>
    </row>
    <row r="306035" spans="15:15" x14ac:dyDescent="0.25">
      <c r="O306035" s="9"/>
    </row>
    <row r="306056" spans="15:15" x14ac:dyDescent="0.25">
      <c r="O306056" s="9"/>
    </row>
    <row r="306077" spans="15:15" x14ac:dyDescent="0.25">
      <c r="O306077" s="9"/>
    </row>
    <row r="306098" spans="15:15" x14ac:dyDescent="0.25">
      <c r="O306098" s="9"/>
    </row>
    <row r="306119" spans="15:15" x14ac:dyDescent="0.25">
      <c r="O306119" s="9"/>
    </row>
    <row r="306140" spans="15:15" x14ac:dyDescent="0.25">
      <c r="O306140" s="9"/>
    </row>
    <row r="306161" spans="15:15" x14ac:dyDescent="0.25">
      <c r="O306161" s="9"/>
    </row>
    <row r="306182" spans="15:15" x14ac:dyDescent="0.25">
      <c r="O306182" s="9"/>
    </row>
    <row r="306203" spans="15:15" x14ac:dyDescent="0.25">
      <c r="O306203" s="9"/>
    </row>
    <row r="306224" spans="15:15" x14ac:dyDescent="0.25">
      <c r="O306224" s="9"/>
    </row>
    <row r="306245" spans="15:15" x14ac:dyDescent="0.25">
      <c r="O306245" s="9"/>
    </row>
    <row r="306266" spans="15:15" x14ac:dyDescent="0.25">
      <c r="O306266" s="9"/>
    </row>
    <row r="306287" spans="15:15" x14ac:dyDescent="0.25">
      <c r="O306287" s="9"/>
    </row>
    <row r="306308" spans="15:15" x14ac:dyDescent="0.25">
      <c r="O306308" s="9"/>
    </row>
    <row r="306329" spans="15:15" x14ac:dyDescent="0.25">
      <c r="O306329" s="9"/>
    </row>
    <row r="306350" spans="15:15" x14ac:dyDescent="0.25">
      <c r="O306350" s="9"/>
    </row>
    <row r="306371" spans="15:15" x14ac:dyDescent="0.25">
      <c r="O306371" s="9"/>
    </row>
    <row r="306392" spans="15:15" x14ac:dyDescent="0.25">
      <c r="O306392" s="9"/>
    </row>
    <row r="306413" spans="15:15" x14ac:dyDescent="0.25">
      <c r="O306413" s="9"/>
    </row>
    <row r="306434" spans="15:15" x14ac:dyDescent="0.25">
      <c r="O306434" s="9"/>
    </row>
    <row r="306455" spans="15:15" x14ac:dyDescent="0.25">
      <c r="O306455" s="9"/>
    </row>
    <row r="306476" spans="15:15" x14ac:dyDescent="0.25">
      <c r="O306476" s="9"/>
    </row>
    <row r="306497" spans="15:15" x14ac:dyDescent="0.25">
      <c r="O306497" s="9"/>
    </row>
    <row r="306518" spans="15:15" x14ac:dyDescent="0.25">
      <c r="O306518" s="9"/>
    </row>
    <row r="306539" spans="15:15" x14ac:dyDescent="0.25">
      <c r="O306539" s="9"/>
    </row>
    <row r="306560" spans="15:15" x14ac:dyDescent="0.25">
      <c r="O306560" s="9"/>
    </row>
    <row r="306581" spans="15:15" x14ac:dyDescent="0.25">
      <c r="O306581" s="9"/>
    </row>
    <row r="306602" spans="15:15" x14ac:dyDescent="0.25">
      <c r="O306602" s="9"/>
    </row>
    <row r="306623" spans="15:15" x14ac:dyDescent="0.25">
      <c r="O306623" s="9"/>
    </row>
    <row r="306644" spans="15:15" x14ac:dyDescent="0.25">
      <c r="O306644" s="9"/>
    </row>
    <row r="306665" spans="15:15" x14ac:dyDescent="0.25">
      <c r="O306665" s="9"/>
    </row>
    <row r="306686" spans="15:15" x14ac:dyDescent="0.25">
      <c r="O306686" s="9"/>
    </row>
    <row r="306707" spans="15:15" x14ac:dyDescent="0.25">
      <c r="O306707" s="9"/>
    </row>
    <row r="306728" spans="15:15" x14ac:dyDescent="0.25">
      <c r="O306728" s="9"/>
    </row>
    <row r="306749" spans="15:15" x14ac:dyDescent="0.25">
      <c r="O306749" s="9"/>
    </row>
    <row r="306770" spans="15:15" x14ac:dyDescent="0.25">
      <c r="O306770" s="9"/>
    </row>
    <row r="306791" spans="15:15" x14ac:dyDescent="0.25">
      <c r="O306791" s="9"/>
    </row>
    <row r="306812" spans="15:15" x14ac:dyDescent="0.25">
      <c r="O306812" s="9"/>
    </row>
    <row r="306833" spans="15:15" x14ac:dyDescent="0.25">
      <c r="O306833" s="9"/>
    </row>
    <row r="306854" spans="15:15" x14ac:dyDescent="0.25">
      <c r="O306854" s="9"/>
    </row>
    <row r="306875" spans="15:15" x14ac:dyDescent="0.25">
      <c r="O306875" s="9"/>
    </row>
    <row r="306896" spans="15:15" x14ac:dyDescent="0.25">
      <c r="O306896" s="9"/>
    </row>
    <row r="306917" spans="15:15" x14ac:dyDescent="0.25">
      <c r="O306917" s="9"/>
    </row>
    <row r="306938" spans="15:15" x14ac:dyDescent="0.25">
      <c r="O306938" s="9"/>
    </row>
    <row r="306959" spans="15:15" x14ac:dyDescent="0.25">
      <c r="O306959" s="9"/>
    </row>
    <row r="306980" spans="15:15" x14ac:dyDescent="0.25">
      <c r="O306980" s="9"/>
    </row>
    <row r="307001" spans="15:15" x14ac:dyDescent="0.25">
      <c r="O307001" s="9"/>
    </row>
    <row r="307022" spans="15:15" x14ac:dyDescent="0.25">
      <c r="O307022" s="9"/>
    </row>
    <row r="307043" spans="15:15" x14ac:dyDescent="0.25">
      <c r="O307043" s="9"/>
    </row>
    <row r="307064" spans="15:15" x14ac:dyDescent="0.25">
      <c r="O307064" s="9"/>
    </row>
    <row r="307085" spans="15:15" x14ac:dyDescent="0.25">
      <c r="O307085" s="9"/>
    </row>
    <row r="307106" spans="15:15" x14ac:dyDescent="0.25">
      <c r="O307106" s="9"/>
    </row>
    <row r="307127" spans="15:15" x14ac:dyDescent="0.25">
      <c r="O307127" s="9"/>
    </row>
    <row r="307148" spans="15:15" x14ac:dyDescent="0.25">
      <c r="O307148" s="9"/>
    </row>
    <row r="307169" spans="15:15" x14ac:dyDescent="0.25">
      <c r="O307169" s="9"/>
    </row>
    <row r="307190" spans="15:15" x14ac:dyDescent="0.25">
      <c r="O307190" s="9"/>
    </row>
    <row r="307211" spans="15:15" x14ac:dyDescent="0.25">
      <c r="O307211" s="9"/>
    </row>
    <row r="307232" spans="15:15" x14ac:dyDescent="0.25">
      <c r="O307232" s="9"/>
    </row>
    <row r="307253" spans="15:15" x14ac:dyDescent="0.25">
      <c r="O307253" s="9"/>
    </row>
    <row r="307274" spans="15:15" x14ac:dyDescent="0.25">
      <c r="O307274" s="9"/>
    </row>
    <row r="307295" spans="15:15" x14ac:dyDescent="0.25">
      <c r="O307295" s="9"/>
    </row>
    <row r="307316" spans="15:15" x14ac:dyDescent="0.25">
      <c r="O307316" s="9"/>
    </row>
    <row r="307337" spans="15:15" x14ac:dyDescent="0.25">
      <c r="O307337" s="9"/>
    </row>
    <row r="307358" spans="15:15" x14ac:dyDescent="0.25">
      <c r="O307358" s="9"/>
    </row>
    <row r="307379" spans="15:15" x14ac:dyDescent="0.25">
      <c r="O307379" s="9"/>
    </row>
    <row r="307400" spans="15:15" x14ac:dyDescent="0.25">
      <c r="O307400" s="9"/>
    </row>
    <row r="307421" spans="15:15" x14ac:dyDescent="0.25">
      <c r="O307421" s="9"/>
    </row>
    <row r="307442" spans="15:15" x14ac:dyDescent="0.25">
      <c r="O307442" s="9"/>
    </row>
    <row r="307463" spans="15:15" x14ac:dyDescent="0.25">
      <c r="O307463" s="9"/>
    </row>
    <row r="307484" spans="15:15" x14ac:dyDescent="0.25">
      <c r="O307484" s="9"/>
    </row>
    <row r="307505" spans="15:15" x14ac:dyDescent="0.25">
      <c r="O307505" s="9"/>
    </row>
    <row r="307526" spans="15:15" x14ac:dyDescent="0.25">
      <c r="O307526" s="9"/>
    </row>
    <row r="307547" spans="15:15" x14ac:dyDescent="0.25">
      <c r="O307547" s="9"/>
    </row>
    <row r="307568" spans="15:15" x14ac:dyDescent="0.25">
      <c r="O307568" s="9"/>
    </row>
    <row r="307589" spans="15:15" x14ac:dyDescent="0.25">
      <c r="O307589" s="9"/>
    </row>
    <row r="307610" spans="15:15" x14ac:dyDescent="0.25">
      <c r="O307610" s="9"/>
    </row>
    <row r="307631" spans="15:15" x14ac:dyDescent="0.25">
      <c r="O307631" s="9"/>
    </row>
    <row r="307652" spans="15:15" x14ac:dyDescent="0.25">
      <c r="O307652" s="9"/>
    </row>
    <row r="307673" spans="15:15" x14ac:dyDescent="0.25">
      <c r="O307673" s="9"/>
    </row>
    <row r="307694" spans="15:15" x14ac:dyDescent="0.25">
      <c r="O307694" s="9"/>
    </row>
    <row r="307715" spans="15:15" x14ac:dyDescent="0.25">
      <c r="O307715" s="9"/>
    </row>
    <row r="307736" spans="15:15" x14ac:dyDescent="0.25">
      <c r="O307736" s="9"/>
    </row>
    <row r="307757" spans="15:15" x14ac:dyDescent="0.25">
      <c r="O307757" s="9"/>
    </row>
    <row r="307778" spans="15:15" x14ac:dyDescent="0.25">
      <c r="O307778" s="9"/>
    </row>
    <row r="307799" spans="15:15" x14ac:dyDescent="0.25">
      <c r="O307799" s="9"/>
    </row>
    <row r="307820" spans="15:15" x14ac:dyDescent="0.25">
      <c r="O307820" s="9"/>
    </row>
    <row r="307841" spans="15:15" x14ac:dyDescent="0.25">
      <c r="O307841" s="9"/>
    </row>
    <row r="307862" spans="15:15" x14ac:dyDescent="0.25">
      <c r="O307862" s="9"/>
    </row>
    <row r="307883" spans="15:15" x14ac:dyDescent="0.25">
      <c r="O307883" s="9"/>
    </row>
    <row r="307904" spans="15:15" x14ac:dyDescent="0.25">
      <c r="O307904" s="9"/>
    </row>
    <row r="307925" spans="15:15" x14ac:dyDescent="0.25">
      <c r="O307925" s="9"/>
    </row>
    <row r="307946" spans="15:15" x14ac:dyDescent="0.25">
      <c r="O307946" s="9"/>
    </row>
    <row r="307967" spans="15:15" x14ac:dyDescent="0.25">
      <c r="O307967" s="9"/>
    </row>
    <row r="307988" spans="15:15" x14ac:dyDescent="0.25">
      <c r="O307988" s="9"/>
    </row>
    <row r="308009" spans="15:15" x14ac:dyDescent="0.25">
      <c r="O308009" s="9"/>
    </row>
    <row r="308030" spans="15:15" x14ac:dyDescent="0.25">
      <c r="O308030" s="9"/>
    </row>
    <row r="308051" spans="15:15" x14ac:dyDescent="0.25">
      <c r="O308051" s="9"/>
    </row>
    <row r="308072" spans="15:15" x14ac:dyDescent="0.25">
      <c r="O308072" s="9"/>
    </row>
    <row r="308093" spans="15:15" x14ac:dyDescent="0.25">
      <c r="O308093" s="9"/>
    </row>
    <row r="308114" spans="15:15" x14ac:dyDescent="0.25">
      <c r="O308114" s="9"/>
    </row>
    <row r="308135" spans="15:15" x14ac:dyDescent="0.25">
      <c r="O308135" s="9"/>
    </row>
    <row r="308156" spans="15:15" x14ac:dyDescent="0.25">
      <c r="O308156" s="9"/>
    </row>
    <row r="308177" spans="15:15" x14ac:dyDescent="0.25">
      <c r="O308177" s="9"/>
    </row>
    <row r="308198" spans="15:15" x14ac:dyDescent="0.25">
      <c r="O308198" s="9"/>
    </row>
    <row r="308219" spans="15:15" x14ac:dyDescent="0.25">
      <c r="O308219" s="9"/>
    </row>
    <row r="308240" spans="15:15" x14ac:dyDescent="0.25">
      <c r="O308240" s="9"/>
    </row>
    <row r="308261" spans="15:15" x14ac:dyDescent="0.25">
      <c r="O308261" s="9"/>
    </row>
    <row r="308282" spans="15:15" x14ac:dyDescent="0.25">
      <c r="O308282" s="9"/>
    </row>
    <row r="308303" spans="15:15" x14ac:dyDescent="0.25">
      <c r="O308303" s="9"/>
    </row>
    <row r="308324" spans="15:15" x14ac:dyDescent="0.25">
      <c r="O308324" s="9"/>
    </row>
    <row r="308345" spans="15:15" x14ac:dyDescent="0.25">
      <c r="O308345" s="9"/>
    </row>
    <row r="308366" spans="15:15" x14ac:dyDescent="0.25">
      <c r="O308366" s="9"/>
    </row>
    <row r="308387" spans="15:15" x14ac:dyDescent="0.25">
      <c r="O308387" s="9"/>
    </row>
    <row r="308408" spans="15:15" x14ac:dyDescent="0.25">
      <c r="O308408" s="9"/>
    </row>
    <row r="308429" spans="15:15" x14ac:dyDescent="0.25">
      <c r="O308429" s="9"/>
    </row>
    <row r="308450" spans="15:15" x14ac:dyDescent="0.25">
      <c r="O308450" s="9"/>
    </row>
    <row r="308471" spans="15:15" x14ac:dyDescent="0.25">
      <c r="O308471" s="9"/>
    </row>
    <row r="308492" spans="15:15" x14ac:dyDescent="0.25">
      <c r="O308492" s="9"/>
    </row>
    <row r="308513" spans="15:15" x14ac:dyDescent="0.25">
      <c r="O308513" s="9"/>
    </row>
    <row r="308534" spans="15:15" x14ac:dyDescent="0.25">
      <c r="O308534" s="9"/>
    </row>
    <row r="308555" spans="15:15" x14ac:dyDescent="0.25">
      <c r="O308555" s="9"/>
    </row>
    <row r="308576" spans="15:15" x14ac:dyDescent="0.25">
      <c r="O308576" s="9"/>
    </row>
    <row r="308597" spans="15:15" x14ac:dyDescent="0.25">
      <c r="O308597" s="9"/>
    </row>
    <row r="308618" spans="15:15" x14ac:dyDescent="0.25">
      <c r="O308618" s="9"/>
    </row>
    <row r="308639" spans="15:15" x14ac:dyDescent="0.25">
      <c r="O308639" s="9"/>
    </row>
    <row r="308660" spans="15:15" x14ac:dyDescent="0.25">
      <c r="O308660" s="9"/>
    </row>
    <row r="308681" spans="15:15" x14ac:dyDescent="0.25">
      <c r="O308681" s="9"/>
    </row>
    <row r="308702" spans="15:15" x14ac:dyDescent="0.25">
      <c r="O308702" s="9"/>
    </row>
    <row r="308723" spans="15:15" x14ac:dyDescent="0.25">
      <c r="O308723" s="9"/>
    </row>
    <row r="308744" spans="15:15" x14ac:dyDescent="0.25">
      <c r="O308744" s="9"/>
    </row>
    <row r="308765" spans="15:15" x14ac:dyDescent="0.25">
      <c r="O308765" s="9"/>
    </row>
    <row r="308786" spans="15:15" x14ac:dyDescent="0.25">
      <c r="O308786" s="9"/>
    </row>
    <row r="308807" spans="15:15" x14ac:dyDescent="0.25">
      <c r="O308807" s="9"/>
    </row>
    <row r="308828" spans="15:15" x14ac:dyDescent="0.25">
      <c r="O308828" s="9"/>
    </row>
    <row r="308849" spans="15:15" x14ac:dyDescent="0.25">
      <c r="O308849" s="9"/>
    </row>
    <row r="308870" spans="15:15" x14ac:dyDescent="0.25">
      <c r="O308870" s="9"/>
    </row>
    <row r="308891" spans="15:15" x14ac:dyDescent="0.25">
      <c r="O308891" s="9"/>
    </row>
    <row r="308912" spans="15:15" x14ac:dyDescent="0.25">
      <c r="O308912" s="9"/>
    </row>
    <row r="308933" spans="15:15" x14ac:dyDescent="0.25">
      <c r="O308933" s="9"/>
    </row>
    <row r="308954" spans="15:15" x14ac:dyDescent="0.25">
      <c r="O308954" s="9"/>
    </row>
    <row r="308975" spans="15:15" x14ac:dyDescent="0.25">
      <c r="O308975" s="9"/>
    </row>
    <row r="308996" spans="15:15" x14ac:dyDescent="0.25">
      <c r="O308996" s="9"/>
    </row>
    <row r="309017" spans="15:15" x14ac:dyDescent="0.25">
      <c r="O309017" s="9"/>
    </row>
    <row r="309038" spans="15:15" x14ac:dyDescent="0.25">
      <c r="O309038" s="9"/>
    </row>
    <row r="309059" spans="15:15" x14ac:dyDescent="0.25">
      <c r="O309059" s="9"/>
    </row>
    <row r="309080" spans="15:15" x14ac:dyDescent="0.25">
      <c r="O309080" s="9"/>
    </row>
    <row r="309101" spans="15:15" x14ac:dyDescent="0.25">
      <c r="O309101" s="9"/>
    </row>
    <row r="309122" spans="15:15" x14ac:dyDescent="0.25">
      <c r="O309122" s="9"/>
    </row>
    <row r="309143" spans="15:15" x14ac:dyDescent="0.25">
      <c r="O309143" s="9"/>
    </row>
    <row r="309164" spans="15:15" x14ac:dyDescent="0.25">
      <c r="O309164" s="9"/>
    </row>
    <row r="309185" spans="15:15" x14ac:dyDescent="0.25">
      <c r="O309185" s="9"/>
    </row>
    <row r="309206" spans="15:15" x14ac:dyDescent="0.25">
      <c r="O309206" s="9"/>
    </row>
    <row r="309227" spans="15:15" x14ac:dyDescent="0.25">
      <c r="O309227" s="9"/>
    </row>
    <row r="309248" spans="15:15" x14ac:dyDescent="0.25">
      <c r="O309248" s="9"/>
    </row>
    <row r="309269" spans="15:15" x14ac:dyDescent="0.25">
      <c r="O309269" s="9"/>
    </row>
    <row r="309290" spans="15:15" x14ac:dyDescent="0.25">
      <c r="O309290" s="9"/>
    </row>
    <row r="309311" spans="15:15" x14ac:dyDescent="0.25">
      <c r="O309311" s="9"/>
    </row>
    <row r="309332" spans="15:15" x14ac:dyDescent="0.25">
      <c r="O309332" s="9"/>
    </row>
    <row r="309353" spans="15:15" x14ac:dyDescent="0.25">
      <c r="O309353" s="9"/>
    </row>
    <row r="309374" spans="15:15" x14ac:dyDescent="0.25">
      <c r="O309374" s="9"/>
    </row>
    <row r="309395" spans="15:15" x14ac:dyDescent="0.25">
      <c r="O309395" s="9"/>
    </row>
    <row r="309416" spans="15:15" x14ac:dyDescent="0.25">
      <c r="O309416" s="9"/>
    </row>
    <row r="309437" spans="15:15" x14ac:dyDescent="0.25">
      <c r="O309437" s="9"/>
    </row>
    <row r="309458" spans="15:15" x14ac:dyDescent="0.25">
      <c r="O309458" s="9"/>
    </row>
    <row r="309479" spans="15:15" x14ac:dyDescent="0.25">
      <c r="O309479" s="9"/>
    </row>
    <row r="309500" spans="15:15" x14ac:dyDescent="0.25">
      <c r="O309500" s="9"/>
    </row>
    <row r="309521" spans="15:15" x14ac:dyDescent="0.25">
      <c r="O309521" s="9"/>
    </row>
    <row r="309542" spans="15:15" x14ac:dyDescent="0.25">
      <c r="O309542" s="9"/>
    </row>
    <row r="309563" spans="15:15" x14ac:dyDescent="0.25">
      <c r="O309563" s="9"/>
    </row>
    <row r="309584" spans="15:15" x14ac:dyDescent="0.25">
      <c r="O309584" s="9"/>
    </row>
    <row r="309605" spans="15:15" x14ac:dyDescent="0.25">
      <c r="O309605" s="9"/>
    </row>
    <row r="309626" spans="15:15" x14ac:dyDescent="0.25">
      <c r="O309626" s="9"/>
    </row>
    <row r="309647" spans="15:15" x14ac:dyDescent="0.25">
      <c r="O309647" s="9"/>
    </row>
    <row r="309668" spans="15:15" x14ac:dyDescent="0.25">
      <c r="O309668" s="9"/>
    </row>
    <row r="309689" spans="15:15" x14ac:dyDescent="0.25">
      <c r="O309689" s="9"/>
    </row>
    <row r="309710" spans="15:15" x14ac:dyDescent="0.25">
      <c r="O309710" s="9"/>
    </row>
    <row r="309731" spans="15:15" x14ac:dyDescent="0.25">
      <c r="O309731" s="9"/>
    </row>
    <row r="309752" spans="15:15" x14ac:dyDescent="0.25">
      <c r="O309752" s="9"/>
    </row>
    <row r="309773" spans="15:15" x14ac:dyDescent="0.25">
      <c r="O309773" s="9"/>
    </row>
    <row r="309794" spans="15:15" x14ac:dyDescent="0.25">
      <c r="O309794" s="9"/>
    </row>
    <row r="309815" spans="15:15" x14ac:dyDescent="0.25">
      <c r="O309815" s="9"/>
    </row>
    <row r="309836" spans="15:15" x14ac:dyDescent="0.25">
      <c r="O309836" s="9"/>
    </row>
    <row r="309857" spans="15:15" x14ac:dyDescent="0.25">
      <c r="O309857" s="9"/>
    </row>
    <row r="309878" spans="15:15" x14ac:dyDescent="0.25">
      <c r="O309878" s="9"/>
    </row>
    <row r="309899" spans="15:15" x14ac:dyDescent="0.25">
      <c r="O309899" s="9"/>
    </row>
    <row r="309920" spans="15:15" x14ac:dyDescent="0.25">
      <c r="O309920" s="9"/>
    </row>
    <row r="309941" spans="15:15" x14ac:dyDescent="0.25">
      <c r="O309941" s="9"/>
    </row>
    <row r="309962" spans="15:15" x14ac:dyDescent="0.25">
      <c r="O309962" s="9"/>
    </row>
    <row r="309983" spans="15:15" x14ac:dyDescent="0.25">
      <c r="O309983" s="9"/>
    </row>
    <row r="310004" spans="15:15" x14ac:dyDescent="0.25">
      <c r="O310004" s="9"/>
    </row>
    <row r="310025" spans="15:15" x14ac:dyDescent="0.25">
      <c r="O310025" s="9"/>
    </row>
    <row r="310046" spans="15:15" x14ac:dyDescent="0.25">
      <c r="O310046" s="9"/>
    </row>
    <row r="310067" spans="15:15" x14ac:dyDescent="0.25">
      <c r="O310067" s="9"/>
    </row>
    <row r="310088" spans="15:15" x14ac:dyDescent="0.25">
      <c r="O310088" s="9"/>
    </row>
    <row r="310109" spans="15:15" x14ac:dyDescent="0.25">
      <c r="O310109" s="9"/>
    </row>
    <row r="310130" spans="15:15" x14ac:dyDescent="0.25">
      <c r="O310130" s="9"/>
    </row>
    <row r="310151" spans="15:15" x14ac:dyDescent="0.25">
      <c r="O310151" s="9"/>
    </row>
    <row r="310172" spans="15:15" x14ac:dyDescent="0.25">
      <c r="O310172" s="9"/>
    </row>
    <row r="310193" spans="15:15" x14ac:dyDescent="0.25">
      <c r="O310193" s="9"/>
    </row>
    <row r="310214" spans="15:15" x14ac:dyDescent="0.25">
      <c r="O310214" s="9"/>
    </row>
    <row r="310235" spans="15:15" x14ac:dyDescent="0.25">
      <c r="O310235" s="9"/>
    </row>
    <row r="310256" spans="15:15" x14ac:dyDescent="0.25">
      <c r="O310256" s="9"/>
    </row>
    <row r="310277" spans="15:15" x14ac:dyDescent="0.25">
      <c r="O310277" s="9"/>
    </row>
    <row r="310298" spans="15:15" x14ac:dyDescent="0.25">
      <c r="O310298" s="9"/>
    </row>
    <row r="310319" spans="15:15" x14ac:dyDescent="0.25">
      <c r="O310319" s="9"/>
    </row>
    <row r="310340" spans="15:15" x14ac:dyDescent="0.25">
      <c r="O310340" s="9"/>
    </row>
    <row r="310361" spans="15:15" x14ac:dyDescent="0.25">
      <c r="O310361" s="9"/>
    </row>
    <row r="310382" spans="15:15" x14ac:dyDescent="0.25">
      <c r="O310382" s="9"/>
    </row>
    <row r="310403" spans="15:15" x14ac:dyDescent="0.25">
      <c r="O310403" s="9"/>
    </row>
    <row r="310424" spans="15:15" x14ac:dyDescent="0.25">
      <c r="O310424" s="9"/>
    </row>
    <row r="310445" spans="15:15" x14ac:dyDescent="0.25">
      <c r="O310445" s="9"/>
    </row>
    <row r="310466" spans="15:15" x14ac:dyDescent="0.25">
      <c r="O310466" s="9"/>
    </row>
    <row r="310487" spans="15:15" x14ac:dyDescent="0.25">
      <c r="O310487" s="9"/>
    </row>
    <row r="310508" spans="15:15" x14ac:dyDescent="0.25">
      <c r="O310508" s="9"/>
    </row>
    <row r="310529" spans="15:15" x14ac:dyDescent="0.25">
      <c r="O310529" s="9"/>
    </row>
    <row r="310550" spans="15:15" x14ac:dyDescent="0.25">
      <c r="O310550" s="9"/>
    </row>
    <row r="310571" spans="15:15" x14ac:dyDescent="0.25">
      <c r="O310571" s="9"/>
    </row>
    <row r="310592" spans="15:15" x14ac:dyDescent="0.25">
      <c r="O310592" s="9"/>
    </row>
    <row r="310613" spans="15:15" x14ac:dyDescent="0.25">
      <c r="O310613" s="9"/>
    </row>
    <row r="310634" spans="15:15" x14ac:dyDescent="0.25">
      <c r="O310634" s="9"/>
    </row>
    <row r="310655" spans="15:15" x14ac:dyDescent="0.25">
      <c r="O310655" s="9"/>
    </row>
    <row r="310676" spans="15:15" x14ac:dyDescent="0.25">
      <c r="O310676" s="9"/>
    </row>
    <row r="310697" spans="15:15" x14ac:dyDescent="0.25">
      <c r="O310697" s="9"/>
    </row>
    <row r="310718" spans="15:15" x14ac:dyDescent="0.25">
      <c r="O310718" s="9"/>
    </row>
    <row r="310739" spans="15:15" x14ac:dyDescent="0.25">
      <c r="O310739" s="9"/>
    </row>
    <row r="310760" spans="15:15" x14ac:dyDescent="0.25">
      <c r="O310760" s="9"/>
    </row>
    <row r="310781" spans="15:15" x14ac:dyDescent="0.25">
      <c r="O310781" s="9"/>
    </row>
    <row r="310802" spans="15:15" x14ac:dyDescent="0.25">
      <c r="O310802" s="9"/>
    </row>
    <row r="310823" spans="15:15" x14ac:dyDescent="0.25">
      <c r="O310823" s="9"/>
    </row>
    <row r="310844" spans="15:15" x14ac:dyDescent="0.25">
      <c r="O310844" s="9"/>
    </row>
    <row r="310865" spans="15:15" x14ac:dyDescent="0.25">
      <c r="O310865" s="9"/>
    </row>
    <row r="310886" spans="15:15" x14ac:dyDescent="0.25">
      <c r="O310886" s="9"/>
    </row>
    <row r="310907" spans="15:15" x14ac:dyDescent="0.25">
      <c r="O310907" s="9"/>
    </row>
    <row r="310928" spans="15:15" x14ac:dyDescent="0.25">
      <c r="O310928" s="9"/>
    </row>
    <row r="310949" spans="15:15" x14ac:dyDescent="0.25">
      <c r="O310949" s="9"/>
    </row>
    <row r="310970" spans="15:15" x14ac:dyDescent="0.25">
      <c r="O310970" s="9"/>
    </row>
    <row r="310991" spans="15:15" x14ac:dyDescent="0.25">
      <c r="O310991" s="9"/>
    </row>
    <row r="311012" spans="15:15" x14ac:dyDescent="0.25">
      <c r="O311012" s="9"/>
    </row>
    <row r="311033" spans="15:15" x14ac:dyDescent="0.25">
      <c r="O311033" s="9"/>
    </row>
    <row r="311054" spans="15:15" x14ac:dyDescent="0.25">
      <c r="O311054" s="9"/>
    </row>
    <row r="311075" spans="15:15" x14ac:dyDescent="0.25">
      <c r="O311075" s="9"/>
    </row>
    <row r="311096" spans="15:15" x14ac:dyDescent="0.25">
      <c r="O311096" s="9"/>
    </row>
    <row r="311117" spans="15:15" x14ac:dyDescent="0.25">
      <c r="O311117" s="9"/>
    </row>
    <row r="311138" spans="15:15" x14ac:dyDescent="0.25">
      <c r="O311138" s="9"/>
    </row>
    <row r="311159" spans="15:15" x14ac:dyDescent="0.25">
      <c r="O311159" s="9"/>
    </row>
    <row r="311180" spans="15:15" x14ac:dyDescent="0.25">
      <c r="O311180" s="9"/>
    </row>
    <row r="311201" spans="15:15" x14ac:dyDescent="0.25">
      <c r="O311201" s="9"/>
    </row>
    <row r="311222" spans="15:15" x14ac:dyDescent="0.25">
      <c r="O311222" s="9"/>
    </row>
    <row r="311243" spans="15:15" x14ac:dyDescent="0.25">
      <c r="O311243" s="9"/>
    </row>
    <row r="311264" spans="15:15" x14ac:dyDescent="0.25">
      <c r="O311264" s="9"/>
    </row>
    <row r="311285" spans="15:15" x14ac:dyDescent="0.25">
      <c r="O311285" s="9"/>
    </row>
    <row r="311306" spans="15:15" x14ac:dyDescent="0.25">
      <c r="O311306" s="9"/>
    </row>
    <row r="311327" spans="15:15" x14ac:dyDescent="0.25">
      <c r="O311327" s="9"/>
    </row>
    <row r="311348" spans="15:15" x14ac:dyDescent="0.25">
      <c r="O311348" s="9"/>
    </row>
    <row r="311369" spans="15:15" x14ac:dyDescent="0.25">
      <c r="O311369" s="9"/>
    </row>
    <row r="311390" spans="15:15" x14ac:dyDescent="0.25">
      <c r="O311390" s="9"/>
    </row>
    <row r="311411" spans="15:15" x14ac:dyDescent="0.25">
      <c r="O311411" s="9"/>
    </row>
    <row r="311432" spans="15:15" x14ac:dyDescent="0.25">
      <c r="O311432" s="9"/>
    </row>
    <row r="311453" spans="15:15" x14ac:dyDescent="0.25">
      <c r="O311453" s="9"/>
    </row>
    <row r="311474" spans="15:15" x14ac:dyDescent="0.25">
      <c r="O311474" s="9"/>
    </row>
    <row r="311495" spans="15:15" x14ac:dyDescent="0.25">
      <c r="O311495" s="9"/>
    </row>
    <row r="311516" spans="15:15" x14ac:dyDescent="0.25">
      <c r="O311516" s="9"/>
    </row>
    <row r="311537" spans="15:15" x14ac:dyDescent="0.25">
      <c r="O311537" s="9"/>
    </row>
    <row r="311558" spans="15:15" x14ac:dyDescent="0.25">
      <c r="O311558" s="9"/>
    </row>
    <row r="311579" spans="15:15" x14ac:dyDescent="0.25">
      <c r="O311579" s="9"/>
    </row>
    <row r="311600" spans="15:15" x14ac:dyDescent="0.25">
      <c r="O311600" s="9"/>
    </row>
    <row r="311621" spans="15:15" x14ac:dyDescent="0.25">
      <c r="O311621" s="9"/>
    </row>
    <row r="311642" spans="15:15" x14ac:dyDescent="0.25">
      <c r="O311642" s="9"/>
    </row>
    <row r="311663" spans="15:15" x14ac:dyDescent="0.25">
      <c r="O311663" s="9"/>
    </row>
    <row r="311684" spans="15:15" x14ac:dyDescent="0.25">
      <c r="O311684" s="9"/>
    </row>
    <row r="311705" spans="15:15" x14ac:dyDescent="0.25">
      <c r="O311705" s="9"/>
    </row>
    <row r="311726" spans="15:15" x14ac:dyDescent="0.25">
      <c r="O311726" s="9"/>
    </row>
    <row r="311747" spans="15:15" x14ac:dyDescent="0.25">
      <c r="O311747" s="9"/>
    </row>
    <row r="311768" spans="15:15" x14ac:dyDescent="0.25">
      <c r="O311768" s="9"/>
    </row>
    <row r="311789" spans="15:15" x14ac:dyDescent="0.25">
      <c r="O311789" s="9"/>
    </row>
    <row r="311810" spans="15:15" x14ac:dyDescent="0.25">
      <c r="O311810" s="9"/>
    </row>
    <row r="311831" spans="15:15" x14ac:dyDescent="0.25">
      <c r="O311831" s="9"/>
    </row>
    <row r="311852" spans="15:15" x14ac:dyDescent="0.25">
      <c r="O311852" s="9"/>
    </row>
    <row r="311873" spans="15:15" x14ac:dyDescent="0.25">
      <c r="O311873" s="9"/>
    </row>
    <row r="311894" spans="15:15" x14ac:dyDescent="0.25">
      <c r="O311894" s="9"/>
    </row>
    <row r="311915" spans="15:15" x14ac:dyDescent="0.25">
      <c r="O311915" s="9"/>
    </row>
    <row r="311936" spans="15:15" x14ac:dyDescent="0.25">
      <c r="O311936" s="9"/>
    </row>
    <row r="311957" spans="15:15" x14ac:dyDescent="0.25">
      <c r="O311957" s="9"/>
    </row>
    <row r="311978" spans="15:15" x14ac:dyDescent="0.25">
      <c r="O311978" s="9"/>
    </row>
    <row r="311999" spans="15:15" x14ac:dyDescent="0.25">
      <c r="O311999" s="9"/>
    </row>
    <row r="312020" spans="15:15" x14ac:dyDescent="0.25">
      <c r="O312020" s="9"/>
    </row>
    <row r="312041" spans="15:15" x14ac:dyDescent="0.25">
      <c r="O312041" s="9"/>
    </row>
    <row r="312062" spans="15:15" x14ac:dyDescent="0.25">
      <c r="O312062" s="9"/>
    </row>
    <row r="312083" spans="15:15" x14ac:dyDescent="0.25">
      <c r="O312083" s="9"/>
    </row>
    <row r="312104" spans="15:15" x14ac:dyDescent="0.25">
      <c r="O312104" s="9"/>
    </row>
    <row r="312125" spans="15:15" x14ac:dyDescent="0.25">
      <c r="O312125" s="9"/>
    </row>
    <row r="312146" spans="15:15" x14ac:dyDescent="0.25">
      <c r="O312146" s="9"/>
    </row>
    <row r="312167" spans="15:15" x14ac:dyDescent="0.25">
      <c r="O312167" s="9"/>
    </row>
    <row r="312188" spans="15:15" x14ac:dyDescent="0.25">
      <c r="O312188" s="9"/>
    </row>
    <row r="312209" spans="15:15" x14ac:dyDescent="0.25">
      <c r="O312209" s="9"/>
    </row>
    <row r="312230" spans="15:15" x14ac:dyDescent="0.25">
      <c r="O312230" s="9"/>
    </row>
    <row r="312251" spans="15:15" x14ac:dyDescent="0.25">
      <c r="O312251" s="9"/>
    </row>
    <row r="312272" spans="15:15" x14ac:dyDescent="0.25">
      <c r="O312272" s="9"/>
    </row>
    <row r="312293" spans="15:15" x14ac:dyDescent="0.25">
      <c r="O312293" s="9"/>
    </row>
    <row r="312314" spans="15:15" x14ac:dyDescent="0.25">
      <c r="O312314" s="9"/>
    </row>
    <row r="312335" spans="15:15" x14ac:dyDescent="0.25">
      <c r="O312335" s="9"/>
    </row>
    <row r="312356" spans="15:15" x14ac:dyDescent="0.25">
      <c r="O312356" s="9"/>
    </row>
    <row r="312377" spans="15:15" x14ac:dyDescent="0.25">
      <c r="O312377" s="9"/>
    </row>
    <row r="312398" spans="15:15" x14ac:dyDescent="0.25">
      <c r="O312398" s="9"/>
    </row>
    <row r="312419" spans="15:15" x14ac:dyDescent="0.25">
      <c r="O312419" s="9"/>
    </row>
    <row r="312440" spans="15:15" x14ac:dyDescent="0.25">
      <c r="O312440" s="9"/>
    </row>
    <row r="312461" spans="15:15" x14ac:dyDescent="0.25">
      <c r="O312461" s="9"/>
    </row>
    <row r="312482" spans="15:15" x14ac:dyDescent="0.25">
      <c r="O312482" s="9"/>
    </row>
    <row r="312503" spans="15:15" x14ac:dyDescent="0.25">
      <c r="O312503" s="9"/>
    </row>
    <row r="312524" spans="15:15" x14ac:dyDescent="0.25">
      <c r="O312524" s="9"/>
    </row>
    <row r="312545" spans="15:15" x14ac:dyDescent="0.25">
      <c r="O312545" s="9"/>
    </row>
    <row r="312566" spans="15:15" x14ac:dyDescent="0.25">
      <c r="O312566" s="9"/>
    </row>
    <row r="312587" spans="15:15" x14ac:dyDescent="0.25">
      <c r="O312587" s="9"/>
    </row>
    <row r="312608" spans="15:15" x14ac:dyDescent="0.25">
      <c r="O312608" s="9"/>
    </row>
    <row r="312629" spans="15:15" x14ac:dyDescent="0.25">
      <c r="O312629" s="9"/>
    </row>
    <row r="312650" spans="15:15" x14ac:dyDescent="0.25">
      <c r="O312650" s="9"/>
    </row>
    <row r="312671" spans="15:15" x14ac:dyDescent="0.25">
      <c r="O312671" s="9"/>
    </row>
    <row r="312692" spans="15:15" x14ac:dyDescent="0.25">
      <c r="O312692" s="9"/>
    </row>
    <row r="312713" spans="15:15" x14ac:dyDescent="0.25">
      <c r="O312713" s="9"/>
    </row>
    <row r="312734" spans="15:15" x14ac:dyDescent="0.25">
      <c r="O312734" s="9"/>
    </row>
    <row r="312755" spans="15:15" x14ac:dyDescent="0.25">
      <c r="O312755" s="9"/>
    </row>
    <row r="312776" spans="15:15" x14ac:dyDescent="0.25">
      <c r="O312776" s="9"/>
    </row>
    <row r="312797" spans="15:15" x14ac:dyDescent="0.25">
      <c r="O312797" s="9"/>
    </row>
    <row r="312818" spans="15:15" x14ac:dyDescent="0.25">
      <c r="O312818" s="9"/>
    </row>
    <row r="312839" spans="15:15" x14ac:dyDescent="0.25">
      <c r="O312839" s="9"/>
    </row>
    <row r="312860" spans="15:15" x14ac:dyDescent="0.25">
      <c r="O312860" s="9"/>
    </row>
    <row r="312881" spans="15:15" x14ac:dyDescent="0.25">
      <c r="O312881" s="9"/>
    </row>
    <row r="312902" spans="15:15" x14ac:dyDescent="0.25">
      <c r="O312902" s="9"/>
    </row>
    <row r="312923" spans="15:15" x14ac:dyDescent="0.25">
      <c r="O312923" s="9"/>
    </row>
    <row r="312944" spans="15:15" x14ac:dyDescent="0.25">
      <c r="O312944" s="9"/>
    </row>
    <row r="312965" spans="15:15" x14ac:dyDescent="0.25">
      <c r="O312965" s="9"/>
    </row>
    <row r="312986" spans="15:15" x14ac:dyDescent="0.25">
      <c r="O312986" s="9"/>
    </row>
    <row r="313007" spans="15:15" x14ac:dyDescent="0.25">
      <c r="O313007" s="9"/>
    </row>
    <row r="313028" spans="15:15" x14ac:dyDescent="0.25">
      <c r="O313028" s="9"/>
    </row>
    <row r="313049" spans="15:15" x14ac:dyDescent="0.25">
      <c r="O313049" s="9"/>
    </row>
    <row r="313070" spans="15:15" x14ac:dyDescent="0.25">
      <c r="O313070" s="9"/>
    </row>
    <row r="313091" spans="15:15" x14ac:dyDescent="0.25">
      <c r="O313091" s="9"/>
    </row>
    <row r="313112" spans="15:15" x14ac:dyDescent="0.25">
      <c r="O313112" s="9"/>
    </row>
    <row r="313133" spans="15:15" x14ac:dyDescent="0.25">
      <c r="O313133" s="9"/>
    </row>
    <row r="313154" spans="15:15" x14ac:dyDescent="0.25">
      <c r="O313154" s="9"/>
    </row>
    <row r="313175" spans="15:15" x14ac:dyDescent="0.25">
      <c r="O313175" s="9"/>
    </row>
    <row r="313196" spans="15:15" x14ac:dyDescent="0.25">
      <c r="O313196" s="9"/>
    </row>
    <row r="313217" spans="15:15" x14ac:dyDescent="0.25">
      <c r="O313217" s="9"/>
    </row>
    <row r="313238" spans="15:15" x14ac:dyDescent="0.25">
      <c r="O313238" s="9"/>
    </row>
    <row r="313259" spans="15:15" x14ac:dyDescent="0.25">
      <c r="O313259" s="9"/>
    </row>
    <row r="313280" spans="15:15" x14ac:dyDescent="0.25">
      <c r="O313280" s="9"/>
    </row>
    <row r="313301" spans="15:15" x14ac:dyDescent="0.25">
      <c r="O313301" s="9"/>
    </row>
    <row r="313322" spans="15:15" x14ac:dyDescent="0.25">
      <c r="O313322" s="9"/>
    </row>
    <row r="313343" spans="15:15" x14ac:dyDescent="0.25">
      <c r="O313343" s="9"/>
    </row>
    <row r="313364" spans="15:15" x14ac:dyDescent="0.25">
      <c r="O313364" s="9"/>
    </row>
    <row r="313385" spans="15:15" x14ac:dyDescent="0.25">
      <c r="O313385" s="9"/>
    </row>
    <row r="313406" spans="15:15" x14ac:dyDescent="0.25">
      <c r="O313406" s="9"/>
    </row>
    <row r="313427" spans="15:15" x14ac:dyDescent="0.25">
      <c r="O313427" s="9"/>
    </row>
    <row r="313448" spans="15:15" x14ac:dyDescent="0.25">
      <c r="O313448" s="9"/>
    </row>
    <row r="313469" spans="15:15" x14ac:dyDescent="0.25">
      <c r="O313469" s="9"/>
    </row>
    <row r="313490" spans="15:15" x14ac:dyDescent="0.25">
      <c r="O313490" s="9"/>
    </row>
    <row r="313511" spans="15:15" x14ac:dyDescent="0.25">
      <c r="O313511" s="9"/>
    </row>
    <row r="313532" spans="15:15" x14ac:dyDescent="0.25">
      <c r="O313532" s="9"/>
    </row>
    <row r="313553" spans="15:15" x14ac:dyDescent="0.25">
      <c r="O313553" s="9"/>
    </row>
    <row r="313574" spans="15:15" x14ac:dyDescent="0.25">
      <c r="O313574" s="9"/>
    </row>
    <row r="313595" spans="15:15" x14ac:dyDescent="0.25">
      <c r="O313595" s="9"/>
    </row>
    <row r="313616" spans="15:15" x14ac:dyDescent="0.25">
      <c r="O313616" s="9"/>
    </row>
    <row r="313637" spans="15:15" x14ac:dyDescent="0.25">
      <c r="O313637" s="9"/>
    </row>
    <row r="313658" spans="15:15" x14ac:dyDescent="0.25">
      <c r="O313658" s="9"/>
    </row>
    <row r="313679" spans="15:15" x14ac:dyDescent="0.25">
      <c r="O313679" s="9"/>
    </row>
    <row r="313700" spans="15:15" x14ac:dyDescent="0.25">
      <c r="O313700" s="9"/>
    </row>
    <row r="313721" spans="15:15" x14ac:dyDescent="0.25">
      <c r="O313721" s="9"/>
    </row>
    <row r="313742" spans="15:15" x14ac:dyDescent="0.25">
      <c r="O313742" s="9"/>
    </row>
    <row r="313763" spans="15:15" x14ac:dyDescent="0.25">
      <c r="O313763" s="9"/>
    </row>
    <row r="313784" spans="15:15" x14ac:dyDescent="0.25">
      <c r="O313784" s="9"/>
    </row>
    <row r="313805" spans="15:15" x14ac:dyDescent="0.25">
      <c r="O313805" s="9"/>
    </row>
    <row r="313826" spans="15:15" x14ac:dyDescent="0.25">
      <c r="O313826" s="9"/>
    </row>
    <row r="313847" spans="15:15" x14ac:dyDescent="0.25">
      <c r="O313847" s="9"/>
    </row>
    <row r="313868" spans="15:15" x14ac:dyDescent="0.25">
      <c r="O313868" s="9"/>
    </row>
    <row r="313889" spans="15:15" x14ac:dyDescent="0.25">
      <c r="O313889" s="9"/>
    </row>
    <row r="313910" spans="15:15" x14ac:dyDescent="0.25">
      <c r="O313910" s="9"/>
    </row>
    <row r="313931" spans="15:15" x14ac:dyDescent="0.25">
      <c r="O313931" s="9"/>
    </row>
    <row r="313952" spans="15:15" x14ac:dyDescent="0.25">
      <c r="O313952" s="9"/>
    </row>
    <row r="313973" spans="15:15" x14ac:dyDescent="0.25">
      <c r="O313973" s="9"/>
    </row>
    <row r="313994" spans="15:15" x14ac:dyDescent="0.25">
      <c r="O313994" s="9"/>
    </row>
    <row r="314015" spans="15:15" x14ac:dyDescent="0.25">
      <c r="O314015" s="9"/>
    </row>
    <row r="314036" spans="15:15" x14ac:dyDescent="0.25">
      <c r="O314036" s="9"/>
    </row>
    <row r="314057" spans="15:15" x14ac:dyDescent="0.25">
      <c r="O314057" s="9"/>
    </row>
    <row r="314078" spans="15:15" x14ac:dyDescent="0.25">
      <c r="O314078" s="9"/>
    </row>
    <row r="314099" spans="15:15" x14ac:dyDescent="0.25">
      <c r="O314099" s="9"/>
    </row>
    <row r="314120" spans="15:15" x14ac:dyDescent="0.25">
      <c r="O314120" s="9"/>
    </row>
    <row r="314141" spans="15:15" x14ac:dyDescent="0.25">
      <c r="O314141" s="9"/>
    </row>
    <row r="314162" spans="15:15" x14ac:dyDescent="0.25">
      <c r="O314162" s="9"/>
    </row>
    <row r="314183" spans="15:15" x14ac:dyDescent="0.25">
      <c r="O314183" s="9"/>
    </row>
    <row r="314204" spans="15:15" x14ac:dyDescent="0.25">
      <c r="O314204" s="9"/>
    </row>
    <row r="314225" spans="15:15" x14ac:dyDescent="0.25">
      <c r="O314225" s="9"/>
    </row>
    <row r="314246" spans="15:15" x14ac:dyDescent="0.25">
      <c r="O314246" s="9"/>
    </row>
    <row r="314267" spans="15:15" x14ac:dyDescent="0.25">
      <c r="O314267" s="9"/>
    </row>
    <row r="314288" spans="15:15" x14ac:dyDescent="0.25">
      <c r="O314288" s="9"/>
    </row>
    <row r="314309" spans="15:15" x14ac:dyDescent="0.25">
      <c r="O314309" s="9"/>
    </row>
    <row r="314330" spans="15:15" x14ac:dyDescent="0.25">
      <c r="O314330" s="9"/>
    </row>
    <row r="314351" spans="15:15" x14ac:dyDescent="0.25">
      <c r="O314351" s="9"/>
    </row>
    <row r="314372" spans="15:15" x14ac:dyDescent="0.25">
      <c r="O314372" s="9"/>
    </row>
    <row r="314393" spans="15:15" x14ac:dyDescent="0.25">
      <c r="O314393" s="9"/>
    </row>
    <row r="314414" spans="15:15" x14ac:dyDescent="0.25">
      <c r="O314414" s="9"/>
    </row>
    <row r="314435" spans="15:15" x14ac:dyDescent="0.25">
      <c r="O314435" s="9"/>
    </row>
    <row r="314456" spans="15:15" x14ac:dyDescent="0.25">
      <c r="O314456" s="9"/>
    </row>
    <row r="314477" spans="15:15" x14ac:dyDescent="0.25">
      <c r="O314477" s="9"/>
    </row>
    <row r="314498" spans="15:15" x14ac:dyDescent="0.25">
      <c r="O314498" s="9"/>
    </row>
    <row r="314519" spans="15:15" x14ac:dyDescent="0.25">
      <c r="O314519" s="9"/>
    </row>
    <row r="314540" spans="15:15" x14ac:dyDescent="0.25">
      <c r="O314540" s="9"/>
    </row>
    <row r="314561" spans="15:15" x14ac:dyDescent="0.25">
      <c r="O314561" s="9"/>
    </row>
    <row r="314582" spans="15:15" x14ac:dyDescent="0.25">
      <c r="O314582" s="9"/>
    </row>
    <row r="314603" spans="15:15" x14ac:dyDescent="0.25">
      <c r="O314603" s="9"/>
    </row>
    <row r="314624" spans="15:15" x14ac:dyDescent="0.25">
      <c r="O314624" s="9"/>
    </row>
    <row r="314645" spans="15:15" x14ac:dyDescent="0.25">
      <c r="O314645" s="9"/>
    </row>
    <row r="314666" spans="15:15" x14ac:dyDescent="0.25">
      <c r="O314666" s="9"/>
    </row>
    <row r="314687" spans="15:15" x14ac:dyDescent="0.25">
      <c r="O314687" s="9"/>
    </row>
    <row r="314708" spans="15:15" x14ac:dyDescent="0.25">
      <c r="O314708" s="9"/>
    </row>
    <row r="314729" spans="15:15" x14ac:dyDescent="0.25">
      <c r="O314729" s="9"/>
    </row>
    <row r="314750" spans="15:15" x14ac:dyDescent="0.25">
      <c r="O314750" s="9"/>
    </row>
    <row r="314771" spans="15:15" x14ac:dyDescent="0.25">
      <c r="O314771" s="9"/>
    </row>
    <row r="314792" spans="15:15" x14ac:dyDescent="0.25">
      <c r="O314792" s="9"/>
    </row>
    <row r="314813" spans="15:15" x14ac:dyDescent="0.25">
      <c r="O314813" s="9"/>
    </row>
    <row r="314834" spans="15:15" x14ac:dyDescent="0.25">
      <c r="O314834" s="9"/>
    </row>
    <row r="314855" spans="15:15" x14ac:dyDescent="0.25">
      <c r="O314855" s="9"/>
    </row>
    <row r="314876" spans="15:15" x14ac:dyDescent="0.25">
      <c r="O314876" s="9"/>
    </row>
    <row r="314897" spans="15:15" x14ac:dyDescent="0.25">
      <c r="O314897" s="9"/>
    </row>
    <row r="314918" spans="15:15" x14ac:dyDescent="0.25">
      <c r="O314918" s="9"/>
    </row>
    <row r="314939" spans="15:15" x14ac:dyDescent="0.25">
      <c r="O314939" s="9"/>
    </row>
    <row r="314960" spans="15:15" x14ac:dyDescent="0.25">
      <c r="O314960" s="9"/>
    </row>
    <row r="314981" spans="15:15" x14ac:dyDescent="0.25">
      <c r="O314981" s="9"/>
    </row>
    <row r="315002" spans="15:15" x14ac:dyDescent="0.25">
      <c r="O315002" s="9"/>
    </row>
    <row r="315023" spans="15:15" x14ac:dyDescent="0.25">
      <c r="O315023" s="9"/>
    </row>
    <row r="315044" spans="15:15" x14ac:dyDescent="0.25">
      <c r="O315044" s="9"/>
    </row>
    <row r="315065" spans="15:15" x14ac:dyDescent="0.25">
      <c r="O315065" s="9"/>
    </row>
    <row r="315086" spans="15:15" x14ac:dyDescent="0.25">
      <c r="O315086" s="9"/>
    </row>
    <row r="315107" spans="15:15" x14ac:dyDescent="0.25">
      <c r="O315107" s="9"/>
    </row>
    <row r="315128" spans="15:15" x14ac:dyDescent="0.25">
      <c r="O315128" s="9"/>
    </row>
    <row r="315149" spans="15:15" x14ac:dyDescent="0.25">
      <c r="O315149" s="9"/>
    </row>
    <row r="315170" spans="15:15" x14ac:dyDescent="0.25">
      <c r="O315170" s="9"/>
    </row>
    <row r="315191" spans="15:15" x14ac:dyDescent="0.25">
      <c r="O315191" s="9"/>
    </row>
    <row r="315212" spans="15:15" x14ac:dyDescent="0.25">
      <c r="O315212" s="9"/>
    </row>
    <row r="315233" spans="15:15" x14ac:dyDescent="0.25">
      <c r="O315233" s="9"/>
    </row>
    <row r="315254" spans="15:15" x14ac:dyDescent="0.25">
      <c r="O315254" s="9"/>
    </row>
    <row r="315275" spans="15:15" x14ac:dyDescent="0.25">
      <c r="O315275" s="9"/>
    </row>
    <row r="315296" spans="15:15" x14ac:dyDescent="0.25">
      <c r="O315296" s="9"/>
    </row>
    <row r="315317" spans="15:15" x14ac:dyDescent="0.25">
      <c r="O315317" s="9"/>
    </row>
    <row r="315338" spans="15:15" x14ac:dyDescent="0.25">
      <c r="O315338" s="9"/>
    </row>
    <row r="315359" spans="15:15" x14ac:dyDescent="0.25">
      <c r="O315359" s="9"/>
    </row>
    <row r="315380" spans="15:15" x14ac:dyDescent="0.25">
      <c r="O315380" s="9"/>
    </row>
    <row r="315401" spans="15:15" x14ac:dyDescent="0.25">
      <c r="O315401" s="9"/>
    </row>
    <row r="315422" spans="15:15" x14ac:dyDescent="0.25">
      <c r="O315422" s="9"/>
    </row>
    <row r="315443" spans="15:15" x14ac:dyDescent="0.25">
      <c r="O315443" s="9"/>
    </row>
    <row r="315464" spans="15:15" x14ac:dyDescent="0.25">
      <c r="O315464" s="9"/>
    </row>
    <row r="315485" spans="15:15" x14ac:dyDescent="0.25">
      <c r="O315485" s="9"/>
    </row>
    <row r="315506" spans="15:15" x14ac:dyDescent="0.25">
      <c r="O315506" s="9"/>
    </row>
    <row r="315527" spans="15:15" x14ac:dyDescent="0.25">
      <c r="O315527" s="9"/>
    </row>
    <row r="315548" spans="15:15" x14ac:dyDescent="0.25">
      <c r="O315548" s="9"/>
    </row>
    <row r="315569" spans="15:15" x14ac:dyDescent="0.25">
      <c r="O315569" s="9"/>
    </row>
    <row r="315590" spans="15:15" x14ac:dyDescent="0.25">
      <c r="O315590" s="9"/>
    </row>
    <row r="315611" spans="15:15" x14ac:dyDescent="0.25">
      <c r="O315611" s="9"/>
    </row>
    <row r="315632" spans="15:15" x14ac:dyDescent="0.25">
      <c r="O315632" s="9"/>
    </row>
    <row r="315653" spans="15:15" x14ac:dyDescent="0.25">
      <c r="O315653" s="9"/>
    </row>
    <row r="315674" spans="15:15" x14ac:dyDescent="0.25">
      <c r="O315674" s="9"/>
    </row>
    <row r="315695" spans="15:15" x14ac:dyDescent="0.25">
      <c r="O315695" s="9"/>
    </row>
    <row r="315716" spans="15:15" x14ac:dyDescent="0.25">
      <c r="O315716" s="9"/>
    </row>
    <row r="315737" spans="15:15" x14ac:dyDescent="0.25">
      <c r="O315737" s="9"/>
    </row>
    <row r="315758" spans="15:15" x14ac:dyDescent="0.25">
      <c r="O315758" s="9"/>
    </row>
    <row r="315779" spans="15:15" x14ac:dyDescent="0.25">
      <c r="O315779" s="9"/>
    </row>
    <row r="315800" spans="15:15" x14ac:dyDescent="0.25">
      <c r="O315800" s="9"/>
    </row>
    <row r="315821" spans="15:15" x14ac:dyDescent="0.25">
      <c r="O315821" s="9"/>
    </row>
    <row r="315842" spans="15:15" x14ac:dyDescent="0.25">
      <c r="O315842" s="9"/>
    </row>
    <row r="315863" spans="15:15" x14ac:dyDescent="0.25">
      <c r="O315863" s="9"/>
    </row>
    <row r="315884" spans="15:15" x14ac:dyDescent="0.25">
      <c r="O315884" s="9"/>
    </row>
    <row r="315905" spans="15:15" x14ac:dyDescent="0.25">
      <c r="O315905" s="9"/>
    </row>
    <row r="315926" spans="15:15" x14ac:dyDescent="0.25">
      <c r="O315926" s="9"/>
    </row>
    <row r="315947" spans="15:15" x14ac:dyDescent="0.25">
      <c r="O315947" s="9"/>
    </row>
    <row r="315968" spans="15:15" x14ac:dyDescent="0.25">
      <c r="O315968" s="9"/>
    </row>
    <row r="315989" spans="15:15" x14ac:dyDescent="0.25">
      <c r="O315989" s="9"/>
    </row>
    <row r="316010" spans="15:15" x14ac:dyDescent="0.25">
      <c r="O316010" s="9"/>
    </row>
    <row r="316031" spans="15:15" x14ac:dyDescent="0.25">
      <c r="O316031" s="9"/>
    </row>
    <row r="316052" spans="15:15" x14ac:dyDescent="0.25">
      <c r="O316052" s="9"/>
    </row>
    <row r="316073" spans="15:15" x14ac:dyDescent="0.25">
      <c r="O316073" s="9"/>
    </row>
    <row r="316094" spans="15:15" x14ac:dyDescent="0.25">
      <c r="O316094" s="9"/>
    </row>
    <row r="316115" spans="15:15" x14ac:dyDescent="0.25">
      <c r="O316115" s="9"/>
    </row>
    <row r="316136" spans="15:15" x14ac:dyDescent="0.25">
      <c r="O316136" s="9"/>
    </row>
    <row r="316157" spans="15:15" x14ac:dyDescent="0.25">
      <c r="O316157" s="9"/>
    </row>
    <row r="316178" spans="15:15" x14ac:dyDescent="0.25">
      <c r="O316178" s="9"/>
    </row>
    <row r="316199" spans="15:15" x14ac:dyDescent="0.25">
      <c r="O316199" s="9"/>
    </row>
    <row r="316220" spans="15:15" x14ac:dyDescent="0.25">
      <c r="O316220" s="9"/>
    </row>
    <row r="316241" spans="15:15" x14ac:dyDescent="0.25">
      <c r="O316241" s="9"/>
    </row>
    <row r="316262" spans="15:15" x14ac:dyDescent="0.25">
      <c r="O316262" s="9"/>
    </row>
    <row r="316283" spans="15:15" x14ac:dyDescent="0.25">
      <c r="O316283" s="9"/>
    </row>
    <row r="316304" spans="15:15" x14ac:dyDescent="0.25">
      <c r="O316304" s="9"/>
    </row>
    <row r="316325" spans="15:15" x14ac:dyDescent="0.25">
      <c r="O316325" s="9"/>
    </row>
    <row r="316346" spans="15:15" x14ac:dyDescent="0.25">
      <c r="O316346" s="9"/>
    </row>
    <row r="316367" spans="15:15" x14ac:dyDescent="0.25">
      <c r="O316367" s="9"/>
    </row>
    <row r="316388" spans="15:15" x14ac:dyDescent="0.25">
      <c r="O316388" s="9"/>
    </row>
    <row r="316409" spans="15:15" x14ac:dyDescent="0.25">
      <c r="O316409" s="9"/>
    </row>
    <row r="316430" spans="15:15" x14ac:dyDescent="0.25">
      <c r="O316430" s="9"/>
    </row>
    <row r="316451" spans="15:15" x14ac:dyDescent="0.25">
      <c r="O316451" s="9"/>
    </row>
    <row r="316472" spans="15:15" x14ac:dyDescent="0.25">
      <c r="O316472" s="9"/>
    </row>
    <row r="316493" spans="15:15" x14ac:dyDescent="0.25">
      <c r="O316493" s="9"/>
    </row>
    <row r="316514" spans="15:15" x14ac:dyDescent="0.25">
      <c r="O316514" s="9"/>
    </row>
    <row r="316535" spans="15:15" x14ac:dyDescent="0.25">
      <c r="O316535" s="9"/>
    </row>
    <row r="316556" spans="15:15" x14ac:dyDescent="0.25">
      <c r="O316556" s="9"/>
    </row>
    <row r="316577" spans="15:15" x14ac:dyDescent="0.25">
      <c r="O316577" s="9"/>
    </row>
    <row r="316598" spans="15:15" x14ac:dyDescent="0.25">
      <c r="O316598" s="9"/>
    </row>
    <row r="316619" spans="15:15" x14ac:dyDescent="0.25">
      <c r="O316619" s="9"/>
    </row>
    <row r="316640" spans="15:15" x14ac:dyDescent="0.25">
      <c r="O316640" s="9"/>
    </row>
    <row r="316661" spans="15:15" x14ac:dyDescent="0.25">
      <c r="O316661" s="9"/>
    </row>
    <row r="316682" spans="15:15" x14ac:dyDescent="0.25">
      <c r="O316682" s="9"/>
    </row>
    <row r="316703" spans="15:15" x14ac:dyDescent="0.25">
      <c r="O316703" s="9"/>
    </row>
    <row r="316724" spans="15:15" x14ac:dyDescent="0.25">
      <c r="O316724" s="9"/>
    </row>
    <row r="316745" spans="15:15" x14ac:dyDescent="0.25">
      <c r="O316745" s="9"/>
    </row>
    <row r="316766" spans="15:15" x14ac:dyDescent="0.25">
      <c r="O316766" s="9"/>
    </row>
    <row r="316787" spans="15:15" x14ac:dyDescent="0.25">
      <c r="O316787" s="9"/>
    </row>
    <row r="316808" spans="15:15" x14ac:dyDescent="0.25">
      <c r="O316808" s="9"/>
    </row>
    <row r="316829" spans="15:15" x14ac:dyDescent="0.25">
      <c r="O316829" s="9"/>
    </row>
    <row r="316850" spans="15:15" x14ac:dyDescent="0.25">
      <c r="O316850" s="9"/>
    </row>
    <row r="316871" spans="15:15" x14ac:dyDescent="0.25">
      <c r="O316871" s="9"/>
    </row>
    <row r="316892" spans="15:15" x14ac:dyDescent="0.25">
      <c r="O316892" s="9"/>
    </row>
    <row r="316913" spans="15:15" x14ac:dyDescent="0.25">
      <c r="O316913" s="9"/>
    </row>
    <row r="316934" spans="15:15" x14ac:dyDescent="0.25">
      <c r="O316934" s="9"/>
    </row>
    <row r="316955" spans="15:15" x14ac:dyDescent="0.25">
      <c r="O316955" s="9"/>
    </row>
    <row r="316976" spans="15:15" x14ac:dyDescent="0.25">
      <c r="O316976" s="9"/>
    </row>
    <row r="316997" spans="15:15" x14ac:dyDescent="0.25">
      <c r="O316997" s="9"/>
    </row>
    <row r="317018" spans="15:15" x14ac:dyDescent="0.25">
      <c r="O317018" s="9"/>
    </row>
    <row r="317039" spans="15:15" x14ac:dyDescent="0.25">
      <c r="O317039" s="9"/>
    </row>
    <row r="317060" spans="15:15" x14ac:dyDescent="0.25">
      <c r="O317060" s="9"/>
    </row>
    <row r="317081" spans="15:15" x14ac:dyDescent="0.25">
      <c r="O317081" s="9"/>
    </row>
    <row r="317102" spans="15:15" x14ac:dyDescent="0.25">
      <c r="O317102" s="9"/>
    </row>
    <row r="317123" spans="15:15" x14ac:dyDescent="0.25">
      <c r="O317123" s="9"/>
    </row>
    <row r="317144" spans="15:15" x14ac:dyDescent="0.25">
      <c r="O317144" s="9"/>
    </row>
    <row r="317165" spans="15:15" x14ac:dyDescent="0.25">
      <c r="O317165" s="9"/>
    </row>
    <row r="317186" spans="15:15" x14ac:dyDescent="0.25">
      <c r="O317186" s="9"/>
    </row>
    <row r="317207" spans="15:15" x14ac:dyDescent="0.25">
      <c r="O317207" s="9"/>
    </row>
    <row r="317228" spans="15:15" x14ac:dyDescent="0.25">
      <c r="O317228" s="9"/>
    </row>
    <row r="317249" spans="15:15" x14ac:dyDescent="0.25">
      <c r="O317249" s="9"/>
    </row>
    <row r="317270" spans="15:15" x14ac:dyDescent="0.25">
      <c r="O317270" s="9"/>
    </row>
    <row r="317291" spans="15:15" x14ac:dyDescent="0.25">
      <c r="O317291" s="9"/>
    </row>
    <row r="317312" spans="15:15" x14ac:dyDescent="0.25">
      <c r="O317312" s="9"/>
    </row>
    <row r="317333" spans="15:15" x14ac:dyDescent="0.25">
      <c r="O317333" s="9"/>
    </row>
    <row r="317354" spans="15:15" x14ac:dyDescent="0.25">
      <c r="O317354" s="9"/>
    </row>
    <row r="317375" spans="15:15" x14ac:dyDescent="0.25">
      <c r="O317375" s="9"/>
    </row>
    <row r="317396" spans="15:15" x14ac:dyDescent="0.25">
      <c r="O317396" s="9"/>
    </row>
    <row r="317417" spans="15:15" x14ac:dyDescent="0.25">
      <c r="O317417" s="9"/>
    </row>
    <row r="317438" spans="15:15" x14ac:dyDescent="0.25">
      <c r="O317438" s="9"/>
    </row>
    <row r="317459" spans="15:15" x14ac:dyDescent="0.25">
      <c r="O317459" s="9"/>
    </row>
    <row r="317480" spans="15:15" x14ac:dyDescent="0.25">
      <c r="O317480" s="9"/>
    </row>
    <row r="317501" spans="15:15" x14ac:dyDescent="0.25">
      <c r="O317501" s="9"/>
    </row>
    <row r="317522" spans="15:15" x14ac:dyDescent="0.25">
      <c r="O317522" s="9"/>
    </row>
    <row r="317543" spans="15:15" x14ac:dyDescent="0.25">
      <c r="O317543" s="9"/>
    </row>
    <row r="317564" spans="15:15" x14ac:dyDescent="0.25">
      <c r="O317564" s="9"/>
    </row>
    <row r="317585" spans="15:15" x14ac:dyDescent="0.25">
      <c r="O317585" s="9"/>
    </row>
    <row r="317606" spans="15:15" x14ac:dyDescent="0.25">
      <c r="O317606" s="9"/>
    </row>
    <row r="317627" spans="15:15" x14ac:dyDescent="0.25">
      <c r="O317627" s="9"/>
    </row>
    <row r="317648" spans="15:15" x14ac:dyDescent="0.25">
      <c r="O317648" s="9"/>
    </row>
    <row r="317669" spans="15:15" x14ac:dyDescent="0.25">
      <c r="O317669" s="9"/>
    </row>
    <row r="317690" spans="15:15" x14ac:dyDescent="0.25">
      <c r="O317690" s="9"/>
    </row>
    <row r="317711" spans="15:15" x14ac:dyDescent="0.25">
      <c r="O317711" s="9"/>
    </row>
    <row r="317732" spans="15:15" x14ac:dyDescent="0.25">
      <c r="O317732" s="9"/>
    </row>
    <row r="317753" spans="15:15" x14ac:dyDescent="0.25">
      <c r="O317753" s="9"/>
    </row>
    <row r="317774" spans="15:15" x14ac:dyDescent="0.25">
      <c r="O317774" s="9"/>
    </row>
    <row r="317795" spans="15:15" x14ac:dyDescent="0.25">
      <c r="O317795" s="9"/>
    </row>
    <row r="317816" spans="15:15" x14ac:dyDescent="0.25">
      <c r="O317816" s="9"/>
    </row>
    <row r="317837" spans="15:15" x14ac:dyDescent="0.25">
      <c r="O317837" s="9"/>
    </row>
    <row r="317858" spans="15:15" x14ac:dyDescent="0.25">
      <c r="O317858" s="9"/>
    </row>
    <row r="317879" spans="15:15" x14ac:dyDescent="0.25">
      <c r="O317879" s="9"/>
    </row>
    <row r="317900" spans="15:15" x14ac:dyDescent="0.25">
      <c r="O317900" s="9"/>
    </row>
    <row r="317921" spans="15:15" x14ac:dyDescent="0.25">
      <c r="O317921" s="9"/>
    </row>
    <row r="317942" spans="15:15" x14ac:dyDescent="0.25">
      <c r="O317942" s="9"/>
    </row>
    <row r="317963" spans="15:15" x14ac:dyDescent="0.25">
      <c r="O317963" s="9"/>
    </row>
    <row r="317984" spans="15:15" x14ac:dyDescent="0.25">
      <c r="O317984" s="9"/>
    </row>
    <row r="318005" spans="15:15" x14ac:dyDescent="0.25">
      <c r="O318005" s="9"/>
    </row>
    <row r="318026" spans="15:15" x14ac:dyDescent="0.25">
      <c r="O318026" s="9"/>
    </row>
    <row r="318047" spans="15:15" x14ac:dyDescent="0.25">
      <c r="O318047" s="9"/>
    </row>
    <row r="318068" spans="15:15" x14ac:dyDescent="0.25">
      <c r="O318068" s="9"/>
    </row>
    <row r="318089" spans="15:15" x14ac:dyDescent="0.25">
      <c r="O318089" s="9"/>
    </row>
    <row r="318110" spans="15:15" x14ac:dyDescent="0.25">
      <c r="O318110" s="9"/>
    </row>
    <row r="318131" spans="15:15" x14ac:dyDescent="0.25">
      <c r="O318131" s="9"/>
    </row>
    <row r="318152" spans="15:15" x14ac:dyDescent="0.25">
      <c r="O318152" s="9"/>
    </row>
    <row r="318173" spans="15:15" x14ac:dyDescent="0.25">
      <c r="O318173" s="9"/>
    </row>
    <row r="318194" spans="15:15" x14ac:dyDescent="0.25">
      <c r="O318194" s="9"/>
    </row>
    <row r="318215" spans="15:15" x14ac:dyDescent="0.25">
      <c r="O318215" s="9"/>
    </row>
    <row r="318236" spans="15:15" x14ac:dyDescent="0.25">
      <c r="O318236" s="9"/>
    </row>
    <row r="318257" spans="15:15" x14ac:dyDescent="0.25">
      <c r="O318257" s="9"/>
    </row>
    <row r="318278" spans="15:15" x14ac:dyDescent="0.25">
      <c r="O318278" s="9"/>
    </row>
    <row r="318299" spans="15:15" x14ac:dyDescent="0.25">
      <c r="O318299" s="9"/>
    </row>
    <row r="318320" spans="15:15" x14ac:dyDescent="0.25">
      <c r="O318320" s="9"/>
    </row>
    <row r="318341" spans="15:15" x14ac:dyDescent="0.25">
      <c r="O318341" s="9"/>
    </row>
    <row r="318362" spans="15:15" x14ac:dyDescent="0.25">
      <c r="O318362" s="9"/>
    </row>
    <row r="318383" spans="15:15" x14ac:dyDescent="0.25">
      <c r="O318383" s="9"/>
    </row>
    <row r="318404" spans="15:15" x14ac:dyDescent="0.25">
      <c r="O318404" s="9"/>
    </row>
    <row r="318425" spans="15:15" x14ac:dyDescent="0.25">
      <c r="O318425" s="9"/>
    </row>
    <row r="318446" spans="15:15" x14ac:dyDescent="0.25">
      <c r="O318446" s="9"/>
    </row>
    <row r="318467" spans="15:15" x14ac:dyDescent="0.25">
      <c r="O318467" s="9"/>
    </row>
    <row r="318488" spans="15:15" x14ac:dyDescent="0.25">
      <c r="O318488" s="9"/>
    </row>
    <row r="318509" spans="15:15" x14ac:dyDescent="0.25">
      <c r="O318509" s="9"/>
    </row>
    <row r="318530" spans="15:15" x14ac:dyDescent="0.25">
      <c r="O318530" s="9"/>
    </row>
    <row r="318551" spans="15:15" x14ac:dyDescent="0.25">
      <c r="O318551" s="9"/>
    </row>
    <row r="318572" spans="15:15" x14ac:dyDescent="0.25">
      <c r="O318572" s="9"/>
    </row>
    <row r="318593" spans="15:15" x14ac:dyDescent="0.25">
      <c r="O318593" s="9"/>
    </row>
    <row r="318614" spans="15:15" x14ac:dyDescent="0.25">
      <c r="O318614" s="9"/>
    </row>
    <row r="318635" spans="15:15" x14ac:dyDescent="0.25">
      <c r="O318635" s="9"/>
    </row>
    <row r="318656" spans="15:15" x14ac:dyDescent="0.25">
      <c r="O318656" s="9"/>
    </row>
    <row r="318677" spans="15:15" x14ac:dyDescent="0.25">
      <c r="O318677" s="9"/>
    </row>
    <row r="318698" spans="15:15" x14ac:dyDescent="0.25">
      <c r="O318698" s="9"/>
    </row>
    <row r="318719" spans="15:15" x14ac:dyDescent="0.25">
      <c r="O318719" s="9"/>
    </row>
    <row r="318740" spans="15:15" x14ac:dyDescent="0.25">
      <c r="O318740" s="9"/>
    </row>
    <row r="318761" spans="15:15" x14ac:dyDescent="0.25">
      <c r="O318761" s="9"/>
    </row>
    <row r="318782" spans="15:15" x14ac:dyDescent="0.25">
      <c r="O318782" s="9"/>
    </row>
    <row r="318803" spans="15:15" x14ac:dyDescent="0.25">
      <c r="O318803" s="9"/>
    </row>
    <row r="318824" spans="15:15" x14ac:dyDescent="0.25">
      <c r="O318824" s="9"/>
    </row>
    <row r="318845" spans="15:15" x14ac:dyDescent="0.25">
      <c r="O318845" s="9"/>
    </row>
    <row r="318866" spans="15:15" x14ac:dyDescent="0.25">
      <c r="O318866" s="9"/>
    </row>
    <row r="318887" spans="15:15" x14ac:dyDescent="0.25">
      <c r="O318887" s="9"/>
    </row>
    <row r="318908" spans="15:15" x14ac:dyDescent="0.25">
      <c r="O318908" s="9"/>
    </row>
    <row r="318929" spans="15:15" x14ac:dyDescent="0.25">
      <c r="O318929" s="9"/>
    </row>
    <row r="318950" spans="15:15" x14ac:dyDescent="0.25">
      <c r="O318950" s="9"/>
    </row>
    <row r="318971" spans="15:15" x14ac:dyDescent="0.25">
      <c r="O318971" s="9"/>
    </row>
    <row r="318992" spans="15:15" x14ac:dyDescent="0.25">
      <c r="O318992" s="9"/>
    </row>
    <row r="319013" spans="15:15" x14ac:dyDescent="0.25">
      <c r="O319013" s="9"/>
    </row>
    <row r="319034" spans="15:15" x14ac:dyDescent="0.25">
      <c r="O319034" s="9"/>
    </row>
    <row r="319055" spans="15:15" x14ac:dyDescent="0.25">
      <c r="O319055" s="9"/>
    </row>
    <row r="319076" spans="15:15" x14ac:dyDescent="0.25">
      <c r="O319076" s="9"/>
    </row>
    <row r="319097" spans="15:15" x14ac:dyDescent="0.25">
      <c r="O319097" s="9"/>
    </row>
    <row r="319118" spans="15:15" x14ac:dyDescent="0.25">
      <c r="O319118" s="9"/>
    </row>
    <row r="319139" spans="15:15" x14ac:dyDescent="0.25">
      <c r="O319139" s="9"/>
    </row>
    <row r="319160" spans="15:15" x14ac:dyDescent="0.25">
      <c r="O319160" s="9"/>
    </row>
    <row r="319181" spans="15:15" x14ac:dyDescent="0.25">
      <c r="O319181" s="9"/>
    </row>
    <row r="319202" spans="15:15" x14ac:dyDescent="0.25">
      <c r="O319202" s="9"/>
    </row>
    <row r="319223" spans="15:15" x14ac:dyDescent="0.25">
      <c r="O319223" s="9"/>
    </row>
    <row r="319244" spans="15:15" x14ac:dyDescent="0.25">
      <c r="O319244" s="9"/>
    </row>
    <row r="319265" spans="15:15" x14ac:dyDescent="0.25">
      <c r="O319265" s="9"/>
    </row>
    <row r="319286" spans="15:15" x14ac:dyDescent="0.25">
      <c r="O319286" s="9"/>
    </row>
    <row r="319307" spans="15:15" x14ac:dyDescent="0.25">
      <c r="O319307" s="9"/>
    </row>
    <row r="319328" spans="15:15" x14ac:dyDescent="0.25">
      <c r="O319328" s="9"/>
    </row>
    <row r="319349" spans="15:15" x14ac:dyDescent="0.25">
      <c r="O319349" s="9"/>
    </row>
    <row r="319370" spans="15:15" x14ac:dyDescent="0.25">
      <c r="O319370" s="9"/>
    </row>
    <row r="319391" spans="15:15" x14ac:dyDescent="0.25">
      <c r="O319391" s="9"/>
    </row>
    <row r="319412" spans="15:15" x14ac:dyDescent="0.25">
      <c r="O319412" s="9"/>
    </row>
    <row r="319433" spans="15:15" x14ac:dyDescent="0.25">
      <c r="O319433" s="9"/>
    </row>
    <row r="319454" spans="15:15" x14ac:dyDescent="0.25">
      <c r="O319454" s="9"/>
    </row>
    <row r="319475" spans="15:15" x14ac:dyDescent="0.25">
      <c r="O319475" s="9"/>
    </row>
    <row r="319496" spans="15:15" x14ac:dyDescent="0.25">
      <c r="O319496" s="9"/>
    </row>
    <row r="319517" spans="15:15" x14ac:dyDescent="0.25">
      <c r="O319517" s="9"/>
    </row>
    <row r="319538" spans="15:15" x14ac:dyDescent="0.25">
      <c r="O319538" s="9"/>
    </row>
    <row r="319559" spans="15:15" x14ac:dyDescent="0.25">
      <c r="O319559" s="9"/>
    </row>
    <row r="319580" spans="15:15" x14ac:dyDescent="0.25">
      <c r="O319580" s="9"/>
    </row>
    <row r="319601" spans="15:15" x14ac:dyDescent="0.25">
      <c r="O319601" s="9"/>
    </row>
    <row r="319622" spans="15:15" x14ac:dyDescent="0.25">
      <c r="O319622" s="9"/>
    </row>
    <row r="319643" spans="15:15" x14ac:dyDescent="0.25">
      <c r="O319643" s="9"/>
    </row>
    <row r="319664" spans="15:15" x14ac:dyDescent="0.25">
      <c r="O319664" s="9"/>
    </row>
    <row r="319685" spans="15:15" x14ac:dyDescent="0.25">
      <c r="O319685" s="9"/>
    </row>
    <row r="319706" spans="15:15" x14ac:dyDescent="0.25">
      <c r="O319706" s="9"/>
    </row>
    <row r="319727" spans="15:15" x14ac:dyDescent="0.25">
      <c r="O319727" s="9"/>
    </row>
    <row r="319748" spans="15:15" x14ac:dyDescent="0.25">
      <c r="O319748" s="9"/>
    </row>
    <row r="319769" spans="15:15" x14ac:dyDescent="0.25">
      <c r="O319769" s="9"/>
    </row>
    <row r="319790" spans="15:15" x14ac:dyDescent="0.25">
      <c r="O319790" s="9"/>
    </row>
    <row r="319811" spans="15:15" x14ac:dyDescent="0.25">
      <c r="O319811" s="9"/>
    </row>
    <row r="319832" spans="15:15" x14ac:dyDescent="0.25">
      <c r="O319832" s="9"/>
    </row>
    <row r="319853" spans="15:15" x14ac:dyDescent="0.25">
      <c r="O319853" s="9"/>
    </row>
    <row r="319874" spans="15:15" x14ac:dyDescent="0.25">
      <c r="O319874" s="9"/>
    </row>
    <row r="319895" spans="15:15" x14ac:dyDescent="0.25">
      <c r="O319895" s="9"/>
    </row>
    <row r="319916" spans="15:15" x14ac:dyDescent="0.25">
      <c r="O319916" s="9"/>
    </row>
    <row r="319937" spans="15:15" x14ac:dyDescent="0.25">
      <c r="O319937" s="9"/>
    </row>
    <row r="319958" spans="15:15" x14ac:dyDescent="0.25">
      <c r="O319958" s="9"/>
    </row>
    <row r="319979" spans="15:15" x14ac:dyDescent="0.25">
      <c r="O319979" s="9"/>
    </row>
    <row r="320000" spans="15:15" x14ac:dyDescent="0.25">
      <c r="O320000" s="9"/>
    </row>
    <row r="320021" spans="15:15" x14ac:dyDescent="0.25">
      <c r="O320021" s="9"/>
    </row>
    <row r="320042" spans="15:15" x14ac:dyDescent="0.25">
      <c r="O320042" s="9"/>
    </row>
    <row r="320063" spans="15:15" x14ac:dyDescent="0.25">
      <c r="O320063" s="9"/>
    </row>
    <row r="320084" spans="15:15" x14ac:dyDescent="0.25">
      <c r="O320084" s="9"/>
    </row>
    <row r="320105" spans="15:15" x14ac:dyDescent="0.25">
      <c r="O320105" s="9"/>
    </row>
    <row r="320126" spans="15:15" x14ac:dyDescent="0.25">
      <c r="O320126" s="9"/>
    </row>
    <row r="320147" spans="15:15" x14ac:dyDescent="0.25">
      <c r="O320147" s="9"/>
    </row>
    <row r="320168" spans="15:15" x14ac:dyDescent="0.25">
      <c r="O320168" s="9"/>
    </row>
    <row r="320189" spans="15:15" x14ac:dyDescent="0.25">
      <c r="O320189" s="9"/>
    </row>
    <row r="320210" spans="15:15" x14ac:dyDescent="0.25">
      <c r="O320210" s="9"/>
    </row>
    <row r="320231" spans="15:15" x14ac:dyDescent="0.25">
      <c r="O320231" s="9"/>
    </row>
    <row r="320252" spans="15:15" x14ac:dyDescent="0.25">
      <c r="O320252" s="9"/>
    </row>
    <row r="320273" spans="15:15" x14ac:dyDescent="0.25">
      <c r="O320273" s="9"/>
    </row>
    <row r="320294" spans="15:15" x14ac:dyDescent="0.25">
      <c r="O320294" s="9"/>
    </row>
    <row r="320315" spans="15:15" x14ac:dyDescent="0.25">
      <c r="O320315" s="9"/>
    </row>
    <row r="320336" spans="15:15" x14ac:dyDescent="0.25">
      <c r="O320336" s="9"/>
    </row>
    <row r="320357" spans="15:15" x14ac:dyDescent="0.25">
      <c r="O320357" s="9"/>
    </row>
    <row r="320378" spans="15:15" x14ac:dyDescent="0.25">
      <c r="O320378" s="9"/>
    </row>
    <row r="320399" spans="15:15" x14ac:dyDescent="0.25">
      <c r="O320399" s="9"/>
    </row>
    <row r="320420" spans="15:15" x14ac:dyDescent="0.25">
      <c r="O320420" s="9"/>
    </row>
    <row r="320441" spans="15:15" x14ac:dyDescent="0.25">
      <c r="O320441" s="9"/>
    </row>
    <row r="320462" spans="15:15" x14ac:dyDescent="0.25">
      <c r="O320462" s="9"/>
    </row>
    <row r="320483" spans="15:15" x14ac:dyDescent="0.25">
      <c r="O320483" s="9"/>
    </row>
    <row r="320504" spans="15:15" x14ac:dyDescent="0.25">
      <c r="O320504" s="9"/>
    </row>
    <row r="320525" spans="15:15" x14ac:dyDescent="0.25">
      <c r="O320525" s="9"/>
    </row>
    <row r="320546" spans="15:15" x14ac:dyDescent="0.25">
      <c r="O320546" s="9"/>
    </row>
    <row r="320567" spans="15:15" x14ac:dyDescent="0.25">
      <c r="O320567" s="9"/>
    </row>
    <row r="320588" spans="15:15" x14ac:dyDescent="0.25">
      <c r="O320588" s="9"/>
    </row>
    <row r="320609" spans="15:15" x14ac:dyDescent="0.25">
      <c r="O320609" s="9"/>
    </row>
    <row r="320630" spans="15:15" x14ac:dyDescent="0.25">
      <c r="O320630" s="9"/>
    </row>
    <row r="320651" spans="15:15" x14ac:dyDescent="0.25">
      <c r="O320651" s="9"/>
    </row>
    <row r="320672" spans="15:15" x14ac:dyDescent="0.25">
      <c r="O320672" s="9"/>
    </row>
    <row r="320693" spans="15:15" x14ac:dyDescent="0.25">
      <c r="O320693" s="9"/>
    </row>
    <row r="320714" spans="15:15" x14ac:dyDescent="0.25">
      <c r="O320714" s="9"/>
    </row>
    <row r="320735" spans="15:15" x14ac:dyDescent="0.25">
      <c r="O320735" s="9"/>
    </row>
    <row r="320756" spans="15:15" x14ac:dyDescent="0.25">
      <c r="O320756" s="9"/>
    </row>
    <row r="320777" spans="15:15" x14ac:dyDescent="0.25">
      <c r="O320777" s="9"/>
    </row>
    <row r="320798" spans="15:15" x14ac:dyDescent="0.25">
      <c r="O320798" s="9"/>
    </row>
    <row r="320819" spans="15:15" x14ac:dyDescent="0.25">
      <c r="O320819" s="9"/>
    </row>
    <row r="320840" spans="15:15" x14ac:dyDescent="0.25">
      <c r="O320840" s="9"/>
    </row>
    <row r="320861" spans="15:15" x14ac:dyDescent="0.25">
      <c r="O320861" s="9"/>
    </row>
    <row r="320882" spans="15:15" x14ac:dyDescent="0.25">
      <c r="O320882" s="9"/>
    </row>
    <row r="320903" spans="15:15" x14ac:dyDescent="0.25">
      <c r="O320903" s="9"/>
    </row>
    <row r="320924" spans="15:15" x14ac:dyDescent="0.25">
      <c r="O320924" s="9"/>
    </row>
    <row r="320945" spans="15:15" x14ac:dyDescent="0.25">
      <c r="O320945" s="9"/>
    </row>
    <row r="320966" spans="15:15" x14ac:dyDescent="0.25">
      <c r="O320966" s="9"/>
    </row>
    <row r="320987" spans="15:15" x14ac:dyDescent="0.25">
      <c r="O320987" s="9"/>
    </row>
    <row r="321008" spans="15:15" x14ac:dyDescent="0.25">
      <c r="O321008" s="9"/>
    </row>
    <row r="321029" spans="15:15" x14ac:dyDescent="0.25">
      <c r="O321029" s="9"/>
    </row>
    <row r="321050" spans="15:15" x14ac:dyDescent="0.25">
      <c r="O321050" s="9"/>
    </row>
    <row r="321071" spans="15:15" x14ac:dyDescent="0.25">
      <c r="O321071" s="9"/>
    </row>
    <row r="321092" spans="15:15" x14ac:dyDescent="0.25">
      <c r="O321092" s="9"/>
    </row>
    <row r="321113" spans="15:15" x14ac:dyDescent="0.25">
      <c r="O321113" s="9"/>
    </row>
    <row r="321134" spans="15:15" x14ac:dyDescent="0.25">
      <c r="O321134" s="9"/>
    </row>
    <row r="321155" spans="15:15" x14ac:dyDescent="0.25">
      <c r="O321155" s="9"/>
    </row>
    <row r="321176" spans="15:15" x14ac:dyDescent="0.25">
      <c r="O321176" s="9"/>
    </row>
    <row r="321197" spans="15:15" x14ac:dyDescent="0.25">
      <c r="O321197" s="9"/>
    </row>
    <row r="321218" spans="15:15" x14ac:dyDescent="0.25">
      <c r="O321218" s="9"/>
    </row>
    <row r="321239" spans="15:15" x14ac:dyDescent="0.25">
      <c r="O321239" s="9"/>
    </row>
    <row r="321260" spans="15:15" x14ac:dyDescent="0.25">
      <c r="O321260" s="9"/>
    </row>
    <row r="321281" spans="15:15" x14ac:dyDescent="0.25">
      <c r="O321281" s="9"/>
    </row>
    <row r="321302" spans="15:15" x14ac:dyDescent="0.25">
      <c r="O321302" s="9"/>
    </row>
    <row r="321323" spans="15:15" x14ac:dyDescent="0.25">
      <c r="O321323" s="9"/>
    </row>
    <row r="321344" spans="15:15" x14ac:dyDescent="0.25">
      <c r="O321344" s="9"/>
    </row>
    <row r="321365" spans="15:15" x14ac:dyDescent="0.25">
      <c r="O321365" s="9"/>
    </row>
    <row r="321386" spans="15:15" x14ac:dyDescent="0.25">
      <c r="O321386" s="9"/>
    </row>
    <row r="321407" spans="15:15" x14ac:dyDescent="0.25">
      <c r="O321407" s="9"/>
    </row>
    <row r="321428" spans="15:15" x14ac:dyDescent="0.25">
      <c r="O321428" s="9"/>
    </row>
    <row r="321449" spans="15:15" x14ac:dyDescent="0.25">
      <c r="O321449" s="9"/>
    </row>
    <row r="321470" spans="15:15" x14ac:dyDescent="0.25">
      <c r="O321470" s="9"/>
    </row>
    <row r="321491" spans="15:15" x14ac:dyDescent="0.25">
      <c r="O321491" s="9"/>
    </row>
    <row r="321512" spans="15:15" x14ac:dyDescent="0.25">
      <c r="O321512" s="9"/>
    </row>
    <row r="321533" spans="15:15" x14ac:dyDescent="0.25">
      <c r="O321533" s="9"/>
    </row>
    <row r="321554" spans="15:15" x14ac:dyDescent="0.25">
      <c r="O321554" s="9"/>
    </row>
    <row r="321575" spans="15:15" x14ac:dyDescent="0.25">
      <c r="O321575" s="9"/>
    </row>
    <row r="321596" spans="15:15" x14ac:dyDescent="0.25">
      <c r="O321596" s="9"/>
    </row>
    <row r="321617" spans="15:15" x14ac:dyDescent="0.25">
      <c r="O321617" s="9"/>
    </row>
    <row r="321638" spans="15:15" x14ac:dyDescent="0.25">
      <c r="O321638" s="9"/>
    </row>
    <row r="321659" spans="15:15" x14ac:dyDescent="0.25">
      <c r="O321659" s="9"/>
    </row>
    <row r="321680" spans="15:15" x14ac:dyDescent="0.25">
      <c r="O321680" s="9"/>
    </row>
    <row r="321701" spans="15:15" x14ac:dyDescent="0.25">
      <c r="O321701" s="9"/>
    </row>
    <row r="321722" spans="15:15" x14ac:dyDescent="0.25">
      <c r="O321722" s="9"/>
    </row>
    <row r="321743" spans="15:15" x14ac:dyDescent="0.25">
      <c r="O321743" s="9"/>
    </row>
    <row r="321764" spans="15:15" x14ac:dyDescent="0.25">
      <c r="O321764" s="9"/>
    </row>
    <row r="321785" spans="15:15" x14ac:dyDescent="0.25">
      <c r="O321785" s="9"/>
    </row>
    <row r="321806" spans="15:15" x14ac:dyDescent="0.25">
      <c r="O321806" s="9"/>
    </row>
    <row r="321827" spans="15:15" x14ac:dyDescent="0.25">
      <c r="O321827" s="9"/>
    </row>
    <row r="321848" spans="15:15" x14ac:dyDescent="0.25">
      <c r="O321848" s="9"/>
    </row>
    <row r="321869" spans="15:15" x14ac:dyDescent="0.25">
      <c r="O321869" s="9"/>
    </row>
    <row r="321890" spans="15:15" x14ac:dyDescent="0.25">
      <c r="O321890" s="9"/>
    </row>
    <row r="321911" spans="15:15" x14ac:dyDescent="0.25">
      <c r="O321911" s="9"/>
    </row>
    <row r="321932" spans="15:15" x14ac:dyDescent="0.25">
      <c r="O321932" s="9"/>
    </row>
    <row r="321953" spans="15:15" x14ac:dyDescent="0.25">
      <c r="O321953" s="9"/>
    </row>
    <row r="321974" spans="15:15" x14ac:dyDescent="0.25">
      <c r="O321974" s="9"/>
    </row>
    <row r="321995" spans="15:15" x14ac:dyDescent="0.25">
      <c r="O321995" s="9"/>
    </row>
    <row r="322016" spans="15:15" x14ac:dyDescent="0.25">
      <c r="O322016" s="9"/>
    </row>
    <row r="322037" spans="15:15" x14ac:dyDescent="0.25">
      <c r="O322037" s="9"/>
    </row>
    <row r="322058" spans="15:15" x14ac:dyDescent="0.25">
      <c r="O322058" s="9"/>
    </row>
    <row r="322079" spans="15:15" x14ac:dyDescent="0.25">
      <c r="O322079" s="9"/>
    </row>
    <row r="322100" spans="15:15" x14ac:dyDescent="0.25">
      <c r="O322100" s="9"/>
    </row>
    <row r="322121" spans="15:15" x14ac:dyDescent="0.25">
      <c r="O322121" s="9"/>
    </row>
    <row r="322142" spans="15:15" x14ac:dyDescent="0.25">
      <c r="O322142" s="9"/>
    </row>
    <row r="322163" spans="15:15" x14ac:dyDescent="0.25">
      <c r="O322163" s="9"/>
    </row>
    <row r="322184" spans="15:15" x14ac:dyDescent="0.25">
      <c r="O322184" s="9"/>
    </row>
    <row r="322205" spans="15:15" x14ac:dyDescent="0.25">
      <c r="O322205" s="9"/>
    </row>
    <row r="322226" spans="15:15" x14ac:dyDescent="0.25">
      <c r="O322226" s="9"/>
    </row>
    <row r="322247" spans="15:15" x14ac:dyDescent="0.25">
      <c r="O322247" s="9"/>
    </row>
    <row r="322268" spans="15:15" x14ac:dyDescent="0.25">
      <c r="O322268" s="9"/>
    </row>
    <row r="322289" spans="15:15" x14ac:dyDescent="0.25">
      <c r="O322289" s="9"/>
    </row>
    <row r="322310" spans="15:15" x14ac:dyDescent="0.25">
      <c r="O322310" s="9"/>
    </row>
    <row r="322331" spans="15:15" x14ac:dyDescent="0.25">
      <c r="O322331" s="9"/>
    </row>
    <row r="322352" spans="15:15" x14ac:dyDescent="0.25">
      <c r="O322352" s="9"/>
    </row>
    <row r="322373" spans="15:15" x14ac:dyDescent="0.25">
      <c r="O322373" s="9"/>
    </row>
    <row r="322394" spans="15:15" x14ac:dyDescent="0.25">
      <c r="O322394" s="9"/>
    </row>
    <row r="322415" spans="15:15" x14ac:dyDescent="0.25">
      <c r="O322415" s="9"/>
    </row>
    <row r="322436" spans="15:15" x14ac:dyDescent="0.25">
      <c r="O322436" s="9"/>
    </row>
    <row r="322457" spans="15:15" x14ac:dyDescent="0.25">
      <c r="O322457" s="9"/>
    </row>
    <row r="322478" spans="15:15" x14ac:dyDescent="0.25">
      <c r="O322478" s="9"/>
    </row>
    <row r="322499" spans="15:15" x14ac:dyDescent="0.25">
      <c r="O322499" s="9"/>
    </row>
    <row r="322520" spans="15:15" x14ac:dyDescent="0.25">
      <c r="O322520" s="9"/>
    </row>
    <row r="322541" spans="15:15" x14ac:dyDescent="0.25">
      <c r="O322541" s="9"/>
    </row>
    <row r="322562" spans="15:15" x14ac:dyDescent="0.25">
      <c r="O322562" s="9"/>
    </row>
    <row r="322583" spans="15:15" x14ac:dyDescent="0.25">
      <c r="O322583" s="9"/>
    </row>
    <row r="322604" spans="15:15" x14ac:dyDescent="0.25">
      <c r="O322604" s="9"/>
    </row>
    <row r="322625" spans="15:15" x14ac:dyDescent="0.25">
      <c r="O322625" s="9"/>
    </row>
    <row r="322646" spans="15:15" x14ac:dyDescent="0.25">
      <c r="O322646" s="9"/>
    </row>
    <row r="322667" spans="15:15" x14ac:dyDescent="0.25">
      <c r="O322667" s="9"/>
    </row>
    <row r="322688" spans="15:15" x14ac:dyDescent="0.25">
      <c r="O322688" s="9"/>
    </row>
    <row r="322709" spans="15:15" x14ac:dyDescent="0.25">
      <c r="O322709" s="9"/>
    </row>
    <row r="322730" spans="15:15" x14ac:dyDescent="0.25">
      <c r="O322730" s="9"/>
    </row>
    <row r="322751" spans="15:15" x14ac:dyDescent="0.25">
      <c r="O322751" s="9"/>
    </row>
    <row r="322772" spans="15:15" x14ac:dyDescent="0.25">
      <c r="O322772" s="9"/>
    </row>
    <row r="322793" spans="15:15" x14ac:dyDescent="0.25">
      <c r="O322793" s="9"/>
    </row>
    <row r="322814" spans="15:15" x14ac:dyDescent="0.25">
      <c r="O322814" s="9"/>
    </row>
    <row r="322835" spans="15:15" x14ac:dyDescent="0.25">
      <c r="O322835" s="9"/>
    </row>
    <row r="322856" spans="15:15" x14ac:dyDescent="0.25">
      <c r="O322856" s="9"/>
    </row>
    <row r="322877" spans="15:15" x14ac:dyDescent="0.25">
      <c r="O322877" s="9"/>
    </row>
    <row r="322898" spans="15:15" x14ac:dyDescent="0.25">
      <c r="O322898" s="9"/>
    </row>
    <row r="322919" spans="15:15" x14ac:dyDescent="0.25">
      <c r="O322919" s="9"/>
    </row>
    <row r="322940" spans="15:15" x14ac:dyDescent="0.25">
      <c r="O322940" s="9"/>
    </row>
    <row r="322961" spans="15:15" x14ac:dyDescent="0.25">
      <c r="O322961" s="9"/>
    </row>
    <row r="322982" spans="15:15" x14ac:dyDescent="0.25">
      <c r="O322982" s="9"/>
    </row>
    <row r="323003" spans="15:15" x14ac:dyDescent="0.25">
      <c r="O323003" s="9"/>
    </row>
    <row r="323024" spans="15:15" x14ac:dyDescent="0.25">
      <c r="O323024" s="9"/>
    </row>
    <row r="323045" spans="15:15" x14ac:dyDescent="0.25">
      <c r="O323045" s="9"/>
    </row>
    <row r="323066" spans="15:15" x14ac:dyDescent="0.25">
      <c r="O323066" s="9"/>
    </row>
    <row r="323087" spans="15:15" x14ac:dyDescent="0.25">
      <c r="O323087" s="9"/>
    </row>
    <row r="323108" spans="15:15" x14ac:dyDescent="0.25">
      <c r="O323108" s="9"/>
    </row>
    <row r="323129" spans="15:15" x14ac:dyDescent="0.25">
      <c r="O323129" s="9"/>
    </row>
    <row r="323150" spans="15:15" x14ac:dyDescent="0.25">
      <c r="O323150" s="9"/>
    </row>
    <row r="323171" spans="15:15" x14ac:dyDescent="0.25">
      <c r="O323171" s="9"/>
    </row>
    <row r="323192" spans="15:15" x14ac:dyDescent="0.25">
      <c r="O323192" s="9"/>
    </row>
    <row r="323213" spans="15:15" x14ac:dyDescent="0.25">
      <c r="O323213" s="9"/>
    </row>
    <row r="323234" spans="15:15" x14ac:dyDescent="0.25">
      <c r="O323234" s="9"/>
    </row>
    <row r="323255" spans="15:15" x14ac:dyDescent="0.25">
      <c r="O323255" s="9"/>
    </row>
    <row r="323276" spans="15:15" x14ac:dyDescent="0.25">
      <c r="O323276" s="9"/>
    </row>
    <row r="323297" spans="15:15" x14ac:dyDescent="0.25">
      <c r="O323297" s="9"/>
    </row>
    <row r="323318" spans="15:15" x14ac:dyDescent="0.25">
      <c r="O323318" s="9"/>
    </row>
    <row r="323339" spans="15:15" x14ac:dyDescent="0.25">
      <c r="O323339" s="9"/>
    </row>
    <row r="323360" spans="15:15" x14ac:dyDescent="0.25">
      <c r="O323360" s="9"/>
    </row>
    <row r="323381" spans="15:15" x14ac:dyDescent="0.25">
      <c r="O323381" s="9"/>
    </row>
    <row r="323402" spans="15:15" x14ac:dyDescent="0.25">
      <c r="O323402" s="9"/>
    </row>
    <row r="323423" spans="15:15" x14ac:dyDescent="0.25">
      <c r="O323423" s="9"/>
    </row>
    <row r="323444" spans="15:15" x14ac:dyDescent="0.25">
      <c r="O323444" s="9"/>
    </row>
    <row r="323465" spans="15:15" x14ac:dyDescent="0.25">
      <c r="O323465" s="9"/>
    </row>
    <row r="323486" spans="15:15" x14ac:dyDescent="0.25">
      <c r="O323486" s="9"/>
    </row>
    <row r="323507" spans="15:15" x14ac:dyDescent="0.25">
      <c r="O323507" s="9"/>
    </row>
    <row r="323528" spans="15:15" x14ac:dyDescent="0.25">
      <c r="O323528" s="9"/>
    </row>
    <row r="323549" spans="15:15" x14ac:dyDescent="0.25">
      <c r="O323549" s="9"/>
    </row>
    <row r="323570" spans="15:15" x14ac:dyDescent="0.25">
      <c r="O323570" s="9"/>
    </row>
    <row r="323591" spans="15:15" x14ac:dyDescent="0.25">
      <c r="O323591" s="9"/>
    </row>
    <row r="323612" spans="15:15" x14ac:dyDescent="0.25">
      <c r="O323612" s="9"/>
    </row>
    <row r="323633" spans="15:15" x14ac:dyDescent="0.25">
      <c r="O323633" s="9"/>
    </row>
    <row r="323654" spans="15:15" x14ac:dyDescent="0.25">
      <c r="O323654" s="9"/>
    </row>
    <row r="323675" spans="15:15" x14ac:dyDescent="0.25">
      <c r="O323675" s="9"/>
    </row>
    <row r="323696" spans="15:15" x14ac:dyDescent="0.25">
      <c r="O323696" s="9"/>
    </row>
    <row r="323717" spans="15:15" x14ac:dyDescent="0.25">
      <c r="O323717" s="9"/>
    </row>
    <row r="323738" spans="15:15" x14ac:dyDescent="0.25">
      <c r="O323738" s="9"/>
    </row>
    <row r="323759" spans="15:15" x14ac:dyDescent="0.25">
      <c r="O323759" s="9"/>
    </row>
    <row r="323780" spans="15:15" x14ac:dyDescent="0.25">
      <c r="O323780" s="9"/>
    </row>
    <row r="323801" spans="15:15" x14ac:dyDescent="0.25">
      <c r="O323801" s="9"/>
    </row>
    <row r="323822" spans="15:15" x14ac:dyDescent="0.25">
      <c r="O323822" s="9"/>
    </row>
    <row r="323843" spans="15:15" x14ac:dyDescent="0.25">
      <c r="O323843" s="9"/>
    </row>
    <row r="323864" spans="15:15" x14ac:dyDescent="0.25">
      <c r="O323864" s="9"/>
    </row>
    <row r="323885" spans="15:15" x14ac:dyDescent="0.25">
      <c r="O323885" s="9"/>
    </row>
    <row r="323906" spans="15:15" x14ac:dyDescent="0.25">
      <c r="O323906" s="9"/>
    </row>
    <row r="323927" spans="15:15" x14ac:dyDescent="0.25">
      <c r="O323927" s="9"/>
    </row>
    <row r="323948" spans="15:15" x14ac:dyDescent="0.25">
      <c r="O323948" s="9"/>
    </row>
    <row r="323969" spans="15:15" x14ac:dyDescent="0.25">
      <c r="O323969" s="9"/>
    </row>
    <row r="323990" spans="15:15" x14ac:dyDescent="0.25">
      <c r="O323990" s="9"/>
    </row>
    <row r="324011" spans="15:15" x14ac:dyDescent="0.25">
      <c r="O324011" s="9"/>
    </row>
    <row r="324032" spans="15:15" x14ac:dyDescent="0.25">
      <c r="O324032" s="9"/>
    </row>
    <row r="324053" spans="15:15" x14ac:dyDescent="0.25">
      <c r="O324053" s="9"/>
    </row>
    <row r="324074" spans="15:15" x14ac:dyDescent="0.25">
      <c r="O324074" s="9"/>
    </row>
    <row r="324095" spans="15:15" x14ac:dyDescent="0.25">
      <c r="O324095" s="9"/>
    </row>
    <row r="324116" spans="15:15" x14ac:dyDescent="0.25">
      <c r="O324116" s="9"/>
    </row>
    <row r="324137" spans="15:15" x14ac:dyDescent="0.25">
      <c r="O324137" s="9"/>
    </row>
    <row r="324158" spans="15:15" x14ac:dyDescent="0.25">
      <c r="O324158" s="9"/>
    </row>
    <row r="324179" spans="15:15" x14ac:dyDescent="0.25">
      <c r="O324179" s="9"/>
    </row>
    <row r="324200" spans="15:15" x14ac:dyDescent="0.25">
      <c r="O324200" s="9"/>
    </row>
    <row r="324221" spans="15:15" x14ac:dyDescent="0.25">
      <c r="O324221" s="9"/>
    </row>
    <row r="324242" spans="15:15" x14ac:dyDescent="0.25">
      <c r="O324242" s="9"/>
    </row>
    <row r="324263" spans="15:15" x14ac:dyDescent="0.25">
      <c r="O324263" s="9"/>
    </row>
    <row r="324284" spans="15:15" x14ac:dyDescent="0.25">
      <c r="O324284" s="9"/>
    </row>
    <row r="324305" spans="15:15" x14ac:dyDescent="0.25">
      <c r="O324305" s="9"/>
    </row>
    <row r="324326" spans="15:15" x14ac:dyDescent="0.25">
      <c r="O324326" s="9"/>
    </row>
    <row r="324347" spans="15:15" x14ac:dyDescent="0.25">
      <c r="O324347" s="9"/>
    </row>
    <row r="324368" spans="15:15" x14ac:dyDescent="0.25">
      <c r="O324368" s="9"/>
    </row>
    <row r="324389" spans="15:15" x14ac:dyDescent="0.25">
      <c r="O324389" s="9"/>
    </row>
    <row r="324410" spans="15:15" x14ac:dyDescent="0.25">
      <c r="O324410" s="9"/>
    </row>
    <row r="324431" spans="15:15" x14ac:dyDescent="0.25">
      <c r="O324431" s="9"/>
    </row>
    <row r="324452" spans="15:15" x14ac:dyDescent="0.25">
      <c r="O324452" s="9"/>
    </row>
    <row r="324473" spans="15:15" x14ac:dyDescent="0.25">
      <c r="O324473" s="9"/>
    </row>
    <row r="324494" spans="15:15" x14ac:dyDescent="0.25">
      <c r="O324494" s="9"/>
    </row>
    <row r="324515" spans="15:15" x14ac:dyDescent="0.25">
      <c r="O324515" s="9"/>
    </row>
    <row r="324536" spans="15:15" x14ac:dyDescent="0.25">
      <c r="O324536" s="9"/>
    </row>
    <row r="324557" spans="15:15" x14ac:dyDescent="0.25">
      <c r="O324557" s="9"/>
    </row>
    <row r="324578" spans="15:15" x14ac:dyDescent="0.25">
      <c r="O324578" s="9"/>
    </row>
    <row r="324599" spans="15:15" x14ac:dyDescent="0.25">
      <c r="O324599" s="9"/>
    </row>
    <row r="324620" spans="15:15" x14ac:dyDescent="0.25">
      <c r="O324620" s="9"/>
    </row>
    <row r="324641" spans="15:15" x14ac:dyDescent="0.25">
      <c r="O324641" s="9"/>
    </row>
    <row r="324662" spans="15:15" x14ac:dyDescent="0.25">
      <c r="O324662" s="9"/>
    </row>
    <row r="324683" spans="15:15" x14ac:dyDescent="0.25">
      <c r="O324683" s="9"/>
    </row>
    <row r="324704" spans="15:15" x14ac:dyDescent="0.25">
      <c r="O324704" s="9"/>
    </row>
    <row r="324725" spans="15:15" x14ac:dyDescent="0.25">
      <c r="O324725" s="9"/>
    </row>
    <row r="324746" spans="15:15" x14ac:dyDescent="0.25">
      <c r="O324746" s="9"/>
    </row>
    <row r="324767" spans="15:15" x14ac:dyDescent="0.25">
      <c r="O324767" s="9"/>
    </row>
    <row r="324788" spans="15:15" x14ac:dyDescent="0.25">
      <c r="O324788" s="9"/>
    </row>
    <row r="324809" spans="15:15" x14ac:dyDescent="0.25">
      <c r="O324809" s="9"/>
    </row>
    <row r="324830" spans="15:15" x14ac:dyDescent="0.25">
      <c r="O324830" s="9"/>
    </row>
    <row r="324851" spans="15:15" x14ac:dyDescent="0.25">
      <c r="O324851" s="9"/>
    </row>
    <row r="324872" spans="15:15" x14ac:dyDescent="0.25">
      <c r="O324872" s="9"/>
    </row>
    <row r="324893" spans="15:15" x14ac:dyDescent="0.25">
      <c r="O324893" s="9"/>
    </row>
    <row r="324914" spans="15:15" x14ac:dyDescent="0.25">
      <c r="O324914" s="9"/>
    </row>
    <row r="324935" spans="15:15" x14ac:dyDescent="0.25">
      <c r="O324935" s="9"/>
    </row>
    <row r="324956" spans="15:15" x14ac:dyDescent="0.25">
      <c r="O324956" s="9"/>
    </row>
    <row r="324977" spans="15:15" x14ac:dyDescent="0.25">
      <c r="O324977" s="9"/>
    </row>
    <row r="324998" spans="15:15" x14ac:dyDescent="0.25">
      <c r="O324998" s="9"/>
    </row>
    <row r="325019" spans="15:15" x14ac:dyDescent="0.25">
      <c r="O325019" s="9"/>
    </row>
    <row r="325040" spans="15:15" x14ac:dyDescent="0.25">
      <c r="O325040" s="9"/>
    </row>
    <row r="325061" spans="15:15" x14ac:dyDescent="0.25">
      <c r="O325061" s="9"/>
    </row>
    <row r="325082" spans="15:15" x14ac:dyDescent="0.25">
      <c r="O325082" s="9"/>
    </row>
    <row r="325103" spans="15:15" x14ac:dyDescent="0.25">
      <c r="O325103" s="9"/>
    </row>
    <row r="325124" spans="15:15" x14ac:dyDescent="0.25">
      <c r="O325124" s="9"/>
    </row>
    <row r="325145" spans="15:15" x14ac:dyDescent="0.25">
      <c r="O325145" s="9"/>
    </row>
    <row r="325166" spans="15:15" x14ac:dyDescent="0.25">
      <c r="O325166" s="9"/>
    </row>
    <row r="325187" spans="15:15" x14ac:dyDescent="0.25">
      <c r="O325187" s="9"/>
    </row>
    <row r="325208" spans="15:15" x14ac:dyDescent="0.25">
      <c r="O325208" s="9"/>
    </row>
    <row r="325229" spans="15:15" x14ac:dyDescent="0.25">
      <c r="O325229" s="9"/>
    </row>
    <row r="325250" spans="15:15" x14ac:dyDescent="0.25">
      <c r="O325250" s="9"/>
    </row>
    <row r="325271" spans="15:15" x14ac:dyDescent="0.25">
      <c r="O325271" s="9"/>
    </row>
    <row r="325292" spans="15:15" x14ac:dyDescent="0.25">
      <c r="O325292" s="9"/>
    </row>
    <row r="325313" spans="15:15" x14ac:dyDescent="0.25">
      <c r="O325313" s="9"/>
    </row>
    <row r="325334" spans="15:15" x14ac:dyDescent="0.25">
      <c r="O325334" s="9"/>
    </row>
    <row r="325355" spans="15:15" x14ac:dyDescent="0.25">
      <c r="O325355" s="9"/>
    </row>
    <row r="325376" spans="15:15" x14ac:dyDescent="0.25">
      <c r="O325376" s="9"/>
    </row>
    <row r="325397" spans="15:15" x14ac:dyDescent="0.25">
      <c r="O325397" s="9"/>
    </row>
    <row r="325418" spans="15:15" x14ac:dyDescent="0.25">
      <c r="O325418" s="9"/>
    </row>
    <row r="325439" spans="15:15" x14ac:dyDescent="0.25">
      <c r="O325439" s="9"/>
    </row>
    <row r="325460" spans="15:15" x14ac:dyDescent="0.25">
      <c r="O325460" s="9"/>
    </row>
    <row r="325481" spans="15:15" x14ac:dyDescent="0.25">
      <c r="O325481" s="9"/>
    </row>
    <row r="325502" spans="15:15" x14ac:dyDescent="0.25">
      <c r="O325502" s="9"/>
    </row>
    <row r="325523" spans="15:15" x14ac:dyDescent="0.25">
      <c r="O325523" s="9"/>
    </row>
    <row r="325544" spans="15:15" x14ac:dyDescent="0.25">
      <c r="O325544" s="9"/>
    </row>
    <row r="325565" spans="15:15" x14ac:dyDescent="0.25">
      <c r="O325565" s="9"/>
    </row>
    <row r="325586" spans="15:15" x14ac:dyDescent="0.25">
      <c r="O325586" s="9"/>
    </row>
    <row r="325607" spans="15:15" x14ac:dyDescent="0.25">
      <c r="O325607" s="9"/>
    </row>
    <row r="325628" spans="15:15" x14ac:dyDescent="0.25">
      <c r="O325628" s="9"/>
    </row>
    <row r="325649" spans="15:15" x14ac:dyDescent="0.25">
      <c r="O325649" s="9"/>
    </row>
    <row r="325670" spans="15:15" x14ac:dyDescent="0.25">
      <c r="O325670" s="9"/>
    </row>
    <row r="325691" spans="15:15" x14ac:dyDescent="0.25">
      <c r="O325691" s="9"/>
    </row>
    <row r="325712" spans="15:15" x14ac:dyDescent="0.25">
      <c r="O325712" s="9"/>
    </row>
    <row r="325733" spans="15:15" x14ac:dyDescent="0.25">
      <c r="O325733" s="9"/>
    </row>
    <row r="325754" spans="15:15" x14ac:dyDescent="0.25">
      <c r="O325754" s="9"/>
    </row>
    <row r="325775" spans="15:15" x14ac:dyDescent="0.25">
      <c r="O325775" s="9"/>
    </row>
    <row r="325796" spans="15:15" x14ac:dyDescent="0.25">
      <c r="O325796" s="9"/>
    </row>
    <row r="325817" spans="15:15" x14ac:dyDescent="0.25">
      <c r="O325817" s="9"/>
    </row>
    <row r="325838" spans="15:15" x14ac:dyDescent="0.25">
      <c r="O325838" s="9"/>
    </row>
    <row r="325859" spans="15:15" x14ac:dyDescent="0.25">
      <c r="O325859" s="9"/>
    </row>
    <row r="325880" spans="15:15" x14ac:dyDescent="0.25">
      <c r="O325880" s="9"/>
    </row>
    <row r="325901" spans="15:15" x14ac:dyDescent="0.25">
      <c r="O325901" s="9"/>
    </row>
    <row r="325922" spans="15:15" x14ac:dyDescent="0.25">
      <c r="O325922" s="9"/>
    </row>
    <row r="325943" spans="15:15" x14ac:dyDescent="0.25">
      <c r="O325943" s="9"/>
    </row>
    <row r="325964" spans="15:15" x14ac:dyDescent="0.25">
      <c r="O325964" s="9"/>
    </row>
    <row r="325985" spans="15:15" x14ac:dyDescent="0.25">
      <c r="O325985" s="9"/>
    </row>
    <row r="326006" spans="15:15" x14ac:dyDescent="0.25">
      <c r="O326006" s="9"/>
    </row>
    <row r="326027" spans="15:15" x14ac:dyDescent="0.25">
      <c r="O326027" s="9"/>
    </row>
    <row r="326048" spans="15:15" x14ac:dyDescent="0.25">
      <c r="O326048" s="9"/>
    </row>
    <row r="326069" spans="15:15" x14ac:dyDescent="0.25">
      <c r="O326069" s="9"/>
    </row>
    <row r="326090" spans="15:15" x14ac:dyDescent="0.25">
      <c r="O326090" s="9"/>
    </row>
    <row r="326111" spans="15:15" x14ac:dyDescent="0.25">
      <c r="O326111" s="9"/>
    </row>
    <row r="326132" spans="15:15" x14ac:dyDescent="0.25">
      <c r="O326132" s="9"/>
    </row>
    <row r="326153" spans="15:15" x14ac:dyDescent="0.25">
      <c r="O326153" s="9"/>
    </row>
    <row r="326174" spans="15:15" x14ac:dyDescent="0.25">
      <c r="O326174" s="9"/>
    </row>
    <row r="326195" spans="15:15" x14ac:dyDescent="0.25">
      <c r="O326195" s="9"/>
    </row>
    <row r="326216" spans="15:15" x14ac:dyDescent="0.25">
      <c r="O326216" s="9"/>
    </row>
    <row r="326237" spans="15:15" x14ac:dyDescent="0.25">
      <c r="O326237" s="9"/>
    </row>
    <row r="326258" spans="15:15" x14ac:dyDescent="0.25">
      <c r="O326258" s="9"/>
    </row>
    <row r="326279" spans="15:15" x14ac:dyDescent="0.25">
      <c r="O326279" s="9"/>
    </row>
    <row r="326300" spans="15:15" x14ac:dyDescent="0.25">
      <c r="O326300" s="9"/>
    </row>
    <row r="326321" spans="15:15" x14ac:dyDescent="0.25">
      <c r="O326321" s="9"/>
    </row>
    <row r="326342" spans="15:15" x14ac:dyDescent="0.25">
      <c r="O326342" s="9"/>
    </row>
    <row r="326363" spans="15:15" x14ac:dyDescent="0.25">
      <c r="O326363" s="9"/>
    </row>
    <row r="326384" spans="15:15" x14ac:dyDescent="0.25">
      <c r="O326384" s="9"/>
    </row>
    <row r="326405" spans="15:15" x14ac:dyDescent="0.25">
      <c r="O326405" s="9"/>
    </row>
    <row r="326426" spans="15:15" x14ac:dyDescent="0.25">
      <c r="O326426" s="9"/>
    </row>
    <row r="326447" spans="15:15" x14ac:dyDescent="0.25">
      <c r="O326447" s="9"/>
    </row>
    <row r="326468" spans="15:15" x14ac:dyDescent="0.25">
      <c r="O326468" s="9"/>
    </row>
    <row r="326489" spans="15:15" x14ac:dyDescent="0.25">
      <c r="O326489" s="9"/>
    </row>
    <row r="326510" spans="15:15" x14ac:dyDescent="0.25">
      <c r="O326510" s="9"/>
    </row>
    <row r="326531" spans="15:15" x14ac:dyDescent="0.25">
      <c r="O326531" s="9"/>
    </row>
    <row r="326552" spans="15:15" x14ac:dyDescent="0.25">
      <c r="O326552" s="9"/>
    </row>
    <row r="326573" spans="15:15" x14ac:dyDescent="0.25">
      <c r="O326573" s="9"/>
    </row>
    <row r="326594" spans="15:15" x14ac:dyDescent="0.25">
      <c r="O326594" s="9"/>
    </row>
    <row r="326615" spans="15:15" x14ac:dyDescent="0.25">
      <c r="O326615" s="9"/>
    </row>
    <row r="326636" spans="15:15" x14ac:dyDescent="0.25">
      <c r="O326636" s="9"/>
    </row>
    <row r="326657" spans="15:15" x14ac:dyDescent="0.25">
      <c r="O326657" s="9"/>
    </row>
    <row r="326678" spans="15:15" x14ac:dyDescent="0.25">
      <c r="O326678" s="9"/>
    </row>
    <row r="326699" spans="15:15" x14ac:dyDescent="0.25">
      <c r="O326699" s="9"/>
    </row>
    <row r="326720" spans="15:15" x14ac:dyDescent="0.25">
      <c r="O326720" s="9"/>
    </row>
    <row r="326741" spans="15:15" x14ac:dyDescent="0.25">
      <c r="O326741" s="9"/>
    </row>
    <row r="326762" spans="15:15" x14ac:dyDescent="0.25">
      <c r="O326762" s="9"/>
    </row>
    <row r="326783" spans="15:15" x14ac:dyDescent="0.25">
      <c r="O326783" s="9"/>
    </row>
    <row r="326804" spans="15:15" x14ac:dyDescent="0.25">
      <c r="O326804" s="9"/>
    </row>
    <row r="326825" spans="15:15" x14ac:dyDescent="0.25">
      <c r="O326825" s="9"/>
    </row>
    <row r="326846" spans="15:15" x14ac:dyDescent="0.25">
      <c r="O326846" s="9"/>
    </row>
    <row r="326867" spans="15:15" x14ac:dyDescent="0.25">
      <c r="O326867" s="9"/>
    </row>
    <row r="326888" spans="15:15" x14ac:dyDescent="0.25">
      <c r="O326888" s="9"/>
    </row>
    <row r="326909" spans="15:15" x14ac:dyDescent="0.25">
      <c r="O326909" s="9"/>
    </row>
    <row r="326930" spans="15:15" x14ac:dyDescent="0.25">
      <c r="O326930" s="9"/>
    </row>
    <row r="326951" spans="15:15" x14ac:dyDescent="0.25">
      <c r="O326951" s="9"/>
    </row>
    <row r="326972" spans="15:15" x14ac:dyDescent="0.25">
      <c r="O326972" s="9"/>
    </row>
    <row r="326993" spans="15:15" x14ac:dyDescent="0.25">
      <c r="O326993" s="9"/>
    </row>
    <row r="327014" spans="15:15" x14ac:dyDescent="0.25">
      <c r="O327014" s="9"/>
    </row>
    <row r="327035" spans="15:15" x14ac:dyDescent="0.25">
      <c r="O327035" s="9"/>
    </row>
    <row r="327056" spans="15:15" x14ac:dyDescent="0.25">
      <c r="O327056" s="9"/>
    </row>
    <row r="327077" spans="15:15" x14ac:dyDescent="0.25">
      <c r="O327077" s="9"/>
    </row>
    <row r="327098" spans="15:15" x14ac:dyDescent="0.25">
      <c r="O327098" s="9"/>
    </row>
    <row r="327119" spans="15:15" x14ac:dyDescent="0.25">
      <c r="O327119" s="9"/>
    </row>
    <row r="327140" spans="15:15" x14ac:dyDescent="0.25">
      <c r="O327140" s="9"/>
    </row>
    <row r="327161" spans="15:15" x14ac:dyDescent="0.25">
      <c r="O327161" s="9"/>
    </row>
    <row r="327182" spans="15:15" x14ac:dyDescent="0.25">
      <c r="O327182" s="9"/>
    </row>
    <row r="327203" spans="15:15" x14ac:dyDescent="0.25">
      <c r="O327203" s="9"/>
    </row>
    <row r="327224" spans="15:15" x14ac:dyDescent="0.25">
      <c r="O327224" s="9"/>
    </row>
    <row r="327245" spans="15:15" x14ac:dyDescent="0.25">
      <c r="O327245" s="9"/>
    </row>
    <row r="327266" spans="15:15" x14ac:dyDescent="0.25">
      <c r="O327266" s="9"/>
    </row>
    <row r="327287" spans="15:15" x14ac:dyDescent="0.25">
      <c r="O327287" s="9"/>
    </row>
    <row r="327308" spans="15:15" x14ac:dyDescent="0.25">
      <c r="O327308" s="9"/>
    </row>
    <row r="327329" spans="15:15" x14ac:dyDescent="0.25">
      <c r="O327329" s="9"/>
    </row>
    <row r="327350" spans="15:15" x14ac:dyDescent="0.25">
      <c r="O327350" s="9"/>
    </row>
    <row r="327371" spans="15:15" x14ac:dyDescent="0.25">
      <c r="O327371" s="9"/>
    </row>
    <row r="327392" spans="15:15" x14ac:dyDescent="0.25">
      <c r="O327392" s="9"/>
    </row>
    <row r="327413" spans="15:15" x14ac:dyDescent="0.25">
      <c r="O327413" s="9"/>
    </row>
    <row r="327434" spans="15:15" x14ac:dyDescent="0.25">
      <c r="O327434" s="9"/>
    </row>
    <row r="327455" spans="15:15" x14ac:dyDescent="0.25">
      <c r="O327455" s="9"/>
    </row>
    <row r="327476" spans="15:15" x14ac:dyDescent="0.25">
      <c r="O327476" s="9"/>
    </row>
    <row r="327497" spans="15:15" x14ac:dyDescent="0.25">
      <c r="O327497" s="9"/>
    </row>
    <row r="327518" spans="15:15" x14ac:dyDescent="0.25">
      <c r="O327518" s="9"/>
    </row>
    <row r="327539" spans="15:15" x14ac:dyDescent="0.25">
      <c r="O327539" s="9"/>
    </row>
    <row r="327560" spans="15:15" x14ac:dyDescent="0.25">
      <c r="O327560" s="9"/>
    </row>
    <row r="327581" spans="15:15" x14ac:dyDescent="0.25">
      <c r="O327581" s="9"/>
    </row>
    <row r="327602" spans="15:15" x14ac:dyDescent="0.25">
      <c r="O327602" s="9"/>
    </row>
    <row r="327623" spans="15:15" x14ac:dyDescent="0.25">
      <c r="O327623" s="9"/>
    </row>
    <row r="327644" spans="15:15" x14ac:dyDescent="0.25">
      <c r="O327644" s="9"/>
    </row>
    <row r="327665" spans="15:15" x14ac:dyDescent="0.25">
      <c r="O327665" s="9"/>
    </row>
    <row r="327686" spans="15:15" x14ac:dyDescent="0.25">
      <c r="O327686" s="9"/>
    </row>
    <row r="327707" spans="15:15" x14ac:dyDescent="0.25">
      <c r="O327707" s="9"/>
    </row>
    <row r="327728" spans="15:15" x14ac:dyDescent="0.25">
      <c r="O327728" s="9"/>
    </row>
    <row r="327749" spans="15:15" x14ac:dyDescent="0.25">
      <c r="O327749" s="9"/>
    </row>
    <row r="327770" spans="15:15" x14ac:dyDescent="0.25">
      <c r="O327770" s="9"/>
    </row>
    <row r="327791" spans="15:15" x14ac:dyDescent="0.25">
      <c r="O327791" s="9"/>
    </row>
    <row r="327812" spans="15:15" x14ac:dyDescent="0.25">
      <c r="O327812" s="9"/>
    </row>
    <row r="327833" spans="15:15" x14ac:dyDescent="0.25">
      <c r="O327833" s="9"/>
    </row>
    <row r="327854" spans="15:15" x14ac:dyDescent="0.25">
      <c r="O327854" s="9"/>
    </row>
    <row r="327875" spans="15:15" x14ac:dyDescent="0.25">
      <c r="O327875" s="9"/>
    </row>
    <row r="327896" spans="15:15" x14ac:dyDescent="0.25">
      <c r="O327896" s="9"/>
    </row>
    <row r="327917" spans="15:15" x14ac:dyDescent="0.25">
      <c r="O327917" s="9"/>
    </row>
    <row r="327938" spans="15:15" x14ac:dyDescent="0.25">
      <c r="O327938" s="9"/>
    </row>
    <row r="327959" spans="15:15" x14ac:dyDescent="0.25">
      <c r="O327959" s="9"/>
    </row>
    <row r="327980" spans="15:15" x14ac:dyDescent="0.25">
      <c r="O327980" s="9"/>
    </row>
    <row r="328001" spans="15:15" x14ac:dyDescent="0.25">
      <c r="O328001" s="9"/>
    </row>
    <row r="328022" spans="15:15" x14ac:dyDescent="0.25">
      <c r="O328022" s="9"/>
    </row>
    <row r="328043" spans="15:15" x14ac:dyDescent="0.25">
      <c r="O328043" s="9"/>
    </row>
    <row r="328064" spans="15:15" x14ac:dyDescent="0.25">
      <c r="O328064" s="9"/>
    </row>
    <row r="328085" spans="15:15" x14ac:dyDescent="0.25">
      <c r="O328085" s="9"/>
    </row>
    <row r="328106" spans="15:15" x14ac:dyDescent="0.25">
      <c r="O328106" s="9"/>
    </row>
    <row r="328127" spans="15:15" x14ac:dyDescent="0.25">
      <c r="O328127" s="9"/>
    </row>
    <row r="328148" spans="15:15" x14ac:dyDescent="0.25">
      <c r="O328148" s="9"/>
    </row>
    <row r="328169" spans="15:15" x14ac:dyDescent="0.25">
      <c r="O328169" s="9"/>
    </row>
    <row r="328190" spans="15:15" x14ac:dyDescent="0.25">
      <c r="O328190" s="9"/>
    </row>
    <row r="328211" spans="15:15" x14ac:dyDescent="0.25">
      <c r="O328211" s="9"/>
    </row>
    <row r="328232" spans="15:15" x14ac:dyDescent="0.25">
      <c r="O328232" s="9"/>
    </row>
    <row r="328253" spans="15:15" x14ac:dyDescent="0.25">
      <c r="O328253" s="9"/>
    </row>
    <row r="328274" spans="15:15" x14ac:dyDescent="0.25">
      <c r="O328274" s="9"/>
    </row>
    <row r="328295" spans="15:15" x14ac:dyDescent="0.25">
      <c r="O328295" s="9"/>
    </row>
    <row r="328316" spans="15:15" x14ac:dyDescent="0.25">
      <c r="O328316" s="9"/>
    </row>
    <row r="328337" spans="15:15" x14ac:dyDescent="0.25">
      <c r="O328337" s="9"/>
    </row>
    <row r="328358" spans="15:15" x14ac:dyDescent="0.25">
      <c r="O328358" s="9"/>
    </row>
    <row r="328379" spans="15:15" x14ac:dyDescent="0.25">
      <c r="O328379" s="9"/>
    </row>
    <row r="328400" spans="15:15" x14ac:dyDescent="0.25">
      <c r="O328400" s="9"/>
    </row>
    <row r="328421" spans="15:15" x14ac:dyDescent="0.25">
      <c r="O328421" s="9"/>
    </row>
    <row r="328442" spans="15:15" x14ac:dyDescent="0.25">
      <c r="O328442" s="9"/>
    </row>
    <row r="328463" spans="15:15" x14ac:dyDescent="0.25">
      <c r="O328463" s="9"/>
    </row>
    <row r="328484" spans="15:15" x14ac:dyDescent="0.25">
      <c r="O328484" s="9"/>
    </row>
    <row r="328505" spans="15:15" x14ac:dyDescent="0.25">
      <c r="O328505" s="9"/>
    </row>
    <row r="328526" spans="15:15" x14ac:dyDescent="0.25">
      <c r="O328526" s="9"/>
    </row>
    <row r="328547" spans="15:15" x14ac:dyDescent="0.25">
      <c r="O328547" s="9"/>
    </row>
    <row r="328568" spans="15:15" x14ac:dyDescent="0.25">
      <c r="O328568" s="9"/>
    </row>
    <row r="328589" spans="15:15" x14ac:dyDescent="0.25">
      <c r="O328589" s="9"/>
    </row>
    <row r="328610" spans="15:15" x14ac:dyDescent="0.25">
      <c r="O328610" s="9"/>
    </row>
    <row r="328631" spans="15:15" x14ac:dyDescent="0.25">
      <c r="O328631" s="9"/>
    </row>
    <row r="328652" spans="15:15" x14ac:dyDescent="0.25">
      <c r="O328652" s="9"/>
    </row>
    <row r="328673" spans="15:15" x14ac:dyDescent="0.25">
      <c r="O328673" s="9"/>
    </row>
    <row r="328694" spans="15:15" x14ac:dyDescent="0.25">
      <c r="O328694" s="9"/>
    </row>
    <row r="328715" spans="15:15" x14ac:dyDescent="0.25">
      <c r="O328715" s="9"/>
    </row>
    <row r="328736" spans="15:15" x14ac:dyDescent="0.25">
      <c r="O328736" s="9"/>
    </row>
    <row r="328757" spans="15:15" x14ac:dyDescent="0.25">
      <c r="O328757" s="9"/>
    </row>
    <row r="328778" spans="15:15" x14ac:dyDescent="0.25">
      <c r="O328778" s="9"/>
    </row>
    <row r="328799" spans="15:15" x14ac:dyDescent="0.25">
      <c r="O328799" s="9"/>
    </row>
    <row r="328820" spans="15:15" x14ac:dyDescent="0.25">
      <c r="O328820" s="9"/>
    </row>
    <row r="328841" spans="15:15" x14ac:dyDescent="0.25">
      <c r="O328841" s="9"/>
    </row>
    <row r="328862" spans="15:15" x14ac:dyDescent="0.25">
      <c r="O328862" s="9"/>
    </row>
    <row r="328883" spans="15:15" x14ac:dyDescent="0.25">
      <c r="O328883" s="9"/>
    </row>
    <row r="328904" spans="15:15" x14ac:dyDescent="0.25">
      <c r="O328904" s="9"/>
    </row>
    <row r="328925" spans="15:15" x14ac:dyDescent="0.25">
      <c r="O328925" s="9"/>
    </row>
    <row r="328946" spans="15:15" x14ac:dyDescent="0.25">
      <c r="O328946" s="9"/>
    </row>
    <row r="328967" spans="15:15" x14ac:dyDescent="0.25">
      <c r="O328967" s="9"/>
    </row>
    <row r="328988" spans="15:15" x14ac:dyDescent="0.25">
      <c r="O328988" s="9"/>
    </row>
    <row r="329009" spans="15:15" x14ac:dyDescent="0.25">
      <c r="O329009" s="9"/>
    </row>
    <row r="329030" spans="15:15" x14ac:dyDescent="0.25">
      <c r="O329030" s="9"/>
    </row>
    <row r="329051" spans="15:15" x14ac:dyDescent="0.25">
      <c r="O329051" s="9"/>
    </row>
    <row r="329072" spans="15:15" x14ac:dyDescent="0.25">
      <c r="O329072" s="9"/>
    </row>
    <row r="329093" spans="15:15" x14ac:dyDescent="0.25">
      <c r="O329093" s="9"/>
    </row>
    <row r="329114" spans="15:15" x14ac:dyDescent="0.25">
      <c r="O329114" s="9"/>
    </row>
    <row r="329135" spans="15:15" x14ac:dyDescent="0.25">
      <c r="O329135" s="9"/>
    </row>
    <row r="329156" spans="15:15" x14ac:dyDescent="0.25">
      <c r="O329156" s="9"/>
    </row>
    <row r="329177" spans="15:15" x14ac:dyDescent="0.25">
      <c r="O329177" s="9"/>
    </row>
    <row r="329198" spans="15:15" x14ac:dyDescent="0.25">
      <c r="O329198" s="9"/>
    </row>
    <row r="329219" spans="15:15" x14ac:dyDescent="0.25">
      <c r="O329219" s="9"/>
    </row>
    <row r="329240" spans="15:15" x14ac:dyDescent="0.25">
      <c r="O329240" s="9"/>
    </row>
    <row r="329261" spans="15:15" x14ac:dyDescent="0.25">
      <c r="O329261" s="9"/>
    </row>
    <row r="329282" spans="15:15" x14ac:dyDescent="0.25">
      <c r="O329282" s="9"/>
    </row>
    <row r="329303" spans="15:15" x14ac:dyDescent="0.25">
      <c r="O329303" s="9"/>
    </row>
    <row r="329324" spans="15:15" x14ac:dyDescent="0.25">
      <c r="O329324" s="9"/>
    </row>
    <row r="329345" spans="15:15" x14ac:dyDescent="0.25">
      <c r="O329345" s="9"/>
    </row>
    <row r="329366" spans="15:15" x14ac:dyDescent="0.25">
      <c r="O329366" s="9"/>
    </row>
    <row r="329387" spans="15:15" x14ac:dyDescent="0.25">
      <c r="O329387" s="9"/>
    </row>
    <row r="329408" spans="15:15" x14ac:dyDescent="0.25">
      <c r="O329408" s="9"/>
    </row>
    <row r="329429" spans="15:15" x14ac:dyDescent="0.25">
      <c r="O329429" s="9"/>
    </row>
    <row r="329450" spans="15:15" x14ac:dyDescent="0.25">
      <c r="O329450" s="9"/>
    </row>
    <row r="329471" spans="15:15" x14ac:dyDescent="0.25">
      <c r="O329471" s="9"/>
    </row>
    <row r="329492" spans="15:15" x14ac:dyDescent="0.25">
      <c r="O329492" s="9"/>
    </row>
    <row r="329513" spans="15:15" x14ac:dyDescent="0.25">
      <c r="O329513" s="9"/>
    </row>
    <row r="329534" spans="15:15" x14ac:dyDescent="0.25">
      <c r="O329534" s="9"/>
    </row>
    <row r="329555" spans="15:15" x14ac:dyDescent="0.25">
      <c r="O329555" s="9"/>
    </row>
    <row r="329576" spans="15:15" x14ac:dyDescent="0.25">
      <c r="O329576" s="9"/>
    </row>
    <row r="329597" spans="15:15" x14ac:dyDescent="0.25">
      <c r="O329597" s="9"/>
    </row>
    <row r="329618" spans="15:15" x14ac:dyDescent="0.25">
      <c r="O329618" s="9"/>
    </row>
    <row r="329639" spans="15:15" x14ac:dyDescent="0.25">
      <c r="O329639" s="9"/>
    </row>
    <row r="329660" spans="15:15" x14ac:dyDescent="0.25">
      <c r="O329660" s="9"/>
    </row>
    <row r="329681" spans="15:15" x14ac:dyDescent="0.25">
      <c r="O329681" s="9"/>
    </row>
    <row r="329702" spans="15:15" x14ac:dyDescent="0.25">
      <c r="O329702" s="9"/>
    </row>
    <row r="329723" spans="15:15" x14ac:dyDescent="0.25">
      <c r="O329723" s="9"/>
    </row>
    <row r="329744" spans="15:15" x14ac:dyDescent="0.25">
      <c r="O329744" s="9"/>
    </row>
    <row r="329765" spans="15:15" x14ac:dyDescent="0.25">
      <c r="O329765" s="9"/>
    </row>
    <row r="329786" spans="15:15" x14ac:dyDescent="0.25">
      <c r="O329786" s="9"/>
    </row>
    <row r="329807" spans="15:15" x14ac:dyDescent="0.25">
      <c r="O329807" s="9"/>
    </row>
    <row r="329828" spans="15:15" x14ac:dyDescent="0.25">
      <c r="O329828" s="9"/>
    </row>
    <row r="329849" spans="15:15" x14ac:dyDescent="0.25">
      <c r="O329849" s="9"/>
    </row>
    <row r="329870" spans="15:15" x14ac:dyDescent="0.25">
      <c r="O329870" s="9"/>
    </row>
    <row r="329891" spans="15:15" x14ac:dyDescent="0.25">
      <c r="O329891" s="9"/>
    </row>
    <row r="329912" spans="15:15" x14ac:dyDescent="0.25">
      <c r="O329912" s="9"/>
    </row>
    <row r="329933" spans="15:15" x14ac:dyDescent="0.25">
      <c r="O329933" s="9"/>
    </row>
    <row r="329954" spans="15:15" x14ac:dyDescent="0.25">
      <c r="O329954" s="9"/>
    </row>
    <row r="329975" spans="15:15" x14ac:dyDescent="0.25">
      <c r="O329975" s="9"/>
    </row>
    <row r="329996" spans="15:15" x14ac:dyDescent="0.25">
      <c r="O329996" s="9"/>
    </row>
    <row r="330017" spans="15:15" x14ac:dyDescent="0.25">
      <c r="O330017" s="9"/>
    </row>
    <row r="330038" spans="15:15" x14ac:dyDescent="0.25">
      <c r="O330038" s="9"/>
    </row>
    <row r="330059" spans="15:15" x14ac:dyDescent="0.25">
      <c r="O330059" s="9"/>
    </row>
    <row r="330080" spans="15:15" x14ac:dyDescent="0.25">
      <c r="O330080" s="9"/>
    </row>
    <row r="330101" spans="15:15" x14ac:dyDescent="0.25">
      <c r="O330101" s="9"/>
    </row>
    <row r="330122" spans="15:15" x14ac:dyDescent="0.25">
      <c r="O330122" s="9"/>
    </row>
    <row r="330143" spans="15:15" x14ac:dyDescent="0.25">
      <c r="O330143" s="9"/>
    </row>
    <row r="330164" spans="15:15" x14ac:dyDescent="0.25">
      <c r="O330164" s="9"/>
    </row>
    <row r="330185" spans="15:15" x14ac:dyDescent="0.25">
      <c r="O330185" s="9"/>
    </row>
    <row r="330206" spans="15:15" x14ac:dyDescent="0.25">
      <c r="O330206" s="9"/>
    </row>
    <row r="330227" spans="15:15" x14ac:dyDescent="0.25">
      <c r="O330227" s="9"/>
    </row>
    <row r="330248" spans="15:15" x14ac:dyDescent="0.25">
      <c r="O330248" s="9"/>
    </row>
    <row r="330269" spans="15:15" x14ac:dyDescent="0.25">
      <c r="O330269" s="9"/>
    </row>
    <row r="330290" spans="15:15" x14ac:dyDescent="0.25">
      <c r="O330290" s="9"/>
    </row>
    <row r="330311" spans="15:15" x14ac:dyDescent="0.25">
      <c r="O330311" s="9"/>
    </row>
    <row r="330332" spans="15:15" x14ac:dyDescent="0.25">
      <c r="O330332" s="9"/>
    </row>
    <row r="330353" spans="15:15" x14ac:dyDescent="0.25">
      <c r="O330353" s="9"/>
    </row>
    <row r="330374" spans="15:15" x14ac:dyDescent="0.25">
      <c r="O330374" s="9"/>
    </row>
    <row r="330395" spans="15:15" x14ac:dyDescent="0.25">
      <c r="O330395" s="9"/>
    </row>
    <row r="330416" spans="15:15" x14ac:dyDescent="0.25">
      <c r="O330416" s="9"/>
    </row>
    <row r="330437" spans="15:15" x14ac:dyDescent="0.25">
      <c r="O330437" s="9"/>
    </row>
    <row r="330458" spans="15:15" x14ac:dyDescent="0.25">
      <c r="O330458" s="9"/>
    </row>
    <row r="330479" spans="15:15" x14ac:dyDescent="0.25">
      <c r="O330479" s="9"/>
    </row>
    <row r="330500" spans="15:15" x14ac:dyDescent="0.25">
      <c r="O330500" s="9"/>
    </row>
    <row r="330521" spans="15:15" x14ac:dyDescent="0.25">
      <c r="O330521" s="9"/>
    </row>
    <row r="330542" spans="15:15" x14ac:dyDescent="0.25">
      <c r="O330542" s="9"/>
    </row>
    <row r="330563" spans="15:15" x14ac:dyDescent="0.25">
      <c r="O330563" s="9"/>
    </row>
    <row r="330584" spans="15:15" x14ac:dyDescent="0.25">
      <c r="O330584" s="9"/>
    </row>
    <row r="330605" spans="15:15" x14ac:dyDescent="0.25">
      <c r="O330605" s="9"/>
    </row>
    <row r="330626" spans="15:15" x14ac:dyDescent="0.25">
      <c r="O330626" s="9"/>
    </row>
    <row r="330647" spans="15:15" x14ac:dyDescent="0.25">
      <c r="O330647" s="9"/>
    </row>
    <row r="330668" spans="15:15" x14ac:dyDescent="0.25">
      <c r="O330668" s="9"/>
    </row>
    <row r="330689" spans="15:15" x14ac:dyDescent="0.25">
      <c r="O330689" s="9"/>
    </row>
    <row r="330710" spans="15:15" x14ac:dyDescent="0.25">
      <c r="O330710" s="9"/>
    </row>
    <row r="330731" spans="15:15" x14ac:dyDescent="0.25">
      <c r="O330731" s="9"/>
    </row>
    <row r="330752" spans="15:15" x14ac:dyDescent="0.25">
      <c r="O330752" s="9"/>
    </row>
    <row r="330773" spans="15:15" x14ac:dyDescent="0.25">
      <c r="O330773" s="9"/>
    </row>
    <row r="330794" spans="15:15" x14ac:dyDescent="0.25">
      <c r="O330794" s="9"/>
    </row>
    <row r="330815" spans="15:15" x14ac:dyDescent="0.25">
      <c r="O330815" s="9"/>
    </row>
    <row r="330836" spans="15:15" x14ac:dyDescent="0.25">
      <c r="O330836" s="9"/>
    </row>
    <row r="330857" spans="15:15" x14ac:dyDescent="0.25">
      <c r="O330857" s="9"/>
    </row>
    <row r="330878" spans="15:15" x14ac:dyDescent="0.25">
      <c r="O330878" s="9"/>
    </row>
    <row r="330899" spans="15:15" x14ac:dyDescent="0.25">
      <c r="O330899" s="9"/>
    </row>
    <row r="330920" spans="15:15" x14ac:dyDescent="0.25">
      <c r="O330920" s="9"/>
    </row>
    <row r="330941" spans="15:15" x14ac:dyDescent="0.25">
      <c r="O330941" s="9"/>
    </row>
    <row r="330962" spans="15:15" x14ac:dyDescent="0.25">
      <c r="O330962" s="9"/>
    </row>
    <row r="330983" spans="15:15" x14ac:dyDescent="0.25">
      <c r="O330983" s="9"/>
    </row>
    <row r="331004" spans="15:15" x14ac:dyDescent="0.25">
      <c r="O331004" s="9"/>
    </row>
    <row r="331025" spans="15:15" x14ac:dyDescent="0.25">
      <c r="O331025" s="9"/>
    </row>
    <row r="331046" spans="15:15" x14ac:dyDescent="0.25">
      <c r="O331046" s="9"/>
    </row>
    <row r="331067" spans="15:15" x14ac:dyDescent="0.25">
      <c r="O331067" s="9"/>
    </row>
    <row r="331088" spans="15:15" x14ac:dyDescent="0.25">
      <c r="O331088" s="9"/>
    </row>
    <row r="331109" spans="15:15" x14ac:dyDescent="0.25">
      <c r="O331109" s="9"/>
    </row>
    <row r="331130" spans="15:15" x14ac:dyDescent="0.25">
      <c r="O331130" s="9"/>
    </row>
    <row r="331151" spans="15:15" x14ac:dyDescent="0.25">
      <c r="O331151" s="9"/>
    </row>
    <row r="331172" spans="15:15" x14ac:dyDescent="0.25">
      <c r="O331172" s="9"/>
    </row>
    <row r="331193" spans="15:15" x14ac:dyDescent="0.25">
      <c r="O331193" s="9"/>
    </row>
    <row r="331214" spans="15:15" x14ac:dyDescent="0.25">
      <c r="O331214" s="9"/>
    </row>
    <row r="331235" spans="15:15" x14ac:dyDescent="0.25">
      <c r="O331235" s="9"/>
    </row>
    <row r="331256" spans="15:15" x14ac:dyDescent="0.25">
      <c r="O331256" s="9"/>
    </row>
    <row r="331277" spans="15:15" x14ac:dyDescent="0.25">
      <c r="O331277" s="9"/>
    </row>
    <row r="331298" spans="15:15" x14ac:dyDescent="0.25">
      <c r="O331298" s="9"/>
    </row>
    <row r="331319" spans="15:15" x14ac:dyDescent="0.25">
      <c r="O331319" s="9"/>
    </row>
    <row r="331340" spans="15:15" x14ac:dyDescent="0.25">
      <c r="O331340" s="9"/>
    </row>
    <row r="331361" spans="15:15" x14ac:dyDescent="0.25">
      <c r="O331361" s="9"/>
    </row>
    <row r="331382" spans="15:15" x14ac:dyDescent="0.25">
      <c r="O331382" s="9"/>
    </row>
    <row r="331403" spans="15:15" x14ac:dyDescent="0.25">
      <c r="O331403" s="9"/>
    </row>
    <row r="331424" spans="15:15" x14ac:dyDescent="0.25">
      <c r="O331424" s="9"/>
    </row>
    <row r="331445" spans="15:15" x14ac:dyDescent="0.25">
      <c r="O331445" s="9"/>
    </row>
    <row r="331466" spans="15:15" x14ac:dyDescent="0.25">
      <c r="O331466" s="9"/>
    </row>
    <row r="331487" spans="15:15" x14ac:dyDescent="0.25">
      <c r="O331487" s="9"/>
    </row>
    <row r="331508" spans="15:15" x14ac:dyDescent="0.25">
      <c r="O331508" s="9"/>
    </row>
    <row r="331529" spans="15:15" x14ac:dyDescent="0.25">
      <c r="O331529" s="9"/>
    </row>
    <row r="331550" spans="15:15" x14ac:dyDescent="0.25">
      <c r="O331550" s="9"/>
    </row>
    <row r="331571" spans="15:15" x14ac:dyDescent="0.25">
      <c r="O331571" s="9"/>
    </row>
    <row r="331592" spans="15:15" x14ac:dyDescent="0.25">
      <c r="O331592" s="9"/>
    </row>
    <row r="331613" spans="15:15" x14ac:dyDescent="0.25">
      <c r="O331613" s="9"/>
    </row>
    <row r="331634" spans="15:15" x14ac:dyDescent="0.25">
      <c r="O331634" s="9"/>
    </row>
    <row r="331655" spans="15:15" x14ac:dyDescent="0.25">
      <c r="O331655" s="9"/>
    </row>
    <row r="331676" spans="15:15" x14ac:dyDescent="0.25">
      <c r="O331676" s="9"/>
    </row>
    <row r="331697" spans="15:15" x14ac:dyDescent="0.25">
      <c r="O331697" s="9"/>
    </row>
    <row r="331718" spans="15:15" x14ac:dyDescent="0.25">
      <c r="O331718" s="9"/>
    </row>
    <row r="331739" spans="15:15" x14ac:dyDescent="0.25">
      <c r="O331739" s="9"/>
    </row>
    <row r="331760" spans="15:15" x14ac:dyDescent="0.25">
      <c r="O331760" s="9"/>
    </row>
    <row r="331781" spans="15:15" x14ac:dyDescent="0.25">
      <c r="O331781" s="9"/>
    </row>
    <row r="331802" spans="15:15" x14ac:dyDescent="0.25">
      <c r="O331802" s="9"/>
    </row>
    <row r="331823" spans="15:15" x14ac:dyDescent="0.25">
      <c r="O331823" s="9"/>
    </row>
    <row r="331844" spans="15:15" x14ac:dyDescent="0.25">
      <c r="O331844" s="9"/>
    </row>
    <row r="331865" spans="15:15" x14ac:dyDescent="0.25">
      <c r="O331865" s="9"/>
    </row>
    <row r="331886" spans="15:15" x14ac:dyDescent="0.25">
      <c r="O331886" s="9"/>
    </row>
    <row r="331907" spans="15:15" x14ac:dyDescent="0.25">
      <c r="O331907" s="9"/>
    </row>
    <row r="331928" spans="15:15" x14ac:dyDescent="0.25">
      <c r="O331928" s="9"/>
    </row>
    <row r="331949" spans="15:15" x14ac:dyDescent="0.25">
      <c r="O331949" s="9"/>
    </row>
    <row r="331970" spans="15:15" x14ac:dyDescent="0.25">
      <c r="O331970" s="9"/>
    </row>
    <row r="331991" spans="15:15" x14ac:dyDescent="0.25">
      <c r="O331991" s="9"/>
    </row>
    <row r="332012" spans="15:15" x14ac:dyDescent="0.25">
      <c r="O332012" s="9"/>
    </row>
    <row r="332033" spans="15:15" x14ac:dyDescent="0.25">
      <c r="O332033" s="9"/>
    </row>
    <row r="332054" spans="15:15" x14ac:dyDescent="0.25">
      <c r="O332054" s="9"/>
    </row>
    <row r="332075" spans="15:15" x14ac:dyDescent="0.25">
      <c r="O332075" s="9"/>
    </row>
    <row r="332096" spans="15:15" x14ac:dyDescent="0.25">
      <c r="O332096" s="9"/>
    </row>
    <row r="332117" spans="15:15" x14ac:dyDescent="0.25">
      <c r="O332117" s="9"/>
    </row>
    <row r="332138" spans="15:15" x14ac:dyDescent="0.25">
      <c r="O332138" s="9"/>
    </row>
    <row r="332159" spans="15:15" x14ac:dyDescent="0.25">
      <c r="O332159" s="9"/>
    </row>
    <row r="332180" spans="15:15" x14ac:dyDescent="0.25">
      <c r="O332180" s="9"/>
    </row>
    <row r="332201" spans="15:15" x14ac:dyDescent="0.25">
      <c r="O332201" s="9"/>
    </row>
    <row r="332222" spans="15:15" x14ac:dyDescent="0.25">
      <c r="O332222" s="9"/>
    </row>
    <row r="332243" spans="15:15" x14ac:dyDescent="0.25">
      <c r="O332243" s="9"/>
    </row>
    <row r="332264" spans="15:15" x14ac:dyDescent="0.25">
      <c r="O332264" s="9"/>
    </row>
    <row r="332285" spans="15:15" x14ac:dyDescent="0.25">
      <c r="O332285" s="9"/>
    </row>
    <row r="332306" spans="15:15" x14ac:dyDescent="0.25">
      <c r="O332306" s="9"/>
    </row>
    <row r="332327" spans="15:15" x14ac:dyDescent="0.25">
      <c r="O332327" s="9"/>
    </row>
    <row r="332348" spans="15:15" x14ac:dyDescent="0.25">
      <c r="O332348" s="9"/>
    </row>
    <row r="332369" spans="15:15" x14ac:dyDescent="0.25">
      <c r="O332369" s="9"/>
    </row>
    <row r="332390" spans="15:15" x14ac:dyDescent="0.25">
      <c r="O332390" s="9"/>
    </row>
    <row r="332411" spans="15:15" x14ac:dyDescent="0.25">
      <c r="O332411" s="9"/>
    </row>
    <row r="332432" spans="15:15" x14ac:dyDescent="0.25">
      <c r="O332432" s="9"/>
    </row>
    <row r="332453" spans="15:15" x14ac:dyDescent="0.25">
      <c r="O332453" s="9"/>
    </row>
    <row r="332474" spans="15:15" x14ac:dyDescent="0.25">
      <c r="O332474" s="9"/>
    </row>
    <row r="332495" spans="15:15" x14ac:dyDescent="0.25">
      <c r="O332495" s="9"/>
    </row>
    <row r="332516" spans="15:15" x14ac:dyDescent="0.25">
      <c r="O332516" s="9"/>
    </row>
    <row r="332537" spans="15:15" x14ac:dyDescent="0.25">
      <c r="O332537" s="9"/>
    </row>
    <row r="332558" spans="15:15" x14ac:dyDescent="0.25">
      <c r="O332558" s="9"/>
    </row>
    <row r="332579" spans="15:15" x14ac:dyDescent="0.25">
      <c r="O332579" s="9"/>
    </row>
    <row r="332600" spans="15:15" x14ac:dyDescent="0.25">
      <c r="O332600" s="9"/>
    </row>
    <row r="332621" spans="15:15" x14ac:dyDescent="0.25">
      <c r="O332621" s="9"/>
    </row>
    <row r="332642" spans="15:15" x14ac:dyDescent="0.25">
      <c r="O332642" s="9"/>
    </row>
    <row r="332663" spans="15:15" x14ac:dyDescent="0.25">
      <c r="O332663" s="9"/>
    </row>
    <row r="332684" spans="15:15" x14ac:dyDescent="0.25">
      <c r="O332684" s="9"/>
    </row>
    <row r="332705" spans="15:15" x14ac:dyDescent="0.25">
      <c r="O332705" s="9"/>
    </row>
    <row r="332726" spans="15:15" x14ac:dyDescent="0.25">
      <c r="O332726" s="9"/>
    </row>
    <row r="332747" spans="15:15" x14ac:dyDescent="0.25">
      <c r="O332747" s="9"/>
    </row>
    <row r="332768" spans="15:15" x14ac:dyDescent="0.25">
      <c r="O332768" s="9"/>
    </row>
    <row r="332789" spans="15:15" x14ac:dyDescent="0.25">
      <c r="O332789" s="9"/>
    </row>
    <row r="332810" spans="15:15" x14ac:dyDescent="0.25">
      <c r="O332810" s="9"/>
    </row>
    <row r="332831" spans="15:15" x14ac:dyDescent="0.25">
      <c r="O332831" s="9"/>
    </row>
    <row r="332852" spans="15:15" x14ac:dyDescent="0.25">
      <c r="O332852" s="9"/>
    </row>
    <row r="332873" spans="15:15" x14ac:dyDescent="0.25">
      <c r="O332873" s="9"/>
    </row>
    <row r="332894" spans="15:15" x14ac:dyDescent="0.25">
      <c r="O332894" s="9"/>
    </row>
    <row r="332915" spans="15:15" x14ac:dyDescent="0.25">
      <c r="O332915" s="9"/>
    </row>
    <row r="332936" spans="15:15" x14ac:dyDescent="0.25">
      <c r="O332936" s="9"/>
    </row>
    <row r="332957" spans="15:15" x14ac:dyDescent="0.25">
      <c r="O332957" s="9"/>
    </row>
    <row r="332978" spans="15:15" x14ac:dyDescent="0.25">
      <c r="O332978" s="9"/>
    </row>
    <row r="332999" spans="15:15" x14ac:dyDescent="0.25">
      <c r="O332999" s="9"/>
    </row>
    <row r="333020" spans="15:15" x14ac:dyDescent="0.25">
      <c r="O333020" s="9"/>
    </row>
    <row r="333041" spans="15:15" x14ac:dyDescent="0.25">
      <c r="O333041" s="9"/>
    </row>
    <row r="333062" spans="15:15" x14ac:dyDescent="0.25">
      <c r="O333062" s="9"/>
    </row>
    <row r="333083" spans="15:15" x14ac:dyDescent="0.25">
      <c r="O333083" s="9"/>
    </row>
    <row r="333104" spans="15:15" x14ac:dyDescent="0.25">
      <c r="O333104" s="9"/>
    </row>
    <row r="333125" spans="15:15" x14ac:dyDescent="0.25">
      <c r="O333125" s="9"/>
    </row>
    <row r="333146" spans="15:15" x14ac:dyDescent="0.25">
      <c r="O333146" s="9"/>
    </row>
    <row r="333167" spans="15:15" x14ac:dyDescent="0.25">
      <c r="O333167" s="9"/>
    </row>
    <row r="333188" spans="15:15" x14ac:dyDescent="0.25">
      <c r="O333188" s="9"/>
    </row>
    <row r="333209" spans="15:15" x14ac:dyDescent="0.25">
      <c r="O333209" s="9"/>
    </row>
    <row r="333230" spans="15:15" x14ac:dyDescent="0.25">
      <c r="O333230" s="9"/>
    </row>
    <row r="333251" spans="15:15" x14ac:dyDescent="0.25">
      <c r="O333251" s="9"/>
    </row>
    <row r="333272" spans="15:15" x14ac:dyDescent="0.25">
      <c r="O333272" s="9"/>
    </row>
    <row r="333293" spans="15:15" x14ac:dyDescent="0.25">
      <c r="O333293" s="9"/>
    </row>
    <row r="333314" spans="15:15" x14ac:dyDescent="0.25">
      <c r="O333314" s="9"/>
    </row>
    <row r="333335" spans="15:15" x14ac:dyDescent="0.25">
      <c r="O333335" s="9"/>
    </row>
    <row r="333356" spans="15:15" x14ac:dyDescent="0.25">
      <c r="O333356" s="9"/>
    </row>
    <row r="333377" spans="15:15" x14ac:dyDescent="0.25">
      <c r="O333377" s="9"/>
    </row>
    <row r="333398" spans="15:15" x14ac:dyDescent="0.25">
      <c r="O333398" s="9"/>
    </row>
    <row r="333419" spans="15:15" x14ac:dyDescent="0.25">
      <c r="O333419" s="9"/>
    </row>
    <row r="333440" spans="15:15" x14ac:dyDescent="0.25">
      <c r="O333440" s="9"/>
    </row>
    <row r="333461" spans="15:15" x14ac:dyDescent="0.25">
      <c r="O333461" s="9"/>
    </row>
    <row r="333482" spans="15:15" x14ac:dyDescent="0.25">
      <c r="O333482" s="9"/>
    </row>
    <row r="333503" spans="15:15" x14ac:dyDescent="0.25">
      <c r="O333503" s="9"/>
    </row>
    <row r="333524" spans="15:15" x14ac:dyDescent="0.25">
      <c r="O333524" s="9"/>
    </row>
    <row r="333545" spans="15:15" x14ac:dyDescent="0.25">
      <c r="O333545" s="9"/>
    </row>
    <row r="333566" spans="15:15" x14ac:dyDescent="0.25">
      <c r="O333566" s="9"/>
    </row>
    <row r="333587" spans="15:15" x14ac:dyDescent="0.25">
      <c r="O333587" s="9"/>
    </row>
    <row r="333608" spans="15:15" x14ac:dyDescent="0.25">
      <c r="O333608" s="9"/>
    </row>
    <row r="333629" spans="15:15" x14ac:dyDescent="0.25">
      <c r="O333629" s="9"/>
    </row>
    <row r="333650" spans="15:15" x14ac:dyDescent="0.25">
      <c r="O333650" s="9"/>
    </row>
    <row r="333671" spans="15:15" x14ac:dyDescent="0.25">
      <c r="O333671" s="9"/>
    </row>
    <row r="333692" spans="15:15" x14ac:dyDescent="0.25">
      <c r="O333692" s="9"/>
    </row>
    <row r="333713" spans="15:15" x14ac:dyDescent="0.25">
      <c r="O333713" s="9"/>
    </row>
    <row r="333734" spans="15:15" x14ac:dyDescent="0.25">
      <c r="O333734" s="9"/>
    </row>
    <row r="333755" spans="15:15" x14ac:dyDescent="0.25">
      <c r="O333755" s="9"/>
    </row>
    <row r="333776" spans="15:15" x14ac:dyDescent="0.25">
      <c r="O333776" s="9"/>
    </row>
    <row r="333797" spans="15:15" x14ac:dyDescent="0.25">
      <c r="O333797" s="9"/>
    </row>
    <row r="333818" spans="15:15" x14ac:dyDescent="0.25">
      <c r="O333818" s="9"/>
    </row>
    <row r="333839" spans="15:15" x14ac:dyDescent="0.25">
      <c r="O333839" s="9"/>
    </row>
    <row r="333860" spans="15:15" x14ac:dyDescent="0.25">
      <c r="O333860" s="9"/>
    </row>
    <row r="333881" spans="15:15" x14ac:dyDescent="0.25">
      <c r="O333881" s="9"/>
    </row>
    <row r="333902" spans="15:15" x14ac:dyDescent="0.25">
      <c r="O333902" s="9"/>
    </row>
    <row r="333923" spans="15:15" x14ac:dyDescent="0.25">
      <c r="O333923" s="9"/>
    </row>
    <row r="333944" spans="15:15" x14ac:dyDescent="0.25">
      <c r="O333944" s="9"/>
    </row>
    <row r="333965" spans="15:15" x14ac:dyDescent="0.25">
      <c r="O333965" s="9"/>
    </row>
    <row r="333986" spans="15:15" x14ac:dyDescent="0.25">
      <c r="O333986" s="9"/>
    </row>
    <row r="334007" spans="15:15" x14ac:dyDescent="0.25">
      <c r="O334007" s="9"/>
    </row>
    <row r="334028" spans="15:15" x14ac:dyDescent="0.25">
      <c r="O334028" s="9"/>
    </row>
    <row r="334049" spans="15:15" x14ac:dyDescent="0.25">
      <c r="O334049" s="9"/>
    </row>
    <row r="334070" spans="15:15" x14ac:dyDescent="0.25">
      <c r="O334070" s="9"/>
    </row>
    <row r="334091" spans="15:15" x14ac:dyDescent="0.25">
      <c r="O334091" s="9"/>
    </row>
    <row r="334112" spans="15:15" x14ac:dyDescent="0.25">
      <c r="O334112" s="9"/>
    </row>
    <row r="334133" spans="15:15" x14ac:dyDescent="0.25">
      <c r="O334133" s="9"/>
    </row>
    <row r="334154" spans="15:15" x14ac:dyDescent="0.25">
      <c r="O334154" s="9"/>
    </row>
    <row r="334175" spans="15:15" x14ac:dyDescent="0.25">
      <c r="O334175" s="9"/>
    </row>
    <row r="334196" spans="15:15" x14ac:dyDescent="0.25">
      <c r="O334196" s="9"/>
    </row>
    <row r="334217" spans="15:15" x14ac:dyDescent="0.25">
      <c r="O334217" s="9"/>
    </row>
    <row r="334238" spans="15:15" x14ac:dyDescent="0.25">
      <c r="O334238" s="9"/>
    </row>
    <row r="334259" spans="15:15" x14ac:dyDescent="0.25">
      <c r="O334259" s="9"/>
    </row>
    <row r="334280" spans="15:15" x14ac:dyDescent="0.25">
      <c r="O334280" s="9"/>
    </row>
    <row r="334301" spans="15:15" x14ac:dyDescent="0.25">
      <c r="O334301" s="9"/>
    </row>
    <row r="334322" spans="15:15" x14ac:dyDescent="0.25">
      <c r="O334322" s="9"/>
    </row>
    <row r="334343" spans="15:15" x14ac:dyDescent="0.25">
      <c r="O334343" s="9"/>
    </row>
    <row r="334364" spans="15:15" x14ac:dyDescent="0.25">
      <c r="O334364" s="9"/>
    </row>
    <row r="334385" spans="15:15" x14ac:dyDescent="0.25">
      <c r="O334385" s="9"/>
    </row>
    <row r="334406" spans="15:15" x14ac:dyDescent="0.25">
      <c r="O334406" s="9"/>
    </row>
    <row r="334427" spans="15:15" x14ac:dyDescent="0.25">
      <c r="O334427" s="9"/>
    </row>
    <row r="334448" spans="15:15" x14ac:dyDescent="0.25">
      <c r="O334448" s="9"/>
    </row>
    <row r="334469" spans="15:15" x14ac:dyDescent="0.25">
      <c r="O334469" s="9"/>
    </row>
    <row r="334490" spans="15:15" x14ac:dyDescent="0.25">
      <c r="O334490" s="9"/>
    </row>
    <row r="334511" spans="15:15" x14ac:dyDescent="0.25">
      <c r="O334511" s="9"/>
    </row>
    <row r="334532" spans="15:15" x14ac:dyDescent="0.25">
      <c r="O334532" s="9"/>
    </row>
    <row r="334553" spans="15:15" x14ac:dyDescent="0.25">
      <c r="O334553" s="9"/>
    </row>
    <row r="334574" spans="15:15" x14ac:dyDescent="0.25">
      <c r="O334574" s="9"/>
    </row>
    <row r="334595" spans="15:15" x14ac:dyDescent="0.25">
      <c r="O334595" s="9"/>
    </row>
    <row r="334616" spans="15:15" x14ac:dyDescent="0.25">
      <c r="O334616" s="9"/>
    </row>
    <row r="334637" spans="15:15" x14ac:dyDescent="0.25">
      <c r="O334637" s="9"/>
    </row>
    <row r="334658" spans="15:15" x14ac:dyDescent="0.25">
      <c r="O334658" s="9"/>
    </row>
    <row r="334679" spans="15:15" x14ac:dyDescent="0.25">
      <c r="O334679" s="9"/>
    </row>
    <row r="334700" spans="15:15" x14ac:dyDescent="0.25">
      <c r="O334700" s="9"/>
    </row>
    <row r="334721" spans="15:15" x14ac:dyDescent="0.25">
      <c r="O334721" s="9"/>
    </row>
    <row r="334742" spans="15:15" x14ac:dyDescent="0.25">
      <c r="O334742" s="9"/>
    </row>
    <row r="334763" spans="15:15" x14ac:dyDescent="0.25">
      <c r="O334763" s="9"/>
    </row>
    <row r="334784" spans="15:15" x14ac:dyDescent="0.25">
      <c r="O334784" s="9"/>
    </row>
    <row r="334805" spans="15:15" x14ac:dyDescent="0.25">
      <c r="O334805" s="9"/>
    </row>
    <row r="334826" spans="15:15" x14ac:dyDescent="0.25">
      <c r="O334826" s="9"/>
    </row>
    <row r="334847" spans="15:15" x14ac:dyDescent="0.25">
      <c r="O334847" s="9"/>
    </row>
    <row r="334868" spans="15:15" x14ac:dyDescent="0.25">
      <c r="O334868" s="9"/>
    </row>
    <row r="334889" spans="15:15" x14ac:dyDescent="0.25">
      <c r="O334889" s="9"/>
    </row>
    <row r="334910" spans="15:15" x14ac:dyDescent="0.25">
      <c r="O334910" s="9"/>
    </row>
    <row r="334931" spans="15:15" x14ac:dyDescent="0.25">
      <c r="O334931" s="9"/>
    </row>
    <row r="334952" spans="15:15" x14ac:dyDescent="0.25">
      <c r="O334952" s="9"/>
    </row>
    <row r="334973" spans="15:15" x14ac:dyDescent="0.25">
      <c r="O334973" s="9"/>
    </row>
    <row r="334994" spans="15:15" x14ac:dyDescent="0.25">
      <c r="O334994" s="9"/>
    </row>
    <row r="335015" spans="15:15" x14ac:dyDescent="0.25">
      <c r="O335015" s="9"/>
    </row>
    <row r="335036" spans="15:15" x14ac:dyDescent="0.25">
      <c r="O335036" s="9"/>
    </row>
    <row r="335057" spans="15:15" x14ac:dyDescent="0.25">
      <c r="O335057" s="9"/>
    </row>
    <row r="335078" spans="15:15" x14ac:dyDescent="0.25">
      <c r="O335078" s="9"/>
    </row>
    <row r="335099" spans="15:15" x14ac:dyDescent="0.25">
      <c r="O335099" s="9"/>
    </row>
    <row r="335120" spans="15:15" x14ac:dyDescent="0.25">
      <c r="O335120" s="9"/>
    </row>
    <row r="335141" spans="15:15" x14ac:dyDescent="0.25">
      <c r="O335141" s="9"/>
    </row>
    <row r="335162" spans="15:15" x14ac:dyDescent="0.25">
      <c r="O335162" s="9"/>
    </row>
    <row r="335183" spans="15:15" x14ac:dyDescent="0.25">
      <c r="O335183" s="9"/>
    </row>
    <row r="335204" spans="15:15" x14ac:dyDescent="0.25">
      <c r="O335204" s="9"/>
    </row>
    <row r="335225" spans="15:15" x14ac:dyDescent="0.25">
      <c r="O335225" s="9"/>
    </row>
    <row r="335246" spans="15:15" x14ac:dyDescent="0.25">
      <c r="O335246" s="9"/>
    </row>
    <row r="335267" spans="15:15" x14ac:dyDescent="0.25">
      <c r="O335267" s="9"/>
    </row>
    <row r="335288" spans="15:15" x14ac:dyDescent="0.25">
      <c r="O335288" s="9"/>
    </row>
    <row r="335309" spans="15:15" x14ac:dyDescent="0.25">
      <c r="O335309" s="9"/>
    </row>
    <row r="335330" spans="15:15" x14ac:dyDescent="0.25">
      <c r="O335330" s="9"/>
    </row>
    <row r="335351" spans="15:15" x14ac:dyDescent="0.25">
      <c r="O335351" s="9"/>
    </row>
    <row r="335372" spans="15:15" x14ac:dyDescent="0.25">
      <c r="O335372" s="9"/>
    </row>
    <row r="335393" spans="15:15" x14ac:dyDescent="0.25">
      <c r="O335393" s="9"/>
    </row>
    <row r="335414" spans="15:15" x14ac:dyDescent="0.25">
      <c r="O335414" s="9"/>
    </row>
    <row r="335435" spans="15:15" x14ac:dyDescent="0.25">
      <c r="O335435" s="9"/>
    </row>
    <row r="335456" spans="15:15" x14ac:dyDescent="0.25">
      <c r="O335456" s="9"/>
    </row>
    <row r="335477" spans="15:15" x14ac:dyDescent="0.25">
      <c r="O335477" s="9"/>
    </row>
    <row r="335498" spans="15:15" x14ac:dyDescent="0.25">
      <c r="O335498" s="9"/>
    </row>
    <row r="335519" spans="15:15" x14ac:dyDescent="0.25">
      <c r="O335519" s="9"/>
    </row>
    <row r="335540" spans="15:15" x14ac:dyDescent="0.25">
      <c r="O335540" s="9"/>
    </row>
    <row r="335561" spans="15:15" x14ac:dyDescent="0.25">
      <c r="O335561" s="9"/>
    </row>
    <row r="335582" spans="15:15" x14ac:dyDescent="0.25">
      <c r="O335582" s="9"/>
    </row>
    <row r="335603" spans="15:15" x14ac:dyDescent="0.25">
      <c r="O335603" s="9"/>
    </row>
    <row r="335624" spans="15:15" x14ac:dyDescent="0.25">
      <c r="O335624" s="9"/>
    </row>
    <row r="335645" spans="15:15" x14ac:dyDescent="0.25">
      <c r="O335645" s="9"/>
    </row>
    <row r="335666" spans="15:15" x14ac:dyDescent="0.25">
      <c r="O335666" s="9"/>
    </row>
    <row r="335687" spans="15:15" x14ac:dyDescent="0.25">
      <c r="O335687" s="9"/>
    </row>
    <row r="335708" spans="15:15" x14ac:dyDescent="0.25">
      <c r="O335708" s="9"/>
    </row>
    <row r="335729" spans="15:15" x14ac:dyDescent="0.25">
      <c r="O335729" s="9"/>
    </row>
    <row r="335750" spans="15:15" x14ac:dyDescent="0.25">
      <c r="O335750" s="9"/>
    </row>
    <row r="335771" spans="15:15" x14ac:dyDescent="0.25">
      <c r="O335771" s="9"/>
    </row>
    <row r="335792" spans="15:15" x14ac:dyDescent="0.25">
      <c r="O335792" s="9"/>
    </row>
    <row r="335813" spans="15:15" x14ac:dyDescent="0.25">
      <c r="O335813" s="9"/>
    </row>
    <row r="335834" spans="15:15" x14ac:dyDescent="0.25">
      <c r="O335834" s="9"/>
    </row>
    <row r="335855" spans="15:15" x14ac:dyDescent="0.25">
      <c r="O335855" s="9"/>
    </row>
    <row r="335876" spans="15:15" x14ac:dyDescent="0.25">
      <c r="O335876" s="9"/>
    </row>
    <row r="335897" spans="15:15" x14ac:dyDescent="0.25">
      <c r="O335897" s="9"/>
    </row>
    <row r="335918" spans="15:15" x14ac:dyDescent="0.25">
      <c r="O335918" s="9"/>
    </row>
    <row r="335939" spans="15:15" x14ac:dyDescent="0.25">
      <c r="O335939" s="9"/>
    </row>
    <row r="335960" spans="15:15" x14ac:dyDescent="0.25">
      <c r="O335960" s="9"/>
    </row>
    <row r="335981" spans="15:15" x14ac:dyDescent="0.25">
      <c r="O335981" s="9"/>
    </row>
    <row r="336002" spans="15:15" x14ac:dyDescent="0.25">
      <c r="O336002" s="9"/>
    </row>
    <row r="336023" spans="15:15" x14ac:dyDescent="0.25">
      <c r="O336023" s="9"/>
    </row>
    <row r="336044" spans="15:15" x14ac:dyDescent="0.25">
      <c r="O336044" s="9"/>
    </row>
    <row r="336065" spans="15:15" x14ac:dyDescent="0.25">
      <c r="O336065" s="9"/>
    </row>
    <row r="336086" spans="15:15" x14ac:dyDescent="0.25">
      <c r="O336086" s="9"/>
    </row>
    <row r="336107" spans="15:15" x14ac:dyDescent="0.25">
      <c r="O336107" s="9"/>
    </row>
    <row r="336128" spans="15:15" x14ac:dyDescent="0.25">
      <c r="O336128" s="9"/>
    </row>
    <row r="336149" spans="15:15" x14ac:dyDescent="0.25">
      <c r="O336149" s="9"/>
    </row>
    <row r="336170" spans="15:15" x14ac:dyDescent="0.25">
      <c r="O336170" s="9"/>
    </row>
    <row r="336191" spans="15:15" x14ac:dyDescent="0.25">
      <c r="O336191" s="9"/>
    </row>
    <row r="336212" spans="15:15" x14ac:dyDescent="0.25">
      <c r="O336212" s="9"/>
    </row>
    <row r="336233" spans="15:15" x14ac:dyDescent="0.25">
      <c r="O336233" s="9"/>
    </row>
    <row r="336254" spans="15:15" x14ac:dyDescent="0.25">
      <c r="O336254" s="9"/>
    </row>
    <row r="336275" spans="15:15" x14ac:dyDescent="0.25">
      <c r="O336275" s="9"/>
    </row>
    <row r="336296" spans="15:15" x14ac:dyDescent="0.25">
      <c r="O336296" s="9"/>
    </row>
    <row r="336317" spans="15:15" x14ac:dyDescent="0.25">
      <c r="O336317" s="9"/>
    </row>
    <row r="336338" spans="15:15" x14ac:dyDescent="0.25">
      <c r="O336338" s="9"/>
    </row>
    <row r="336359" spans="15:15" x14ac:dyDescent="0.25">
      <c r="O336359" s="9"/>
    </row>
    <row r="336380" spans="15:15" x14ac:dyDescent="0.25">
      <c r="O336380" s="9"/>
    </row>
    <row r="336401" spans="15:15" x14ac:dyDescent="0.25">
      <c r="O336401" s="9"/>
    </row>
    <row r="336422" spans="15:15" x14ac:dyDescent="0.25">
      <c r="O336422" s="9"/>
    </row>
    <row r="336443" spans="15:15" x14ac:dyDescent="0.25">
      <c r="O336443" s="9"/>
    </row>
    <row r="336464" spans="15:15" x14ac:dyDescent="0.25">
      <c r="O336464" s="9"/>
    </row>
    <row r="336485" spans="15:15" x14ac:dyDescent="0.25">
      <c r="O336485" s="9"/>
    </row>
    <row r="336506" spans="15:15" x14ac:dyDescent="0.25">
      <c r="O336506" s="9"/>
    </row>
    <row r="336527" spans="15:15" x14ac:dyDescent="0.25">
      <c r="O336527" s="9"/>
    </row>
    <row r="336548" spans="15:15" x14ac:dyDescent="0.25">
      <c r="O336548" s="9"/>
    </row>
    <row r="336569" spans="15:15" x14ac:dyDescent="0.25">
      <c r="O336569" s="9"/>
    </row>
    <row r="336590" spans="15:15" x14ac:dyDescent="0.25">
      <c r="O336590" s="9"/>
    </row>
    <row r="336611" spans="15:15" x14ac:dyDescent="0.25">
      <c r="O336611" s="9"/>
    </row>
    <row r="336632" spans="15:15" x14ac:dyDescent="0.25">
      <c r="O336632" s="9"/>
    </row>
    <row r="336653" spans="15:15" x14ac:dyDescent="0.25">
      <c r="O336653" s="9"/>
    </row>
    <row r="336674" spans="15:15" x14ac:dyDescent="0.25">
      <c r="O336674" s="9"/>
    </row>
    <row r="336695" spans="15:15" x14ac:dyDescent="0.25">
      <c r="O336695" s="9"/>
    </row>
    <row r="336716" spans="15:15" x14ac:dyDescent="0.25">
      <c r="O336716" s="9"/>
    </row>
    <row r="336737" spans="15:15" x14ac:dyDescent="0.25">
      <c r="O336737" s="9"/>
    </row>
    <row r="336758" spans="15:15" x14ac:dyDescent="0.25">
      <c r="O336758" s="9"/>
    </row>
    <row r="336779" spans="15:15" x14ac:dyDescent="0.25">
      <c r="O336779" s="9"/>
    </row>
    <row r="336800" spans="15:15" x14ac:dyDescent="0.25">
      <c r="O336800" s="9"/>
    </row>
    <row r="336821" spans="15:15" x14ac:dyDescent="0.25">
      <c r="O336821" s="9"/>
    </row>
    <row r="336842" spans="15:15" x14ac:dyDescent="0.25">
      <c r="O336842" s="9"/>
    </row>
    <row r="336863" spans="15:15" x14ac:dyDescent="0.25">
      <c r="O336863" s="9"/>
    </row>
    <row r="336884" spans="15:15" x14ac:dyDescent="0.25">
      <c r="O336884" s="9"/>
    </row>
    <row r="336905" spans="15:15" x14ac:dyDescent="0.25">
      <c r="O336905" s="9"/>
    </row>
    <row r="336926" spans="15:15" x14ac:dyDescent="0.25">
      <c r="O336926" s="9"/>
    </row>
    <row r="336947" spans="15:15" x14ac:dyDescent="0.25">
      <c r="O336947" s="9"/>
    </row>
    <row r="336968" spans="15:15" x14ac:dyDescent="0.25">
      <c r="O336968" s="9"/>
    </row>
    <row r="336989" spans="15:15" x14ac:dyDescent="0.25">
      <c r="O336989" s="9"/>
    </row>
    <row r="337010" spans="15:15" x14ac:dyDescent="0.25">
      <c r="O337010" s="9"/>
    </row>
    <row r="337031" spans="15:15" x14ac:dyDescent="0.25">
      <c r="O337031" s="9"/>
    </row>
    <row r="337052" spans="15:15" x14ac:dyDescent="0.25">
      <c r="O337052" s="9"/>
    </row>
    <row r="337073" spans="15:15" x14ac:dyDescent="0.25">
      <c r="O337073" s="9"/>
    </row>
    <row r="337094" spans="15:15" x14ac:dyDescent="0.25">
      <c r="O337094" s="9"/>
    </row>
    <row r="337115" spans="15:15" x14ac:dyDescent="0.25">
      <c r="O337115" s="9"/>
    </row>
    <row r="337136" spans="15:15" x14ac:dyDescent="0.25">
      <c r="O337136" s="9"/>
    </row>
    <row r="337157" spans="15:15" x14ac:dyDescent="0.25">
      <c r="O337157" s="9"/>
    </row>
    <row r="337178" spans="15:15" x14ac:dyDescent="0.25">
      <c r="O337178" s="9"/>
    </row>
    <row r="337199" spans="15:15" x14ac:dyDescent="0.25">
      <c r="O337199" s="9"/>
    </row>
    <row r="337220" spans="15:15" x14ac:dyDescent="0.25">
      <c r="O337220" s="9"/>
    </row>
    <row r="337241" spans="15:15" x14ac:dyDescent="0.25">
      <c r="O337241" s="9"/>
    </row>
    <row r="337262" spans="15:15" x14ac:dyDescent="0.25">
      <c r="O337262" s="9"/>
    </row>
    <row r="337283" spans="15:15" x14ac:dyDescent="0.25">
      <c r="O337283" s="9"/>
    </row>
    <row r="337304" spans="15:15" x14ac:dyDescent="0.25">
      <c r="O337304" s="9"/>
    </row>
    <row r="337325" spans="15:15" x14ac:dyDescent="0.25">
      <c r="O337325" s="9"/>
    </row>
    <row r="337346" spans="15:15" x14ac:dyDescent="0.25">
      <c r="O337346" s="9"/>
    </row>
    <row r="337367" spans="15:15" x14ac:dyDescent="0.25">
      <c r="O337367" s="9"/>
    </row>
    <row r="337388" spans="15:15" x14ac:dyDescent="0.25">
      <c r="O337388" s="9"/>
    </row>
    <row r="337409" spans="15:15" x14ac:dyDescent="0.25">
      <c r="O337409" s="9"/>
    </row>
    <row r="337430" spans="15:15" x14ac:dyDescent="0.25">
      <c r="O337430" s="9"/>
    </row>
    <row r="337451" spans="15:15" x14ac:dyDescent="0.25">
      <c r="O337451" s="9"/>
    </row>
    <row r="337472" spans="15:15" x14ac:dyDescent="0.25">
      <c r="O337472" s="9"/>
    </row>
    <row r="337493" spans="15:15" x14ac:dyDescent="0.25">
      <c r="O337493" s="9"/>
    </row>
    <row r="337514" spans="15:15" x14ac:dyDescent="0.25">
      <c r="O337514" s="9"/>
    </row>
    <row r="337535" spans="15:15" x14ac:dyDescent="0.25">
      <c r="O337535" s="9"/>
    </row>
    <row r="337556" spans="15:15" x14ac:dyDescent="0.25">
      <c r="O337556" s="9"/>
    </row>
    <row r="337577" spans="15:15" x14ac:dyDescent="0.25">
      <c r="O337577" s="9"/>
    </row>
    <row r="337598" spans="15:15" x14ac:dyDescent="0.25">
      <c r="O337598" s="9"/>
    </row>
    <row r="337619" spans="15:15" x14ac:dyDescent="0.25">
      <c r="O337619" s="9"/>
    </row>
    <row r="337640" spans="15:15" x14ac:dyDescent="0.25">
      <c r="O337640" s="9"/>
    </row>
    <row r="337661" spans="15:15" x14ac:dyDescent="0.25">
      <c r="O337661" s="9"/>
    </row>
    <row r="337682" spans="15:15" x14ac:dyDescent="0.25">
      <c r="O337682" s="9"/>
    </row>
    <row r="337703" spans="15:15" x14ac:dyDescent="0.25">
      <c r="O337703" s="9"/>
    </row>
    <row r="337724" spans="15:15" x14ac:dyDescent="0.25">
      <c r="O337724" s="9"/>
    </row>
    <row r="337745" spans="15:15" x14ac:dyDescent="0.25">
      <c r="O337745" s="9"/>
    </row>
    <row r="337766" spans="15:15" x14ac:dyDescent="0.25">
      <c r="O337766" s="9"/>
    </row>
    <row r="337787" spans="15:15" x14ac:dyDescent="0.25">
      <c r="O337787" s="9"/>
    </row>
    <row r="337808" spans="15:15" x14ac:dyDescent="0.25">
      <c r="O337808" s="9"/>
    </row>
    <row r="337829" spans="15:15" x14ac:dyDescent="0.25">
      <c r="O337829" s="9"/>
    </row>
    <row r="337850" spans="15:15" x14ac:dyDescent="0.25">
      <c r="O337850" s="9"/>
    </row>
    <row r="337871" spans="15:15" x14ac:dyDescent="0.25">
      <c r="O337871" s="9"/>
    </row>
    <row r="337892" spans="15:15" x14ac:dyDescent="0.25">
      <c r="O337892" s="9"/>
    </row>
    <row r="337913" spans="15:15" x14ac:dyDescent="0.25">
      <c r="O337913" s="9"/>
    </row>
    <row r="337934" spans="15:15" x14ac:dyDescent="0.25">
      <c r="O337934" s="9"/>
    </row>
    <row r="337955" spans="15:15" x14ac:dyDescent="0.25">
      <c r="O337955" s="9"/>
    </row>
    <row r="337976" spans="15:15" x14ac:dyDescent="0.25">
      <c r="O337976" s="9"/>
    </row>
    <row r="337997" spans="15:15" x14ac:dyDescent="0.25">
      <c r="O337997" s="9"/>
    </row>
    <row r="338018" spans="15:15" x14ac:dyDescent="0.25">
      <c r="O338018" s="9"/>
    </row>
    <row r="338039" spans="15:15" x14ac:dyDescent="0.25">
      <c r="O338039" s="9"/>
    </row>
    <row r="338060" spans="15:15" x14ac:dyDescent="0.25">
      <c r="O338060" s="9"/>
    </row>
    <row r="338081" spans="15:15" x14ac:dyDescent="0.25">
      <c r="O338081" s="9"/>
    </row>
    <row r="338102" spans="15:15" x14ac:dyDescent="0.25">
      <c r="O338102" s="9"/>
    </row>
    <row r="338123" spans="15:15" x14ac:dyDescent="0.25">
      <c r="O338123" s="9"/>
    </row>
    <row r="338144" spans="15:15" x14ac:dyDescent="0.25">
      <c r="O338144" s="9"/>
    </row>
    <row r="338165" spans="15:15" x14ac:dyDescent="0.25">
      <c r="O338165" s="9"/>
    </row>
    <row r="338186" spans="15:15" x14ac:dyDescent="0.25">
      <c r="O338186" s="9"/>
    </row>
    <row r="338207" spans="15:15" x14ac:dyDescent="0.25">
      <c r="O338207" s="9"/>
    </row>
    <row r="338228" spans="15:15" x14ac:dyDescent="0.25">
      <c r="O338228" s="9"/>
    </row>
    <row r="338249" spans="15:15" x14ac:dyDescent="0.25">
      <c r="O338249" s="9"/>
    </row>
    <row r="338270" spans="15:15" x14ac:dyDescent="0.25">
      <c r="O338270" s="9"/>
    </row>
    <row r="338291" spans="15:15" x14ac:dyDescent="0.25">
      <c r="O338291" s="9"/>
    </row>
    <row r="338312" spans="15:15" x14ac:dyDescent="0.25">
      <c r="O338312" s="9"/>
    </row>
    <row r="338333" spans="15:15" x14ac:dyDescent="0.25">
      <c r="O338333" s="9"/>
    </row>
    <row r="338354" spans="15:15" x14ac:dyDescent="0.25">
      <c r="O338354" s="9"/>
    </row>
    <row r="338375" spans="15:15" x14ac:dyDescent="0.25">
      <c r="O338375" s="9"/>
    </row>
    <row r="338396" spans="15:15" x14ac:dyDescent="0.25">
      <c r="O338396" s="9"/>
    </row>
    <row r="338417" spans="15:15" x14ac:dyDescent="0.25">
      <c r="O338417" s="9"/>
    </row>
    <row r="338438" spans="15:15" x14ac:dyDescent="0.25">
      <c r="O338438" s="9"/>
    </row>
    <row r="338459" spans="15:15" x14ac:dyDescent="0.25">
      <c r="O338459" s="9"/>
    </row>
    <row r="338480" spans="15:15" x14ac:dyDescent="0.25">
      <c r="O338480" s="9"/>
    </row>
    <row r="338501" spans="15:15" x14ac:dyDescent="0.25">
      <c r="O338501" s="9"/>
    </row>
    <row r="338522" spans="15:15" x14ac:dyDescent="0.25">
      <c r="O338522" s="9"/>
    </row>
    <row r="338543" spans="15:15" x14ac:dyDescent="0.25">
      <c r="O338543" s="9"/>
    </row>
    <row r="338564" spans="15:15" x14ac:dyDescent="0.25">
      <c r="O338564" s="9"/>
    </row>
    <row r="338585" spans="15:15" x14ac:dyDescent="0.25">
      <c r="O338585" s="9"/>
    </row>
    <row r="338606" spans="15:15" x14ac:dyDescent="0.25">
      <c r="O338606" s="9"/>
    </row>
    <row r="338627" spans="15:15" x14ac:dyDescent="0.25">
      <c r="O338627" s="9"/>
    </row>
    <row r="338648" spans="15:15" x14ac:dyDescent="0.25">
      <c r="O338648" s="9"/>
    </row>
    <row r="338669" spans="15:15" x14ac:dyDescent="0.25">
      <c r="O338669" s="9"/>
    </row>
    <row r="338690" spans="15:15" x14ac:dyDescent="0.25">
      <c r="O338690" s="9"/>
    </row>
    <row r="338711" spans="15:15" x14ac:dyDescent="0.25">
      <c r="O338711" s="9"/>
    </row>
    <row r="338732" spans="15:15" x14ac:dyDescent="0.25">
      <c r="O338732" s="9"/>
    </row>
    <row r="338753" spans="15:15" x14ac:dyDescent="0.25">
      <c r="O338753" s="9"/>
    </row>
    <row r="338774" spans="15:15" x14ac:dyDescent="0.25">
      <c r="O338774" s="9"/>
    </row>
    <row r="338795" spans="15:15" x14ac:dyDescent="0.25">
      <c r="O338795" s="9"/>
    </row>
    <row r="338816" spans="15:15" x14ac:dyDescent="0.25">
      <c r="O338816" s="9"/>
    </row>
    <row r="338837" spans="15:15" x14ac:dyDescent="0.25">
      <c r="O338837" s="9"/>
    </row>
    <row r="338858" spans="15:15" x14ac:dyDescent="0.25">
      <c r="O338858" s="9"/>
    </row>
    <row r="338879" spans="15:15" x14ac:dyDescent="0.25">
      <c r="O338879" s="9"/>
    </row>
    <row r="338900" spans="15:15" x14ac:dyDescent="0.25">
      <c r="O338900" s="9"/>
    </row>
    <row r="338921" spans="15:15" x14ac:dyDescent="0.25">
      <c r="O338921" s="9"/>
    </row>
    <row r="338942" spans="15:15" x14ac:dyDescent="0.25">
      <c r="O338942" s="9"/>
    </row>
    <row r="338963" spans="15:15" x14ac:dyDescent="0.25">
      <c r="O338963" s="9"/>
    </row>
    <row r="338984" spans="15:15" x14ac:dyDescent="0.25">
      <c r="O338984" s="9"/>
    </row>
    <row r="339005" spans="15:15" x14ac:dyDescent="0.25">
      <c r="O339005" s="9"/>
    </row>
    <row r="339026" spans="15:15" x14ac:dyDescent="0.25">
      <c r="O339026" s="9"/>
    </row>
    <row r="339047" spans="15:15" x14ac:dyDescent="0.25">
      <c r="O339047" s="9"/>
    </row>
    <row r="339068" spans="15:15" x14ac:dyDescent="0.25">
      <c r="O339068" s="9"/>
    </row>
    <row r="339089" spans="15:15" x14ac:dyDescent="0.25">
      <c r="O339089" s="9"/>
    </row>
    <row r="339110" spans="15:15" x14ac:dyDescent="0.25">
      <c r="O339110" s="9"/>
    </row>
    <row r="339131" spans="15:15" x14ac:dyDescent="0.25">
      <c r="O339131" s="9"/>
    </row>
    <row r="339152" spans="15:15" x14ac:dyDescent="0.25">
      <c r="O339152" s="9"/>
    </row>
    <row r="339173" spans="15:15" x14ac:dyDescent="0.25">
      <c r="O339173" s="9"/>
    </row>
    <row r="339194" spans="15:15" x14ac:dyDescent="0.25">
      <c r="O339194" s="9"/>
    </row>
    <row r="339215" spans="15:15" x14ac:dyDescent="0.25">
      <c r="O339215" s="9"/>
    </row>
    <row r="339236" spans="15:15" x14ac:dyDescent="0.25">
      <c r="O339236" s="9"/>
    </row>
    <row r="339257" spans="15:15" x14ac:dyDescent="0.25">
      <c r="O339257" s="9"/>
    </row>
    <row r="339278" spans="15:15" x14ac:dyDescent="0.25">
      <c r="O339278" s="9"/>
    </row>
    <row r="339299" spans="15:15" x14ac:dyDescent="0.25">
      <c r="O339299" s="9"/>
    </row>
    <row r="339320" spans="15:15" x14ac:dyDescent="0.25">
      <c r="O339320" s="9"/>
    </row>
    <row r="339341" spans="15:15" x14ac:dyDescent="0.25">
      <c r="O339341" s="9"/>
    </row>
    <row r="339362" spans="15:15" x14ac:dyDescent="0.25">
      <c r="O339362" s="9"/>
    </row>
    <row r="339383" spans="15:15" x14ac:dyDescent="0.25">
      <c r="O339383" s="9"/>
    </row>
    <row r="339404" spans="15:15" x14ac:dyDescent="0.25">
      <c r="O339404" s="9"/>
    </row>
    <row r="339425" spans="15:15" x14ac:dyDescent="0.25">
      <c r="O339425" s="9"/>
    </row>
    <row r="339446" spans="15:15" x14ac:dyDescent="0.25">
      <c r="O339446" s="9"/>
    </row>
    <row r="339467" spans="15:15" x14ac:dyDescent="0.25">
      <c r="O339467" s="9"/>
    </row>
    <row r="339488" spans="15:15" x14ac:dyDescent="0.25">
      <c r="O339488" s="9"/>
    </row>
    <row r="339509" spans="15:15" x14ac:dyDescent="0.25">
      <c r="O339509" s="9"/>
    </row>
    <row r="339530" spans="15:15" x14ac:dyDescent="0.25">
      <c r="O339530" s="9"/>
    </row>
    <row r="339551" spans="15:15" x14ac:dyDescent="0.25">
      <c r="O339551" s="9"/>
    </row>
    <row r="339572" spans="15:15" x14ac:dyDescent="0.25">
      <c r="O339572" s="9"/>
    </row>
    <row r="339593" spans="15:15" x14ac:dyDescent="0.25">
      <c r="O339593" s="9"/>
    </row>
    <row r="339614" spans="15:15" x14ac:dyDescent="0.25">
      <c r="O339614" s="9"/>
    </row>
    <row r="339635" spans="15:15" x14ac:dyDescent="0.25">
      <c r="O339635" s="9"/>
    </row>
    <row r="339656" spans="15:15" x14ac:dyDescent="0.25">
      <c r="O339656" s="9"/>
    </row>
    <row r="339677" spans="15:15" x14ac:dyDescent="0.25">
      <c r="O339677" s="9"/>
    </row>
    <row r="339698" spans="15:15" x14ac:dyDescent="0.25">
      <c r="O339698" s="9"/>
    </row>
    <row r="339719" spans="15:15" x14ac:dyDescent="0.25">
      <c r="O339719" s="9"/>
    </row>
    <row r="339740" spans="15:15" x14ac:dyDescent="0.25">
      <c r="O339740" s="9"/>
    </row>
    <row r="339761" spans="15:15" x14ac:dyDescent="0.25">
      <c r="O339761" s="9"/>
    </row>
    <row r="339782" spans="15:15" x14ac:dyDescent="0.25">
      <c r="O339782" s="9"/>
    </row>
    <row r="339803" spans="15:15" x14ac:dyDescent="0.25">
      <c r="O339803" s="9"/>
    </row>
    <row r="339824" spans="15:15" x14ac:dyDescent="0.25">
      <c r="O339824" s="9"/>
    </row>
    <row r="339845" spans="15:15" x14ac:dyDescent="0.25">
      <c r="O339845" s="9"/>
    </row>
    <row r="339866" spans="15:15" x14ac:dyDescent="0.25">
      <c r="O339866" s="9"/>
    </row>
    <row r="339887" spans="15:15" x14ac:dyDescent="0.25">
      <c r="O339887" s="9"/>
    </row>
    <row r="339908" spans="15:15" x14ac:dyDescent="0.25">
      <c r="O339908" s="9"/>
    </row>
    <row r="339929" spans="15:15" x14ac:dyDescent="0.25">
      <c r="O339929" s="9"/>
    </row>
    <row r="339950" spans="15:15" x14ac:dyDescent="0.25">
      <c r="O339950" s="9"/>
    </row>
    <row r="339971" spans="15:15" x14ac:dyDescent="0.25">
      <c r="O339971" s="9"/>
    </row>
    <row r="339992" spans="15:15" x14ac:dyDescent="0.25">
      <c r="O339992" s="9"/>
    </row>
    <row r="340013" spans="15:15" x14ac:dyDescent="0.25">
      <c r="O340013" s="9"/>
    </row>
    <row r="340034" spans="15:15" x14ac:dyDescent="0.25">
      <c r="O340034" s="9"/>
    </row>
    <row r="340055" spans="15:15" x14ac:dyDescent="0.25">
      <c r="O340055" s="9"/>
    </row>
    <row r="340076" spans="15:15" x14ac:dyDescent="0.25">
      <c r="O340076" s="9"/>
    </row>
    <row r="340097" spans="15:15" x14ac:dyDescent="0.25">
      <c r="O340097" s="9"/>
    </row>
    <row r="340118" spans="15:15" x14ac:dyDescent="0.25">
      <c r="O340118" s="9"/>
    </row>
    <row r="340139" spans="15:15" x14ac:dyDescent="0.25">
      <c r="O340139" s="9"/>
    </row>
    <row r="340160" spans="15:15" x14ac:dyDescent="0.25">
      <c r="O340160" s="9"/>
    </row>
    <row r="340181" spans="15:15" x14ac:dyDescent="0.25">
      <c r="O340181" s="9"/>
    </row>
    <row r="340202" spans="15:15" x14ac:dyDescent="0.25">
      <c r="O340202" s="9"/>
    </row>
    <row r="340223" spans="15:15" x14ac:dyDescent="0.25">
      <c r="O340223" s="9"/>
    </row>
    <row r="340244" spans="15:15" x14ac:dyDescent="0.25">
      <c r="O340244" s="9"/>
    </row>
    <row r="340265" spans="15:15" x14ac:dyDescent="0.25">
      <c r="O340265" s="9"/>
    </row>
    <row r="340286" spans="15:15" x14ac:dyDescent="0.25">
      <c r="O340286" s="9"/>
    </row>
    <row r="340307" spans="15:15" x14ac:dyDescent="0.25">
      <c r="O340307" s="9"/>
    </row>
    <row r="340328" spans="15:15" x14ac:dyDescent="0.25">
      <c r="O340328" s="9"/>
    </row>
    <row r="340349" spans="15:15" x14ac:dyDescent="0.25">
      <c r="O340349" s="9"/>
    </row>
    <row r="340370" spans="15:15" x14ac:dyDescent="0.25">
      <c r="O340370" s="9"/>
    </row>
    <row r="340391" spans="15:15" x14ac:dyDescent="0.25">
      <c r="O340391" s="9"/>
    </row>
    <row r="340412" spans="15:15" x14ac:dyDescent="0.25">
      <c r="O340412" s="9"/>
    </row>
    <row r="340433" spans="15:15" x14ac:dyDescent="0.25">
      <c r="O340433" s="9"/>
    </row>
    <row r="340454" spans="15:15" x14ac:dyDescent="0.25">
      <c r="O340454" s="9"/>
    </row>
    <row r="340475" spans="15:15" x14ac:dyDescent="0.25">
      <c r="O340475" s="9"/>
    </row>
    <row r="340496" spans="15:15" x14ac:dyDescent="0.25">
      <c r="O340496" s="9"/>
    </row>
    <row r="340517" spans="15:15" x14ac:dyDescent="0.25">
      <c r="O340517" s="9"/>
    </row>
    <row r="340538" spans="15:15" x14ac:dyDescent="0.25">
      <c r="O340538" s="9"/>
    </row>
    <row r="340559" spans="15:15" x14ac:dyDescent="0.25">
      <c r="O340559" s="9"/>
    </row>
    <row r="340580" spans="15:15" x14ac:dyDescent="0.25">
      <c r="O340580" s="9"/>
    </row>
    <row r="340601" spans="15:15" x14ac:dyDescent="0.25">
      <c r="O340601" s="9"/>
    </row>
    <row r="340622" spans="15:15" x14ac:dyDescent="0.25">
      <c r="O340622" s="9"/>
    </row>
    <row r="340643" spans="15:15" x14ac:dyDescent="0.25">
      <c r="O340643" s="9"/>
    </row>
    <row r="340664" spans="15:15" x14ac:dyDescent="0.25">
      <c r="O340664" s="9"/>
    </row>
    <row r="340685" spans="15:15" x14ac:dyDescent="0.25">
      <c r="O340685" s="9"/>
    </row>
    <row r="340706" spans="15:15" x14ac:dyDescent="0.25">
      <c r="O340706" s="9"/>
    </row>
    <row r="340727" spans="15:15" x14ac:dyDescent="0.25">
      <c r="O340727" s="9"/>
    </row>
    <row r="340748" spans="15:15" x14ac:dyDescent="0.25">
      <c r="O340748" s="9"/>
    </row>
    <row r="340769" spans="15:15" x14ac:dyDescent="0.25">
      <c r="O340769" s="9"/>
    </row>
    <row r="340790" spans="15:15" x14ac:dyDescent="0.25">
      <c r="O340790" s="9"/>
    </row>
    <row r="340811" spans="15:15" x14ac:dyDescent="0.25">
      <c r="O340811" s="9"/>
    </row>
    <row r="340832" spans="15:15" x14ac:dyDescent="0.25">
      <c r="O340832" s="9"/>
    </row>
    <row r="340853" spans="15:15" x14ac:dyDescent="0.25">
      <c r="O340853" s="9"/>
    </row>
    <row r="340874" spans="15:15" x14ac:dyDescent="0.25">
      <c r="O340874" s="9"/>
    </row>
    <row r="340895" spans="15:15" x14ac:dyDescent="0.25">
      <c r="O340895" s="9"/>
    </row>
    <row r="340916" spans="15:15" x14ac:dyDescent="0.25">
      <c r="O340916" s="9"/>
    </row>
    <row r="340937" spans="15:15" x14ac:dyDescent="0.25">
      <c r="O340937" s="9"/>
    </row>
    <row r="340958" spans="15:15" x14ac:dyDescent="0.25">
      <c r="O340958" s="9"/>
    </row>
    <row r="340979" spans="15:15" x14ac:dyDescent="0.25">
      <c r="O340979" s="9"/>
    </row>
    <row r="341000" spans="15:15" x14ac:dyDescent="0.25">
      <c r="O341000" s="9"/>
    </row>
    <row r="341021" spans="15:15" x14ac:dyDescent="0.25">
      <c r="O341021" s="9"/>
    </row>
    <row r="341042" spans="15:15" x14ac:dyDescent="0.25">
      <c r="O341042" s="9"/>
    </row>
    <row r="341063" spans="15:15" x14ac:dyDescent="0.25">
      <c r="O341063" s="9"/>
    </row>
    <row r="341084" spans="15:15" x14ac:dyDescent="0.25">
      <c r="O341084" s="9"/>
    </row>
    <row r="341105" spans="15:15" x14ac:dyDescent="0.25">
      <c r="O341105" s="9"/>
    </row>
    <row r="341126" spans="15:15" x14ac:dyDescent="0.25">
      <c r="O341126" s="9"/>
    </row>
    <row r="341147" spans="15:15" x14ac:dyDescent="0.25">
      <c r="O341147" s="9"/>
    </row>
    <row r="341168" spans="15:15" x14ac:dyDescent="0.25">
      <c r="O341168" s="9"/>
    </row>
    <row r="341189" spans="15:15" x14ac:dyDescent="0.25">
      <c r="O341189" s="9"/>
    </row>
    <row r="341210" spans="15:15" x14ac:dyDescent="0.25">
      <c r="O341210" s="9"/>
    </row>
    <row r="341231" spans="15:15" x14ac:dyDescent="0.25">
      <c r="O341231" s="9"/>
    </row>
    <row r="341252" spans="15:15" x14ac:dyDescent="0.25">
      <c r="O341252" s="9"/>
    </row>
    <row r="341273" spans="15:15" x14ac:dyDescent="0.25">
      <c r="O341273" s="9"/>
    </row>
    <row r="341294" spans="15:15" x14ac:dyDescent="0.25">
      <c r="O341294" s="9"/>
    </row>
    <row r="341315" spans="15:15" x14ac:dyDescent="0.25">
      <c r="O341315" s="9"/>
    </row>
    <row r="341336" spans="15:15" x14ac:dyDescent="0.25">
      <c r="O341336" s="9"/>
    </row>
    <row r="341357" spans="15:15" x14ac:dyDescent="0.25">
      <c r="O341357" s="9"/>
    </row>
    <row r="341378" spans="15:15" x14ac:dyDescent="0.25">
      <c r="O341378" s="9"/>
    </row>
    <row r="341399" spans="15:15" x14ac:dyDescent="0.25">
      <c r="O341399" s="9"/>
    </row>
    <row r="341420" spans="15:15" x14ac:dyDescent="0.25">
      <c r="O341420" s="9"/>
    </row>
    <row r="341441" spans="15:15" x14ac:dyDescent="0.25">
      <c r="O341441" s="9"/>
    </row>
    <row r="341462" spans="15:15" x14ac:dyDescent="0.25">
      <c r="O341462" s="9"/>
    </row>
    <row r="341483" spans="15:15" x14ac:dyDescent="0.25">
      <c r="O341483" s="9"/>
    </row>
    <row r="341504" spans="15:15" x14ac:dyDescent="0.25">
      <c r="O341504" s="9"/>
    </row>
    <row r="341525" spans="15:15" x14ac:dyDescent="0.25">
      <c r="O341525" s="9"/>
    </row>
    <row r="341546" spans="15:15" x14ac:dyDescent="0.25">
      <c r="O341546" s="9"/>
    </row>
    <row r="341567" spans="15:15" x14ac:dyDescent="0.25">
      <c r="O341567" s="9"/>
    </row>
    <row r="341588" spans="15:15" x14ac:dyDescent="0.25">
      <c r="O341588" s="9"/>
    </row>
    <row r="341609" spans="15:15" x14ac:dyDescent="0.25">
      <c r="O341609" s="9"/>
    </row>
    <row r="341630" spans="15:15" x14ac:dyDescent="0.25">
      <c r="O341630" s="9"/>
    </row>
    <row r="341651" spans="15:15" x14ac:dyDescent="0.25">
      <c r="O341651" s="9"/>
    </row>
    <row r="341672" spans="15:15" x14ac:dyDescent="0.25">
      <c r="O341672" s="9"/>
    </row>
    <row r="341693" spans="15:15" x14ac:dyDescent="0.25">
      <c r="O341693" s="9"/>
    </row>
    <row r="341714" spans="15:15" x14ac:dyDescent="0.25">
      <c r="O341714" s="9"/>
    </row>
    <row r="341735" spans="15:15" x14ac:dyDescent="0.25">
      <c r="O341735" s="9"/>
    </row>
    <row r="341756" spans="15:15" x14ac:dyDescent="0.25">
      <c r="O341756" s="9"/>
    </row>
    <row r="341777" spans="15:15" x14ac:dyDescent="0.25">
      <c r="O341777" s="9"/>
    </row>
    <row r="341798" spans="15:15" x14ac:dyDescent="0.25">
      <c r="O341798" s="9"/>
    </row>
    <row r="341819" spans="15:15" x14ac:dyDescent="0.25">
      <c r="O341819" s="9"/>
    </row>
    <row r="341840" spans="15:15" x14ac:dyDescent="0.25">
      <c r="O341840" s="9"/>
    </row>
    <row r="341861" spans="15:15" x14ac:dyDescent="0.25">
      <c r="O341861" s="9"/>
    </row>
    <row r="341882" spans="15:15" x14ac:dyDescent="0.25">
      <c r="O341882" s="9"/>
    </row>
    <row r="341903" spans="15:15" x14ac:dyDescent="0.25">
      <c r="O341903" s="9"/>
    </row>
    <row r="341924" spans="15:15" x14ac:dyDescent="0.25">
      <c r="O341924" s="9"/>
    </row>
    <row r="341945" spans="15:15" x14ac:dyDescent="0.25">
      <c r="O341945" s="9"/>
    </row>
    <row r="341966" spans="15:15" x14ac:dyDescent="0.25">
      <c r="O341966" s="9"/>
    </row>
    <row r="341987" spans="15:15" x14ac:dyDescent="0.25">
      <c r="O341987" s="9"/>
    </row>
    <row r="342008" spans="15:15" x14ac:dyDescent="0.25">
      <c r="O342008" s="9"/>
    </row>
    <row r="342029" spans="15:15" x14ac:dyDescent="0.25">
      <c r="O342029" s="9"/>
    </row>
    <row r="342050" spans="15:15" x14ac:dyDescent="0.25">
      <c r="O342050" s="9"/>
    </row>
    <row r="342071" spans="15:15" x14ac:dyDescent="0.25">
      <c r="O342071" s="9"/>
    </row>
    <row r="342092" spans="15:15" x14ac:dyDescent="0.25">
      <c r="O342092" s="9"/>
    </row>
    <row r="342113" spans="15:15" x14ac:dyDescent="0.25">
      <c r="O342113" s="9"/>
    </row>
    <row r="342134" spans="15:15" x14ac:dyDescent="0.25">
      <c r="O342134" s="9"/>
    </row>
    <row r="342155" spans="15:15" x14ac:dyDescent="0.25">
      <c r="O342155" s="9"/>
    </row>
    <row r="342176" spans="15:15" x14ac:dyDescent="0.25">
      <c r="O342176" s="9"/>
    </row>
    <row r="342197" spans="15:15" x14ac:dyDescent="0.25">
      <c r="O342197" s="9"/>
    </row>
    <row r="342218" spans="15:15" x14ac:dyDescent="0.25">
      <c r="O342218" s="9"/>
    </row>
    <row r="342239" spans="15:15" x14ac:dyDescent="0.25">
      <c r="O342239" s="9"/>
    </row>
    <row r="342260" spans="15:15" x14ac:dyDescent="0.25">
      <c r="O342260" s="9"/>
    </row>
    <row r="342281" spans="15:15" x14ac:dyDescent="0.25">
      <c r="O342281" s="9"/>
    </row>
    <row r="342302" spans="15:15" x14ac:dyDescent="0.25">
      <c r="O342302" s="9"/>
    </row>
    <row r="342323" spans="15:15" x14ac:dyDescent="0.25">
      <c r="O342323" s="9"/>
    </row>
    <row r="342344" spans="15:15" x14ac:dyDescent="0.25">
      <c r="O342344" s="9"/>
    </row>
    <row r="342365" spans="15:15" x14ac:dyDescent="0.25">
      <c r="O342365" s="9"/>
    </row>
    <row r="342386" spans="15:15" x14ac:dyDescent="0.25">
      <c r="O342386" s="9"/>
    </row>
    <row r="342407" spans="15:15" x14ac:dyDescent="0.25">
      <c r="O342407" s="9"/>
    </row>
    <row r="342428" spans="15:15" x14ac:dyDescent="0.25">
      <c r="O342428" s="9"/>
    </row>
    <row r="342449" spans="15:15" x14ac:dyDescent="0.25">
      <c r="O342449" s="9"/>
    </row>
    <row r="342470" spans="15:15" x14ac:dyDescent="0.25">
      <c r="O342470" s="9"/>
    </row>
    <row r="342491" spans="15:15" x14ac:dyDescent="0.25">
      <c r="O342491" s="9"/>
    </row>
    <row r="342512" spans="15:15" x14ac:dyDescent="0.25">
      <c r="O342512" s="9"/>
    </row>
    <row r="342533" spans="15:15" x14ac:dyDescent="0.25">
      <c r="O342533" s="9"/>
    </row>
    <row r="342554" spans="15:15" x14ac:dyDescent="0.25">
      <c r="O342554" s="9"/>
    </row>
    <row r="342575" spans="15:15" x14ac:dyDescent="0.25">
      <c r="O342575" s="9"/>
    </row>
    <row r="342596" spans="15:15" x14ac:dyDescent="0.25">
      <c r="O342596" s="9"/>
    </row>
    <row r="342617" spans="15:15" x14ac:dyDescent="0.25">
      <c r="O342617" s="9"/>
    </row>
    <row r="342638" spans="15:15" x14ac:dyDescent="0.25">
      <c r="O342638" s="9"/>
    </row>
    <row r="342659" spans="15:15" x14ac:dyDescent="0.25">
      <c r="O342659" s="9"/>
    </row>
    <row r="342680" spans="15:15" x14ac:dyDescent="0.25">
      <c r="O342680" s="9"/>
    </row>
    <row r="342701" spans="15:15" x14ac:dyDescent="0.25">
      <c r="O342701" s="9"/>
    </row>
    <row r="342722" spans="15:15" x14ac:dyDescent="0.25">
      <c r="O342722" s="9"/>
    </row>
    <row r="342743" spans="15:15" x14ac:dyDescent="0.25">
      <c r="O342743" s="9"/>
    </row>
    <row r="342764" spans="15:15" x14ac:dyDescent="0.25">
      <c r="O342764" s="9"/>
    </row>
    <row r="342785" spans="15:15" x14ac:dyDescent="0.25">
      <c r="O342785" s="9"/>
    </row>
    <row r="342806" spans="15:15" x14ac:dyDescent="0.25">
      <c r="O342806" s="9"/>
    </row>
    <row r="342827" spans="15:15" x14ac:dyDescent="0.25">
      <c r="O342827" s="9"/>
    </row>
    <row r="342848" spans="15:15" x14ac:dyDescent="0.25">
      <c r="O342848" s="9"/>
    </row>
    <row r="342869" spans="15:15" x14ac:dyDescent="0.25">
      <c r="O342869" s="9"/>
    </row>
    <row r="342890" spans="15:15" x14ac:dyDescent="0.25">
      <c r="O342890" s="9"/>
    </row>
    <row r="342911" spans="15:15" x14ac:dyDescent="0.25">
      <c r="O342911" s="9"/>
    </row>
    <row r="342932" spans="15:15" x14ac:dyDescent="0.25">
      <c r="O342932" s="9"/>
    </row>
    <row r="342953" spans="15:15" x14ac:dyDescent="0.25">
      <c r="O342953" s="9"/>
    </row>
    <row r="342974" spans="15:15" x14ac:dyDescent="0.25">
      <c r="O342974" s="9"/>
    </row>
    <row r="342995" spans="15:15" x14ac:dyDescent="0.25">
      <c r="O342995" s="9"/>
    </row>
    <row r="343016" spans="15:15" x14ac:dyDescent="0.25">
      <c r="O343016" s="9"/>
    </row>
    <row r="343037" spans="15:15" x14ac:dyDescent="0.25">
      <c r="O343037" s="9"/>
    </row>
    <row r="343058" spans="15:15" x14ac:dyDescent="0.25">
      <c r="O343058" s="9"/>
    </row>
    <row r="343079" spans="15:15" x14ac:dyDescent="0.25">
      <c r="O343079" s="9"/>
    </row>
    <row r="343100" spans="15:15" x14ac:dyDescent="0.25">
      <c r="O343100" s="9"/>
    </row>
    <row r="343121" spans="15:15" x14ac:dyDescent="0.25">
      <c r="O343121" s="9"/>
    </row>
    <row r="343142" spans="15:15" x14ac:dyDescent="0.25">
      <c r="O343142" s="9"/>
    </row>
    <row r="343163" spans="15:15" x14ac:dyDescent="0.25">
      <c r="O343163" s="9"/>
    </row>
    <row r="343184" spans="15:15" x14ac:dyDescent="0.25">
      <c r="O343184" s="9"/>
    </row>
    <row r="343205" spans="15:15" x14ac:dyDescent="0.25">
      <c r="O343205" s="9"/>
    </row>
    <row r="343226" spans="15:15" x14ac:dyDescent="0.25">
      <c r="O343226" s="9"/>
    </row>
    <row r="343247" spans="15:15" x14ac:dyDescent="0.25">
      <c r="O343247" s="9"/>
    </row>
    <row r="343268" spans="15:15" x14ac:dyDescent="0.25">
      <c r="O343268" s="9"/>
    </row>
    <row r="343289" spans="15:15" x14ac:dyDescent="0.25">
      <c r="O343289" s="9"/>
    </row>
    <row r="343310" spans="15:15" x14ac:dyDescent="0.25">
      <c r="O343310" s="9"/>
    </row>
    <row r="343331" spans="15:15" x14ac:dyDescent="0.25">
      <c r="O343331" s="9"/>
    </row>
    <row r="343352" spans="15:15" x14ac:dyDescent="0.25">
      <c r="O343352" s="9"/>
    </row>
    <row r="343373" spans="15:15" x14ac:dyDescent="0.25">
      <c r="O343373" s="9"/>
    </row>
    <row r="343394" spans="15:15" x14ac:dyDescent="0.25">
      <c r="O343394" s="9"/>
    </row>
    <row r="343415" spans="15:15" x14ac:dyDescent="0.25">
      <c r="O343415" s="9"/>
    </row>
    <row r="343436" spans="15:15" x14ac:dyDescent="0.25">
      <c r="O343436" s="9"/>
    </row>
    <row r="343457" spans="15:15" x14ac:dyDescent="0.25">
      <c r="O343457" s="9"/>
    </row>
    <row r="343478" spans="15:15" x14ac:dyDescent="0.25">
      <c r="O343478" s="9"/>
    </row>
    <row r="343499" spans="15:15" x14ac:dyDescent="0.25">
      <c r="O343499" s="9"/>
    </row>
    <row r="343520" spans="15:15" x14ac:dyDescent="0.25">
      <c r="O343520" s="9"/>
    </row>
    <row r="343541" spans="15:15" x14ac:dyDescent="0.25">
      <c r="O343541" s="9"/>
    </row>
    <row r="343562" spans="15:15" x14ac:dyDescent="0.25">
      <c r="O343562" s="9"/>
    </row>
    <row r="343583" spans="15:15" x14ac:dyDescent="0.25">
      <c r="O343583" s="9"/>
    </row>
    <row r="343604" spans="15:15" x14ac:dyDescent="0.25">
      <c r="O343604" s="9"/>
    </row>
    <row r="343625" spans="15:15" x14ac:dyDescent="0.25">
      <c r="O343625" s="9"/>
    </row>
    <row r="343646" spans="15:15" x14ac:dyDescent="0.25">
      <c r="O343646" s="9"/>
    </row>
    <row r="343667" spans="15:15" x14ac:dyDescent="0.25">
      <c r="O343667" s="9"/>
    </row>
    <row r="343688" spans="15:15" x14ac:dyDescent="0.25">
      <c r="O343688" s="9"/>
    </row>
    <row r="343709" spans="15:15" x14ac:dyDescent="0.25">
      <c r="O343709" s="9"/>
    </row>
    <row r="343730" spans="15:15" x14ac:dyDescent="0.25">
      <c r="O343730" s="9"/>
    </row>
    <row r="343751" spans="15:15" x14ac:dyDescent="0.25">
      <c r="O343751" s="9"/>
    </row>
    <row r="343772" spans="15:15" x14ac:dyDescent="0.25">
      <c r="O343772" s="9"/>
    </row>
    <row r="343793" spans="15:15" x14ac:dyDescent="0.25">
      <c r="O343793" s="9"/>
    </row>
    <row r="343814" spans="15:15" x14ac:dyDescent="0.25">
      <c r="O343814" s="9"/>
    </row>
    <row r="343835" spans="15:15" x14ac:dyDescent="0.25">
      <c r="O343835" s="9"/>
    </row>
    <row r="343856" spans="15:15" x14ac:dyDescent="0.25">
      <c r="O343856" s="9"/>
    </row>
    <row r="343877" spans="15:15" x14ac:dyDescent="0.25">
      <c r="O343877" s="9"/>
    </row>
    <row r="343898" spans="15:15" x14ac:dyDescent="0.25">
      <c r="O343898" s="9"/>
    </row>
    <row r="343919" spans="15:15" x14ac:dyDescent="0.25">
      <c r="O343919" s="9"/>
    </row>
    <row r="343940" spans="15:15" x14ac:dyDescent="0.25">
      <c r="O343940" s="9"/>
    </row>
    <row r="343961" spans="15:15" x14ac:dyDescent="0.25">
      <c r="O343961" s="9"/>
    </row>
    <row r="343982" spans="15:15" x14ac:dyDescent="0.25">
      <c r="O343982" s="9"/>
    </row>
    <row r="344003" spans="15:15" x14ac:dyDescent="0.25">
      <c r="O344003" s="9"/>
    </row>
    <row r="344024" spans="15:15" x14ac:dyDescent="0.25">
      <c r="O344024" s="9"/>
    </row>
    <row r="344045" spans="15:15" x14ac:dyDescent="0.25">
      <c r="O344045" s="9"/>
    </row>
    <row r="344066" spans="15:15" x14ac:dyDescent="0.25">
      <c r="O344066" s="9"/>
    </row>
    <row r="344087" spans="15:15" x14ac:dyDescent="0.25">
      <c r="O344087" s="9"/>
    </row>
    <row r="344108" spans="15:15" x14ac:dyDescent="0.25">
      <c r="O344108" s="9"/>
    </row>
    <row r="344129" spans="15:15" x14ac:dyDescent="0.25">
      <c r="O344129" s="9"/>
    </row>
    <row r="344150" spans="15:15" x14ac:dyDescent="0.25">
      <c r="O344150" s="9"/>
    </row>
    <row r="344171" spans="15:15" x14ac:dyDescent="0.25">
      <c r="O344171" s="9"/>
    </row>
    <row r="344192" spans="15:15" x14ac:dyDescent="0.25">
      <c r="O344192" s="9"/>
    </row>
    <row r="344213" spans="15:15" x14ac:dyDescent="0.25">
      <c r="O344213" s="9"/>
    </row>
    <row r="344234" spans="15:15" x14ac:dyDescent="0.25">
      <c r="O344234" s="9"/>
    </row>
    <row r="344255" spans="15:15" x14ac:dyDescent="0.25">
      <c r="O344255" s="9"/>
    </row>
    <row r="344276" spans="15:15" x14ac:dyDescent="0.25">
      <c r="O344276" s="9"/>
    </row>
    <row r="344297" spans="15:15" x14ac:dyDescent="0.25">
      <c r="O344297" s="9"/>
    </row>
    <row r="344318" spans="15:15" x14ac:dyDescent="0.25">
      <c r="O344318" s="9"/>
    </row>
    <row r="344339" spans="15:15" x14ac:dyDescent="0.25">
      <c r="O344339" s="9"/>
    </row>
    <row r="344360" spans="15:15" x14ac:dyDescent="0.25">
      <c r="O344360" s="9"/>
    </row>
    <row r="344381" spans="15:15" x14ac:dyDescent="0.25">
      <c r="O344381" s="9"/>
    </row>
    <row r="344402" spans="15:15" x14ac:dyDescent="0.25">
      <c r="O344402" s="9"/>
    </row>
    <row r="344423" spans="15:15" x14ac:dyDescent="0.25">
      <c r="O344423" s="9"/>
    </row>
    <row r="344444" spans="15:15" x14ac:dyDescent="0.25">
      <c r="O344444" s="9"/>
    </row>
    <row r="344465" spans="15:15" x14ac:dyDescent="0.25">
      <c r="O344465" s="9"/>
    </row>
    <row r="344486" spans="15:15" x14ac:dyDescent="0.25">
      <c r="O344486" s="9"/>
    </row>
    <row r="344507" spans="15:15" x14ac:dyDescent="0.25">
      <c r="O344507" s="9"/>
    </row>
    <row r="344528" spans="15:15" x14ac:dyDescent="0.25">
      <c r="O344528" s="9"/>
    </row>
    <row r="344549" spans="15:15" x14ac:dyDescent="0.25">
      <c r="O344549" s="9"/>
    </row>
    <row r="344570" spans="15:15" x14ac:dyDescent="0.25">
      <c r="O344570" s="9"/>
    </row>
    <row r="344591" spans="15:15" x14ac:dyDescent="0.25">
      <c r="O344591" s="9"/>
    </row>
    <row r="344612" spans="15:15" x14ac:dyDescent="0.25">
      <c r="O344612" s="9"/>
    </row>
    <row r="344633" spans="15:15" x14ac:dyDescent="0.25">
      <c r="O344633" s="9"/>
    </row>
    <row r="344654" spans="15:15" x14ac:dyDescent="0.25">
      <c r="O344654" s="9"/>
    </row>
    <row r="344675" spans="15:15" x14ac:dyDescent="0.25">
      <c r="O344675" s="9"/>
    </row>
    <row r="344696" spans="15:15" x14ac:dyDescent="0.25">
      <c r="O344696" s="9"/>
    </row>
    <row r="344717" spans="15:15" x14ac:dyDescent="0.25">
      <c r="O344717" s="9"/>
    </row>
    <row r="344738" spans="15:15" x14ac:dyDescent="0.25">
      <c r="O344738" s="9"/>
    </row>
    <row r="344759" spans="15:15" x14ac:dyDescent="0.25">
      <c r="O344759" s="9"/>
    </row>
    <row r="344780" spans="15:15" x14ac:dyDescent="0.25">
      <c r="O344780" s="9"/>
    </row>
    <row r="344801" spans="15:15" x14ac:dyDescent="0.25">
      <c r="O344801" s="9"/>
    </row>
    <row r="344822" spans="15:15" x14ac:dyDescent="0.25">
      <c r="O344822" s="9"/>
    </row>
    <row r="344843" spans="15:15" x14ac:dyDescent="0.25">
      <c r="O344843" s="9"/>
    </row>
    <row r="344864" spans="15:15" x14ac:dyDescent="0.25">
      <c r="O344864" s="9"/>
    </row>
    <row r="344885" spans="15:15" x14ac:dyDescent="0.25">
      <c r="O344885" s="9"/>
    </row>
    <row r="344906" spans="15:15" x14ac:dyDescent="0.25">
      <c r="O344906" s="9"/>
    </row>
    <row r="344927" spans="15:15" x14ac:dyDescent="0.25">
      <c r="O344927" s="9"/>
    </row>
    <row r="344948" spans="15:15" x14ac:dyDescent="0.25">
      <c r="O344948" s="9"/>
    </row>
    <row r="344969" spans="15:15" x14ac:dyDescent="0.25">
      <c r="O344969" s="9"/>
    </row>
    <row r="344990" spans="15:15" x14ac:dyDescent="0.25">
      <c r="O344990" s="9"/>
    </row>
    <row r="345011" spans="15:15" x14ac:dyDescent="0.25">
      <c r="O345011" s="9"/>
    </row>
    <row r="345032" spans="15:15" x14ac:dyDescent="0.25">
      <c r="O345032" s="9"/>
    </row>
    <row r="345053" spans="15:15" x14ac:dyDescent="0.25">
      <c r="O345053" s="9"/>
    </row>
    <row r="345074" spans="15:15" x14ac:dyDescent="0.25">
      <c r="O345074" s="9"/>
    </row>
    <row r="345095" spans="15:15" x14ac:dyDescent="0.25">
      <c r="O345095" s="9"/>
    </row>
    <row r="345116" spans="15:15" x14ac:dyDescent="0.25">
      <c r="O345116" s="9"/>
    </row>
    <row r="345137" spans="15:15" x14ac:dyDescent="0.25">
      <c r="O345137" s="9"/>
    </row>
    <row r="345158" spans="15:15" x14ac:dyDescent="0.25">
      <c r="O345158" s="9"/>
    </row>
    <row r="345179" spans="15:15" x14ac:dyDescent="0.25">
      <c r="O345179" s="9"/>
    </row>
    <row r="345200" spans="15:15" x14ac:dyDescent="0.25">
      <c r="O345200" s="9"/>
    </row>
    <row r="345221" spans="15:15" x14ac:dyDescent="0.25">
      <c r="O345221" s="9"/>
    </row>
    <row r="345242" spans="15:15" x14ac:dyDescent="0.25">
      <c r="O345242" s="9"/>
    </row>
    <row r="345263" spans="15:15" x14ac:dyDescent="0.25">
      <c r="O345263" s="9"/>
    </row>
    <row r="345284" spans="15:15" x14ac:dyDescent="0.25">
      <c r="O345284" s="9"/>
    </row>
    <row r="345305" spans="15:15" x14ac:dyDescent="0.25">
      <c r="O345305" s="9"/>
    </row>
    <row r="345326" spans="15:15" x14ac:dyDescent="0.25">
      <c r="O345326" s="9"/>
    </row>
    <row r="345347" spans="15:15" x14ac:dyDescent="0.25">
      <c r="O345347" s="9"/>
    </row>
    <row r="345368" spans="15:15" x14ac:dyDescent="0.25">
      <c r="O345368" s="9"/>
    </row>
    <row r="345389" spans="15:15" x14ac:dyDescent="0.25">
      <c r="O345389" s="9"/>
    </row>
    <row r="345410" spans="15:15" x14ac:dyDescent="0.25">
      <c r="O345410" s="9"/>
    </row>
    <row r="345431" spans="15:15" x14ac:dyDescent="0.25">
      <c r="O345431" s="9"/>
    </row>
    <row r="345452" spans="15:15" x14ac:dyDescent="0.25">
      <c r="O345452" s="9"/>
    </row>
    <row r="345473" spans="15:15" x14ac:dyDescent="0.25">
      <c r="O345473" s="9"/>
    </row>
    <row r="345494" spans="15:15" x14ac:dyDescent="0.25">
      <c r="O345494" s="9"/>
    </row>
    <row r="345515" spans="15:15" x14ac:dyDescent="0.25">
      <c r="O345515" s="9"/>
    </row>
    <row r="345536" spans="15:15" x14ac:dyDescent="0.25">
      <c r="O345536" s="9"/>
    </row>
    <row r="345557" spans="15:15" x14ac:dyDescent="0.25">
      <c r="O345557" s="9"/>
    </row>
    <row r="345578" spans="15:15" x14ac:dyDescent="0.25">
      <c r="O345578" s="9"/>
    </row>
    <row r="345599" spans="15:15" x14ac:dyDescent="0.25">
      <c r="O345599" s="9"/>
    </row>
    <row r="345620" spans="15:15" x14ac:dyDescent="0.25">
      <c r="O345620" s="9"/>
    </row>
    <row r="345641" spans="15:15" x14ac:dyDescent="0.25">
      <c r="O345641" s="9"/>
    </row>
    <row r="345662" spans="15:15" x14ac:dyDescent="0.25">
      <c r="O345662" s="9"/>
    </row>
    <row r="345683" spans="15:15" x14ac:dyDescent="0.25">
      <c r="O345683" s="9"/>
    </row>
    <row r="345704" spans="15:15" x14ac:dyDescent="0.25">
      <c r="O345704" s="9"/>
    </row>
    <row r="345725" spans="15:15" x14ac:dyDescent="0.25">
      <c r="O345725" s="9"/>
    </row>
    <row r="345746" spans="15:15" x14ac:dyDescent="0.25">
      <c r="O345746" s="9"/>
    </row>
    <row r="345767" spans="15:15" x14ac:dyDescent="0.25">
      <c r="O345767" s="9"/>
    </row>
    <row r="345788" spans="15:15" x14ac:dyDescent="0.25">
      <c r="O345788" s="9"/>
    </row>
    <row r="345809" spans="15:15" x14ac:dyDescent="0.25">
      <c r="O345809" s="9"/>
    </row>
    <row r="345830" spans="15:15" x14ac:dyDescent="0.25">
      <c r="O345830" s="9"/>
    </row>
    <row r="345851" spans="15:15" x14ac:dyDescent="0.25">
      <c r="O345851" s="9"/>
    </row>
    <row r="345872" spans="15:15" x14ac:dyDescent="0.25">
      <c r="O345872" s="9"/>
    </row>
    <row r="345893" spans="15:15" x14ac:dyDescent="0.25">
      <c r="O345893" s="9"/>
    </row>
    <row r="345914" spans="15:15" x14ac:dyDescent="0.25">
      <c r="O345914" s="9"/>
    </row>
    <row r="345935" spans="15:15" x14ac:dyDescent="0.25">
      <c r="O345935" s="9"/>
    </row>
    <row r="345956" spans="15:15" x14ac:dyDescent="0.25">
      <c r="O345956" s="9"/>
    </row>
    <row r="345977" spans="15:15" x14ac:dyDescent="0.25">
      <c r="O345977" s="9"/>
    </row>
    <row r="345998" spans="15:15" x14ac:dyDescent="0.25">
      <c r="O345998" s="9"/>
    </row>
    <row r="346019" spans="15:15" x14ac:dyDescent="0.25">
      <c r="O346019" s="9"/>
    </row>
    <row r="346040" spans="15:15" x14ac:dyDescent="0.25">
      <c r="O346040" s="9"/>
    </row>
    <row r="346061" spans="15:15" x14ac:dyDescent="0.25">
      <c r="O346061" s="9"/>
    </row>
    <row r="346082" spans="15:15" x14ac:dyDescent="0.25">
      <c r="O346082" s="9"/>
    </row>
    <row r="346103" spans="15:15" x14ac:dyDescent="0.25">
      <c r="O346103" s="9"/>
    </row>
    <row r="346124" spans="15:15" x14ac:dyDescent="0.25">
      <c r="O346124" s="9"/>
    </row>
    <row r="346145" spans="15:15" x14ac:dyDescent="0.25">
      <c r="O346145" s="9"/>
    </row>
    <row r="346166" spans="15:15" x14ac:dyDescent="0.25">
      <c r="O346166" s="9"/>
    </row>
    <row r="346187" spans="15:15" x14ac:dyDescent="0.25">
      <c r="O346187" s="9"/>
    </row>
    <row r="346208" spans="15:15" x14ac:dyDescent="0.25">
      <c r="O346208" s="9"/>
    </row>
    <row r="346229" spans="15:15" x14ac:dyDescent="0.25">
      <c r="O346229" s="9"/>
    </row>
    <row r="346250" spans="15:15" x14ac:dyDescent="0.25">
      <c r="O346250" s="9"/>
    </row>
    <row r="346271" spans="15:15" x14ac:dyDescent="0.25">
      <c r="O346271" s="9"/>
    </row>
    <row r="346292" spans="15:15" x14ac:dyDescent="0.25">
      <c r="O346292" s="9"/>
    </row>
    <row r="346313" spans="15:15" x14ac:dyDescent="0.25">
      <c r="O346313" s="9"/>
    </row>
    <row r="346334" spans="15:15" x14ac:dyDescent="0.25">
      <c r="O346334" s="9"/>
    </row>
    <row r="346355" spans="15:15" x14ac:dyDescent="0.25">
      <c r="O346355" s="9"/>
    </row>
    <row r="346376" spans="15:15" x14ac:dyDescent="0.25">
      <c r="O346376" s="9"/>
    </row>
    <row r="346397" spans="15:15" x14ac:dyDescent="0.25">
      <c r="O346397" s="9"/>
    </row>
    <row r="346418" spans="15:15" x14ac:dyDescent="0.25">
      <c r="O346418" s="9"/>
    </row>
    <row r="346439" spans="15:15" x14ac:dyDescent="0.25">
      <c r="O346439" s="9"/>
    </row>
    <row r="346460" spans="15:15" x14ac:dyDescent="0.25">
      <c r="O346460" s="9"/>
    </row>
    <row r="346481" spans="15:15" x14ac:dyDescent="0.25">
      <c r="O346481" s="9"/>
    </row>
    <row r="346502" spans="15:15" x14ac:dyDescent="0.25">
      <c r="O346502" s="9"/>
    </row>
    <row r="346523" spans="15:15" x14ac:dyDescent="0.25">
      <c r="O346523" s="9"/>
    </row>
    <row r="346544" spans="15:15" x14ac:dyDescent="0.25">
      <c r="O346544" s="9"/>
    </row>
    <row r="346565" spans="15:15" x14ac:dyDescent="0.25">
      <c r="O346565" s="9"/>
    </row>
    <row r="346586" spans="15:15" x14ac:dyDescent="0.25">
      <c r="O346586" s="9"/>
    </row>
    <row r="346607" spans="15:15" x14ac:dyDescent="0.25">
      <c r="O346607" s="9"/>
    </row>
    <row r="346628" spans="15:15" x14ac:dyDescent="0.25">
      <c r="O346628" s="9"/>
    </row>
    <row r="346649" spans="15:15" x14ac:dyDescent="0.25">
      <c r="O346649" s="9"/>
    </row>
    <row r="346670" spans="15:15" x14ac:dyDescent="0.25">
      <c r="O346670" s="9"/>
    </row>
    <row r="346691" spans="15:15" x14ac:dyDescent="0.25">
      <c r="O346691" s="9"/>
    </row>
    <row r="346712" spans="15:15" x14ac:dyDescent="0.25">
      <c r="O346712" s="9"/>
    </row>
    <row r="346733" spans="15:15" x14ac:dyDescent="0.25">
      <c r="O346733" s="9"/>
    </row>
    <row r="346754" spans="15:15" x14ac:dyDescent="0.25">
      <c r="O346754" s="9"/>
    </row>
    <row r="346775" spans="15:15" x14ac:dyDescent="0.25">
      <c r="O346775" s="9"/>
    </row>
    <row r="346796" spans="15:15" x14ac:dyDescent="0.25">
      <c r="O346796" s="9"/>
    </row>
    <row r="346817" spans="15:15" x14ac:dyDescent="0.25">
      <c r="O346817" s="9"/>
    </row>
    <row r="346838" spans="15:15" x14ac:dyDescent="0.25">
      <c r="O346838" s="9"/>
    </row>
    <row r="346859" spans="15:15" x14ac:dyDescent="0.25">
      <c r="O346859" s="9"/>
    </row>
    <row r="346880" spans="15:15" x14ac:dyDescent="0.25">
      <c r="O346880" s="9"/>
    </row>
    <row r="346901" spans="15:15" x14ac:dyDescent="0.25">
      <c r="O346901" s="9"/>
    </row>
    <row r="346922" spans="15:15" x14ac:dyDescent="0.25">
      <c r="O346922" s="9"/>
    </row>
    <row r="346943" spans="15:15" x14ac:dyDescent="0.25">
      <c r="O346943" s="9"/>
    </row>
    <row r="346964" spans="15:15" x14ac:dyDescent="0.25">
      <c r="O346964" s="9"/>
    </row>
    <row r="346985" spans="15:15" x14ac:dyDescent="0.25">
      <c r="O346985" s="9"/>
    </row>
    <row r="347006" spans="15:15" x14ac:dyDescent="0.25">
      <c r="O347006" s="9"/>
    </row>
    <row r="347027" spans="15:15" x14ac:dyDescent="0.25">
      <c r="O347027" s="9"/>
    </row>
    <row r="347048" spans="15:15" x14ac:dyDescent="0.25">
      <c r="O347048" s="9"/>
    </row>
    <row r="347069" spans="15:15" x14ac:dyDescent="0.25">
      <c r="O347069" s="9"/>
    </row>
    <row r="347090" spans="15:15" x14ac:dyDescent="0.25">
      <c r="O347090" s="9"/>
    </row>
    <row r="347111" spans="15:15" x14ac:dyDescent="0.25">
      <c r="O347111" s="9"/>
    </row>
    <row r="347132" spans="15:15" x14ac:dyDescent="0.25">
      <c r="O347132" s="9"/>
    </row>
    <row r="347153" spans="15:15" x14ac:dyDescent="0.25">
      <c r="O347153" s="9"/>
    </row>
    <row r="347174" spans="15:15" x14ac:dyDescent="0.25">
      <c r="O347174" s="9"/>
    </row>
    <row r="347195" spans="15:15" x14ac:dyDescent="0.25">
      <c r="O347195" s="9"/>
    </row>
    <row r="347216" spans="15:15" x14ac:dyDescent="0.25">
      <c r="O347216" s="9"/>
    </row>
    <row r="347237" spans="15:15" x14ac:dyDescent="0.25">
      <c r="O347237" s="9"/>
    </row>
    <row r="347258" spans="15:15" x14ac:dyDescent="0.25">
      <c r="O347258" s="9"/>
    </row>
    <row r="347279" spans="15:15" x14ac:dyDescent="0.25">
      <c r="O347279" s="9"/>
    </row>
    <row r="347300" spans="15:15" x14ac:dyDescent="0.25">
      <c r="O347300" s="9"/>
    </row>
    <row r="347321" spans="15:15" x14ac:dyDescent="0.25">
      <c r="O347321" s="9"/>
    </row>
    <row r="347342" spans="15:15" x14ac:dyDescent="0.25">
      <c r="O347342" s="9"/>
    </row>
    <row r="347363" spans="15:15" x14ac:dyDescent="0.25">
      <c r="O347363" s="9"/>
    </row>
    <row r="347384" spans="15:15" x14ac:dyDescent="0.25">
      <c r="O347384" s="9"/>
    </row>
    <row r="347405" spans="15:15" x14ac:dyDescent="0.25">
      <c r="O347405" s="9"/>
    </row>
    <row r="347426" spans="15:15" x14ac:dyDescent="0.25">
      <c r="O347426" s="9"/>
    </row>
    <row r="347447" spans="15:15" x14ac:dyDescent="0.25">
      <c r="O347447" s="9"/>
    </row>
    <row r="347468" spans="15:15" x14ac:dyDescent="0.25">
      <c r="O347468" s="9"/>
    </row>
    <row r="347489" spans="15:15" x14ac:dyDescent="0.25">
      <c r="O347489" s="9"/>
    </row>
    <row r="347510" spans="15:15" x14ac:dyDescent="0.25">
      <c r="O347510" s="9"/>
    </row>
    <row r="347531" spans="15:15" x14ac:dyDescent="0.25">
      <c r="O347531" s="9"/>
    </row>
    <row r="347552" spans="15:15" x14ac:dyDescent="0.25">
      <c r="O347552" s="9"/>
    </row>
    <row r="347573" spans="15:15" x14ac:dyDescent="0.25">
      <c r="O347573" s="9"/>
    </row>
    <row r="347594" spans="15:15" x14ac:dyDescent="0.25">
      <c r="O347594" s="9"/>
    </row>
    <row r="347615" spans="15:15" x14ac:dyDescent="0.25">
      <c r="O347615" s="9"/>
    </row>
    <row r="347636" spans="15:15" x14ac:dyDescent="0.25">
      <c r="O347636" s="9"/>
    </row>
    <row r="347657" spans="15:15" x14ac:dyDescent="0.25">
      <c r="O347657" s="9"/>
    </row>
    <row r="347678" spans="15:15" x14ac:dyDescent="0.25">
      <c r="O347678" s="9"/>
    </row>
    <row r="347699" spans="15:15" x14ac:dyDescent="0.25">
      <c r="O347699" s="9"/>
    </row>
    <row r="347720" spans="15:15" x14ac:dyDescent="0.25">
      <c r="O347720" s="9"/>
    </row>
    <row r="347741" spans="15:15" x14ac:dyDescent="0.25">
      <c r="O347741" s="9"/>
    </row>
    <row r="347762" spans="15:15" x14ac:dyDescent="0.25">
      <c r="O347762" s="9"/>
    </row>
    <row r="347783" spans="15:15" x14ac:dyDescent="0.25">
      <c r="O347783" s="9"/>
    </row>
    <row r="347804" spans="15:15" x14ac:dyDescent="0.25">
      <c r="O347804" s="9"/>
    </row>
    <row r="347825" spans="15:15" x14ac:dyDescent="0.25">
      <c r="O347825" s="9"/>
    </row>
    <row r="347846" spans="15:15" x14ac:dyDescent="0.25">
      <c r="O347846" s="9"/>
    </row>
    <row r="347867" spans="15:15" x14ac:dyDescent="0.25">
      <c r="O347867" s="9"/>
    </row>
    <row r="347888" spans="15:15" x14ac:dyDescent="0.25">
      <c r="O347888" s="9"/>
    </row>
    <row r="347909" spans="15:15" x14ac:dyDescent="0.25">
      <c r="O347909" s="9"/>
    </row>
    <row r="347930" spans="15:15" x14ac:dyDescent="0.25">
      <c r="O347930" s="9"/>
    </row>
    <row r="347951" spans="15:15" x14ac:dyDescent="0.25">
      <c r="O347951" s="9"/>
    </row>
    <row r="347972" spans="15:15" x14ac:dyDescent="0.25">
      <c r="O347972" s="9"/>
    </row>
    <row r="347993" spans="15:15" x14ac:dyDescent="0.25">
      <c r="O347993" s="9"/>
    </row>
    <row r="348014" spans="15:15" x14ac:dyDescent="0.25">
      <c r="O348014" s="9"/>
    </row>
    <row r="348035" spans="15:15" x14ac:dyDescent="0.25">
      <c r="O348035" s="9"/>
    </row>
    <row r="348056" spans="15:15" x14ac:dyDescent="0.25">
      <c r="O348056" s="9"/>
    </row>
    <row r="348077" spans="15:15" x14ac:dyDescent="0.25">
      <c r="O348077" s="9"/>
    </row>
    <row r="348098" spans="15:15" x14ac:dyDescent="0.25">
      <c r="O348098" s="9"/>
    </row>
    <row r="348119" spans="15:15" x14ac:dyDescent="0.25">
      <c r="O348119" s="9"/>
    </row>
    <row r="348140" spans="15:15" x14ac:dyDescent="0.25">
      <c r="O348140" s="9"/>
    </row>
    <row r="348161" spans="15:15" x14ac:dyDescent="0.25">
      <c r="O348161" s="9"/>
    </row>
    <row r="348182" spans="15:15" x14ac:dyDescent="0.25">
      <c r="O348182" s="9"/>
    </row>
    <row r="348203" spans="15:15" x14ac:dyDescent="0.25">
      <c r="O348203" s="9"/>
    </row>
    <row r="348224" spans="15:15" x14ac:dyDescent="0.25">
      <c r="O348224" s="9"/>
    </row>
    <row r="348245" spans="15:15" x14ac:dyDescent="0.25">
      <c r="O348245" s="9"/>
    </row>
    <row r="348266" spans="15:15" x14ac:dyDescent="0.25">
      <c r="O348266" s="9"/>
    </row>
    <row r="348287" spans="15:15" x14ac:dyDescent="0.25">
      <c r="O348287" s="9"/>
    </row>
    <row r="348308" spans="15:15" x14ac:dyDescent="0.25">
      <c r="O348308" s="9"/>
    </row>
    <row r="348329" spans="15:15" x14ac:dyDescent="0.25">
      <c r="O348329" s="9"/>
    </row>
    <row r="348350" spans="15:15" x14ac:dyDescent="0.25">
      <c r="O348350" s="9"/>
    </row>
    <row r="348371" spans="15:15" x14ac:dyDescent="0.25">
      <c r="O348371" s="9"/>
    </row>
    <row r="348392" spans="15:15" x14ac:dyDescent="0.25">
      <c r="O348392" s="9"/>
    </row>
    <row r="348413" spans="15:15" x14ac:dyDescent="0.25">
      <c r="O348413" s="9"/>
    </row>
    <row r="348434" spans="15:15" x14ac:dyDescent="0.25">
      <c r="O348434" s="9"/>
    </row>
    <row r="348455" spans="15:15" x14ac:dyDescent="0.25">
      <c r="O348455" s="9"/>
    </row>
    <row r="348476" spans="15:15" x14ac:dyDescent="0.25">
      <c r="O348476" s="9"/>
    </row>
    <row r="348497" spans="15:15" x14ac:dyDescent="0.25">
      <c r="O348497" s="9"/>
    </row>
    <row r="348518" spans="15:15" x14ac:dyDescent="0.25">
      <c r="O348518" s="9"/>
    </row>
    <row r="348539" spans="15:15" x14ac:dyDescent="0.25">
      <c r="O348539" s="9"/>
    </row>
    <row r="348560" spans="15:15" x14ac:dyDescent="0.25">
      <c r="O348560" s="9"/>
    </row>
    <row r="348581" spans="15:15" x14ac:dyDescent="0.25">
      <c r="O348581" s="9"/>
    </row>
    <row r="348602" spans="15:15" x14ac:dyDescent="0.25">
      <c r="O348602" s="9"/>
    </row>
    <row r="348623" spans="15:15" x14ac:dyDescent="0.25">
      <c r="O348623" s="9"/>
    </row>
    <row r="348644" spans="15:15" x14ac:dyDescent="0.25">
      <c r="O348644" s="9"/>
    </row>
    <row r="348665" spans="15:15" x14ac:dyDescent="0.25">
      <c r="O348665" s="9"/>
    </row>
    <row r="348686" spans="15:15" x14ac:dyDescent="0.25">
      <c r="O348686" s="9"/>
    </row>
    <row r="348707" spans="15:15" x14ac:dyDescent="0.25">
      <c r="O348707" s="9"/>
    </row>
    <row r="348728" spans="15:15" x14ac:dyDescent="0.25">
      <c r="O348728" s="9"/>
    </row>
    <row r="348749" spans="15:15" x14ac:dyDescent="0.25">
      <c r="O348749" s="9"/>
    </row>
    <row r="348770" spans="15:15" x14ac:dyDescent="0.25">
      <c r="O348770" s="9"/>
    </row>
    <row r="348791" spans="15:15" x14ac:dyDescent="0.25">
      <c r="O348791" s="9"/>
    </row>
    <row r="348812" spans="15:15" x14ac:dyDescent="0.25">
      <c r="O348812" s="9"/>
    </row>
    <row r="348833" spans="15:15" x14ac:dyDescent="0.25">
      <c r="O348833" s="9"/>
    </row>
    <row r="348854" spans="15:15" x14ac:dyDescent="0.25">
      <c r="O348854" s="9"/>
    </row>
    <row r="348875" spans="15:15" x14ac:dyDescent="0.25">
      <c r="O348875" s="9"/>
    </row>
    <row r="348896" spans="15:15" x14ac:dyDescent="0.25">
      <c r="O348896" s="9"/>
    </row>
    <row r="348917" spans="15:15" x14ac:dyDescent="0.25">
      <c r="O348917" s="9"/>
    </row>
    <row r="348938" spans="15:15" x14ac:dyDescent="0.25">
      <c r="O348938" s="9"/>
    </row>
    <row r="348959" spans="15:15" x14ac:dyDescent="0.25">
      <c r="O348959" s="9"/>
    </row>
    <row r="348980" spans="15:15" x14ac:dyDescent="0.25">
      <c r="O348980" s="9"/>
    </row>
    <row r="349001" spans="15:15" x14ac:dyDescent="0.25">
      <c r="O349001" s="9"/>
    </row>
    <row r="349022" spans="15:15" x14ac:dyDescent="0.25">
      <c r="O349022" s="9"/>
    </row>
    <row r="349043" spans="15:15" x14ac:dyDescent="0.25">
      <c r="O349043" s="9"/>
    </row>
    <row r="349064" spans="15:15" x14ac:dyDescent="0.25">
      <c r="O349064" s="9"/>
    </row>
    <row r="349085" spans="15:15" x14ac:dyDescent="0.25">
      <c r="O349085" s="9"/>
    </row>
    <row r="349106" spans="15:15" x14ac:dyDescent="0.25">
      <c r="O349106" s="9"/>
    </row>
    <row r="349127" spans="15:15" x14ac:dyDescent="0.25">
      <c r="O349127" s="9"/>
    </row>
    <row r="349148" spans="15:15" x14ac:dyDescent="0.25">
      <c r="O349148" s="9"/>
    </row>
    <row r="349169" spans="15:15" x14ac:dyDescent="0.25">
      <c r="O349169" s="9"/>
    </row>
    <row r="349190" spans="15:15" x14ac:dyDescent="0.25">
      <c r="O349190" s="9"/>
    </row>
    <row r="349211" spans="15:15" x14ac:dyDescent="0.25">
      <c r="O349211" s="9"/>
    </row>
    <row r="349232" spans="15:15" x14ac:dyDescent="0.25">
      <c r="O349232" s="9"/>
    </row>
    <row r="349253" spans="15:15" x14ac:dyDescent="0.25">
      <c r="O349253" s="9"/>
    </row>
    <row r="349274" spans="15:15" x14ac:dyDescent="0.25">
      <c r="O349274" s="9"/>
    </row>
    <row r="349295" spans="15:15" x14ac:dyDescent="0.25">
      <c r="O349295" s="9"/>
    </row>
    <row r="349316" spans="15:15" x14ac:dyDescent="0.25">
      <c r="O349316" s="9"/>
    </row>
    <row r="349337" spans="15:15" x14ac:dyDescent="0.25">
      <c r="O349337" s="9"/>
    </row>
    <row r="349358" spans="15:15" x14ac:dyDescent="0.25">
      <c r="O349358" s="9"/>
    </row>
    <row r="349379" spans="15:15" x14ac:dyDescent="0.25">
      <c r="O349379" s="9"/>
    </row>
    <row r="349400" spans="15:15" x14ac:dyDescent="0.25">
      <c r="O349400" s="9"/>
    </row>
    <row r="349421" spans="15:15" x14ac:dyDescent="0.25">
      <c r="O349421" s="9"/>
    </row>
    <row r="349442" spans="15:15" x14ac:dyDescent="0.25">
      <c r="O349442" s="9"/>
    </row>
    <row r="349463" spans="15:15" x14ac:dyDescent="0.25">
      <c r="O349463" s="9"/>
    </row>
    <row r="349484" spans="15:15" x14ac:dyDescent="0.25">
      <c r="O349484" s="9"/>
    </row>
    <row r="349505" spans="15:15" x14ac:dyDescent="0.25">
      <c r="O349505" s="9"/>
    </row>
    <row r="349526" spans="15:15" x14ac:dyDescent="0.25">
      <c r="O349526" s="9"/>
    </row>
    <row r="349547" spans="15:15" x14ac:dyDescent="0.25">
      <c r="O349547" s="9"/>
    </row>
    <row r="349568" spans="15:15" x14ac:dyDescent="0.25">
      <c r="O349568" s="9"/>
    </row>
    <row r="349589" spans="15:15" x14ac:dyDescent="0.25">
      <c r="O349589" s="9"/>
    </row>
    <row r="349610" spans="15:15" x14ac:dyDescent="0.25">
      <c r="O349610" s="9"/>
    </row>
    <row r="349631" spans="15:15" x14ac:dyDescent="0.25">
      <c r="O349631" s="9"/>
    </row>
    <row r="349652" spans="15:15" x14ac:dyDescent="0.25">
      <c r="O349652" s="9"/>
    </row>
    <row r="349673" spans="15:15" x14ac:dyDescent="0.25">
      <c r="O349673" s="9"/>
    </row>
    <row r="349694" spans="15:15" x14ac:dyDescent="0.25">
      <c r="O349694" s="9"/>
    </row>
    <row r="349715" spans="15:15" x14ac:dyDescent="0.25">
      <c r="O349715" s="9"/>
    </row>
    <row r="349736" spans="15:15" x14ac:dyDescent="0.25">
      <c r="O349736" s="9"/>
    </row>
    <row r="349757" spans="15:15" x14ac:dyDescent="0.25">
      <c r="O349757" s="9"/>
    </row>
    <row r="349778" spans="15:15" x14ac:dyDescent="0.25">
      <c r="O349778" s="9"/>
    </row>
    <row r="349799" spans="15:15" x14ac:dyDescent="0.25">
      <c r="O349799" s="9"/>
    </row>
    <row r="349820" spans="15:15" x14ac:dyDescent="0.25">
      <c r="O349820" s="9"/>
    </row>
    <row r="349841" spans="15:15" x14ac:dyDescent="0.25">
      <c r="O349841" s="9"/>
    </row>
    <row r="349862" spans="15:15" x14ac:dyDescent="0.25">
      <c r="O349862" s="9"/>
    </row>
    <row r="349883" spans="15:15" x14ac:dyDescent="0.25">
      <c r="O349883" s="9"/>
    </row>
    <row r="349904" spans="15:15" x14ac:dyDescent="0.25">
      <c r="O349904" s="9"/>
    </row>
    <row r="349925" spans="15:15" x14ac:dyDescent="0.25">
      <c r="O349925" s="9"/>
    </row>
    <row r="349946" spans="15:15" x14ac:dyDescent="0.25">
      <c r="O349946" s="9"/>
    </row>
    <row r="349967" spans="15:15" x14ac:dyDescent="0.25">
      <c r="O349967" s="9"/>
    </row>
    <row r="349988" spans="15:15" x14ac:dyDescent="0.25">
      <c r="O349988" s="9"/>
    </row>
    <row r="350009" spans="15:15" x14ac:dyDescent="0.25">
      <c r="O350009" s="9"/>
    </row>
    <row r="350030" spans="15:15" x14ac:dyDescent="0.25">
      <c r="O350030" s="9"/>
    </row>
    <row r="350051" spans="15:15" x14ac:dyDescent="0.25">
      <c r="O350051" s="9"/>
    </row>
    <row r="350072" spans="15:15" x14ac:dyDescent="0.25">
      <c r="O350072" s="9"/>
    </row>
    <row r="350093" spans="15:15" x14ac:dyDescent="0.25">
      <c r="O350093" s="9"/>
    </row>
    <row r="350114" spans="15:15" x14ac:dyDescent="0.25">
      <c r="O350114" s="9"/>
    </row>
    <row r="350135" spans="15:15" x14ac:dyDescent="0.25">
      <c r="O350135" s="9"/>
    </row>
    <row r="350156" spans="15:15" x14ac:dyDescent="0.25">
      <c r="O350156" s="9"/>
    </row>
    <row r="350177" spans="15:15" x14ac:dyDescent="0.25">
      <c r="O350177" s="9"/>
    </row>
    <row r="350198" spans="15:15" x14ac:dyDescent="0.25">
      <c r="O350198" s="9"/>
    </row>
    <row r="350219" spans="15:15" x14ac:dyDescent="0.25">
      <c r="O350219" s="9"/>
    </row>
    <row r="350240" spans="15:15" x14ac:dyDescent="0.25">
      <c r="O350240" s="9"/>
    </row>
    <row r="350261" spans="15:15" x14ac:dyDescent="0.25">
      <c r="O350261" s="9"/>
    </row>
    <row r="350282" spans="15:15" x14ac:dyDescent="0.25">
      <c r="O350282" s="9"/>
    </row>
    <row r="350303" spans="15:15" x14ac:dyDescent="0.25">
      <c r="O350303" s="9"/>
    </row>
    <row r="350324" spans="15:15" x14ac:dyDescent="0.25">
      <c r="O350324" s="9"/>
    </row>
    <row r="350345" spans="15:15" x14ac:dyDescent="0.25">
      <c r="O350345" s="9"/>
    </row>
    <row r="350366" spans="15:15" x14ac:dyDescent="0.25">
      <c r="O350366" s="9"/>
    </row>
    <row r="350387" spans="15:15" x14ac:dyDescent="0.25">
      <c r="O350387" s="9"/>
    </row>
    <row r="350408" spans="15:15" x14ac:dyDescent="0.25">
      <c r="O350408" s="9"/>
    </row>
    <row r="350429" spans="15:15" x14ac:dyDescent="0.25">
      <c r="O350429" s="9"/>
    </row>
    <row r="350450" spans="15:15" x14ac:dyDescent="0.25">
      <c r="O350450" s="9"/>
    </row>
    <row r="350471" spans="15:15" x14ac:dyDescent="0.25">
      <c r="O350471" s="9"/>
    </row>
    <row r="350492" spans="15:15" x14ac:dyDescent="0.25">
      <c r="O350492" s="9"/>
    </row>
    <row r="350513" spans="15:15" x14ac:dyDescent="0.25">
      <c r="O350513" s="9"/>
    </row>
    <row r="350534" spans="15:15" x14ac:dyDescent="0.25">
      <c r="O350534" s="9"/>
    </row>
    <row r="350555" spans="15:15" x14ac:dyDescent="0.25">
      <c r="O350555" s="9"/>
    </row>
    <row r="350576" spans="15:15" x14ac:dyDescent="0.25">
      <c r="O350576" s="9"/>
    </row>
    <row r="350597" spans="15:15" x14ac:dyDescent="0.25">
      <c r="O350597" s="9"/>
    </row>
    <row r="350618" spans="15:15" x14ac:dyDescent="0.25">
      <c r="O350618" s="9"/>
    </row>
    <row r="350639" spans="15:15" x14ac:dyDescent="0.25">
      <c r="O350639" s="9"/>
    </row>
    <row r="350660" spans="15:15" x14ac:dyDescent="0.25">
      <c r="O350660" s="9"/>
    </row>
    <row r="350681" spans="15:15" x14ac:dyDescent="0.25">
      <c r="O350681" s="9"/>
    </row>
    <row r="350702" spans="15:15" x14ac:dyDescent="0.25">
      <c r="O350702" s="9"/>
    </row>
    <row r="350723" spans="15:15" x14ac:dyDescent="0.25">
      <c r="O350723" s="9"/>
    </row>
    <row r="350744" spans="15:15" x14ac:dyDescent="0.25">
      <c r="O350744" s="9"/>
    </row>
    <row r="350765" spans="15:15" x14ac:dyDescent="0.25">
      <c r="O350765" s="9"/>
    </row>
    <row r="350786" spans="15:15" x14ac:dyDescent="0.25">
      <c r="O350786" s="9"/>
    </row>
    <row r="350807" spans="15:15" x14ac:dyDescent="0.25">
      <c r="O350807" s="9"/>
    </row>
    <row r="350828" spans="15:15" x14ac:dyDescent="0.25">
      <c r="O350828" s="9"/>
    </row>
    <row r="350849" spans="15:15" x14ac:dyDescent="0.25">
      <c r="O350849" s="9"/>
    </row>
    <row r="350870" spans="15:15" x14ac:dyDescent="0.25">
      <c r="O350870" s="9"/>
    </row>
    <row r="350891" spans="15:15" x14ac:dyDescent="0.25">
      <c r="O350891" s="9"/>
    </row>
    <row r="350912" spans="15:15" x14ac:dyDescent="0.25">
      <c r="O350912" s="9"/>
    </row>
    <row r="350933" spans="15:15" x14ac:dyDescent="0.25">
      <c r="O350933" s="9"/>
    </row>
    <row r="350954" spans="15:15" x14ac:dyDescent="0.25">
      <c r="O350954" s="9"/>
    </row>
    <row r="350975" spans="15:15" x14ac:dyDescent="0.25">
      <c r="O350975" s="9"/>
    </row>
    <row r="350996" spans="15:15" x14ac:dyDescent="0.25">
      <c r="O350996" s="9"/>
    </row>
    <row r="351017" spans="15:15" x14ac:dyDescent="0.25">
      <c r="O351017" s="9"/>
    </row>
    <row r="351038" spans="15:15" x14ac:dyDescent="0.25">
      <c r="O351038" s="9"/>
    </row>
    <row r="351059" spans="15:15" x14ac:dyDescent="0.25">
      <c r="O351059" s="9"/>
    </row>
    <row r="351080" spans="15:15" x14ac:dyDescent="0.25">
      <c r="O351080" s="9"/>
    </row>
    <row r="351101" spans="15:15" x14ac:dyDescent="0.25">
      <c r="O351101" s="9"/>
    </row>
    <row r="351122" spans="15:15" x14ac:dyDescent="0.25">
      <c r="O351122" s="9"/>
    </row>
    <row r="351143" spans="15:15" x14ac:dyDescent="0.25">
      <c r="O351143" s="9"/>
    </row>
    <row r="351164" spans="15:15" x14ac:dyDescent="0.25">
      <c r="O351164" s="9"/>
    </row>
    <row r="351185" spans="15:15" x14ac:dyDescent="0.25">
      <c r="O351185" s="9"/>
    </row>
    <row r="351206" spans="15:15" x14ac:dyDescent="0.25">
      <c r="O351206" s="9"/>
    </row>
    <row r="351227" spans="15:15" x14ac:dyDescent="0.25">
      <c r="O351227" s="9"/>
    </row>
    <row r="351248" spans="15:15" x14ac:dyDescent="0.25">
      <c r="O351248" s="9"/>
    </row>
    <row r="351269" spans="15:15" x14ac:dyDescent="0.25">
      <c r="O351269" s="9"/>
    </row>
    <row r="351290" spans="15:15" x14ac:dyDescent="0.25">
      <c r="O351290" s="9"/>
    </row>
    <row r="351311" spans="15:15" x14ac:dyDescent="0.25">
      <c r="O351311" s="9"/>
    </row>
    <row r="351332" spans="15:15" x14ac:dyDescent="0.25">
      <c r="O351332" s="9"/>
    </row>
    <row r="351353" spans="15:15" x14ac:dyDescent="0.25">
      <c r="O351353" s="9"/>
    </row>
    <row r="351374" spans="15:15" x14ac:dyDescent="0.25">
      <c r="O351374" s="9"/>
    </row>
    <row r="351395" spans="15:15" x14ac:dyDescent="0.25">
      <c r="O351395" s="9"/>
    </row>
    <row r="351416" spans="15:15" x14ac:dyDescent="0.25">
      <c r="O351416" s="9"/>
    </row>
    <row r="351437" spans="15:15" x14ac:dyDescent="0.25">
      <c r="O351437" s="9"/>
    </row>
    <row r="351458" spans="15:15" x14ac:dyDescent="0.25">
      <c r="O351458" s="9"/>
    </row>
    <row r="351479" spans="15:15" x14ac:dyDescent="0.25">
      <c r="O351479" s="9"/>
    </row>
    <row r="351500" spans="15:15" x14ac:dyDescent="0.25">
      <c r="O351500" s="9"/>
    </row>
    <row r="351521" spans="15:15" x14ac:dyDescent="0.25">
      <c r="O351521" s="9"/>
    </row>
    <row r="351542" spans="15:15" x14ac:dyDescent="0.25">
      <c r="O351542" s="9"/>
    </row>
    <row r="351563" spans="15:15" x14ac:dyDescent="0.25">
      <c r="O351563" s="9"/>
    </row>
    <row r="351584" spans="15:15" x14ac:dyDescent="0.25">
      <c r="O351584" s="9"/>
    </row>
    <row r="351605" spans="15:15" x14ac:dyDescent="0.25">
      <c r="O351605" s="9"/>
    </row>
    <row r="351626" spans="15:15" x14ac:dyDescent="0.25">
      <c r="O351626" s="9"/>
    </row>
    <row r="351647" spans="15:15" x14ac:dyDescent="0.25">
      <c r="O351647" s="9"/>
    </row>
    <row r="351668" spans="15:15" x14ac:dyDescent="0.25">
      <c r="O351668" s="9"/>
    </row>
    <row r="351689" spans="15:15" x14ac:dyDescent="0.25">
      <c r="O351689" s="9"/>
    </row>
    <row r="351710" spans="15:15" x14ac:dyDescent="0.25">
      <c r="O351710" s="9"/>
    </row>
    <row r="351731" spans="15:15" x14ac:dyDescent="0.25">
      <c r="O351731" s="9"/>
    </row>
    <row r="351752" spans="15:15" x14ac:dyDescent="0.25">
      <c r="O351752" s="9"/>
    </row>
    <row r="351773" spans="15:15" x14ac:dyDescent="0.25">
      <c r="O351773" s="9"/>
    </row>
    <row r="351794" spans="15:15" x14ac:dyDescent="0.25">
      <c r="O351794" s="9"/>
    </row>
    <row r="351815" spans="15:15" x14ac:dyDescent="0.25">
      <c r="O351815" s="9"/>
    </row>
    <row r="351836" spans="15:15" x14ac:dyDescent="0.25">
      <c r="O351836" s="9"/>
    </row>
    <row r="351857" spans="15:15" x14ac:dyDescent="0.25">
      <c r="O351857" s="9"/>
    </row>
    <row r="351878" spans="15:15" x14ac:dyDescent="0.25">
      <c r="O351878" s="9"/>
    </row>
    <row r="351899" spans="15:15" x14ac:dyDescent="0.25">
      <c r="O351899" s="9"/>
    </row>
    <row r="351920" spans="15:15" x14ac:dyDescent="0.25">
      <c r="O351920" s="9"/>
    </row>
    <row r="351941" spans="15:15" x14ac:dyDescent="0.25">
      <c r="O351941" s="9"/>
    </row>
    <row r="351962" spans="15:15" x14ac:dyDescent="0.25">
      <c r="O351962" s="9"/>
    </row>
    <row r="351983" spans="15:15" x14ac:dyDescent="0.25">
      <c r="O351983" s="9"/>
    </row>
    <row r="352004" spans="15:15" x14ac:dyDescent="0.25">
      <c r="O352004" s="9"/>
    </row>
    <row r="352025" spans="15:15" x14ac:dyDescent="0.25">
      <c r="O352025" s="9"/>
    </row>
    <row r="352046" spans="15:15" x14ac:dyDescent="0.25">
      <c r="O352046" s="9"/>
    </row>
    <row r="352067" spans="15:15" x14ac:dyDescent="0.25">
      <c r="O352067" s="9"/>
    </row>
    <row r="352088" spans="15:15" x14ac:dyDescent="0.25">
      <c r="O352088" s="9"/>
    </row>
    <row r="352109" spans="15:15" x14ac:dyDescent="0.25">
      <c r="O352109" s="9"/>
    </row>
    <row r="352130" spans="15:15" x14ac:dyDescent="0.25">
      <c r="O352130" s="9"/>
    </row>
    <row r="352151" spans="15:15" x14ac:dyDescent="0.25">
      <c r="O352151" s="9"/>
    </row>
    <row r="352172" spans="15:15" x14ac:dyDescent="0.25">
      <c r="O352172" s="9"/>
    </row>
    <row r="352193" spans="15:15" x14ac:dyDescent="0.25">
      <c r="O352193" s="9"/>
    </row>
    <row r="352214" spans="15:15" x14ac:dyDescent="0.25">
      <c r="O352214" s="9"/>
    </row>
    <row r="352235" spans="15:15" x14ac:dyDescent="0.25">
      <c r="O352235" s="9"/>
    </row>
    <row r="352256" spans="15:15" x14ac:dyDescent="0.25">
      <c r="O352256" s="9"/>
    </row>
    <row r="352277" spans="15:15" x14ac:dyDescent="0.25">
      <c r="O352277" s="9"/>
    </row>
    <row r="352298" spans="15:15" x14ac:dyDescent="0.25">
      <c r="O352298" s="9"/>
    </row>
    <row r="352319" spans="15:15" x14ac:dyDescent="0.25">
      <c r="O352319" s="9"/>
    </row>
    <row r="352340" spans="15:15" x14ac:dyDescent="0.25">
      <c r="O352340" s="9"/>
    </row>
    <row r="352361" spans="15:15" x14ac:dyDescent="0.25">
      <c r="O352361" s="9"/>
    </row>
    <row r="352382" spans="15:15" x14ac:dyDescent="0.25">
      <c r="O352382" s="9"/>
    </row>
    <row r="352403" spans="15:15" x14ac:dyDescent="0.25">
      <c r="O352403" s="9"/>
    </row>
    <row r="352424" spans="15:15" x14ac:dyDescent="0.25">
      <c r="O352424" s="9"/>
    </row>
    <row r="352445" spans="15:15" x14ac:dyDescent="0.25">
      <c r="O352445" s="9"/>
    </row>
    <row r="352466" spans="15:15" x14ac:dyDescent="0.25">
      <c r="O352466" s="9"/>
    </row>
    <row r="352487" spans="15:15" x14ac:dyDescent="0.25">
      <c r="O352487" s="9"/>
    </row>
    <row r="352508" spans="15:15" x14ac:dyDescent="0.25">
      <c r="O352508" s="9"/>
    </row>
    <row r="352529" spans="15:15" x14ac:dyDescent="0.25">
      <c r="O352529" s="9"/>
    </row>
    <row r="352550" spans="15:15" x14ac:dyDescent="0.25">
      <c r="O352550" s="9"/>
    </row>
    <row r="352571" spans="15:15" x14ac:dyDescent="0.25">
      <c r="O352571" s="9"/>
    </row>
    <row r="352592" spans="15:15" x14ac:dyDescent="0.25">
      <c r="O352592" s="9"/>
    </row>
    <row r="352613" spans="15:15" x14ac:dyDescent="0.25">
      <c r="O352613" s="9"/>
    </row>
    <row r="352634" spans="15:15" x14ac:dyDescent="0.25">
      <c r="O352634" s="9"/>
    </row>
    <row r="352655" spans="15:15" x14ac:dyDescent="0.25">
      <c r="O352655" s="9"/>
    </row>
    <row r="352676" spans="15:15" x14ac:dyDescent="0.25">
      <c r="O352676" s="9"/>
    </row>
    <row r="352697" spans="15:15" x14ac:dyDescent="0.25">
      <c r="O352697" s="9"/>
    </row>
    <row r="352718" spans="15:15" x14ac:dyDescent="0.25">
      <c r="O352718" s="9"/>
    </row>
    <row r="352739" spans="15:15" x14ac:dyDescent="0.25">
      <c r="O352739" s="9"/>
    </row>
    <row r="352760" spans="15:15" x14ac:dyDescent="0.25">
      <c r="O352760" s="9"/>
    </row>
    <row r="352781" spans="15:15" x14ac:dyDescent="0.25">
      <c r="O352781" s="9"/>
    </row>
    <row r="352802" spans="15:15" x14ac:dyDescent="0.25">
      <c r="O352802" s="9"/>
    </row>
    <row r="352823" spans="15:15" x14ac:dyDescent="0.25">
      <c r="O352823" s="9"/>
    </row>
    <row r="352844" spans="15:15" x14ac:dyDescent="0.25">
      <c r="O352844" s="9"/>
    </row>
    <row r="352865" spans="15:15" x14ac:dyDescent="0.25">
      <c r="O352865" s="9"/>
    </row>
    <row r="352886" spans="15:15" x14ac:dyDescent="0.25">
      <c r="O352886" s="9"/>
    </row>
    <row r="352907" spans="15:15" x14ac:dyDescent="0.25">
      <c r="O352907" s="9"/>
    </row>
    <row r="352928" spans="15:15" x14ac:dyDescent="0.25">
      <c r="O352928" s="9"/>
    </row>
    <row r="352949" spans="15:15" x14ac:dyDescent="0.25">
      <c r="O352949" s="9"/>
    </row>
    <row r="352970" spans="15:15" x14ac:dyDescent="0.25">
      <c r="O352970" s="9"/>
    </row>
    <row r="352991" spans="15:15" x14ac:dyDescent="0.25">
      <c r="O352991" s="9"/>
    </row>
    <row r="353012" spans="15:15" x14ac:dyDescent="0.25">
      <c r="O353012" s="9"/>
    </row>
    <row r="353033" spans="15:15" x14ac:dyDescent="0.25">
      <c r="O353033" s="9"/>
    </row>
    <row r="353054" spans="15:15" x14ac:dyDescent="0.25">
      <c r="O353054" s="9"/>
    </row>
    <row r="353075" spans="15:15" x14ac:dyDescent="0.25">
      <c r="O353075" s="9"/>
    </row>
    <row r="353096" spans="15:15" x14ac:dyDescent="0.25">
      <c r="O353096" s="9"/>
    </row>
    <row r="353117" spans="15:15" x14ac:dyDescent="0.25">
      <c r="O353117" s="9"/>
    </row>
    <row r="353138" spans="15:15" x14ac:dyDescent="0.25">
      <c r="O353138" s="9"/>
    </row>
    <row r="353159" spans="15:15" x14ac:dyDescent="0.25">
      <c r="O353159" s="9"/>
    </row>
    <row r="353180" spans="15:15" x14ac:dyDescent="0.25">
      <c r="O353180" s="9"/>
    </row>
    <row r="353201" spans="15:15" x14ac:dyDescent="0.25">
      <c r="O353201" s="9"/>
    </row>
    <row r="353222" spans="15:15" x14ac:dyDescent="0.25">
      <c r="O353222" s="9"/>
    </row>
    <row r="353243" spans="15:15" x14ac:dyDescent="0.25">
      <c r="O353243" s="9"/>
    </row>
    <row r="353264" spans="15:15" x14ac:dyDescent="0.25">
      <c r="O353264" s="9"/>
    </row>
    <row r="353285" spans="15:15" x14ac:dyDescent="0.25">
      <c r="O353285" s="9"/>
    </row>
    <row r="353306" spans="15:15" x14ac:dyDescent="0.25">
      <c r="O353306" s="9"/>
    </row>
    <row r="353327" spans="15:15" x14ac:dyDescent="0.25">
      <c r="O353327" s="9"/>
    </row>
    <row r="353348" spans="15:15" x14ac:dyDescent="0.25">
      <c r="O353348" s="9"/>
    </row>
    <row r="353369" spans="15:15" x14ac:dyDescent="0.25">
      <c r="O353369" s="9"/>
    </row>
    <row r="353390" spans="15:15" x14ac:dyDescent="0.25">
      <c r="O353390" s="9"/>
    </row>
    <row r="353411" spans="15:15" x14ac:dyDescent="0.25">
      <c r="O353411" s="9"/>
    </row>
    <row r="353432" spans="15:15" x14ac:dyDescent="0.25">
      <c r="O353432" s="9"/>
    </row>
    <row r="353453" spans="15:15" x14ac:dyDescent="0.25">
      <c r="O353453" s="9"/>
    </row>
    <row r="353474" spans="15:15" x14ac:dyDescent="0.25">
      <c r="O353474" s="9"/>
    </row>
    <row r="353495" spans="15:15" x14ac:dyDescent="0.25">
      <c r="O353495" s="9"/>
    </row>
    <row r="353516" spans="15:15" x14ac:dyDescent="0.25">
      <c r="O353516" s="9"/>
    </row>
    <row r="353537" spans="15:15" x14ac:dyDescent="0.25">
      <c r="O353537" s="9"/>
    </row>
    <row r="353558" spans="15:15" x14ac:dyDescent="0.25">
      <c r="O353558" s="9"/>
    </row>
    <row r="353579" spans="15:15" x14ac:dyDescent="0.25">
      <c r="O353579" s="9"/>
    </row>
    <row r="353600" spans="15:15" x14ac:dyDescent="0.25">
      <c r="O353600" s="9"/>
    </row>
    <row r="353621" spans="15:15" x14ac:dyDescent="0.25">
      <c r="O353621" s="9"/>
    </row>
    <row r="353642" spans="15:15" x14ac:dyDescent="0.25">
      <c r="O353642" s="9"/>
    </row>
    <row r="353663" spans="15:15" x14ac:dyDescent="0.25">
      <c r="O353663" s="9"/>
    </row>
    <row r="353684" spans="15:15" x14ac:dyDescent="0.25">
      <c r="O353684" s="9"/>
    </row>
    <row r="353705" spans="15:15" x14ac:dyDescent="0.25">
      <c r="O353705" s="9"/>
    </row>
    <row r="353726" spans="15:15" x14ac:dyDescent="0.25">
      <c r="O353726" s="9"/>
    </row>
    <row r="353747" spans="15:15" x14ac:dyDescent="0.25">
      <c r="O353747" s="9"/>
    </row>
    <row r="353768" spans="15:15" x14ac:dyDescent="0.25">
      <c r="O353768" s="9"/>
    </row>
    <row r="353789" spans="15:15" x14ac:dyDescent="0.25">
      <c r="O353789" s="9"/>
    </row>
    <row r="353810" spans="15:15" x14ac:dyDescent="0.25">
      <c r="O353810" s="9"/>
    </row>
    <row r="353831" spans="15:15" x14ac:dyDescent="0.25">
      <c r="O353831" s="9"/>
    </row>
    <row r="353852" spans="15:15" x14ac:dyDescent="0.25">
      <c r="O353852" s="9"/>
    </row>
    <row r="353873" spans="15:15" x14ac:dyDescent="0.25">
      <c r="O353873" s="9"/>
    </row>
    <row r="353894" spans="15:15" x14ac:dyDescent="0.25">
      <c r="O353894" s="9"/>
    </row>
    <row r="353915" spans="15:15" x14ac:dyDescent="0.25">
      <c r="O353915" s="9"/>
    </row>
    <row r="353936" spans="15:15" x14ac:dyDescent="0.25">
      <c r="O353936" s="9"/>
    </row>
    <row r="353957" spans="15:15" x14ac:dyDescent="0.25">
      <c r="O353957" s="9"/>
    </row>
    <row r="353978" spans="15:15" x14ac:dyDescent="0.25">
      <c r="O353978" s="9"/>
    </row>
    <row r="353999" spans="15:15" x14ac:dyDescent="0.25">
      <c r="O353999" s="9"/>
    </row>
    <row r="354020" spans="15:15" x14ac:dyDescent="0.25">
      <c r="O354020" s="9"/>
    </row>
    <row r="354041" spans="15:15" x14ac:dyDescent="0.25">
      <c r="O354041" s="9"/>
    </row>
    <row r="354062" spans="15:15" x14ac:dyDescent="0.25">
      <c r="O354062" s="9"/>
    </row>
    <row r="354083" spans="15:15" x14ac:dyDescent="0.25">
      <c r="O354083" s="9"/>
    </row>
    <row r="354104" spans="15:15" x14ac:dyDescent="0.25">
      <c r="O354104" s="9"/>
    </row>
    <row r="354125" spans="15:15" x14ac:dyDescent="0.25">
      <c r="O354125" s="9"/>
    </row>
    <row r="354146" spans="15:15" x14ac:dyDescent="0.25">
      <c r="O354146" s="9"/>
    </row>
    <row r="354167" spans="15:15" x14ac:dyDescent="0.25">
      <c r="O354167" s="9"/>
    </row>
    <row r="354188" spans="15:15" x14ac:dyDescent="0.25">
      <c r="O354188" s="9"/>
    </row>
    <row r="354209" spans="15:15" x14ac:dyDescent="0.25">
      <c r="O354209" s="9"/>
    </row>
    <row r="354230" spans="15:15" x14ac:dyDescent="0.25">
      <c r="O354230" s="9"/>
    </row>
    <row r="354251" spans="15:15" x14ac:dyDescent="0.25">
      <c r="O354251" s="9"/>
    </row>
    <row r="354272" spans="15:15" x14ac:dyDescent="0.25">
      <c r="O354272" s="9"/>
    </row>
    <row r="354293" spans="15:15" x14ac:dyDescent="0.25">
      <c r="O354293" s="9"/>
    </row>
    <row r="354314" spans="15:15" x14ac:dyDescent="0.25">
      <c r="O354314" s="9"/>
    </row>
    <row r="354335" spans="15:15" x14ac:dyDescent="0.25">
      <c r="O354335" s="9"/>
    </row>
    <row r="354356" spans="15:15" x14ac:dyDescent="0.25">
      <c r="O354356" s="9"/>
    </row>
    <row r="354377" spans="15:15" x14ac:dyDescent="0.25">
      <c r="O354377" s="9"/>
    </row>
    <row r="354398" spans="15:15" x14ac:dyDescent="0.25">
      <c r="O354398" s="9"/>
    </row>
    <row r="354419" spans="15:15" x14ac:dyDescent="0.25">
      <c r="O354419" s="9"/>
    </row>
    <row r="354440" spans="15:15" x14ac:dyDescent="0.25">
      <c r="O354440" s="9"/>
    </row>
    <row r="354461" spans="15:15" x14ac:dyDescent="0.25">
      <c r="O354461" s="9"/>
    </row>
    <row r="354482" spans="15:15" x14ac:dyDescent="0.25">
      <c r="O354482" s="9"/>
    </row>
    <row r="354503" spans="15:15" x14ac:dyDescent="0.25">
      <c r="O354503" s="9"/>
    </row>
    <row r="354524" spans="15:15" x14ac:dyDescent="0.25">
      <c r="O354524" s="9"/>
    </row>
    <row r="354545" spans="15:15" x14ac:dyDescent="0.25">
      <c r="O354545" s="9"/>
    </row>
    <row r="354566" spans="15:15" x14ac:dyDescent="0.25">
      <c r="O354566" s="9"/>
    </row>
    <row r="354587" spans="15:15" x14ac:dyDescent="0.25">
      <c r="O354587" s="9"/>
    </row>
    <row r="354608" spans="15:15" x14ac:dyDescent="0.25">
      <c r="O354608" s="9"/>
    </row>
    <row r="354629" spans="15:15" x14ac:dyDescent="0.25">
      <c r="O354629" s="9"/>
    </row>
    <row r="354650" spans="15:15" x14ac:dyDescent="0.25">
      <c r="O354650" s="9"/>
    </row>
    <row r="354671" spans="15:15" x14ac:dyDescent="0.25">
      <c r="O354671" s="9"/>
    </row>
    <row r="354692" spans="15:15" x14ac:dyDescent="0.25">
      <c r="O354692" s="9"/>
    </row>
    <row r="354713" spans="15:15" x14ac:dyDescent="0.25">
      <c r="O354713" s="9"/>
    </row>
    <row r="354734" spans="15:15" x14ac:dyDescent="0.25">
      <c r="O354734" s="9"/>
    </row>
    <row r="354755" spans="15:15" x14ac:dyDescent="0.25">
      <c r="O354755" s="9"/>
    </row>
    <row r="354776" spans="15:15" x14ac:dyDescent="0.25">
      <c r="O354776" s="9"/>
    </row>
    <row r="354797" spans="15:15" x14ac:dyDescent="0.25">
      <c r="O354797" s="9"/>
    </row>
    <row r="354818" spans="15:15" x14ac:dyDescent="0.25">
      <c r="O354818" s="9"/>
    </row>
    <row r="354839" spans="15:15" x14ac:dyDescent="0.25">
      <c r="O354839" s="9"/>
    </row>
    <row r="354860" spans="15:15" x14ac:dyDescent="0.25">
      <c r="O354860" s="9"/>
    </row>
    <row r="354881" spans="15:15" x14ac:dyDescent="0.25">
      <c r="O354881" s="9"/>
    </row>
    <row r="354902" spans="15:15" x14ac:dyDescent="0.25">
      <c r="O354902" s="9"/>
    </row>
    <row r="354923" spans="15:15" x14ac:dyDescent="0.25">
      <c r="O354923" s="9"/>
    </row>
    <row r="354944" spans="15:15" x14ac:dyDescent="0.25">
      <c r="O354944" s="9"/>
    </row>
    <row r="354965" spans="15:15" x14ac:dyDescent="0.25">
      <c r="O354965" s="9"/>
    </row>
    <row r="354986" spans="15:15" x14ac:dyDescent="0.25">
      <c r="O354986" s="9"/>
    </row>
    <row r="355007" spans="15:15" x14ac:dyDescent="0.25">
      <c r="O355007" s="9"/>
    </row>
    <row r="355028" spans="15:15" x14ac:dyDescent="0.25">
      <c r="O355028" s="9"/>
    </row>
    <row r="355049" spans="15:15" x14ac:dyDescent="0.25">
      <c r="O355049" s="9"/>
    </row>
    <row r="355070" spans="15:15" x14ac:dyDescent="0.25">
      <c r="O355070" s="9"/>
    </row>
    <row r="355091" spans="15:15" x14ac:dyDescent="0.25">
      <c r="O355091" s="9"/>
    </row>
    <row r="355112" spans="15:15" x14ac:dyDescent="0.25">
      <c r="O355112" s="9"/>
    </row>
    <row r="355133" spans="15:15" x14ac:dyDescent="0.25">
      <c r="O355133" s="9"/>
    </row>
    <row r="355154" spans="15:15" x14ac:dyDescent="0.25">
      <c r="O355154" s="9"/>
    </row>
    <row r="355175" spans="15:15" x14ac:dyDescent="0.25">
      <c r="O355175" s="9"/>
    </row>
    <row r="355196" spans="15:15" x14ac:dyDescent="0.25">
      <c r="O355196" s="9"/>
    </row>
    <row r="355217" spans="15:15" x14ac:dyDescent="0.25">
      <c r="O355217" s="9"/>
    </row>
    <row r="355238" spans="15:15" x14ac:dyDescent="0.25">
      <c r="O355238" s="9"/>
    </row>
    <row r="355259" spans="15:15" x14ac:dyDescent="0.25">
      <c r="O355259" s="9"/>
    </row>
    <row r="355280" spans="15:15" x14ac:dyDescent="0.25">
      <c r="O355280" s="9"/>
    </row>
    <row r="355301" spans="15:15" x14ac:dyDescent="0.25">
      <c r="O355301" s="9"/>
    </row>
    <row r="355322" spans="15:15" x14ac:dyDescent="0.25">
      <c r="O355322" s="9"/>
    </row>
    <row r="355343" spans="15:15" x14ac:dyDescent="0.25">
      <c r="O355343" s="9"/>
    </row>
    <row r="355364" spans="15:15" x14ac:dyDescent="0.25">
      <c r="O355364" s="9"/>
    </row>
    <row r="355385" spans="15:15" x14ac:dyDescent="0.25">
      <c r="O355385" s="9"/>
    </row>
    <row r="355406" spans="15:15" x14ac:dyDescent="0.25">
      <c r="O355406" s="9"/>
    </row>
    <row r="355427" spans="15:15" x14ac:dyDescent="0.25">
      <c r="O355427" s="9"/>
    </row>
    <row r="355448" spans="15:15" x14ac:dyDescent="0.25">
      <c r="O355448" s="9"/>
    </row>
    <row r="355469" spans="15:15" x14ac:dyDescent="0.25">
      <c r="O355469" s="9"/>
    </row>
    <row r="355490" spans="15:15" x14ac:dyDescent="0.25">
      <c r="O355490" s="9"/>
    </row>
    <row r="355511" spans="15:15" x14ac:dyDescent="0.25">
      <c r="O355511" s="9"/>
    </row>
    <row r="355532" spans="15:15" x14ac:dyDescent="0.25">
      <c r="O355532" s="9"/>
    </row>
    <row r="355553" spans="15:15" x14ac:dyDescent="0.25">
      <c r="O355553" s="9"/>
    </row>
    <row r="355574" spans="15:15" x14ac:dyDescent="0.25">
      <c r="O355574" s="9"/>
    </row>
    <row r="355595" spans="15:15" x14ac:dyDescent="0.25">
      <c r="O355595" s="9"/>
    </row>
    <row r="355616" spans="15:15" x14ac:dyDescent="0.25">
      <c r="O355616" s="9"/>
    </row>
    <row r="355637" spans="15:15" x14ac:dyDescent="0.25">
      <c r="O355637" s="9"/>
    </row>
    <row r="355658" spans="15:15" x14ac:dyDescent="0.25">
      <c r="O355658" s="9"/>
    </row>
    <row r="355679" spans="15:15" x14ac:dyDescent="0.25">
      <c r="O355679" s="9"/>
    </row>
    <row r="355700" spans="15:15" x14ac:dyDescent="0.25">
      <c r="O355700" s="9"/>
    </row>
    <row r="355721" spans="15:15" x14ac:dyDescent="0.25">
      <c r="O355721" s="9"/>
    </row>
    <row r="355742" spans="15:15" x14ac:dyDescent="0.25">
      <c r="O355742" s="9"/>
    </row>
    <row r="355763" spans="15:15" x14ac:dyDescent="0.25">
      <c r="O355763" s="9"/>
    </row>
    <row r="355784" spans="15:15" x14ac:dyDescent="0.25">
      <c r="O355784" s="9"/>
    </row>
    <row r="355805" spans="15:15" x14ac:dyDescent="0.25">
      <c r="O355805" s="9"/>
    </row>
    <row r="355826" spans="15:15" x14ac:dyDescent="0.25">
      <c r="O355826" s="9"/>
    </row>
    <row r="355847" spans="15:15" x14ac:dyDescent="0.25">
      <c r="O355847" s="9"/>
    </row>
    <row r="355868" spans="15:15" x14ac:dyDescent="0.25">
      <c r="O355868" s="9"/>
    </row>
    <row r="355889" spans="15:15" x14ac:dyDescent="0.25">
      <c r="O355889" s="9"/>
    </row>
    <row r="355910" spans="15:15" x14ac:dyDescent="0.25">
      <c r="O355910" s="9"/>
    </row>
    <row r="355931" spans="15:15" x14ac:dyDescent="0.25">
      <c r="O355931" s="9"/>
    </row>
    <row r="355952" spans="15:15" x14ac:dyDescent="0.25">
      <c r="O355952" s="9"/>
    </row>
    <row r="355973" spans="15:15" x14ac:dyDescent="0.25">
      <c r="O355973" s="9"/>
    </row>
    <row r="355994" spans="15:15" x14ac:dyDescent="0.25">
      <c r="O355994" s="9"/>
    </row>
    <row r="356015" spans="15:15" x14ac:dyDescent="0.25">
      <c r="O356015" s="9"/>
    </row>
    <row r="356036" spans="15:15" x14ac:dyDescent="0.25">
      <c r="O356036" s="9"/>
    </row>
    <row r="356057" spans="15:15" x14ac:dyDescent="0.25">
      <c r="O356057" s="9"/>
    </row>
    <row r="356078" spans="15:15" x14ac:dyDescent="0.25">
      <c r="O356078" s="9"/>
    </row>
    <row r="356099" spans="15:15" x14ac:dyDescent="0.25">
      <c r="O356099" s="9"/>
    </row>
    <row r="356120" spans="15:15" x14ac:dyDescent="0.25">
      <c r="O356120" s="9"/>
    </row>
    <row r="356141" spans="15:15" x14ac:dyDescent="0.25">
      <c r="O356141" s="9"/>
    </row>
    <row r="356162" spans="15:15" x14ac:dyDescent="0.25">
      <c r="O356162" s="9"/>
    </row>
    <row r="356183" spans="15:15" x14ac:dyDescent="0.25">
      <c r="O356183" s="9"/>
    </row>
    <row r="356204" spans="15:15" x14ac:dyDescent="0.25">
      <c r="O356204" s="9"/>
    </row>
    <row r="356225" spans="15:15" x14ac:dyDescent="0.25">
      <c r="O356225" s="9"/>
    </row>
    <row r="356246" spans="15:15" x14ac:dyDescent="0.25">
      <c r="O356246" s="9"/>
    </row>
    <row r="356267" spans="15:15" x14ac:dyDescent="0.25">
      <c r="O356267" s="9"/>
    </row>
    <row r="356288" spans="15:15" x14ac:dyDescent="0.25">
      <c r="O356288" s="9"/>
    </row>
    <row r="356309" spans="15:15" x14ac:dyDescent="0.25">
      <c r="O356309" s="9"/>
    </row>
    <row r="356330" spans="15:15" x14ac:dyDescent="0.25">
      <c r="O356330" s="9"/>
    </row>
    <row r="356351" spans="15:15" x14ac:dyDescent="0.25">
      <c r="O356351" s="9"/>
    </row>
    <row r="356372" spans="15:15" x14ac:dyDescent="0.25">
      <c r="O356372" s="9"/>
    </row>
    <row r="356393" spans="15:15" x14ac:dyDescent="0.25">
      <c r="O356393" s="9"/>
    </row>
    <row r="356414" spans="15:15" x14ac:dyDescent="0.25">
      <c r="O356414" s="9"/>
    </row>
    <row r="356435" spans="15:15" x14ac:dyDescent="0.25">
      <c r="O356435" s="9"/>
    </row>
    <row r="356456" spans="15:15" x14ac:dyDescent="0.25">
      <c r="O356456" s="9"/>
    </row>
    <row r="356477" spans="15:15" x14ac:dyDescent="0.25">
      <c r="O356477" s="9"/>
    </row>
    <row r="356498" spans="15:15" x14ac:dyDescent="0.25">
      <c r="O356498" s="9"/>
    </row>
    <row r="356519" spans="15:15" x14ac:dyDescent="0.25">
      <c r="O356519" s="9"/>
    </row>
    <row r="356540" spans="15:15" x14ac:dyDescent="0.25">
      <c r="O356540" s="9"/>
    </row>
    <row r="356561" spans="15:15" x14ac:dyDescent="0.25">
      <c r="O356561" s="9"/>
    </row>
    <row r="356582" spans="15:15" x14ac:dyDescent="0.25">
      <c r="O356582" s="9"/>
    </row>
    <row r="356603" spans="15:15" x14ac:dyDescent="0.25">
      <c r="O356603" s="9"/>
    </row>
    <row r="356624" spans="15:15" x14ac:dyDescent="0.25">
      <c r="O356624" s="9"/>
    </row>
    <row r="356645" spans="15:15" x14ac:dyDescent="0.25">
      <c r="O356645" s="9"/>
    </row>
    <row r="356666" spans="15:15" x14ac:dyDescent="0.25">
      <c r="O356666" s="9"/>
    </row>
    <row r="356687" spans="15:15" x14ac:dyDescent="0.25">
      <c r="O356687" s="9"/>
    </row>
    <row r="356708" spans="15:15" x14ac:dyDescent="0.25">
      <c r="O356708" s="9"/>
    </row>
    <row r="356729" spans="15:15" x14ac:dyDescent="0.25">
      <c r="O356729" s="9"/>
    </row>
    <row r="356750" spans="15:15" x14ac:dyDescent="0.25">
      <c r="O356750" s="9"/>
    </row>
    <row r="356771" spans="15:15" x14ac:dyDescent="0.25">
      <c r="O356771" s="9"/>
    </row>
    <row r="356792" spans="15:15" x14ac:dyDescent="0.25">
      <c r="O356792" s="9"/>
    </row>
    <row r="356813" spans="15:15" x14ac:dyDescent="0.25">
      <c r="O356813" s="9"/>
    </row>
    <row r="356834" spans="15:15" x14ac:dyDescent="0.25">
      <c r="O356834" s="9"/>
    </row>
    <row r="356855" spans="15:15" x14ac:dyDescent="0.25">
      <c r="O356855" s="9"/>
    </row>
    <row r="356876" spans="15:15" x14ac:dyDescent="0.25">
      <c r="O356876" s="9"/>
    </row>
    <row r="356897" spans="15:15" x14ac:dyDescent="0.25">
      <c r="O356897" s="9"/>
    </row>
    <row r="356918" spans="15:15" x14ac:dyDescent="0.25">
      <c r="O356918" s="9"/>
    </row>
    <row r="356939" spans="15:15" x14ac:dyDescent="0.25">
      <c r="O356939" s="9"/>
    </row>
    <row r="356960" spans="15:15" x14ac:dyDescent="0.25">
      <c r="O356960" s="9"/>
    </row>
    <row r="356981" spans="15:15" x14ac:dyDescent="0.25">
      <c r="O356981" s="9"/>
    </row>
    <row r="357002" spans="15:15" x14ac:dyDescent="0.25">
      <c r="O357002" s="9"/>
    </row>
    <row r="357023" spans="15:15" x14ac:dyDescent="0.25">
      <c r="O357023" s="9"/>
    </row>
    <row r="357044" spans="15:15" x14ac:dyDescent="0.25">
      <c r="O357044" s="9"/>
    </row>
    <row r="357065" spans="15:15" x14ac:dyDescent="0.25">
      <c r="O357065" s="9"/>
    </row>
    <row r="357086" spans="15:15" x14ac:dyDescent="0.25">
      <c r="O357086" s="9"/>
    </row>
    <row r="357107" spans="15:15" x14ac:dyDescent="0.25">
      <c r="O357107" s="9"/>
    </row>
    <row r="357128" spans="15:15" x14ac:dyDescent="0.25">
      <c r="O357128" s="9"/>
    </row>
    <row r="357149" spans="15:15" x14ac:dyDescent="0.25">
      <c r="O357149" s="9"/>
    </row>
    <row r="357170" spans="15:15" x14ac:dyDescent="0.25">
      <c r="O357170" s="9"/>
    </row>
    <row r="357191" spans="15:15" x14ac:dyDescent="0.25">
      <c r="O357191" s="9"/>
    </row>
    <row r="357212" spans="15:15" x14ac:dyDescent="0.25">
      <c r="O357212" s="9"/>
    </row>
    <row r="357233" spans="15:15" x14ac:dyDescent="0.25">
      <c r="O357233" s="9"/>
    </row>
    <row r="357254" spans="15:15" x14ac:dyDescent="0.25">
      <c r="O357254" s="9"/>
    </row>
    <row r="357275" spans="15:15" x14ac:dyDescent="0.25">
      <c r="O357275" s="9"/>
    </row>
    <row r="357296" spans="15:15" x14ac:dyDescent="0.25">
      <c r="O357296" s="9"/>
    </row>
    <row r="357317" spans="15:15" x14ac:dyDescent="0.25">
      <c r="O357317" s="9"/>
    </row>
    <row r="357338" spans="15:15" x14ac:dyDescent="0.25">
      <c r="O357338" s="9"/>
    </row>
    <row r="357359" spans="15:15" x14ac:dyDescent="0.25">
      <c r="O357359" s="9"/>
    </row>
    <row r="357380" spans="15:15" x14ac:dyDescent="0.25">
      <c r="O357380" s="9"/>
    </row>
    <row r="357401" spans="15:15" x14ac:dyDescent="0.25">
      <c r="O357401" s="9"/>
    </row>
    <row r="357422" spans="15:15" x14ac:dyDescent="0.25">
      <c r="O357422" s="9"/>
    </row>
    <row r="357443" spans="15:15" x14ac:dyDescent="0.25">
      <c r="O357443" s="9"/>
    </row>
    <row r="357464" spans="15:15" x14ac:dyDescent="0.25">
      <c r="O357464" s="9"/>
    </row>
    <row r="357485" spans="15:15" x14ac:dyDescent="0.25">
      <c r="O357485" s="9"/>
    </row>
    <row r="357506" spans="15:15" x14ac:dyDescent="0.25">
      <c r="O357506" s="9"/>
    </row>
    <row r="357527" spans="15:15" x14ac:dyDescent="0.25">
      <c r="O357527" s="9"/>
    </row>
    <row r="357548" spans="15:15" x14ac:dyDescent="0.25">
      <c r="O357548" s="9"/>
    </row>
    <row r="357569" spans="15:15" x14ac:dyDescent="0.25">
      <c r="O357569" s="9"/>
    </row>
    <row r="357590" spans="15:15" x14ac:dyDescent="0.25">
      <c r="O357590" s="9"/>
    </row>
    <row r="357611" spans="15:15" x14ac:dyDescent="0.25">
      <c r="O357611" s="9"/>
    </row>
    <row r="357632" spans="15:15" x14ac:dyDescent="0.25">
      <c r="O357632" s="9"/>
    </row>
    <row r="357653" spans="15:15" x14ac:dyDescent="0.25">
      <c r="O357653" s="9"/>
    </row>
    <row r="357674" spans="15:15" x14ac:dyDescent="0.25">
      <c r="O357674" s="9"/>
    </row>
    <row r="357695" spans="15:15" x14ac:dyDescent="0.25">
      <c r="O357695" s="9"/>
    </row>
    <row r="357716" spans="15:15" x14ac:dyDescent="0.25">
      <c r="O357716" s="9"/>
    </row>
    <row r="357737" spans="15:15" x14ac:dyDescent="0.25">
      <c r="O357737" s="9"/>
    </row>
    <row r="357758" spans="15:15" x14ac:dyDescent="0.25">
      <c r="O357758" s="9"/>
    </row>
    <row r="357779" spans="15:15" x14ac:dyDescent="0.25">
      <c r="O357779" s="9"/>
    </row>
    <row r="357800" spans="15:15" x14ac:dyDescent="0.25">
      <c r="O357800" s="9"/>
    </row>
    <row r="357821" spans="15:15" x14ac:dyDescent="0.25">
      <c r="O357821" s="9"/>
    </row>
    <row r="357842" spans="15:15" x14ac:dyDescent="0.25">
      <c r="O357842" s="9"/>
    </row>
    <row r="357863" spans="15:15" x14ac:dyDescent="0.25">
      <c r="O357863" s="9"/>
    </row>
    <row r="357884" spans="15:15" x14ac:dyDescent="0.25">
      <c r="O357884" s="9"/>
    </row>
    <row r="357905" spans="15:15" x14ac:dyDescent="0.25">
      <c r="O357905" s="9"/>
    </row>
    <row r="357926" spans="15:15" x14ac:dyDescent="0.25">
      <c r="O357926" s="9"/>
    </row>
    <row r="357947" spans="15:15" x14ac:dyDescent="0.25">
      <c r="O357947" s="9"/>
    </row>
    <row r="357968" spans="15:15" x14ac:dyDescent="0.25">
      <c r="O357968" s="9"/>
    </row>
    <row r="357989" spans="15:15" x14ac:dyDescent="0.25">
      <c r="O357989" s="9"/>
    </row>
    <row r="358010" spans="15:15" x14ac:dyDescent="0.25">
      <c r="O358010" s="9"/>
    </row>
    <row r="358031" spans="15:15" x14ac:dyDescent="0.25">
      <c r="O358031" s="9"/>
    </row>
    <row r="358052" spans="15:15" x14ac:dyDescent="0.25">
      <c r="O358052" s="9"/>
    </row>
    <row r="358073" spans="15:15" x14ac:dyDescent="0.25">
      <c r="O358073" s="9"/>
    </row>
    <row r="358094" spans="15:15" x14ac:dyDescent="0.25">
      <c r="O358094" s="9"/>
    </row>
    <row r="358115" spans="15:15" x14ac:dyDescent="0.25">
      <c r="O358115" s="9"/>
    </row>
    <row r="358136" spans="15:15" x14ac:dyDescent="0.25">
      <c r="O358136" s="9"/>
    </row>
    <row r="358157" spans="15:15" x14ac:dyDescent="0.25">
      <c r="O358157" s="9"/>
    </row>
    <row r="358178" spans="15:15" x14ac:dyDescent="0.25">
      <c r="O358178" s="9"/>
    </row>
    <row r="358199" spans="15:15" x14ac:dyDescent="0.25">
      <c r="O358199" s="9"/>
    </row>
    <row r="358220" spans="15:15" x14ac:dyDescent="0.25">
      <c r="O358220" s="9"/>
    </row>
    <row r="358241" spans="15:15" x14ac:dyDescent="0.25">
      <c r="O358241" s="9"/>
    </row>
    <row r="358262" spans="15:15" x14ac:dyDescent="0.25">
      <c r="O358262" s="9"/>
    </row>
    <row r="358283" spans="15:15" x14ac:dyDescent="0.25">
      <c r="O358283" s="9"/>
    </row>
    <row r="358304" spans="15:15" x14ac:dyDescent="0.25">
      <c r="O358304" s="9"/>
    </row>
    <row r="358325" spans="15:15" x14ac:dyDescent="0.25">
      <c r="O358325" s="9"/>
    </row>
    <row r="358346" spans="15:15" x14ac:dyDescent="0.25">
      <c r="O358346" s="9"/>
    </row>
    <row r="358367" spans="15:15" x14ac:dyDescent="0.25">
      <c r="O358367" s="9"/>
    </row>
    <row r="358388" spans="15:15" x14ac:dyDescent="0.25">
      <c r="O358388" s="9"/>
    </row>
    <row r="358409" spans="15:15" x14ac:dyDescent="0.25">
      <c r="O358409" s="9"/>
    </row>
    <row r="358430" spans="15:15" x14ac:dyDescent="0.25">
      <c r="O358430" s="9"/>
    </row>
    <row r="358451" spans="15:15" x14ac:dyDescent="0.25">
      <c r="O358451" s="9"/>
    </row>
    <row r="358472" spans="15:15" x14ac:dyDescent="0.25">
      <c r="O358472" s="9"/>
    </row>
    <row r="358493" spans="15:15" x14ac:dyDescent="0.25">
      <c r="O358493" s="9"/>
    </row>
    <row r="358514" spans="15:15" x14ac:dyDescent="0.25">
      <c r="O358514" s="9"/>
    </row>
    <row r="358535" spans="15:15" x14ac:dyDescent="0.25">
      <c r="O358535" s="9"/>
    </row>
    <row r="358556" spans="15:15" x14ac:dyDescent="0.25">
      <c r="O358556" s="9"/>
    </row>
    <row r="358577" spans="15:15" x14ac:dyDescent="0.25">
      <c r="O358577" s="9"/>
    </row>
    <row r="358598" spans="15:15" x14ac:dyDescent="0.25">
      <c r="O358598" s="9"/>
    </row>
    <row r="358619" spans="15:15" x14ac:dyDescent="0.25">
      <c r="O358619" s="9"/>
    </row>
    <row r="358640" spans="15:15" x14ac:dyDescent="0.25">
      <c r="O358640" s="9"/>
    </row>
    <row r="358661" spans="15:15" x14ac:dyDescent="0.25">
      <c r="O358661" s="9"/>
    </row>
    <row r="358682" spans="15:15" x14ac:dyDescent="0.25">
      <c r="O358682" s="9"/>
    </row>
    <row r="358703" spans="15:15" x14ac:dyDescent="0.25">
      <c r="O358703" s="9"/>
    </row>
    <row r="358724" spans="15:15" x14ac:dyDescent="0.25">
      <c r="O358724" s="9"/>
    </row>
    <row r="358745" spans="15:15" x14ac:dyDescent="0.25">
      <c r="O358745" s="9"/>
    </row>
    <row r="358766" spans="15:15" x14ac:dyDescent="0.25">
      <c r="O358766" s="9"/>
    </row>
    <row r="358787" spans="15:15" x14ac:dyDescent="0.25">
      <c r="O358787" s="9"/>
    </row>
    <row r="358808" spans="15:15" x14ac:dyDescent="0.25">
      <c r="O358808" s="9"/>
    </row>
    <row r="358829" spans="15:15" x14ac:dyDescent="0.25">
      <c r="O358829" s="9"/>
    </row>
    <row r="358850" spans="15:15" x14ac:dyDescent="0.25">
      <c r="O358850" s="9"/>
    </row>
    <row r="358871" spans="15:15" x14ac:dyDescent="0.25">
      <c r="O358871" s="9"/>
    </row>
    <row r="358892" spans="15:15" x14ac:dyDescent="0.25">
      <c r="O358892" s="9"/>
    </row>
    <row r="358913" spans="15:15" x14ac:dyDescent="0.25">
      <c r="O358913" s="9"/>
    </row>
    <row r="358934" spans="15:15" x14ac:dyDescent="0.25">
      <c r="O358934" s="9"/>
    </row>
    <row r="358955" spans="15:15" x14ac:dyDescent="0.25">
      <c r="O358955" s="9"/>
    </row>
    <row r="358976" spans="15:15" x14ac:dyDescent="0.25">
      <c r="O358976" s="9"/>
    </row>
    <row r="358997" spans="15:15" x14ac:dyDescent="0.25">
      <c r="O358997" s="9"/>
    </row>
    <row r="359018" spans="15:15" x14ac:dyDescent="0.25">
      <c r="O359018" s="9"/>
    </row>
    <row r="359039" spans="15:15" x14ac:dyDescent="0.25">
      <c r="O359039" s="9"/>
    </row>
    <row r="359060" spans="15:15" x14ac:dyDescent="0.25">
      <c r="O359060" s="9"/>
    </row>
    <row r="359081" spans="15:15" x14ac:dyDescent="0.25">
      <c r="O359081" s="9"/>
    </row>
    <row r="359102" spans="15:15" x14ac:dyDescent="0.25">
      <c r="O359102" s="9"/>
    </row>
    <row r="359123" spans="15:15" x14ac:dyDescent="0.25">
      <c r="O359123" s="9"/>
    </row>
    <row r="359144" spans="15:15" x14ac:dyDescent="0.25">
      <c r="O359144" s="9"/>
    </row>
    <row r="359165" spans="15:15" x14ac:dyDescent="0.25">
      <c r="O359165" s="9"/>
    </row>
    <row r="359186" spans="15:15" x14ac:dyDescent="0.25">
      <c r="O359186" s="9"/>
    </row>
    <row r="359207" spans="15:15" x14ac:dyDescent="0.25">
      <c r="O359207" s="9"/>
    </row>
    <row r="359228" spans="15:15" x14ac:dyDescent="0.25">
      <c r="O359228" s="9"/>
    </row>
    <row r="359249" spans="15:15" x14ac:dyDescent="0.25">
      <c r="O359249" s="9"/>
    </row>
    <row r="359270" spans="15:15" x14ac:dyDescent="0.25">
      <c r="O359270" s="9"/>
    </row>
    <row r="359291" spans="15:15" x14ac:dyDescent="0.25">
      <c r="O359291" s="9"/>
    </row>
    <row r="359312" spans="15:15" x14ac:dyDescent="0.25">
      <c r="O359312" s="9"/>
    </row>
    <row r="359333" spans="15:15" x14ac:dyDescent="0.25">
      <c r="O359333" s="9"/>
    </row>
    <row r="359354" spans="15:15" x14ac:dyDescent="0.25">
      <c r="O359354" s="9"/>
    </row>
    <row r="359375" spans="15:15" x14ac:dyDescent="0.25">
      <c r="O359375" s="9"/>
    </row>
    <row r="359396" spans="15:15" x14ac:dyDescent="0.25">
      <c r="O359396" s="9"/>
    </row>
    <row r="359417" spans="15:15" x14ac:dyDescent="0.25">
      <c r="O359417" s="9"/>
    </row>
    <row r="359438" spans="15:15" x14ac:dyDescent="0.25">
      <c r="O359438" s="9"/>
    </row>
    <row r="359459" spans="15:15" x14ac:dyDescent="0.25">
      <c r="O359459" s="9"/>
    </row>
    <row r="359480" spans="15:15" x14ac:dyDescent="0.25">
      <c r="O359480" s="9"/>
    </row>
    <row r="359501" spans="15:15" x14ac:dyDescent="0.25">
      <c r="O359501" s="9"/>
    </row>
    <row r="359522" spans="15:15" x14ac:dyDescent="0.25">
      <c r="O359522" s="9"/>
    </row>
    <row r="359543" spans="15:15" x14ac:dyDescent="0.25">
      <c r="O359543" s="9"/>
    </row>
    <row r="359564" spans="15:15" x14ac:dyDescent="0.25">
      <c r="O359564" s="9"/>
    </row>
    <row r="359585" spans="15:15" x14ac:dyDescent="0.25">
      <c r="O359585" s="9"/>
    </row>
    <row r="359606" spans="15:15" x14ac:dyDescent="0.25">
      <c r="O359606" s="9"/>
    </row>
    <row r="359627" spans="15:15" x14ac:dyDescent="0.25">
      <c r="O359627" s="9"/>
    </row>
    <row r="359648" spans="15:15" x14ac:dyDescent="0.25">
      <c r="O359648" s="9"/>
    </row>
    <row r="359669" spans="15:15" x14ac:dyDescent="0.25">
      <c r="O359669" s="9"/>
    </row>
    <row r="359690" spans="15:15" x14ac:dyDescent="0.25">
      <c r="O359690" s="9"/>
    </row>
    <row r="359711" spans="15:15" x14ac:dyDescent="0.25">
      <c r="O359711" s="9"/>
    </row>
    <row r="359732" spans="15:15" x14ac:dyDescent="0.25">
      <c r="O359732" s="9"/>
    </row>
    <row r="359753" spans="15:15" x14ac:dyDescent="0.25">
      <c r="O359753" s="9"/>
    </row>
    <row r="359774" spans="15:15" x14ac:dyDescent="0.25">
      <c r="O359774" s="9"/>
    </row>
    <row r="359795" spans="15:15" x14ac:dyDescent="0.25">
      <c r="O359795" s="9"/>
    </row>
    <row r="359816" spans="15:15" x14ac:dyDescent="0.25">
      <c r="O359816" s="9"/>
    </row>
    <row r="359837" spans="15:15" x14ac:dyDescent="0.25">
      <c r="O359837" s="9"/>
    </row>
    <row r="359858" spans="15:15" x14ac:dyDescent="0.25">
      <c r="O359858" s="9"/>
    </row>
    <row r="359879" spans="15:15" x14ac:dyDescent="0.25">
      <c r="O359879" s="9"/>
    </row>
    <row r="359900" spans="15:15" x14ac:dyDescent="0.25">
      <c r="O359900" s="9"/>
    </row>
    <row r="359921" spans="15:15" x14ac:dyDescent="0.25">
      <c r="O359921" s="9"/>
    </row>
    <row r="359942" spans="15:15" x14ac:dyDescent="0.25">
      <c r="O359942" s="9"/>
    </row>
    <row r="359963" spans="15:15" x14ac:dyDescent="0.25">
      <c r="O359963" s="9"/>
    </row>
    <row r="359984" spans="15:15" x14ac:dyDescent="0.25">
      <c r="O359984" s="9"/>
    </row>
    <row r="360005" spans="15:15" x14ac:dyDescent="0.25">
      <c r="O360005" s="9"/>
    </row>
    <row r="360026" spans="15:15" x14ac:dyDescent="0.25">
      <c r="O360026" s="9"/>
    </row>
    <row r="360047" spans="15:15" x14ac:dyDescent="0.25">
      <c r="O360047" s="9"/>
    </row>
    <row r="360068" spans="15:15" x14ac:dyDescent="0.25">
      <c r="O360068" s="9"/>
    </row>
    <row r="360089" spans="15:15" x14ac:dyDescent="0.25">
      <c r="O360089" s="9"/>
    </row>
    <row r="360110" spans="15:15" x14ac:dyDescent="0.25">
      <c r="O360110" s="9"/>
    </row>
    <row r="360131" spans="15:15" x14ac:dyDescent="0.25">
      <c r="O360131" s="9"/>
    </row>
    <row r="360152" spans="15:15" x14ac:dyDescent="0.25">
      <c r="O360152" s="9"/>
    </row>
    <row r="360173" spans="15:15" x14ac:dyDescent="0.25">
      <c r="O360173" s="9"/>
    </row>
    <row r="360194" spans="15:15" x14ac:dyDescent="0.25">
      <c r="O360194" s="9"/>
    </row>
    <row r="360215" spans="15:15" x14ac:dyDescent="0.25">
      <c r="O360215" s="9"/>
    </row>
    <row r="360236" spans="15:15" x14ac:dyDescent="0.25">
      <c r="O360236" s="9"/>
    </row>
    <row r="360257" spans="15:15" x14ac:dyDescent="0.25">
      <c r="O360257" s="9"/>
    </row>
    <row r="360278" spans="15:15" x14ac:dyDescent="0.25">
      <c r="O360278" s="9"/>
    </row>
    <row r="360299" spans="15:15" x14ac:dyDescent="0.25">
      <c r="O360299" s="9"/>
    </row>
    <row r="360320" spans="15:15" x14ac:dyDescent="0.25">
      <c r="O360320" s="9"/>
    </row>
    <row r="360341" spans="15:15" x14ac:dyDescent="0.25">
      <c r="O360341" s="9"/>
    </row>
    <row r="360362" spans="15:15" x14ac:dyDescent="0.25">
      <c r="O360362" s="9"/>
    </row>
    <row r="360383" spans="15:15" x14ac:dyDescent="0.25">
      <c r="O360383" s="9"/>
    </row>
    <row r="360404" spans="15:15" x14ac:dyDescent="0.25">
      <c r="O360404" s="9"/>
    </row>
    <row r="360425" spans="15:15" x14ac:dyDescent="0.25">
      <c r="O360425" s="9"/>
    </row>
    <row r="360446" spans="15:15" x14ac:dyDescent="0.25">
      <c r="O360446" s="9"/>
    </row>
    <row r="360467" spans="15:15" x14ac:dyDescent="0.25">
      <c r="O360467" s="9"/>
    </row>
    <row r="360488" spans="15:15" x14ac:dyDescent="0.25">
      <c r="O360488" s="9"/>
    </row>
    <row r="360509" spans="15:15" x14ac:dyDescent="0.25">
      <c r="O360509" s="9"/>
    </row>
    <row r="360530" spans="15:15" x14ac:dyDescent="0.25">
      <c r="O360530" s="9"/>
    </row>
    <row r="360551" spans="15:15" x14ac:dyDescent="0.25">
      <c r="O360551" s="9"/>
    </row>
    <row r="360572" spans="15:15" x14ac:dyDescent="0.25">
      <c r="O360572" s="9"/>
    </row>
    <row r="360593" spans="15:15" x14ac:dyDescent="0.25">
      <c r="O360593" s="9"/>
    </row>
    <row r="360614" spans="15:15" x14ac:dyDescent="0.25">
      <c r="O360614" s="9"/>
    </row>
    <row r="360635" spans="15:15" x14ac:dyDescent="0.25">
      <c r="O360635" s="9"/>
    </row>
    <row r="360656" spans="15:15" x14ac:dyDescent="0.25">
      <c r="O360656" s="9"/>
    </row>
    <row r="360677" spans="15:15" x14ac:dyDescent="0.25">
      <c r="O360677" s="9"/>
    </row>
    <row r="360698" spans="15:15" x14ac:dyDescent="0.25">
      <c r="O360698" s="9"/>
    </row>
    <row r="360719" spans="15:15" x14ac:dyDescent="0.25">
      <c r="O360719" s="9"/>
    </row>
    <row r="360740" spans="15:15" x14ac:dyDescent="0.25">
      <c r="O360740" s="9"/>
    </row>
    <row r="360761" spans="15:15" x14ac:dyDescent="0.25">
      <c r="O360761" s="9"/>
    </row>
    <row r="360782" spans="15:15" x14ac:dyDescent="0.25">
      <c r="O360782" s="9"/>
    </row>
    <row r="360803" spans="15:15" x14ac:dyDescent="0.25">
      <c r="O360803" s="9"/>
    </row>
    <row r="360824" spans="15:15" x14ac:dyDescent="0.25">
      <c r="O360824" s="9"/>
    </row>
    <row r="360845" spans="15:15" x14ac:dyDescent="0.25">
      <c r="O360845" s="9"/>
    </row>
    <row r="360866" spans="15:15" x14ac:dyDescent="0.25">
      <c r="O360866" s="9"/>
    </row>
    <row r="360887" spans="15:15" x14ac:dyDescent="0.25">
      <c r="O360887" s="9"/>
    </row>
    <row r="360908" spans="15:15" x14ac:dyDescent="0.25">
      <c r="O360908" s="9"/>
    </row>
    <row r="360929" spans="15:15" x14ac:dyDescent="0.25">
      <c r="O360929" s="9"/>
    </row>
    <row r="360950" spans="15:15" x14ac:dyDescent="0.25">
      <c r="O360950" s="9"/>
    </row>
    <row r="360971" spans="15:15" x14ac:dyDescent="0.25">
      <c r="O360971" s="9"/>
    </row>
    <row r="360992" spans="15:15" x14ac:dyDescent="0.25">
      <c r="O360992" s="9"/>
    </row>
    <row r="361013" spans="15:15" x14ac:dyDescent="0.25">
      <c r="O361013" s="9"/>
    </row>
    <row r="361034" spans="15:15" x14ac:dyDescent="0.25">
      <c r="O361034" s="9"/>
    </row>
    <row r="361055" spans="15:15" x14ac:dyDescent="0.25">
      <c r="O361055" s="9"/>
    </row>
    <row r="361076" spans="15:15" x14ac:dyDescent="0.25">
      <c r="O361076" s="9"/>
    </row>
    <row r="361097" spans="15:15" x14ac:dyDescent="0.25">
      <c r="O361097" s="9"/>
    </row>
    <row r="361118" spans="15:15" x14ac:dyDescent="0.25">
      <c r="O361118" s="9"/>
    </row>
    <row r="361139" spans="15:15" x14ac:dyDescent="0.25">
      <c r="O361139" s="9"/>
    </row>
    <row r="361160" spans="15:15" x14ac:dyDescent="0.25">
      <c r="O361160" s="9"/>
    </row>
    <row r="361181" spans="15:15" x14ac:dyDescent="0.25">
      <c r="O361181" s="9"/>
    </row>
    <row r="361202" spans="15:15" x14ac:dyDescent="0.25">
      <c r="O361202" s="9"/>
    </row>
    <row r="361223" spans="15:15" x14ac:dyDescent="0.25">
      <c r="O361223" s="9"/>
    </row>
    <row r="361244" spans="15:15" x14ac:dyDescent="0.25">
      <c r="O361244" s="9"/>
    </row>
    <row r="361265" spans="15:15" x14ac:dyDescent="0.25">
      <c r="O361265" s="9"/>
    </row>
    <row r="361286" spans="15:15" x14ac:dyDescent="0.25">
      <c r="O361286" s="9"/>
    </row>
    <row r="361307" spans="15:15" x14ac:dyDescent="0.25">
      <c r="O361307" s="9"/>
    </row>
    <row r="361328" spans="15:15" x14ac:dyDescent="0.25">
      <c r="O361328" s="9"/>
    </row>
    <row r="361349" spans="15:15" x14ac:dyDescent="0.25">
      <c r="O361349" s="9"/>
    </row>
    <row r="361370" spans="15:15" x14ac:dyDescent="0.25">
      <c r="O361370" s="9"/>
    </row>
    <row r="361391" spans="15:15" x14ac:dyDescent="0.25">
      <c r="O361391" s="9"/>
    </row>
    <row r="361412" spans="15:15" x14ac:dyDescent="0.25">
      <c r="O361412" s="9"/>
    </row>
    <row r="361433" spans="15:15" x14ac:dyDescent="0.25">
      <c r="O361433" s="9"/>
    </row>
    <row r="361454" spans="15:15" x14ac:dyDescent="0.25">
      <c r="O361454" s="9"/>
    </row>
    <row r="361475" spans="15:15" x14ac:dyDescent="0.25">
      <c r="O361475" s="9"/>
    </row>
    <row r="361496" spans="15:15" x14ac:dyDescent="0.25">
      <c r="O361496" s="9"/>
    </row>
    <row r="361517" spans="15:15" x14ac:dyDescent="0.25">
      <c r="O361517" s="9"/>
    </row>
    <row r="361538" spans="15:15" x14ac:dyDescent="0.25">
      <c r="O361538" s="9"/>
    </row>
    <row r="361559" spans="15:15" x14ac:dyDescent="0.25">
      <c r="O361559" s="9"/>
    </row>
    <row r="361580" spans="15:15" x14ac:dyDescent="0.25">
      <c r="O361580" s="9"/>
    </row>
    <row r="361601" spans="15:15" x14ac:dyDescent="0.25">
      <c r="O361601" s="9"/>
    </row>
    <row r="361622" spans="15:15" x14ac:dyDescent="0.25">
      <c r="O361622" s="9"/>
    </row>
    <row r="361643" spans="15:15" x14ac:dyDescent="0.25">
      <c r="O361643" s="9"/>
    </row>
    <row r="361664" spans="15:15" x14ac:dyDescent="0.25">
      <c r="O361664" s="9"/>
    </row>
    <row r="361685" spans="15:15" x14ac:dyDescent="0.25">
      <c r="O361685" s="9"/>
    </row>
    <row r="361706" spans="15:15" x14ac:dyDescent="0.25">
      <c r="O361706" s="9"/>
    </row>
    <row r="361727" spans="15:15" x14ac:dyDescent="0.25">
      <c r="O361727" s="9"/>
    </row>
    <row r="361748" spans="15:15" x14ac:dyDescent="0.25">
      <c r="O361748" s="9"/>
    </row>
    <row r="361769" spans="15:15" x14ac:dyDescent="0.25">
      <c r="O361769" s="9"/>
    </row>
    <row r="361790" spans="15:15" x14ac:dyDescent="0.25">
      <c r="O361790" s="9"/>
    </row>
    <row r="361811" spans="15:15" x14ac:dyDescent="0.25">
      <c r="O361811" s="9"/>
    </row>
    <row r="361832" spans="15:15" x14ac:dyDescent="0.25">
      <c r="O361832" s="9"/>
    </row>
    <row r="361853" spans="15:15" x14ac:dyDescent="0.25">
      <c r="O361853" s="9"/>
    </row>
    <row r="361874" spans="15:15" x14ac:dyDescent="0.25">
      <c r="O361874" s="9"/>
    </row>
    <row r="361895" spans="15:15" x14ac:dyDescent="0.25">
      <c r="O361895" s="9"/>
    </row>
    <row r="361916" spans="15:15" x14ac:dyDescent="0.25">
      <c r="O361916" s="9"/>
    </row>
    <row r="361937" spans="15:15" x14ac:dyDescent="0.25">
      <c r="O361937" s="9"/>
    </row>
    <row r="361958" spans="15:15" x14ac:dyDescent="0.25">
      <c r="O361958" s="9"/>
    </row>
    <row r="361979" spans="15:15" x14ac:dyDescent="0.25">
      <c r="O361979" s="9"/>
    </row>
    <row r="362000" spans="15:15" x14ac:dyDescent="0.25">
      <c r="O362000" s="9"/>
    </row>
    <row r="362021" spans="15:15" x14ac:dyDescent="0.25">
      <c r="O362021" s="9"/>
    </row>
    <row r="362042" spans="15:15" x14ac:dyDescent="0.25">
      <c r="O362042" s="9"/>
    </row>
    <row r="362063" spans="15:15" x14ac:dyDescent="0.25">
      <c r="O362063" s="9"/>
    </row>
    <row r="362084" spans="15:15" x14ac:dyDescent="0.25">
      <c r="O362084" s="9"/>
    </row>
    <row r="362105" spans="15:15" x14ac:dyDescent="0.25">
      <c r="O362105" s="9"/>
    </row>
    <row r="362126" spans="15:15" x14ac:dyDescent="0.25">
      <c r="O362126" s="9"/>
    </row>
    <row r="362147" spans="15:15" x14ac:dyDescent="0.25">
      <c r="O362147" s="9"/>
    </row>
    <row r="362168" spans="15:15" x14ac:dyDescent="0.25">
      <c r="O362168" s="9"/>
    </row>
    <row r="362189" spans="15:15" x14ac:dyDescent="0.25">
      <c r="O362189" s="9"/>
    </row>
    <row r="362210" spans="15:15" x14ac:dyDescent="0.25">
      <c r="O362210" s="9"/>
    </row>
    <row r="362231" spans="15:15" x14ac:dyDescent="0.25">
      <c r="O362231" s="9"/>
    </row>
    <row r="362252" spans="15:15" x14ac:dyDescent="0.25">
      <c r="O362252" s="9"/>
    </row>
    <row r="362273" spans="15:15" x14ac:dyDescent="0.25">
      <c r="O362273" s="9"/>
    </row>
    <row r="362294" spans="15:15" x14ac:dyDescent="0.25">
      <c r="O362294" s="9"/>
    </row>
    <row r="362315" spans="15:15" x14ac:dyDescent="0.25">
      <c r="O362315" s="9"/>
    </row>
    <row r="362336" spans="15:15" x14ac:dyDescent="0.25">
      <c r="O362336" s="9"/>
    </row>
    <row r="362357" spans="15:15" x14ac:dyDescent="0.25">
      <c r="O362357" s="9"/>
    </row>
    <row r="362378" spans="15:15" x14ac:dyDescent="0.25">
      <c r="O362378" s="9"/>
    </row>
    <row r="362399" spans="15:15" x14ac:dyDescent="0.25">
      <c r="O362399" s="9"/>
    </row>
    <row r="362420" spans="15:15" x14ac:dyDescent="0.25">
      <c r="O362420" s="9"/>
    </row>
    <row r="362441" spans="15:15" x14ac:dyDescent="0.25">
      <c r="O362441" s="9"/>
    </row>
    <row r="362462" spans="15:15" x14ac:dyDescent="0.25">
      <c r="O362462" s="9"/>
    </row>
    <row r="362483" spans="15:15" x14ac:dyDescent="0.25">
      <c r="O362483" s="9"/>
    </row>
    <row r="362504" spans="15:15" x14ac:dyDescent="0.25">
      <c r="O362504" s="9"/>
    </row>
    <row r="362525" spans="15:15" x14ac:dyDescent="0.25">
      <c r="O362525" s="9"/>
    </row>
    <row r="362546" spans="15:15" x14ac:dyDescent="0.25">
      <c r="O362546" s="9"/>
    </row>
    <row r="362567" spans="15:15" x14ac:dyDescent="0.25">
      <c r="O362567" s="9"/>
    </row>
    <row r="362588" spans="15:15" x14ac:dyDescent="0.25">
      <c r="O362588" s="9"/>
    </row>
    <row r="362609" spans="15:15" x14ac:dyDescent="0.25">
      <c r="O362609" s="9"/>
    </row>
    <row r="362630" spans="15:15" x14ac:dyDescent="0.25">
      <c r="O362630" s="9"/>
    </row>
    <row r="362651" spans="15:15" x14ac:dyDescent="0.25">
      <c r="O362651" s="9"/>
    </row>
    <row r="362672" spans="15:15" x14ac:dyDescent="0.25">
      <c r="O362672" s="9"/>
    </row>
    <row r="362693" spans="15:15" x14ac:dyDescent="0.25">
      <c r="O362693" s="9"/>
    </row>
    <row r="362714" spans="15:15" x14ac:dyDescent="0.25">
      <c r="O362714" s="9"/>
    </row>
    <row r="362735" spans="15:15" x14ac:dyDescent="0.25">
      <c r="O362735" s="9"/>
    </row>
    <row r="362756" spans="15:15" x14ac:dyDescent="0.25">
      <c r="O362756" s="9"/>
    </row>
    <row r="362777" spans="15:15" x14ac:dyDescent="0.25">
      <c r="O362777" s="9"/>
    </row>
    <row r="362798" spans="15:15" x14ac:dyDescent="0.25">
      <c r="O362798" s="9"/>
    </row>
    <row r="362819" spans="15:15" x14ac:dyDescent="0.25">
      <c r="O362819" s="9"/>
    </row>
    <row r="362840" spans="15:15" x14ac:dyDescent="0.25">
      <c r="O362840" s="9"/>
    </row>
    <row r="362861" spans="15:15" x14ac:dyDescent="0.25">
      <c r="O362861" s="9"/>
    </row>
    <row r="362882" spans="15:15" x14ac:dyDescent="0.25">
      <c r="O362882" s="9"/>
    </row>
    <row r="362903" spans="15:15" x14ac:dyDescent="0.25">
      <c r="O362903" s="9"/>
    </row>
    <row r="362924" spans="15:15" x14ac:dyDescent="0.25">
      <c r="O362924" s="9"/>
    </row>
    <row r="362945" spans="15:15" x14ac:dyDescent="0.25">
      <c r="O362945" s="9"/>
    </row>
    <row r="362966" spans="15:15" x14ac:dyDescent="0.25">
      <c r="O362966" s="9"/>
    </row>
    <row r="362987" spans="15:15" x14ac:dyDescent="0.25">
      <c r="O362987" s="9"/>
    </row>
    <row r="363008" spans="15:15" x14ac:dyDescent="0.25">
      <c r="O363008" s="9"/>
    </row>
    <row r="363029" spans="15:15" x14ac:dyDescent="0.25">
      <c r="O363029" s="9"/>
    </row>
    <row r="363050" spans="15:15" x14ac:dyDescent="0.25">
      <c r="O363050" s="9"/>
    </row>
    <row r="363071" spans="15:15" x14ac:dyDescent="0.25">
      <c r="O363071" s="9"/>
    </row>
    <row r="363092" spans="15:15" x14ac:dyDescent="0.25">
      <c r="O363092" s="9"/>
    </row>
    <row r="363113" spans="15:15" x14ac:dyDescent="0.25">
      <c r="O363113" s="9"/>
    </row>
    <row r="363134" spans="15:15" x14ac:dyDescent="0.25">
      <c r="O363134" s="9"/>
    </row>
    <row r="363155" spans="15:15" x14ac:dyDescent="0.25">
      <c r="O363155" s="9"/>
    </row>
    <row r="363176" spans="15:15" x14ac:dyDescent="0.25">
      <c r="O363176" s="9"/>
    </row>
    <row r="363197" spans="15:15" x14ac:dyDescent="0.25">
      <c r="O363197" s="9"/>
    </row>
    <row r="363218" spans="15:15" x14ac:dyDescent="0.25">
      <c r="O363218" s="9"/>
    </row>
    <row r="363239" spans="15:15" x14ac:dyDescent="0.25">
      <c r="O363239" s="9"/>
    </row>
    <row r="363260" spans="15:15" x14ac:dyDescent="0.25">
      <c r="O363260" s="9"/>
    </row>
    <row r="363281" spans="15:15" x14ac:dyDescent="0.25">
      <c r="O363281" s="9"/>
    </row>
    <row r="363302" spans="15:15" x14ac:dyDescent="0.25">
      <c r="O363302" s="9"/>
    </row>
    <row r="363323" spans="15:15" x14ac:dyDescent="0.25">
      <c r="O363323" s="9"/>
    </row>
    <row r="363344" spans="15:15" x14ac:dyDescent="0.25">
      <c r="O363344" s="9"/>
    </row>
    <row r="363365" spans="15:15" x14ac:dyDescent="0.25">
      <c r="O363365" s="9"/>
    </row>
    <row r="363386" spans="15:15" x14ac:dyDescent="0.25">
      <c r="O363386" s="9"/>
    </row>
    <row r="363407" spans="15:15" x14ac:dyDescent="0.25">
      <c r="O363407" s="9"/>
    </row>
    <row r="363428" spans="15:15" x14ac:dyDescent="0.25">
      <c r="O363428" s="9"/>
    </row>
    <row r="363449" spans="15:15" x14ac:dyDescent="0.25">
      <c r="O363449" s="9"/>
    </row>
    <row r="363470" spans="15:15" x14ac:dyDescent="0.25">
      <c r="O363470" s="9"/>
    </row>
    <row r="363491" spans="15:15" x14ac:dyDescent="0.25">
      <c r="O363491" s="9"/>
    </row>
    <row r="363512" spans="15:15" x14ac:dyDescent="0.25">
      <c r="O363512" s="9"/>
    </row>
    <row r="363533" spans="15:15" x14ac:dyDescent="0.25">
      <c r="O363533" s="9"/>
    </row>
    <row r="363554" spans="15:15" x14ac:dyDescent="0.25">
      <c r="O363554" s="9"/>
    </row>
    <row r="363575" spans="15:15" x14ac:dyDescent="0.25">
      <c r="O363575" s="9"/>
    </row>
    <row r="363596" spans="15:15" x14ac:dyDescent="0.25">
      <c r="O363596" s="9"/>
    </row>
    <row r="363617" spans="15:15" x14ac:dyDescent="0.25">
      <c r="O363617" s="9"/>
    </row>
    <row r="363638" spans="15:15" x14ac:dyDescent="0.25">
      <c r="O363638" s="9"/>
    </row>
    <row r="363659" spans="15:15" x14ac:dyDescent="0.25">
      <c r="O363659" s="9"/>
    </row>
    <row r="363680" spans="15:15" x14ac:dyDescent="0.25">
      <c r="O363680" s="9"/>
    </row>
    <row r="363701" spans="15:15" x14ac:dyDescent="0.25">
      <c r="O363701" s="9"/>
    </row>
    <row r="363722" spans="15:15" x14ac:dyDescent="0.25">
      <c r="O363722" s="9"/>
    </row>
    <row r="363743" spans="15:15" x14ac:dyDescent="0.25">
      <c r="O363743" s="9"/>
    </row>
    <row r="363764" spans="15:15" x14ac:dyDescent="0.25">
      <c r="O363764" s="9"/>
    </row>
    <row r="363785" spans="15:15" x14ac:dyDescent="0.25">
      <c r="O363785" s="9"/>
    </row>
    <row r="363806" spans="15:15" x14ac:dyDescent="0.25">
      <c r="O363806" s="9"/>
    </row>
    <row r="363827" spans="15:15" x14ac:dyDescent="0.25">
      <c r="O363827" s="9"/>
    </row>
    <row r="363848" spans="15:15" x14ac:dyDescent="0.25">
      <c r="O363848" s="9"/>
    </row>
    <row r="363869" spans="15:15" x14ac:dyDescent="0.25">
      <c r="O363869" s="9"/>
    </row>
    <row r="363890" spans="15:15" x14ac:dyDescent="0.25">
      <c r="O363890" s="9"/>
    </row>
    <row r="363911" spans="15:15" x14ac:dyDescent="0.25">
      <c r="O363911" s="9"/>
    </row>
    <row r="363932" spans="15:15" x14ac:dyDescent="0.25">
      <c r="O363932" s="9"/>
    </row>
    <row r="363953" spans="15:15" x14ac:dyDescent="0.25">
      <c r="O363953" s="9"/>
    </row>
    <row r="363974" spans="15:15" x14ac:dyDescent="0.25">
      <c r="O363974" s="9"/>
    </row>
    <row r="363995" spans="15:15" x14ac:dyDescent="0.25">
      <c r="O363995" s="9"/>
    </row>
    <row r="364016" spans="15:15" x14ac:dyDescent="0.25">
      <c r="O364016" s="9"/>
    </row>
    <row r="364037" spans="15:15" x14ac:dyDescent="0.25">
      <c r="O364037" s="9"/>
    </row>
    <row r="364058" spans="15:15" x14ac:dyDescent="0.25">
      <c r="O364058" s="9"/>
    </row>
    <row r="364079" spans="15:15" x14ac:dyDescent="0.25">
      <c r="O364079" s="9"/>
    </row>
    <row r="364100" spans="15:15" x14ac:dyDescent="0.25">
      <c r="O364100" s="9"/>
    </row>
    <row r="364121" spans="15:15" x14ac:dyDescent="0.25">
      <c r="O364121" s="9"/>
    </row>
    <row r="364142" spans="15:15" x14ac:dyDescent="0.25">
      <c r="O364142" s="9"/>
    </row>
    <row r="364163" spans="15:15" x14ac:dyDescent="0.25">
      <c r="O364163" s="9"/>
    </row>
    <row r="364184" spans="15:15" x14ac:dyDescent="0.25">
      <c r="O364184" s="9"/>
    </row>
    <row r="364205" spans="15:15" x14ac:dyDescent="0.25">
      <c r="O364205" s="9"/>
    </row>
    <row r="364226" spans="15:15" x14ac:dyDescent="0.25">
      <c r="O364226" s="9"/>
    </row>
    <row r="364247" spans="15:15" x14ac:dyDescent="0.25">
      <c r="O364247" s="9"/>
    </row>
    <row r="364268" spans="15:15" x14ac:dyDescent="0.25">
      <c r="O364268" s="9"/>
    </row>
    <row r="364289" spans="15:15" x14ac:dyDescent="0.25">
      <c r="O364289" s="9"/>
    </row>
    <row r="364310" spans="15:15" x14ac:dyDescent="0.25">
      <c r="O364310" s="9"/>
    </row>
    <row r="364331" spans="15:15" x14ac:dyDescent="0.25">
      <c r="O364331" s="9"/>
    </row>
    <row r="364352" spans="15:15" x14ac:dyDescent="0.25">
      <c r="O364352" s="9"/>
    </row>
    <row r="364373" spans="15:15" x14ac:dyDescent="0.25">
      <c r="O364373" s="9"/>
    </row>
    <row r="364394" spans="15:15" x14ac:dyDescent="0.25">
      <c r="O364394" s="9"/>
    </row>
    <row r="364415" spans="15:15" x14ac:dyDescent="0.25">
      <c r="O364415" s="9"/>
    </row>
    <row r="364436" spans="15:15" x14ac:dyDescent="0.25">
      <c r="O364436" s="9"/>
    </row>
    <row r="364457" spans="15:15" x14ac:dyDescent="0.25">
      <c r="O364457" s="9"/>
    </row>
    <row r="364478" spans="15:15" x14ac:dyDescent="0.25">
      <c r="O364478" s="9"/>
    </row>
    <row r="364499" spans="15:15" x14ac:dyDescent="0.25">
      <c r="O364499" s="9"/>
    </row>
    <row r="364520" spans="15:15" x14ac:dyDescent="0.25">
      <c r="O364520" s="9"/>
    </row>
    <row r="364541" spans="15:15" x14ac:dyDescent="0.25">
      <c r="O364541" s="9"/>
    </row>
    <row r="364562" spans="15:15" x14ac:dyDescent="0.25">
      <c r="O364562" s="9"/>
    </row>
    <row r="364583" spans="15:15" x14ac:dyDescent="0.25">
      <c r="O364583" s="9"/>
    </row>
    <row r="364604" spans="15:15" x14ac:dyDescent="0.25">
      <c r="O364604" s="9"/>
    </row>
    <row r="364625" spans="15:15" x14ac:dyDescent="0.25">
      <c r="O364625" s="9"/>
    </row>
    <row r="364646" spans="15:15" x14ac:dyDescent="0.25">
      <c r="O364646" s="9"/>
    </row>
    <row r="364667" spans="15:15" x14ac:dyDescent="0.25">
      <c r="O364667" s="9"/>
    </row>
    <row r="364688" spans="15:15" x14ac:dyDescent="0.25">
      <c r="O364688" s="9"/>
    </row>
    <row r="364709" spans="15:15" x14ac:dyDescent="0.25">
      <c r="O364709" s="9"/>
    </row>
    <row r="364730" spans="15:15" x14ac:dyDescent="0.25">
      <c r="O364730" s="9"/>
    </row>
    <row r="364751" spans="15:15" x14ac:dyDescent="0.25">
      <c r="O364751" s="9"/>
    </row>
    <row r="364772" spans="15:15" x14ac:dyDescent="0.25">
      <c r="O364772" s="9"/>
    </row>
    <row r="364793" spans="15:15" x14ac:dyDescent="0.25">
      <c r="O364793" s="9"/>
    </row>
    <row r="364814" spans="15:15" x14ac:dyDescent="0.25">
      <c r="O364814" s="9"/>
    </row>
    <row r="364835" spans="15:15" x14ac:dyDescent="0.25">
      <c r="O364835" s="9"/>
    </row>
    <row r="364856" spans="15:15" x14ac:dyDescent="0.25">
      <c r="O364856" s="9"/>
    </row>
    <row r="364877" spans="15:15" x14ac:dyDescent="0.25">
      <c r="O364877" s="9"/>
    </row>
    <row r="364898" spans="15:15" x14ac:dyDescent="0.25">
      <c r="O364898" s="9"/>
    </row>
    <row r="364919" spans="15:15" x14ac:dyDescent="0.25">
      <c r="O364919" s="9"/>
    </row>
    <row r="364940" spans="15:15" x14ac:dyDescent="0.25">
      <c r="O364940" s="9"/>
    </row>
    <row r="364961" spans="15:15" x14ac:dyDescent="0.25">
      <c r="O364961" s="9"/>
    </row>
    <row r="364982" spans="15:15" x14ac:dyDescent="0.25">
      <c r="O364982" s="9"/>
    </row>
    <row r="365003" spans="15:15" x14ac:dyDescent="0.25">
      <c r="O365003" s="9"/>
    </row>
    <row r="365024" spans="15:15" x14ac:dyDescent="0.25">
      <c r="O365024" s="9"/>
    </row>
    <row r="365045" spans="15:15" x14ac:dyDescent="0.25">
      <c r="O365045" s="9"/>
    </row>
    <row r="365066" spans="15:15" x14ac:dyDescent="0.25">
      <c r="O365066" s="9"/>
    </row>
    <row r="365087" spans="15:15" x14ac:dyDescent="0.25">
      <c r="O365087" s="9"/>
    </row>
    <row r="365108" spans="15:15" x14ac:dyDescent="0.25">
      <c r="O365108" s="9"/>
    </row>
    <row r="365129" spans="15:15" x14ac:dyDescent="0.25">
      <c r="O365129" s="9"/>
    </row>
    <row r="365150" spans="15:15" x14ac:dyDescent="0.25">
      <c r="O365150" s="9"/>
    </row>
    <row r="365171" spans="15:15" x14ac:dyDescent="0.25">
      <c r="O365171" s="9"/>
    </row>
    <row r="365192" spans="15:15" x14ac:dyDescent="0.25">
      <c r="O365192" s="9"/>
    </row>
    <row r="365213" spans="15:15" x14ac:dyDescent="0.25">
      <c r="O365213" s="9"/>
    </row>
    <row r="365234" spans="15:15" x14ac:dyDescent="0.25">
      <c r="O365234" s="9"/>
    </row>
    <row r="365255" spans="15:15" x14ac:dyDescent="0.25">
      <c r="O365255" s="9"/>
    </row>
    <row r="365276" spans="15:15" x14ac:dyDescent="0.25">
      <c r="O365276" s="9"/>
    </row>
    <row r="365297" spans="15:15" x14ac:dyDescent="0.25">
      <c r="O365297" s="9"/>
    </row>
    <row r="365318" spans="15:15" x14ac:dyDescent="0.25">
      <c r="O365318" s="9"/>
    </row>
    <row r="365339" spans="15:15" x14ac:dyDescent="0.25">
      <c r="O365339" s="9"/>
    </row>
    <row r="365360" spans="15:15" x14ac:dyDescent="0.25">
      <c r="O365360" s="9"/>
    </row>
    <row r="365381" spans="15:15" x14ac:dyDescent="0.25">
      <c r="O365381" s="9"/>
    </row>
    <row r="365402" spans="15:15" x14ac:dyDescent="0.25">
      <c r="O365402" s="9"/>
    </row>
    <row r="365423" spans="15:15" x14ac:dyDescent="0.25">
      <c r="O365423" s="9"/>
    </row>
    <row r="365444" spans="15:15" x14ac:dyDescent="0.25">
      <c r="O365444" s="9"/>
    </row>
    <row r="365465" spans="15:15" x14ac:dyDescent="0.25">
      <c r="O365465" s="9"/>
    </row>
    <row r="365486" spans="15:15" x14ac:dyDescent="0.25">
      <c r="O365486" s="9"/>
    </row>
    <row r="365507" spans="15:15" x14ac:dyDescent="0.25">
      <c r="O365507" s="9"/>
    </row>
    <row r="365528" spans="15:15" x14ac:dyDescent="0.25">
      <c r="O365528" s="9"/>
    </row>
    <row r="365549" spans="15:15" x14ac:dyDescent="0.25">
      <c r="O365549" s="9"/>
    </row>
    <row r="365570" spans="15:15" x14ac:dyDescent="0.25">
      <c r="O365570" s="9"/>
    </row>
    <row r="365591" spans="15:15" x14ac:dyDescent="0.25">
      <c r="O365591" s="9"/>
    </row>
    <row r="365612" spans="15:15" x14ac:dyDescent="0.25">
      <c r="O365612" s="9"/>
    </row>
    <row r="365633" spans="15:15" x14ac:dyDescent="0.25">
      <c r="O365633" s="9"/>
    </row>
    <row r="365654" spans="15:15" x14ac:dyDescent="0.25">
      <c r="O365654" s="9"/>
    </row>
    <row r="365675" spans="15:15" x14ac:dyDescent="0.25">
      <c r="O365675" s="9"/>
    </row>
    <row r="365696" spans="15:15" x14ac:dyDescent="0.25">
      <c r="O365696" s="9"/>
    </row>
    <row r="365717" spans="15:15" x14ac:dyDescent="0.25">
      <c r="O365717" s="9"/>
    </row>
    <row r="365738" spans="15:15" x14ac:dyDescent="0.25">
      <c r="O365738" s="9"/>
    </row>
    <row r="365759" spans="15:15" x14ac:dyDescent="0.25">
      <c r="O365759" s="9"/>
    </row>
    <row r="365780" spans="15:15" x14ac:dyDescent="0.25">
      <c r="O365780" s="9"/>
    </row>
    <row r="365801" spans="15:15" x14ac:dyDescent="0.25">
      <c r="O365801" s="9"/>
    </row>
    <row r="365822" spans="15:15" x14ac:dyDescent="0.25">
      <c r="O365822" s="9"/>
    </row>
    <row r="365843" spans="15:15" x14ac:dyDescent="0.25">
      <c r="O365843" s="9"/>
    </row>
    <row r="365864" spans="15:15" x14ac:dyDescent="0.25">
      <c r="O365864" s="9"/>
    </row>
    <row r="365885" spans="15:15" x14ac:dyDescent="0.25">
      <c r="O365885" s="9"/>
    </row>
    <row r="365906" spans="15:15" x14ac:dyDescent="0.25">
      <c r="O365906" s="9"/>
    </row>
    <row r="365927" spans="15:15" x14ac:dyDescent="0.25">
      <c r="O365927" s="9"/>
    </row>
    <row r="365948" spans="15:15" x14ac:dyDescent="0.25">
      <c r="O365948" s="9"/>
    </row>
    <row r="365969" spans="15:15" x14ac:dyDescent="0.25">
      <c r="O365969" s="9"/>
    </row>
    <row r="365990" spans="15:15" x14ac:dyDescent="0.25">
      <c r="O365990" s="9"/>
    </row>
    <row r="366011" spans="15:15" x14ac:dyDescent="0.25">
      <c r="O366011" s="9"/>
    </row>
    <row r="366032" spans="15:15" x14ac:dyDescent="0.25">
      <c r="O366032" s="9"/>
    </row>
    <row r="366053" spans="15:15" x14ac:dyDescent="0.25">
      <c r="O366053" s="9"/>
    </row>
    <row r="366074" spans="15:15" x14ac:dyDescent="0.25">
      <c r="O366074" s="9"/>
    </row>
    <row r="366095" spans="15:15" x14ac:dyDescent="0.25">
      <c r="O366095" s="9"/>
    </row>
    <row r="366116" spans="15:15" x14ac:dyDescent="0.25">
      <c r="O366116" s="9"/>
    </row>
    <row r="366137" spans="15:15" x14ac:dyDescent="0.25">
      <c r="O366137" s="9"/>
    </row>
    <row r="366158" spans="15:15" x14ac:dyDescent="0.25">
      <c r="O366158" s="9"/>
    </row>
    <row r="366179" spans="15:15" x14ac:dyDescent="0.25">
      <c r="O366179" s="9"/>
    </row>
    <row r="366200" spans="15:15" x14ac:dyDescent="0.25">
      <c r="O366200" s="9"/>
    </row>
    <row r="366221" spans="15:15" x14ac:dyDescent="0.25">
      <c r="O366221" s="9"/>
    </row>
    <row r="366242" spans="15:15" x14ac:dyDescent="0.25">
      <c r="O366242" s="9"/>
    </row>
    <row r="366263" spans="15:15" x14ac:dyDescent="0.25">
      <c r="O366263" s="9"/>
    </row>
    <row r="366284" spans="15:15" x14ac:dyDescent="0.25">
      <c r="O366284" s="9"/>
    </row>
    <row r="366305" spans="15:15" x14ac:dyDescent="0.25">
      <c r="O366305" s="9"/>
    </row>
    <row r="366326" spans="15:15" x14ac:dyDescent="0.25">
      <c r="O366326" s="9"/>
    </row>
    <row r="366347" spans="15:15" x14ac:dyDescent="0.25">
      <c r="O366347" s="9"/>
    </row>
    <row r="366368" spans="15:15" x14ac:dyDescent="0.25">
      <c r="O366368" s="9"/>
    </row>
    <row r="366389" spans="15:15" x14ac:dyDescent="0.25">
      <c r="O366389" s="9"/>
    </row>
    <row r="366410" spans="15:15" x14ac:dyDescent="0.25">
      <c r="O366410" s="9"/>
    </row>
    <row r="366431" spans="15:15" x14ac:dyDescent="0.25">
      <c r="O366431" s="9"/>
    </row>
    <row r="366452" spans="15:15" x14ac:dyDescent="0.25">
      <c r="O366452" s="9"/>
    </row>
    <row r="366473" spans="15:15" x14ac:dyDescent="0.25">
      <c r="O366473" s="9"/>
    </row>
    <row r="366494" spans="15:15" x14ac:dyDescent="0.25">
      <c r="O366494" s="9"/>
    </row>
    <row r="366515" spans="15:15" x14ac:dyDescent="0.25">
      <c r="O366515" s="9"/>
    </row>
    <row r="366536" spans="15:15" x14ac:dyDescent="0.25">
      <c r="O366536" s="9"/>
    </row>
    <row r="366557" spans="15:15" x14ac:dyDescent="0.25">
      <c r="O366557" s="9"/>
    </row>
    <row r="366578" spans="15:15" x14ac:dyDescent="0.25">
      <c r="O366578" s="9"/>
    </row>
    <row r="366599" spans="15:15" x14ac:dyDescent="0.25">
      <c r="O366599" s="9"/>
    </row>
    <row r="366620" spans="15:15" x14ac:dyDescent="0.25">
      <c r="O366620" s="9"/>
    </row>
    <row r="366641" spans="15:15" x14ac:dyDescent="0.25">
      <c r="O366641" s="9"/>
    </row>
    <row r="366662" spans="15:15" x14ac:dyDescent="0.25">
      <c r="O366662" s="9"/>
    </row>
    <row r="366683" spans="15:15" x14ac:dyDescent="0.25">
      <c r="O366683" s="9"/>
    </row>
    <row r="366704" spans="15:15" x14ac:dyDescent="0.25">
      <c r="O366704" s="9"/>
    </row>
    <row r="366725" spans="15:15" x14ac:dyDescent="0.25">
      <c r="O366725" s="9"/>
    </row>
    <row r="366746" spans="15:15" x14ac:dyDescent="0.25">
      <c r="O366746" s="9"/>
    </row>
    <row r="366767" spans="15:15" x14ac:dyDescent="0.25">
      <c r="O366767" s="9"/>
    </row>
    <row r="366788" spans="15:15" x14ac:dyDescent="0.25">
      <c r="O366788" s="9"/>
    </row>
    <row r="366809" spans="15:15" x14ac:dyDescent="0.25">
      <c r="O366809" s="9"/>
    </row>
    <row r="366830" spans="15:15" x14ac:dyDescent="0.25">
      <c r="O366830" s="9"/>
    </row>
    <row r="366851" spans="15:15" x14ac:dyDescent="0.25">
      <c r="O366851" s="9"/>
    </row>
    <row r="366872" spans="15:15" x14ac:dyDescent="0.25">
      <c r="O366872" s="9"/>
    </row>
    <row r="366893" spans="15:15" x14ac:dyDescent="0.25">
      <c r="O366893" s="9"/>
    </row>
    <row r="366914" spans="15:15" x14ac:dyDescent="0.25">
      <c r="O366914" s="9"/>
    </row>
    <row r="366935" spans="15:15" x14ac:dyDescent="0.25">
      <c r="O366935" s="9"/>
    </row>
    <row r="366956" spans="15:15" x14ac:dyDescent="0.25">
      <c r="O366956" s="9"/>
    </row>
    <row r="366977" spans="15:15" x14ac:dyDescent="0.25">
      <c r="O366977" s="9"/>
    </row>
    <row r="366998" spans="15:15" x14ac:dyDescent="0.25">
      <c r="O366998" s="9"/>
    </row>
    <row r="367019" spans="15:15" x14ac:dyDescent="0.25">
      <c r="O367019" s="9"/>
    </row>
    <row r="367040" spans="15:15" x14ac:dyDescent="0.25">
      <c r="O367040" s="9"/>
    </row>
    <row r="367061" spans="15:15" x14ac:dyDescent="0.25">
      <c r="O367061" s="9"/>
    </row>
    <row r="367082" spans="15:15" x14ac:dyDescent="0.25">
      <c r="O367082" s="9"/>
    </row>
    <row r="367103" spans="15:15" x14ac:dyDescent="0.25">
      <c r="O367103" s="9"/>
    </row>
    <row r="367124" spans="15:15" x14ac:dyDescent="0.25">
      <c r="O367124" s="9"/>
    </row>
    <row r="367145" spans="15:15" x14ac:dyDescent="0.25">
      <c r="O367145" s="9"/>
    </row>
    <row r="367166" spans="15:15" x14ac:dyDescent="0.25">
      <c r="O367166" s="9"/>
    </row>
    <row r="367187" spans="15:15" x14ac:dyDescent="0.25">
      <c r="O367187" s="9"/>
    </row>
    <row r="367208" spans="15:15" x14ac:dyDescent="0.25">
      <c r="O367208" s="9"/>
    </row>
    <row r="367229" spans="15:15" x14ac:dyDescent="0.25">
      <c r="O367229" s="9"/>
    </row>
    <row r="367250" spans="15:15" x14ac:dyDescent="0.25">
      <c r="O367250" s="9"/>
    </row>
    <row r="367271" spans="15:15" x14ac:dyDescent="0.25">
      <c r="O367271" s="9"/>
    </row>
    <row r="367292" spans="15:15" x14ac:dyDescent="0.25">
      <c r="O367292" s="9"/>
    </row>
    <row r="367313" spans="15:15" x14ac:dyDescent="0.25">
      <c r="O367313" s="9"/>
    </row>
    <row r="367334" spans="15:15" x14ac:dyDescent="0.25">
      <c r="O367334" s="9"/>
    </row>
    <row r="367355" spans="15:15" x14ac:dyDescent="0.25">
      <c r="O367355" s="9"/>
    </row>
    <row r="367376" spans="15:15" x14ac:dyDescent="0.25">
      <c r="O367376" s="9"/>
    </row>
    <row r="367397" spans="15:15" x14ac:dyDescent="0.25">
      <c r="O367397" s="9"/>
    </row>
    <row r="367418" spans="15:15" x14ac:dyDescent="0.25">
      <c r="O367418" s="9"/>
    </row>
    <row r="367439" spans="15:15" x14ac:dyDescent="0.25">
      <c r="O367439" s="9"/>
    </row>
    <row r="367460" spans="15:15" x14ac:dyDescent="0.25">
      <c r="O367460" s="9"/>
    </row>
    <row r="367481" spans="15:15" x14ac:dyDescent="0.25">
      <c r="O367481" s="9"/>
    </row>
    <row r="367502" spans="15:15" x14ac:dyDescent="0.25">
      <c r="O367502" s="9"/>
    </row>
    <row r="367523" spans="15:15" x14ac:dyDescent="0.25">
      <c r="O367523" s="9"/>
    </row>
    <row r="367544" spans="15:15" x14ac:dyDescent="0.25">
      <c r="O367544" s="9"/>
    </row>
    <row r="367565" spans="15:15" x14ac:dyDescent="0.25">
      <c r="O367565" s="9"/>
    </row>
    <row r="367586" spans="15:15" x14ac:dyDescent="0.25">
      <c r="O367586" s="9"/>
    </row>
    <row r="367607" spans="15:15" x14ac:dyDescent="0.25">
      <c r="O367607" s="9"/>
    </row>
    <row r="367628" spans="15:15" x14ac:dyDescent="0.25">
      <c r="O367628" s="9"/>
    </row>
    <row r="367649" spans="15:15" x14ac:dyDescent="0.25">
      <c r="O367649" s="9"/>
    </row>
    <row r="367670" spans="15:15" x14ac:dyDescent="0.25">
      <c r="O367670" s="9"/>
    </row>
    <row r="367691" spans="15:15" x14ac:dyDescent="0.25">
      <c r="O367691" s="9"/>
    </row>
    <row r="367712" spans="15:15" x14ac:dyDescent="0.25">
      <c r="O367712" s="9"/>
    </row>
    <row r="367733" spans="15:15" x14ac:dyDescent="0.25">
      <c r="O367733" s="9"/>
    </row>
    <row r="367754" spans="15:15" x14ac:dyDescent="0.25">
      <c r="O367754" s="9"/>
    </row>
    <row r="367775" spans="15:15" x14ac:dyDescent="0.25">
      <c r="O367775" s="9"/>
    </row>
    <row r="367796" spans="15:15" x14ac:dyDescent="0.25">
      <c r="O367796" s="9"/>
    </row>
    <row r="367817" spans="15:15" x14ac:dyDescent="0.25">
      <c r="O367817" s="9"/>
    </row>
    <row r="367838" spans="15:15" x14ac:dyDescent="0.25">
      <c r="O367838" s="9"/>
    </row>
    <row r="367859" spans="15:15" x14ac:dyDescent="0.25">
      <c r="O367859" s="9"/>
    </row>
    <row r="367880" spans="15:15" x14ac:dyDescent="0.25">
      <c r="O367880" s="9"/>
    </row>
    <row r="367901" spans="15:15" x14ac:dyDescent="0.25">
      <c r="O367901" s="9"/>
    </row>
    <row r="367922" spans="15:15" x14ac:dyDescent="0.25">
      <c r="O367922" s="9"/>
    </row>
    <row r="367943" spans="15:15" x14ac:dyDescent="0.25">
      <c r="O367943" s="9"/>
    </row>
    <row r="367964" spans="15:15" x14ac:dyDescent="0.25">
      <c r="O367964" s="9"/>
    </row>
    <row r="367985" spans="15:15" x14ac:dyDescent="0.25">
      <c r="O367985" s="9"/>
    </row>
    <row r="368006" spans="15:15" x14ac:dyDescent="0.25">
      <c r="O368006" s="9"/>
    </row>
    <row r="368027" spans="15:15" x14ac:dyDescent="0.25">
      <c r="O368027" s="9"/>
    </row>
    <row r="368048" spans="15:15" x14ac:dyDescent="0.25">
      <c r="O368048" s="9"/>
    </row>
    <row r="368069" spans="15:15" x14ac:dyDescent="0.25">
      <c r="O368069" s="9"/>
    </row>
    <row r="368090" spans="15:15" x14ac:dyDescent="0.25">
      <c r="O368090" s="9"/>
    </row>
    <row r="368111" spans="15:15" x14ac:dyDescent="0.25">
      <c r="O368111" s="9"/>
    </row>
    <row r="368132" spans="15:15" x14ac:dyDescent="0.25">
      <c r="O368132" s="9"/>
    </row>
    <row r="368153" spans="15:15" x14ac:dyDescent="0.25">
      <c r="O368153" s="9"/>
    </row>
    <row r="368174" spans="15:15" x14ac:dyDescent="0.25">
      <c r="O368174" s="9"/>
    </row>
    <row r="368195" spans="15:15" x14ac:dyDescent="0.25">
      <c r="O368195" s="9"/>
    </row>
    <row r="368216" spans="15:15" x14ac:dyDescent="0.25">
      <c r="O368216" s="9"/>
    </row>
    <row r="368237" spans="15:15" x14ac:dyDescent="0.25">
      <c r="O368237" s="9"/>
    </row>
    <row r="368258" spans="15:15" x14ac:dyDescent="0.25">
      <c r="O368258" s="9"/>
    </row>
    <row r="368279" spans="15:15" x14ac:dyDescent="0.25">
      <c r="O368279" s="9"/>
    </row>
    <row r="368300" spans="15:15" x14ac:dyDescent="0.25">
      <c r="O368300" s="9"/>
    </row>
    <row r="368321" spans="15:15" x14ac:dyDescent="0.25">
      <c r="O368321" s="9"/>
    </row>
    <row r="368342" spans="15:15" x14ac:dyDescent="0.25">
      <c r="O368342" s="9"/>
    </row>
    <row r="368363" spans="15:15" x14ac:dyDescent="0.25">
      <c r="O368363" s="9"/>
    </row>
    <row r="368384" spans="15:15" x14ac:dyDescent="0.25">
      <c r="O368384" s="9"/>
    </row>
    <row r="368405" spans="15:15" x14ac:dyDescent="0.25">
      <c r="O368405" s="9"/>
    </row>
    <row r="368426" spans="15:15" x14ac:dyDescent="0.25">
      <c r="O368426" s="9"/>
    </row>
    <row r="368447" spans="15:15" x14ac:dyDescent="0.25">
      <c r="O368447" s="9"/>
    </row>
    <row r="368468" spans="15:15" x14ac:dyDescent="0.25">
      <c r="O368468" s="9"/>
    </row>
    <row r="368489" spans="15:15" x14ac:dyDescent="0.25">
      <c r="O368489" s="9"/>
    </row>
    <row r="368510" spans="15:15" x14ac:dyDescent="0.25">
      <c r="O368510" s="9"/>
    </row>
    <row r="368531" spans="15:15" x14ac:dyDescent="0.25">
      <c r="O368531" s="9"/>
    </row>
    <row r="368552" spans="15:15" x14ac:dyDescent="0.25">
      <c r="O368552" s="9"/>
    </row>
    <row r="368573" spans="15:15" x14ac:dyDescent="0.25">
      <c r="O368573" s="9"/>
    </row>
    <row r="368594" spans="15:15" x14ac:dyDescent="0.25">
      <c r="O368594" s="9"/>
    </row>
    <row r="368615" spans="15:15" x14ac:dyDescent="0.25">
      <c r="O368615" s="9"/>
    </row>
    <row r="368636" spans="15:15" x14ac:dyDescent="0.25">
      <c r="O368636" s="9"/>
    </row>
    <row r="368657" spans="15:15" x14ac:dyDescent="0.25">
      <c r="O368657" s="9"/>
    </row>
    <row r="368678" spans="15:15" x14ac:dyDescent="0.25">
      <c r="O368678" s="9"/>
    </row>
    <row r="368699" spans="15:15" x14ac:dyDescent="0.25">
      <c r="O368699" s="9"/>
    </row>
    <row r="368720" spans="15:15" x14ac:dyDescent="0.25">
      <c r="O368720" s="9"/>
    </row>
    <row r="368741" spans="15:15" x14ac:dyDescent="0.25">
      <c r="O368741" s="9"/>
    </row>
    <row r="368762" spans="15:15" x14ac:dyDescent="0.25">
      <c r="O368762" s="9"/>
    </row>
    <row r="368783" spans="15:15" x14ac:dyDescent="0.25">
      <c r="O368783" s="9"/>
    </row>
    <row r="368804" spans="15:15" x14ac:dyDescent="0.25">
      <c r="O368804" s="9"/>
    </row>
    <row r="368825" spans="15:15" x14ac:dyDescent="0.25">
      <c r="O368825" s="9"/>
    </row>
    <row r="368846" spans="15:15" x14ac:dyDescent="0.25">
      <c r="O368846" s="9"/>
    </row>
    <row r="368867" spans="15:15" x14ac:dyDescent="0.25">
      <c r="O368867" s="9"/>
    </row>
    <row r="368888" spans="15:15" x14ac:dyDescent="0.25">
      <c r="O368888" s="9"/>
    </row>
    <row r="368909" spans="15:15" x14ac:dyDescent="0.25">
      <c r="O368909" s="9"/>
    </row>
    <row r="368930" spans="15:15" x14ac:dyDescent="0.25">
      <c r="O368930" s="9"/>
    </row>
    <row r="368951" spans="15:15" x14ac:dyDescent="0.25">
      <c r="O368951" s="9"/>
    </row>
    <row r="368972" spans="15:15" x14ac:dyDescent="0.25">
      <c r="O368972" s="9"/>
    </row>
    <row r="368993" spans="15:15" x14ac:dyDescent="0.25">
      <c r="O368993" s="9"/>
    </row>
    <row r="369014" spans="15:15" x14ac:dyDescent="0.25">
      <c r="O369014" s="9"/>
    </row>
    <row r="369035" spans="15:15" x14ac:dyDescent="0.25">
      <c r="O369035" s="9"/>
    </row>
    <row r="369056" spans="15:15" x14ac:dyDescent="0.25">
      <c r="O369056" s="9"/>
    </row>
    <row r="369077" spans="15:15" x14ac:dyDescent="0.25">
      <c r="O369077" s="9"/>
    </row>
    <row r="369098" spans="15:15" x14ac:dyDescent="0.25">
      <c r="O369098" s="9"/>
    </row>
    <row r="369119" spans="15:15" x14ac:dyDescent="0.25">
      <c r="O369119" s="9"/>
    </row>
    <row r="369140" spans="15:15" x14ac:dyDescent="0.25">
      <c r="O369140" s="9"/>
    </row>
    <row r="369161" spans="15:15" x14ac:dyDescent="0.25">
      <c r="O369161" s="9"/>
    </row>
    <row r="369182" spans="15:15" x14ac:dyDescent="0.25">
      <c r="O369182" s="9"/>
    </row>
    <row r="369203" spans="15:15" x14ac:dyDescent="0.25">
      <c r="O369203" s="9"/>
    </row>
    <row r="369224" spans="15:15" x14ac:dyDescent="0.25">
      <c r="O369224" s="9"/>
    </row>
    <row r="369245" spans="15:15" x14ac:dyDescent="0.25">
      <c r="O369245" s="9"/>
    </row>
    <row r="369266" spans="15:15" x14ac:dyDescent="0.25">
      <c r="O369266" s="9"/>
    </row>
    <row r="369287" spans="15:15" x14ac:dyDescent="0.25">
      <c r="O369287" s="9"/>
    </row>
    <row r="369308" spans="15:15" x14ac:dyDescent="0.25">
      <c r="O369308" s="9"/>
    </row>
    <row r="369329" spans="15:15" x14ac:dyDescent="0.25">
      <c r="O369329" s="9"/>
    </row>
    <row r="369350" spans="15:15" x14ac:dyDescent="0.25">
      <c r="O369350" s="9"/>
    </row>
    <row r="369371" spans="15:15" x14ac:dyDescent="0.25">
      <c r="O369371" s="9"/>
    </row>
    <row r="369392" spans="15:15" x14ac:dyDescent="0.25">
      <c r="O369392" s="9"/>
    </row>
    <row r="369413" spans="15:15" x14ac:dyDescent="0.25">
      <c r="O369413" s="9"/>
    </row>
    <row r="369434" spans="15:15" x14ac:dyDescent="0.25">
      <c r="O369434" s="9"/>
    </row>
    <row r="369455" spans="15:15" x14ac:dyDescent="0.25">
      <c r="O369455" s="9"/>
    </row>
    <row r="369476" spans="15:15" x14ac:dyDescent="0.25">
      <c r="O369476" s="9"/>
    </row>
    <row r="369497" spans="15:15" x14ac:dyDescent="0.25">
      <c r="O369497" s="9"/>
    </row>
    <row r="369518" spans="15:15" x14ac:dyDescent="0.25">
      <c r="O369518" s="9"/>
    </row>
    <row r="369539" spans="15:15" x14ac:dyDescent="0.25">
      <c r="O369539" s="9"/>
    </row>
    <row r="369560" spans="15:15" x14ac:dyDescent="0.25">
      <c r="O369560" s="9"/>
    </row>
    <row r="369581" spans="15:15" x14ac:dyDescent="0.25">
      <c r="O369581" s="9"/>
    </row>
    <row r="369602" spans="15:15" x14ac:dyDescent="0.25">
      <c r="O369602" s="9"/>
    </row>
    <row r="369623" spans="15:15" x14ac:dyDescent="0.25">
      <c r="O369623" s="9"/>
    </row>
    <row r="369644" spans="15:15" x14ac:dyDescent="0.25">
      <c r="O369644" s="9"/>
    </row>
    <row r="369665" spans="15:15" x14ac:dyDescent="0.25">
      <c r="O369665" s="9"/>
    </row>
    <row r="369686" spans="15:15" x14ac:dyDescent="0.25">
      <c r="O369686" s="9"/>
    </row>
    <row r="369707" spans="15:15" x14ac:dyDescent="0.25">
      <c r="O369707" s="9"/>
    </row>
    <row r="369728" spans="15:15" x14ac:dyDescent="0.25">
      <c r="O369728" s="9"/>
    </row>
    <row r="369749" spans="15:15" x14ac:dyDescent="0.25">
      <c r="O369749" s="9"/>
    </row>
    <row r="369770" spans="15:15" x14ac:dyDescent="0.25">
      <c r="O369770" s="9"/>
    </row>
    <row r="369791" spans="15:15" x14ac:dyDescent="0.25">
      <c r="O369791" s="9"/>
    </row>
    <row r="369812" spans="15:15" x14ac:dyDescent="0.25">
      <c r="O369812" s="9"/>
    </row>
    <row r="369833" spans="15:15" x14ac:dyDescent="0.25">
      <c r="O369833" s="9"/>
    </row>
    <row r="369854" spans="15:15" x14ac:dyDescent="0.25">
      <c r="O369854" s="9"/>
    </row>
    <row r="369875" spans="15:15" x14ac:dyDescent="0.25">
      <c r="O369875" s="9"/>
    </row>
    <row r="369896" spans="15:15" x14ac:dyDescent="0.25">
      <c r="O369896" s="9"/>
    </row>
    <row r="369917" spans="15:15" x14ac:dyDescent="0.25">
      <c r="O369917" s="9"/>
    </row>
    <row r="369938" spans="15:15" x14ac:dyDescent="0.25">
      <c r="O369938" s="9"/>
    </row>
    <row r="369959" spans="15:15" x14ac:dyDescent="0.25">
      <c r="O369959" s="9"/>
    </row>
    <row r="369980" spans="15:15" x14ac:dyDescent="0.25">
      <c r="O369980" s="9"/>
    </row>
    <row r="370001" spans="15:15" x14ac:dyDescent="0.25">
      <c r="O370001" s="9"/>
    </row>
    <row r="370022" spans="15:15" x14ac:dyDescent="0.25">
      <c r="O370022" s="9"/>
    </row>
    <row r="370043" spans="15:15" x14ac:dyDescent="0.25">
      <c r="O370043" s="9"/>
    </row>
    <row r="370064" spans="15:15" x14ac:dyDescent="0.25">
      <c r="O370064" s="9"/>
    </row>
    <row r="370085" spans="15:15" x14ac:dyDescent="0.25">
      <c r="O370085" s="9"/>
    </row>
    <row r="370106" spans="15:15" x14ac:dyDescent="0.25">
      <c r="O370106" s="9"/>
    </row>
    <row r="370127" spans="15:15" x14ac:dyDescent="0.25">
      <c r="O370127" s="9"/>
    </row>
    <row r="370148" spans="15:15" x14ac:dyDescent="0.25">
      <c r="O370148" s="9"/>
    </row>
    <row r="370169" spans="15:15" x14ac:dyDescent="0.25">
      <c r="O370169" s="9"/>
    </row>
    <row r="370190" spans="15:15" x14ac:dyDescent="0.25">
      <c r="O370190" s="9"/>
    </row>
    <row r="370211" spans="15:15" x14ac:dyDescent="0.25">
      <c r="O370211" s="9"/>
    </row>
    <row r="370232" spans="15:15" x14ac:dyDescent="0.25">
      <c r="O370232" s="9"/>
    </row>
    <row r="370253" spans="15:15" x14ac:dyDescent="0.25">
      <c r="O370253" s="9"/>
    </row>
    <row r="370274" spans="15:15" x14ac:dyDescent="0.25">
      <c r="O370274" s="9"/>
    </row>
    <row r="370295" spans="15:15" x14ac:dyDescent="0.25">
      <c r="O370295" s="9"/>
    </row>
    <row r="370316" spans="15:15" x14ac:dyDescent="0.25">
      <c r="O370316" s="9"/>
    </row>
    <row r="370337" spans="15:15" x14ac:dyDescent="0.25">
      <c r="O370337" s="9"/>
    </row>
    <row r="370358" spans="15:15" x14ac:dyDescent="0.25">
      <c r="O370358" s="9"/>
    </row>
    <row r="370379" spans="15:15" x14ac:dyDescent="0.25">
      <c r="O370379" s="9"/>
    </row>
    <row r="370400" spans="15:15" x14ac:dyDescent="0.25">
      <c r="O370400" s="9"/>
    </row>
    <row r="370421" spans="15:15" x14ac:dyDescent="0.25">
      <c r="O370421" s="9"/>
    </row>
    <row r="370442" spans="15:15" x14ac:dyDescent="0.25">
      <c r="O370442" s="9"/>
    </row>
    <row r="370463" spans="15:15" x14ac:dyDescent="0.25">
      <c r="O370463" s="9"/>
    </row>
    <row r="370484" spans="15:15" x14ac:dyDescent="0.25">
      <c r="O370484" s="9"/>
    </row>
    <row r="370505" spans="15:15" x14ac:dyDescent="0.25">
      <c r="O370505" s="9"/>
    </row>
    <row r="370526" spans="15:15" x14ac:dyDescent="0.25">
      <c r="O370526" s="9"/>
    </row>
    <row r="370547" spans="15:15" x14ac:dyDescent="0.25">
      <c r="O370547" s="9"/>
    </row>
    <row r="370568" spans="15:15" x14ac:dyDescent="0.25">
      <c r="O370568" s="9"/>
    </row>
    <row r="370589" spans="15:15" x14ac:dyDescent="0.25">
      <c r="O370589" s="9"/>
    </row>
    <row r="370610" spans="15:15" x14ac:dyDescent="0.25">
      <c r="O370610" s="9"/>
    </row>
    <row r="370631" spans="15:15" x14ac:dyDescent="0.25">
      <c r="O370631" s="9"/>
    </row>
    <row r="370652" spans="15:15" x14ac:dyDescent="0.25">
      <c r="O370652" s="9"/>
    </row>
    <row r="370673" spans="15:15" x14ac:dyDescent="0.25">
      <c r="O370673" s="9"/>
    </row>
    <row r="370694" spans="15:15" x14ac:dyDescent="0.25">
      <c r="O370694" s="9"/>
    </row>
    <row r="370715" spans="15:15" x14ac:dyDescent="0.25">
      <c r="O370715" s="9"/>
    </row>
    <row r="370736" spans="15:15" x14ac:dyDescent="0.25">
      <c r="O370736" s="9"/>
    </row>
    <row r="370757" spans="15:15" x14ac:dyDescent="0.25">
      <c r="O370757" s="9"/>
    </row>
    <row r="370778" spans="15:15" x14ac:dyDescent="0.25">
      <c r="O370778" s="9"/>
    </row>
    <row r="370799" spans="15:15" x14ac:dyDescent="0.25">
      <c r="O370799" s="9"/>
    </row>
    <row r="370820" spans="15:15" x14ac:dyDescent="0.25">
      <c r="O370820" s="9"/>
    </row>
    <row r="370841" spans="15:15" x14ac:dyDescent="0.25">
      <c r="O370841" s="9"/>
    </row>
    <row r="370862" spans="15:15" x14ac:dyDescent="0.25">
      <c r="O370862" s="9"/>
    </row>
    <row r="370883" spans="15:15" x14ac:dyDescent="0.25">
      <c r="O370883" s="9"/>
    </row>
    <row r="370904" spans="15:15" x14ac:dyDescent="0.25">
      <c r="O370904" s="9"/>
    </row>
    <row r="370925" spans="15:15" x14ac:dyDescent="0.25">
      <c r="O370925" s="9"/>
    </row>
    <row r="370946" spans="15:15" x14ac:dyDescent="0.25">
      <c r="O370946" s="9"/>
    </row>
    <row r="370967" spans="15:15" x14ac:dyDescent="0.25">
      <c r="O370967" s="9"/>
    </row>
    <row r="370988" spans="15:15" x14ac:dyDescent="0.25">
      <c r="O370988" s="9"/>
    </row>
    <row r="371009" spans="15:15" x14ac:dyDescent="0.25">
      <c r="O371009" s="9"/>
    </row>
    <row r="371030" spans="15:15" x14ac:dyDescent="0.25">
      <c r="O371030" s="9"/>
    </row>
    <row r="371051" spans="15:15" x14ac:dyDescent="0.25">
      <c r="O371051" s="9"/>
    </row>
    <row r="371072" spans="15:15" x14ac:dyDescent="0.25">
      <c r="O371072" s="9"/>
    </row>
    <row r="371093" spans="15:15" x14ac:dyDescent="0.25">
      <c r="O371093" s="9"/>
    </row>
    <row r="371114" spans="15:15" x14ac:dyDescent="0.25">
      <c r="O371114" s="9"/>
    </row>
    <row r="371135" spans="15:15" x14ac:dyDescent="0.25">
      <c r="O371135" s="9"/>
    </row>
    <row r="371156" spans="15:15" x14ac:dyDescent="0.25">
      <c r="O371156" s="9"/>
    </row>
    <row r="371177" spans="15:15" x14ac:dyDescent="0.25">
      <c r="O371177" s="9"/>
    </row>
    <row r="371198" spans="15:15" x14ac:dyDescent="0.25">
      <c r="O371198" s="9"/>
    </row>
    <row r="371219" spans="15:15" x14ac:dyDescent="0.25">
      <c r="O371219" s="9"/>
    </row>
    <row r="371240" spans="15:15" x14ac:dyDescent="0.25">
      <c r="O371240" s="9"/>
    </row>
    <row r="371261" spans="15:15" x14ac:dyDescent="0.25">
      <c r="O371261" s="9"/>
    </row>
    <row r="371282" spans="15:15" x14ac:dyDescent="0.25">
      <c r="O371282" s="9"/>
    </row>
    <row r="371303" spans="15:15" x14ac:dyDescent="0.25">
      <c r="O371303" s="9"/>
    </row>
    <row r="371324" spans="15:15" x14ac:dyDescent="0.25">
      <c r="O371324" s="9"/>
    </row>
    <row r="371345" spans="15:15" x14ac:dyDescent="0.25">
      <c r="O371345" s="9"/>
    </row>
    <row r="371366" spans="15:15" x14ac:dyDescent="0.25">
      <c r="O371366" s="9"/>
    </row>
    <row r="371387" spans="15:15" x14ac:dyDescent="0.25">
      <c r="O371387" s="9"/>
    </row>
    <row r="371408" spans="15:15" x14ac:dyDescent="0.25">
      <c r="O371408" s="9"/>
    </row>
    <row r="371429" spans="15:15" x14ac:dyDescent="0.25">
      <c r="O371429" s="9"/>
    </row>
    <row r="371450" spans="15:15" x14ac:dyDescent="0.25">
      <c r="O371450" s="9"/>
    </row>
    <row r="371471" spans="15:15" x14ac:dyDescent="0.25">
      <c r="O371471" s="9"/>
    </row>
    <row r="371492" spans="15:15" x14ac:dyDescent="0.25">
      <c r="O371492" s="9"/>
    </row>
    <row r="371513" spans="15:15" x14ac:dyDescent="0.25">
      <c r="O371513" s="9"/>
    </row>
    <row r="371534" spans="15:15" x14ac:dyDescent="0.25">
      <c r="O371534" s="9"/>
    </row>
    <row r="371555" spans="15:15" x14ac:dyDescent="0.25">
      <c r="O371555" s="9"/>
    </row>
    <row r="371576" spans="15:15" x14ac:dyDescent="0.25">
      <c r="O371576" s="9"/>
    </row>
    <row r="371597" spans="15:15" x14ac:dyDescent="0.25">
      <c r="O371597" s="9"/>
    </row>
    <row r="371618" spans="15:15" x14ac:dyDescent="0.25">
      <c r="O371618" s="9"/>
    </row>
    <row r="371639" spans="15:15" x14ac:dyDescent="0.25">
      <c r="O371639" s="9"/>
    </row>
    <row r="371660" spans="15:15" x14ac:dyDescent="0.25">
      <c r="O371660" s="9"/>
    </row>
    <row r="371681" spans="15:15" x14ac:dyDescent="0.25">
      <c r="O371681" s="9"/>
    </row>
    <row r="371702" spans="15:15" x14ac:dyDescent="0.25">
      <c r="O371702" s="9"/>
    </row>
    <row r="371723" spans="15:15" x14ac:dyDescent="0.25">
      <c r="O371723" s="9"/>
    </row>
    <row r="371744" spans="15:15" x14ac:dyDescent="0.25">
      <c r="O371744" s="9"/>
    </row>
    <row r="371765" spans="15:15" x14ac:dyDescent="0.25">
      <c r="O371765" s="9"/>
    </row>
    <row r="371786" spans="15:15" x14ac:dyDescent="0.25">
      <c r="O371786" s="9"/>
    </row>
    <row r="371807" spans="15:15" x14ac:dyDescent="0.25">
      <c r="O371807" s="9"/>
    </row>
    <row r="371828" spans="15:15" x14ac:dyDescent="0.25">
      <c r="O371828" s="9"/>
    </row>
    <row r="371849" spans="15:15" x14ac:dyDescent="0.25">
      <c r="O371849" s="9"/>
    </row>
    <row r="371870" spans="15:15" x14ac:dyDescent="0.25">
      <c r="O371870" s="9"/>
    </row>
    <row r="371891" spans="15:15" x14ac:dyDescent="0.25">
      <c r="O371891" s="9"/>
    </row>
    <row r="371912" spans="15:15" x14ac:dyDescent="0.25">
      <c r="O371912" s="9"/>
    </row>
    <row r="371933" spans="15:15" x14ac:dyDescent="0.25">
      <c r="O371933" s="9"/>
    </row>
    <row r="371954" spans="15:15" x14ac:dyDescent="0.25">
      <c r="O371954" s="9"/>
    </row>
    <row r="371975" spans="15:15" x14ac:dyDescent="0.25">
      <c r="O371975" s="9"/>
    </row>
    <row r="371996" spans="15:15" x14ac:dyDescent="0.25">
      <c r="O371996" s="9"/>
    </row>
    <row r="372017" spans="15:15" x14ac:dyDescent="0.25">
      <c r="O372017" s="9"/>
    </row>
    <row r="372038" spans="15:15" x14ac:dyDescent="0.25">
      <c r="O372038" s="9"/>
    </row>
    <row r="372059" spans="15:15" x14ac:dyDescent="0.25">
      <c r="O372059" s="9"/>
    </row>
    <row r="372080" spans="15:15" x14ac:dyDescent="0.25">
      <c r="O372080" s="9"/>
    </row>
    <row r="372101" spans="15:15" x14ac:dyDescent="0.25">
      <c r="O372101" s="9"/>
    </row>
    <row r="372122" spans="15:15" x14ac:dyDescent="0.25">
      <c r="O372122" s="9"/>
    </row>
    <row r="372143" spans="15:15" x14ac:dyDescent="0.25">
      <c r="O372143" s="9"/>
    </row>
    <row r="372164" spans="15:15" x14ac:dyDescent="0.25">
      <c r="O372164" s="9"/>
    </row>
    <row r="372185" spans="15:15" x14ac:dyDescent="0.25">
      <c r="O372185" s="9"/>
    </row>
    <row r="372206" spans="15:15" x14ac:dyDescent="0.25">
      <c r="O372206" s="9"/>
    </row>
    <row r="372227" spans="15:15" x14ac:dyDescent="0.25">
      <c r="O372227" s="9"/>
    </row>
    <row r="372248" spans="15:15" x14ac:dyDescent="0.25">
      <c r="O372248" s="9"/>
    </row>
    <row r="372269" spans="15:15" x14ac:dyDescent="0.25">
      <c r="O372269" s="9"/>
    </row>
    <row r="372290" spans="15:15" x14ac:dyDescent="0.25">
      <c r="O372290" s="9"/>
    </row>
    <row r="372311" spans="15:15" x14ac:dyDescent="0.25">
      <c r="O372311" s="9"/>
    </row>
    <row r="372332" spans="15:15" x14ac:dyDescent="0.25">
      <c r="O372332" s="9"/>
    </row>
    <row r="372353" spans="15:15" x14ac:dyDescent="0.25">
      <c r="O372353" s="9"/>
    </row>
    <row r="372374" spans="15:15" x14ac:dyDescent="0.25">
      <c r="O372374" s="9"/>
    </row>
    <row r="372395" spans="15:15" x14ac:dyDescent="0.25">
      <c r="O372395" s="9"/>
    </row>
    <row r="372416" spans="15:15" x14ac:dyDescent="0.25">
      <c r="O372416" s="9"/>
    </row>
    <row r="372437" spans="15:15" x14ac:dyDescent="0.25">
      <c r="O372437" s="9"/>
    </row>
    <row r="372458" spans="15:15" x14ac:dyDescent="0.25">
      <c r="O372458" s="9"/>
    </row>
    <row r="372479" spans="15:15" x14ac:dyDescent="0.25">
      <c r="O372479" s="9"/>
    </row>
    <row r="372500" spans="15:15" x14ac:dyDescent="0.25">
      <c r="O372500" s="9"/>
    </row>
    <row r="372521" spans="15:15" x14ac:dyDescent="0.25">
      <c r="O372521" s="9"/>
    </row>
    <row r="372542" spans="15:15" x14ac:dyDescent="0.25">
      <c r="O372542" s="9"/>
    </row>
    <row r="372563" spans="15:15" x14ac:dyDescent="0.25">
      <c r="O372563" s="9"/>
    </row>
    <row r="372584" spans="15:15" x14ac:dyDescent="0.25">
      <c r="O372584" s="9"/>
    </row>
    <row r="372605" spans="15:15" x14ac:dyDescent="0.25">
      <c r="O372605" s="9"/>
    </row>
    <row r="372626" spans="15:15" x14ac:dyDescent="0.25">
      <c r="O372626" s="9"/>
    </row>
    <row r="372647" spans="15:15" x14ac:dyDescent="0.25">
      <c r="O372647" s="9"/>
    </row>
    <row r="372668" spans="15:15" x14ac:dyDescent="0.25">
      <c r="O372668" s="9"/>
    </row>
    <row r="372689" spans="15:15" x14ac:dyDescent="0.25">
      <c r="O372689" s="9"/>
    </row>
    <row r="372710" spans="15:15" x14ac:dyDescent="0.25">
      <c r="O372710" s="9"/>
    </row>
    <row r="372731" spans="15:15" x14ac:dyDescent="0.25">
      <c r="O372731" s="9"/>
    </row>
    <row r="372752" spans="15:15" x14ac:dyDescent="0.25">
      <c r="O372752" s="9"/>
    </row>
    <row r="372773" spans="15:15" x14ac:dyDescent="0.25">
      <c r="O372773" s="9"/>
    </row>
    <row r="372794" spans="15:15" x14ac:dyDescent="0.25">
      <c r="O372794" s="9"/>
    </row>
    <row r="372815" spans="15:15" x14ac:dyDescent="0.25">
      <c r="O372815" s="9"/>
    </row>
    <row r="372836" spans="15:15" x14ac:dyDescent="0.25">
      <c r="O372836" s="9"/>
    </row>
    <row r="372857" spans="15:15" x14ac:dyDescent="0.25">
      <c r="O372857" s="9"/>
    </row>
    <row r="372878" spans="15:15" x14ac:dyDescent="0.25">
      <c r="O372878" s="9"/>
    </row>
    <row r="372899" spans="15:15" x14ac:dyDescent="0.25">
      <c r="O372899" s="9"/>
    </row>
    <row r="372920" spans="15:15" x14ac:dyDescent="0.25">
      <c r="O372920" s="9"/>
    </row>
    <row r="372941" spans="15:15" x14ac:dyDescent="0.25">
      <c r="O372941" s="9"/>
    </row>
    <row r="372962" spans="15:15" x14ac:dyDescent="0.25">
      <c r="O372962" s="9"/>
    </row>
    <row r="372983" spans="15:15" x14ac:dyDescent="0.25">
      <c r="O372983" s="9"/>
    </row>
    <row r="373004" spans="15:15" x14ac:dyDescent="0.25">
      <c r="O373004" s="9"/>
    </row>
    <row r="373025" spans="15:15" x14ac:dyDescent="0.25">
      <c r="O373025" s="9"/>
    </row>
    <row r="373046" spans="15:15" x14ac:dyDescent="0.25">
      <c r="O373046" s="9"/>
    </row>
    <row r="373067" spans="15:15" x14ac:dyDescent="0.25">
      <c r="O373067" s="9"/>
    </row>
    <row r="373088" spans="15:15" x14ac:dyDescent="0.25">
      <c r="O373088" s="9"/>
    </row>
    <row r="373109" spans="15:15" x14ac:dyDescent="0.25">
      <c r="O373109" s="9"/>
    </row>
    <row r="373130" spans="15:15" x14ac:dyDescent="0.25">
      <c r="O373130" s="9"/>
    </row>
    <row r="373151" spans="15:15" x14ac:dyDescent="0.25">
      <c r="O373151" s="9"/>
    </row>
    <row r="373172" spans="15:15" x14ac:dyDescent="0.25">
      <c r="O373172" s="9"/>
    </row>
    <row r="373193" spans="15:15" x14ac:dyDescent="0.25">
      <c r="O373193" s="9"/>
    </row>
    <row r="373214" spans="15:15" x14ac:dyDescent="0.25">
      <c r="O373214" s="9"/>
    </row>
    <row r="373235" spans="15:15" x14ac:dyDescent="0.25">
      <c r="O373235" s="9"/>
    </row>
    <row r="373256" spans="15:15" x14ac:dyDescent="0.25">
      <c r="O373256" s="9"/>
    </row>
    <row r="373277" spans="15:15" x14ac:dyDescent="0.25">
      <c r="O373277" s="9"/>
    </row>
    <row r="373298" spans="15:15" x14ac:dyDescent="0.25">
      <c r="O373298" s="9"/>
    </row>
    <row r="373319" spans="15:15" x14ac:dyDescent="0.25">
      <c r="O373319" s="9"/>
    </row>
    <row r="373340" spans="15:15" x14ac:dyDescent="0.25">
      <c r="O373340" s="9"/>
    </row>
    <row r="373361" spans="15:15" x14ac:dyDescent="0.25">
      <c r="O373361" s="9"/>
    </row>
    <row r="373382" spans="15:15" x14ac:dyDescent="0.25">
      <c r="O373382" s="9"/>
    </row>
    <row r="373403" spans="15:15" x14ac:dyDescent="0.25">
      <c r="O373403" s="9"/>
    </row>
    <row r="373424" spans="15:15" x14ac:dyDescent="0.25">
      <c r="O373424" s="9"/>
    </row>
    <row r="373445" spans="15:15" x14ac:dyDescent="0.25">
      <c r="O373445" s="9"/>
    </row>
    <row r="373466" spans="15:15" x14ac:dyDescent="0.25">
      <c r="O373466" s="9"/>
    </row>
    <row r="373487" spans="15:15" x14ac:dyDescent="0.25">
      <c r="O373487" s="9"/>
    </row>
    <row r="373508" spans="15:15" x14ac:dyDescent="0.25">
      <c r="O373508" s="9"/>
    </row>
    <row r="373529" spans="15:15" x14ac:dyDescent="0.25">
      <c r="O373529" s="9"/>
    </row>
    <row r="373550" spans="15:15" x14ac:dyDescent="0.25">
      <c r="O373550" s="9"/>
    </row>
    <row r="373571" spans="15:15" x14ac:dyDescent="0.25">
      <c r="O373571" s="9"/>
    </row>
    <row r="373592" spans="15:15" x14ac:dyDescent="0.25">
      <c r="O373592" s="9"/>
    </row>
    <row r="373613" spans="15:15" x14ac:dyDescent="0.25">
      <c r="O373613" s="9"/>
    </row>
    <row r="373634" spans="15:15" x14ac:dyDescent="0.25">
      <c r="O373634" s="9"/>
    </row>
    <row r="373655" spans="15:15" x14ac:dyDescent="0.25">
      <c r="O373655" s="9"/>
    </row>
    <row r="373676" spans="15:15" x14ac:dyDescent="0.25">
      <c r="O373676" s="9"/>
    </row>
    <row r="373697" spans="15:15" x14ac:dyDescent="0.25">
      <c r="O373697" s="9"/>
    </row>
    <row r="373718" spans="15:15" x14ac:dyDescent="0.25">
      <c r="O373718" s="9"/>
    </row>
    <row r="373739" spans="15:15" x14ac:dyDescent="0.25">
      <c r="O373739" s="9"/>
    </row>
    <row r="373760" spans="15:15" x14ac:dyDescent="0.25">
      <c r="O373760" s="9"/>
    </row>
    <row r="373781" spans="15:15" x14ac:dyDescent="0.25">
      <c r="O373781" s="9"/>
    </row>
    <row r="373802" spans="15:15" x14ac:dyDescent="0.25">
      <c r="O373802" s="9"/>
    </row>
    <row r="373823" spans="15:15" x14ac:dyDescent="0.25">
      <c r="O373823" s="9"/>
    </row>
    <row r="373844" spans="15:15" x14ac:dyDescent="0.25">
      <c r="O373844" s="9"/>
    </row>
    <row r="373865" spans="15:15" x14ac:dyDescent="0.25">
      <c r="O373865" s="9"/>
    </row>
    <row r="373886" spans="15:15" x14ac:dyDescent="0.25">
      <c r="O373886" s="9"/>
    </row>
    <row r="373907" spans="15:15" x14ac:dyDescent="0.25">
      <c r="O373907" s="9"/>
    </row>
    <row r="373928" spans="15:15" x14ac:dyDescent="0.25">
      <c r="O373928" s="9"/>
    </row>
    <row r="373949" spans="15:15" x14ac:dyDescent="0.25">
      <c r="O373949" s="9"/>
    </row>
    <row r="373970" spans="15:15" x14ac:dyDescent="0.25">
      <c r="O373970" s="9"/>
    </row>
    <row r="373991" spans="15:15" x14ac:dyDescent="0.25">
      <c r="O373991" s="9"/>
    </row>
    <row r="374012" spans="15:15" x14ac:dyDescent="0.25">
      <c r="O374012" s="9"/>
    </row>
    <row r="374033" spans="15:15" x14ac:dyDescent="0.25">
      <c r="O374033" s="9"/>
    </row>
    <row r="374054" spans="15:15" x14ac:dyDescent="0.25">
      <c r="O374054" s="9"/>
    </row>
    <row r="374075" spans="15:15" x14ac:dyDescent="0.25">
      <c r="O374075" s="9"/>
    </row>
    <row r="374096" spans="15:15" x14ac:dyDescent="0.25">
      <c r="O374096" s="9"/>
    </row>
    <row r="374117" spans="15:15" x14ac:dyDescent="0.25">
      <c r="O374117" s="9"/>
    </row>
    <row r="374138" spans="15:15" x14ac:dyDescent="0.25">
      <c r="O374138" s="9"/>
    </row>
    <row r="374159" spans="15:15" x14ac:dyDescent="0.25">
      <c r="O374159" s="9"/>
    </row>
    <row r="374180" spans="15:15" x14ac:dyDescent="0.25">
      <c r="O374180" s="9"/>
    </row>
    <row r="374201" spans="15:15" x14ac:dyDescent="0.25">
      <c r="O374201" s="9"/>
    </row>
    <row r="374222" spans="15:15" x14ac:dyDescent="0.25">
      <c r="O374222" s="9"/>
    </row>
    <row r="374243" spans="15:15" x14ac:dyDescent="0.25">
      <c r="O374243" s="9"/>
    </row>
    <row r="374264" spans="15:15" x14ac:dyDescent="0.25">
      <c r="O374264" s="9"/>
    </row>
    <row r="374285" spans="15:15" x14ac:dyDescent="0.25">
      <c r="O374285" s="9"/>
    </row>
    <row r="374306" spans="15:15" x14ac:dyDescent="0.25">
      <c r="O374306" s="9"/>
    </row>
    <row r="374327" spans="15:15" x14ac:dyDescent="0.25">
      <c r="O374327" s="9"/>
    </row>
    <row r="374348" spans="15:15" x14ac:dyDescent="0.25">
      <c r="O374348" s="9"/>
    </row>
    <row r="374369" spans="15:15" x14ac:dyDescent="0.25">
      <c r="O374369" s="9"/>
    </row>
    <row r="374390" spans="15:15" x14ac:dyDescent="0.25">
      <c r="O374390" s="9"/>
    </row>
    <row r="374411" spans="15:15" x14ac:dyDescent="0.25">
      <c r="O374411" s="9"/>
    </row>
    <row r="374432" spans="15:15" x14ac:dyDescent="0.25">
      <c r="O374432" s="9"/>
    </row>
    <row r="374453" spans="15:15" x14ac:dyDescent="0.25">
      <c r="O374453" s="9"/>
    </row>
    <row r="374474" spans="15:15" x14ac:dyDescent="0.25">
      <c r="O374474" s="9"/>
    </row>
    <row r="374495" spans="15:15" x14ac:dyDescent="0.25">
      <c r="O374495" s="9"/>
    </row>
    <row r="374516" spans="15:15" x14ac:dyDescent="0.25">
      <c r="O374516" s="9"/>
    </row>
    <row r="374537" spans="15:15" x14ac:dyDescent="0.25">
      <c r="O374537" s="9"/>
    </row>
    <row r="374558" spans="15:15" x14ac:dyDescent="0.25">
      <c r="O374558" s="9"/>
    </row>
    <row r="374579" spans="15:15" x14ac:dyDescent="0.25">
      <c r="O374579" s="9"/>
    </row>
    <row r="374600" spans="15:15" x14ac:dyDescent="0.25">
      <c r="O374600" s="9"/>
    </row>
    <row r="374621" spans="15:15" x14ac:dyDescent="0.25">
      <c r="O374621" s="9"/>
    </row>
    <row r="374642" spans="15:15" x14ac:dyDescent="0.25">
      <c r="O374642" s="9"/>
    </row>
    <row r="374663" spans="15:15" x14ac:dyDescent="0.25">
      <c r="O374663" s="9"/>
    </row>
    <row r="374684" spans="15:15" x14ac:dyDescent="0.25">
      <c r="O374684" s="9"/>
    </row>
    <row r="374705" spans="15:15" x14ac:dyDescent="0.25">
      <c r="O374705" s="9"/>
    </row>
    <row r="374726" spans="15:15" x14ac:dyDescent="0.25">
      <c r="O374726" s="9"/>
    </row>
    <row r="374747" spans="15:15" x14ac:dyDescent="0.25">
      <c r="O374747" s="9"/>
    </row>
    <row r="374768" spans="15:15" x14ac:dyDescent="0.25">
      <c r="O374768" s="9"/>
    </row>
    <row r="374789" spans="15:15" x14ac:dyDescent="0.25">
      <c r="O374789" s="9"/>
    </row>
    <row r="374810" spans="15:15" x14ac:dyDescent="0.25">
      <c r="O374810" s="9"/>
    </row>
    <row r="374831" spans="15:15" x14ac:dyDescent="0.25">
      <c r="O374831" s="9"/>
    </row>
    <row r="374852" spans="15:15" x14ac:dyDescent="0.25">
      <c r="O374852" s="9"/>
    </row>
    <row r="374873" spans="15:15" x14ac:dyDescent="0.25">
      <c r="O374873" s="9"/>
    </row>
    <row r="374894" spans="15:15" x14ac:dyDescent="0.25">
      <c r="O374894" s="9"/>
    </row>
    <row r="374915" spans="15:15" x14ac:dyDescent="0.25">
      <c r="O374915" s="9"/>
    </row>
    <row r="374936" spans="15:15" x14ac:dyDescent="0.25">
      <c r="O374936" s="9"/>
    </row>
    <row r="374957" spans="15:15" x14ac:dyDescent="0.25">
      <c r="O374957" s="9"/>
    </row>
    <row r="374978" spans="15:15" x14ac:dyDescent="0.25">
      <c r="O374978" s="9"/>
    </row>
    <row r="374999" spans="15:15" x14ac:dyDescent="0.25">
      <c r="O374999" s="9"/>
    </row>
    <row r="375020" spans="15:15" x14ac:dyDescent="0.25">
      <c r="O375020" s="9"/>
    </row>
    <row r="375041" spans="15:15" x14ac:dyDescent="0.25">
      <c r="O375041" s="9"/>
    </row>
    <row r="375062" spans="15:15" x14ac:dyDescent="0.25">
      <c r="O375062" s="9"/>
    </row>
    <row r="375083" spans="15:15" x14ac:dyDescent="0.25">
      <c r="O375083" s="9"/>
    </row>
    <row r="375104" spans="15:15" x14ac:dyDescent="0.25">
      <c r="O375104" s="9"/>
    </row>
    <row r="375125" spans="15:15" x14ac:dyDescent="0.25">
      <c r="O375125" s="9"/>
    </row>
    <row r="375146" spans="15:15" x14ac:dyDescent="0.25">
      <c r="O375146" s="9"/>
    </row>
    <row r="375167" spans="15:15" x14ac:dyDescent="0.25">
      <c r="O375167" s="9"/>
    </row>
    <row r="375188" spans="15:15" x14ac:dyDescent="0.25">
      <c r="O375188" s="9"/>
    </row>
    <row r="375209" spans="15:15" x14ac:dyDescent="0.25">
      <c r="O375209" s="9"/>
    </row>
    <row r="375230" spans="15:15" x14ac:dyDescent="0.25">
      <c r="O375230" s="9"/>
    </row>
    <row r="375251" spans="15:15" x14ac:dyDescent="0.25">
      <c r="O375251" s="9"/>
    </row>
    <row r="375272" spans="15:15" x14ac:dyDescent="0.25">
      <c r="O375272" s="9"/>
    </row>
    <row r="375293" spans="15:15" x14ac:dyDescent="0.25">
      <c r="O375293" s="9"/>
    </row>
    <row r="375314" spans="15:15" x14ac:dyDescent="0.25">
      <c r="O375314" s="9"/>
    </row>
    <row r="375335" spans="15:15" x14ac:dyDescent="0.25">
      <c r="O375335" s="9"/>
    </row>
    <row r="375356" spans="15:15" x14ac:dyDescent="0.25">
      <c r="O375356" s="9"/>
    </row>
    <row r="375377" spans="15:15" x14ac:dyDescent="0.25">
      <c r="O375377" s="9"/>
    </row>
    <row r="375398" spans="15:15" x14ac:dyDescent="0.25">
      <c r="O375398" s="9"/>
    </row>
    <row r="375419" spans="15:15" x14ac:dyDescent="0.25">
      <c r="O375419" s="9"/>
    </row>
    <row r="375440" spans="15:15" x14ac:dyDescent="0.25">
      <c r="O375440" s="9"/>
    </row>
    <row r="375461" spans="15:15" x14ac:dyDescent="0.25">
      <c r="O375461" s="9"/>
    </row>
    <row r="375482" spans="15:15" x14ac:dyDescent="0.25">
      <c r="O375482" s="9"/>
    </row>
    <row r="375503" spans="15:15" x14ac:dyDescent="0.25">
      <c r="O375503" s="9"/>
    </row>
    <row r="375524" spans="15:15" x14ac:dyDescent="0.25">
      <c r="O375524" s="9"/>
    </row>
    <row r="375545" spans="15:15" x14ac:dyDescent="0.25">
      <c r="O375545" s="9"/>
    </row>
    <row r="375566" spans="15:15" x14ac:dyDescent="0.25">
      <c r="O375566" s="9"/>
    </row>
    <row r="375587" spans="15:15" x14ac:dyDescent="0.25">
      <c r="O375587" s="9"/>
    </row>
    <row r="375608" spans="15:15" x14ac:dyDescent="0.25">
      <c r="O375608" s="9"/>
    </row>
    <row r="375629" spans="15:15" x14ac:dyDescent="0.25">
      <c r="O375629" s="9"/>
    </row>
    <row r="375650" spans="15:15" x14ac:dyDescent="0.25">
      <c r="O375650" s="9"/>
    </row>
    <row r="375671" spans="15:15" x14ac:dyDescent="0.25">
      <c r="O375671" s="9"/>
    </row>
    <row r="375692" spans="15:15" x14ac:dyDescent="0.25">
      <c r="O375692" s="9"/>
    </row>
    <row r="375713" spans="15:15" x14ac:dyDescent="0.25">
      <c r="O375713" s="9"/>
    </row>
    <row r="375734" spans="15:15" x14ac:dyDescent="0.25">
      <c r="O375734" s="9"/>
    </row>
    <row r="375755" spans="15:15" x14ac:dyDescent="0.25">
      <c r="O375755" s="9"/>
    </row>
    <row r="375776" spans="15:15" x14ac:dyDescent="0.25">
      <c r="O375776" s="9"/>
    </row>
    <row r="375797" spans="15:15" x14ac:dyDescent="0.25">
      <c r="O375797" s="9"/>
    </row>
    <row r="375818" spans="15:15" x14ac:dyDescent="0.25">
      <c r="O375818" s="9"/>
    </row>
    <row r="375839" spans="15:15" x14ac:dyDescent="0.25">
      <c r="O375839" s="9"/>
    </row>
    <row r="375860" spans="15:15" x14ac:dyDescent="0.25">
      <c r="O375860" s="9"/>
    </row>
    <row r="375881" spans="15:15" x14ac:dyDescent="0.25">
      <c r="O375881" s="9"/>
    </row>
    <row r="375902" spans="15:15" x14ac:dyDescent="0.25">
      <c r="O375902" s="9"/>
    </row>
    <row r="375923" spans="15:15" x14ac:dyDescent="0.25">
      <c r="O375923" s="9"/>
    </row>
    <row r="375944" spans="15:15" x14ac:dyDescent="0.25">
      <c r="O375944" s="9"/>
    </row>
    <row r="375965" spans="15:15" x14ac:dyDescent="0.25">
      <c r="O375965" s="9"/>
    </row>
    <row r="375986" spans="15:15" x14ac:dyDescent="0.25">
      <c r="O375986" s="9"/>
    </row>
    <row r="376007" spans="15:15" x14ac:dyDescent="0.25">
      <c r="O376007" s="9"/>
    </row>
    <row r="376028" spans="15:15" x14ac:dyDescent="0.25">
      <c r="O376028" s="9"/>
    </row>
    <row r="376049" spans="15:15" x14ac:dyDescent="0.25">
      <c r="O376049" s="9"/>
    </row>
    <row r="376070" spans="15:15" x14ac:dyDescent="0.25">
      <c r="O376070" s="9"/>
    </row>
    <row r="376091" spans="15:15" x14ac:dyDescent="0.25">
      <c r="O376091" s="9"/>
    </row>
    <row r="376112" spans="15:15" x14ac:dyDescent="0.25">
      <c r="O376112" s="9"/>
    </row>
    <row r="376133" spans="15:15" x14ac:dyDescent="0.25">
      <c r="O376133" s="9"/>
    </row>
    <row r="376154" spans="15:15" x14ac:dyDescent="0.25">
      <c r="O376154" s="9"/>
    </row>
    <row r="376175" spans="15:15" x14ac:dyDescent="0.25">
      <c r="O376175" s="9"/>
    </row>
    <row r="376196" spans="15:15" x14ac:dyDescent="0.25">
      <c r="O376196" s="9"/>
    </row>
    <row r="376217" spans="15:15" x14ac:dyDescent="0.25">
      <c r="O376217" s="9"/>
    </row>
    <row r="376238" spans="15:15" x14ac:dyDescent="0.25">
      <c r="O376238" s="9"/>
    </row>
    <row r="376259" spans="15:15" x14ac:dyDescent="0.25">
      <c r="O376259" s="9"/>
    </row>
    <row r="376280" spans="15:15" x14ac:dyDescent="0.25">
      <c r="O376280" s="9"/>
    </row>
    <row r="376301" spans="15:15" x14ac:dyDescent="0.25">
      <c r="O376301" s="9"/>
    </row>
    <row r="376322" spans="15:15" x14ac:dyDescent="0.25">
      <c r="O376322" s="9"/>
    </row>
    <row r="376343" spans="15:15" x14ac:dyDescent="0.25">
      <c r="O376343" s="9"/>
    </row>
    <row r="376364" spans="15:15" x14ac:dyDescent="0.25">
      <c r="O376364" s="9"/>
    </row>
    <row r="376385" spans="15:15" x14ac:dyDescent="0.25">
      <c r="O376385" s="9"/>
    </row>
    <row r="376406" spans="15:15" x14ac:dyDescent="0.25">
      <c r="O376406" s="9"/>
    </row>
    <row r="376427" spans="15:15" x14ac:dyDescent="0.25">
      <c r="O376427" s="9"/>
    </row>
    <row r="376448" spans="15:15" x14ac:dyDescent="0.25">
      <c r="O376448" s="9"/>
    </row>
    <row r="376469" spans="15:15" x14ac:dyDescent="0.25">
      <c r="O376469" s="9"/>
    </row>
    <row r="376490" spans="15:15" x14ac:dyDescent="0.25">
      <c r="O376490" s="9"/>
    </row>
    <row r="376511" spans="15:15" x14ac:dyDescent="0.25">
      <c r="O376511" s="9"/>
    </row>
    <row r="376532" spans="15:15" x14ac:dyDescent="0.25">
      <c r="O376532" s="9"/>
    </row>
    <row r="376553" spans="15:15" x14ac:dyDescent="0.25">
      <c r="O376553" s="9"/>
    </row>
    <row r="376574" spans="15:15" x14ac:dyDescent="0.25">
      <c r="O376574" s="9"/>
    </row>
    <row r="376595" spans="15:15" x14ac:dyDescent="0.25">
      <c r="O376595" s="9"/>
    </row>
    <row r="376616" spans="15:15" x14ac:dyDescent="0.25">
      <c r="O376616" s="9"/>
    </row>
    <row r="376637" spans="15:15" x14ac:dyDescent="0.25">
      <c r="O376637" s="9"/>
    </row>
    <row r="376658" spans="15:15" x14ac:dyDescent="0.25">
      <c r="O376658" s="9"/>
    </row>
    <row r="376679" spans="15:15" x14ac:dyDescent="0.25">
      <c r="O376679" s="9"/>
    </row>
    <row r="376700" spans="15:15" x14ac:dyDescent="0.25">
      <c r="O376700" s="9"/>
    </row>
    <row r="376721" spans="15:15" x14ac:dyDescent="0.25">
      <c r="O376721" s="9"/>
    </row>
    <row r="376742" spans="15:15" x14ac:dyDescent="0.25">
      <c r="O376742" s="9"/>
    </row>
    <row r="376763" spans="15:15" x14ac:dyDescent="0.25">
      <c r="O376763" s="9"/>
    </row>
    <row r="376784" spans="15:15" x14ac:dyDescent="0.25">
      <c r="O376784" s="9"/>
    </row>
    <row r="376805" spans="15:15" x14ac:dyDescent="0.25">
      <c r="O376805" s="9"/>
    </row>
    <row r="376826" spans="15:15" x14ac:dyDescent="0.25">
      <c r="O376826" s="9"/>
    </row>
    <row r="376847" spans="15:15" x14ac:dyDescent="0.25">
      <c r="O376847" s="9"/>
    </row>
    <row r="376868" spans="15:15" x14ac:dyDescent="0.25">
      <c r="O376868" s="9"/>
    </row>
    <row r="376889" spans="15:15" x14ac:dyDescent="0.25">
      <c r="O376889" s="9"/>
    </row>
    <row r="376910" spans="15:15" x14ac:dyDescent="0.25">
      <c r="O376910" s="9"/>
    </row>
    <row r="376931" spans="15:15" x14ac:dyDescent="0.25">
      <c r="O376931" s="9"/>
    </row>
    <row r="376952" spans="15:15" x14ac:dyDescent="0.25">
      <c r="O376952" s="9"/>
    </row>
    <row r="376973" spans="15:15" x14ac:dyDescent="0.25">
      <c r="O376973" s="9"/>
    </row>
    <row r="376994" spans="15:15" x14ac:dyDescent="0.25">
      <c r="O376994" s="9"/>
    </row>
    <row r="377015" spans="15:15" x14ac:dyDescent="0.25">
      <c r="O377015" s="9"/>
    </row>
    <row r="377036" spans="15:15" x14ac:dyDescent="0.25">
      <c r="O377036" s="9"/>
    </row>
    <row r="377057" spans="15:15" x14ac:dyDescent="0.25">
      <c r="O377057" s="9"/>
    </row>
    <row r="377078" spans="15:15" x14ac:dyDescent="0.25">
      <c r="O377078" s="9"/>
    </row>
    <row r="377099" spans="15:15" x14ac:dyDescent="0.25">
      <c r="O377099" s="9"/>
    </row>
    <row r="377120" spans="15:15" x14ac:dyDescent="0.25">
      <c r="O377120" s="9"/>
    </row>
    <row r="377141" spans="15:15" x14ac:dyDescent="0.25">
      <c r="O377141" s="9"/>
    </row>
    <row r="377162" spans="15:15" x14ac:dyDescent="0.25">
      <c r="O377162" s="9"/>
    </row>
    <row r="377183" spans="15:15" x14ac:dyDescent="0.25">
      <c r="O377183" s="9"/>
    </row>
    <row r="377204" spans="15:15" x14ac:dyDescent="0.25">
      <c r="O377204" s="9"/>
    </row>
    <row r="377225" spans="15:15" x14ac:dyDescent="0.25">
      <c r="O377225" s="9"/>
    </row>
    <row r="377246" spans="15:15" x14ac:dyDescent="0.25">
      <c r="O377246" s="9"/>
    </row>
    <row r="377267" spans="15:15" x14ac:dyDescent="0.25">
      <c r="O377267" s="9"/>
    </row>
    <row r="377288" spans="15:15" x14ac:dyDescent="0.25">
      <c r="O377288" s="9"/>
    </row>
    <row r="377309" spans="15:15" x14ac:dyDescent="0.25">
      <c r="O377309" s="9"/>
    </row>
    <row r="377330" spans="15:15" x14ac:dyDescent="0.25">
      <c r="O377330" s="9"/>
    </row>
    <row r="377351" spans="15:15" x14ac:dyDescent="0.25">
      <c r="O377351" s="9"/>
    </row>
    <row r="377372" spans="15:15" x14ac:dyDescent="0.25">
      <c r="O377372" s="9"/>
    </row>
    <row r="377393" spans="15:15" x14ac:dyDescent="0.25">
      <c r="O377393" s="9"/>
    </row>
    <row r="377414" spans="15:15" x14ac:dyDescent="0.25">
      <c r="O377414" s="9"/>
    </row>
    <row r="377435" spans="15:15" x14ac:dyDescent="0.25">
      <c r="O377435" s="9"/>
    </row>
    <row r="377456" spans="15:15" x14ac:dyDescent="0.25">
      <c r="O377456" s="9"/>
    </row>
    <row r="377477" spans="15:15" x14ac:dyDescent="0.25">
      <c r="O377477" s="9"/>
    </row>
    <row r="377498" spans="15:15" x14ac:dyDescent="0.25">
      <c r="O377498" s="9"/>
    </row>
    <row r="377519" spans="15:15" x14ac:dyDescent="0.25">
      <c r="O377519" s="9"/>
    </row>
    <row r="377540" spans="15:15" x14ac:dyDescent="0.25">
      <c r="O377540" s="9"/>
    </row>
    <row r="377561" spans="15:15" x14ac:dyDescent="0.25">
      <c r="O377561" s="9"/>
    </row>
    <row r="377582" spans="15:15" x14ac:dyDescent="0.25">
      <c r="O377582" s="9"/>
    </row>
    <row r="377603" spans="15:15" x14ac:dyDescent="0.25">
      <c r="O377603" s="9"/>
    </row>
    <row r="377624" spans="15:15" x14ac:dyDescent="0.25">
      <c r="O377624" s="9"/>
    </row>
    <row r="377645" spans="15:15" x14ac:dyDescent="0.25">
      <c r="O377645" s="9"/>
    </row>
    <row r="377666" spans="15:15" x14ac:dyDescent="0.25">
      <c r="O377666" s="9"/>
    </row>
    <row r="377687" spans="15:15" x14ac:dyDescent="0.25">
      <c r="O377687" s="9"/>
    </row>
    <row r="377708" spans="15:15" x14ac:dyDescent="0.25">
      <c r="O377708" s="9"/>
    </row>
    <row r="377729" spans="15:15" x14ac:dyDescent="0.25">
      <c r="O377729" s="9"/>
    </row>
    <row r="377750" spans="15:15" x14ac:dyDescent="0.25">
      <c r="O377750" s="9"/>
    </row>
    <row r="377771" spans="15:15" x14ac:dyDescent="0.25">
      <c r="O377771" s="9"/>
    </row>
    <row r="377792" spans="15:15" x14ac:dyDescent="0.25">
      <c r="O377792" s="9"/>
    </row>
    <row r="377813" spans="15:15" x14ac:dyDescent="0.25">
      <c r="O377813" s="9"/>
    </row>
    <row r="377834" spans="15:15" x14ac:dyDescent="0.25">
      <c r="O377834" s="9"/>
    </row>
    <row r="377855" spans="15:15" x14ac:dyDescent="0.25">
      <c r="O377855" s="9"/>
    </row>
    <row r="377876" spans="15:15" x14ac:dyDescent="0.25">
      <c r="O377876" s="9"/>
    </row>
    <row r="377897" spans="15:15" x14ac:dyDescent="0.25">
      <c r="O377897" s="9"/>
    </row>
    <row r="377918" spans="15:15" x14ac:dyDescent="0.25">
      <c r="O377918" s="9"/>
    </row>
    <row r="377939" spans="15:15" x14ac:dyDescent="0.25">
      <c r="O377939" s="9"/>
    </row>
    <row r="377960" spans="15:15" x14ac:dyDescent="0.25">
      <c r="O377960" s="9"/>
    </row>
    <row r="377981" spans="15:15" x14ac:dyDescent="0.25">
      <c r="O377981" s="9"/>
    </row>
    <row r="378002" spans="15:15" x14ac:dyDescent="0.25">
      <c r="O378002" s="9"/>
    </row>
    <row r="378023" spans="15:15" x14ac:dyDescent="0.25">
      <c r="O378023" s="9"/>
    </row>
    <row r="378044" spans="15:15" x14ac:dyDescent="0.25">
      <c r="O378044" s="9"/>
    </row>
    <row r="378065" spans="15:15" x14ac:dyDescent="0.25">
      <c r="O378065" s="9"/>
    </row>
    <row r="378086" spans="15:15" x14ac:dyDescent="0.25">
      <c r="O378086" s="9"/>
    </row>
    <row r="378107" spans="15:15" x14ac:dyDescent="0.25">
      <c r="O378107" s="9"/>
    </row>
    <row r="378128" spans="15:15" x14ac:dyDescent="0.25">
      <c r="O378128" s="9"/>
    </row>
    <row r="378149" spans="15:15" x14ac:dyDescent="0.25">
      <c r="O378149" s="9"/>
    </row>
    <row r="378170" spans="15:15" x14ac:dyDescent="0.25">
      <c r="O378170" s="9"/>
    </row>
    <row r="378191" spans="15:15" x14ac:dyDescent="0.25">
      <c r="O378191" s="9"/>
    </row>
    <row r="378212" spans="15:15" x14ac:dyDescent="0.25">
      <c r="O378212" s="9"/>
    </row>
    <row r="378233" spans="15:15" x14ac:dyDescent="0.25">
      <c r="O378233" s="9"/>
    </row>
    <row r="378254" spans="15:15" x14ac:dyDescent="0.25">
      <c r="O378254" s="9"/>
    </row>
    <row r="378275" spans="15:15" x14ac:dyDescent="0.25">
      <c r="O378275" s="9"/>
    </row>
    <row r="378296" spans="15:15" x14ac:dyDescent="0.25">
      <c r="O378296" s="9"/>
    </row>
    <row r="378317" spans="15:15" x14ac:dyDescent="0.25">
      <c r="O378317" s="9"/>
    </row>
    <row r="378338" spans="15:15" x14ac:dyDescent="0.25">
      <c r="O378338" s="9"/>
    </row>
    <row r="378359" spans="15:15" x14ac:dyDescent="0.25">
      <c r="O378359" s="9"/>
    </row>
    <row r="378380" spans="15:15" x14ac:dyDescent="0.25">
      <c r="O378380" s="9"/>
    </row>
    <row r="378401" spans="15:15" x14ac:dyDescent="0.25">
      <c r="O378401" s="9"/>
    </row>
    <row r="378422" spans="15:15" x14ac:dyDescent="0.25">
      <c r="O378422" s="9"/>
    </row>
    <row r="378443" spans="15:15" x14ac:dyDescent="0.25">
      <c r="O378443" s="9"/>
    </row>
    <row r="378464" spans="15:15" x14ac:dyDescent="0.25">
      <c r="O378464" s="9"/>
    </row>
    <row r="378485" spans="15:15" x14ac:dyDescent="0.25">
      <c r="O378485" s="9"/>
    </row>
    <row r="378506" spans="15:15" x14ac:dyDescent="0.25">
      <c r="O378506" s="9"/>
    </row>
    <row r="378527" spans="15:15" x14ac:dyDescent="0.25">
      <c r="O378527" s="9"/>
    </row>
    <row r="378548" spans="15:15" x14ac:dyDescent="0.25">
      <c r="O378548" s="9"/>
    </row>
    <row r="378569" spans="15:15" x14ac:dyDescent="0.25">
      <c r="O378569" s="9"/>
    </row>
    <row r="378590" spans="15:15" x14ac:dyDescent="0.25">
      <c r="O378590" s="9"/>
    </row>
    <row r="378611" spans="15:15" x14ac:dyDescent="0.25">
      <c r="O378611" s="9"/>
    </row>
    <row r="378632" spans="15:15" x14ac:dyDescent="0.25">
      <c r="O378632" s="9"/>
    </row>
    <row r="378653" spans="15:15" x14ac:dyDescent="0.25">
      <c r="O378653" s="9"/>
    </row>
    <row r="378674" spans="15:15" x14ac:dyDescent="0.25">
      <c r="O378674" s="9"/>
    </row>
    <row r="378695" spans="15:15" x14ac:dyDescent="0.25">
      <c r="O378695" s="9"/>
    </row>
    <row r="378716" spans="15:15" x14ac:dyDescent="0.25">
      <c r="O378716" s="9"/>
    </row>
    <row r="378737" spans="15:15" x14ac:dyDescent="0.25">
      <c r="O378737" s="9"/>
    </row>
    <row r="378758" spans="15:15" x14ac:dyDescent="0.25">
      <c r="O378758" s="9"/>
    </row>
    <row r="378779" spans="15:15" x14ac:dyDescent="0.25">
      <c r="O378779" s="9"/>
    </row>
    <row r="378800" spans="15:15" x14ac:dyDescent="0.25">
      <c r="O378800" s="9"/>
    </row>
    <row r="378821" spans="15:15" x14ac:dyDescent="0.25">
      <c r="O378821" s="9"/>
    </row>
    <row r="378842" spans="15:15" x14ac:dyDescent="0.25">
      <c r="O378842" s="9"/>
    </row>
    <row r="378863" spans="15:15" x14ac:dyDescent="0.25">
      <c r="O378863" s="9"/>
    </row>
    <row r="378884" spans="15:15" x14ac:dyDescent="0.25">
      <c r="O378884" s="9"/>
    </row>
    <row r="378905" spans="15:15" x14ac:dyDescent="0.25">
      <c r="O378905" s="9"/>
    </row>
    <row r="378926" spans="15:15" x14ac:dyDescent="0.25">
      <c r="O378926" s="9"/>
    </row>
    <row r="378947" spans="15:15" x14ac:dyDescent="0.25">
      <c r="O378947" s="9"/>
    </row>
    <row r="378968" spans="15:15" x14ac:dyDescent="0.25">
      <c r="O378968" s="9"/>
    </row>
    <row r="378989" spans="15:15" x14ac:dyDescent="0.25">
      <c r="O378989" s="9"/>
    </row>
    <row r="379010" spans="15:15" x14ac:dyDescent="0.25">
      <c r="O379010" s="9"/>
    </row>
    <row r="379031" spans="15:15" x14ac:dyDescent="0.25">
      <c r="O379031" s="9"/>
    </row>
    <row r="379052" spans="15:15" x14ac:dyDescent="0.25">
      <c r="O379052" s="9"/>
    </row>
    <row r="379073" spans="15:15" x14ac:dyDescent="0.25">
      <c r="O379073" s="9"/>
    </row>
    <row r="379094" spans="15:15" x14ac:dyDescent="0.25">
      <c r="O379094" s="9"/>
    </row>
    <row r="379115" spans="15:15" x14ac:dyDescent="0.25">
      <c r="O379115" s="9"/>
    </row>
    <row r="379136" spans="15:15" x14ac:dyDescent="0.25">
      <c r="O379136" s="9"/>
    </row>
    <row r="379157" spans="15:15" x14ac:dyDescent="0.25">
      <c r="O379157" s="9"/>
    </row>
    <row r="379178" spans="15:15" x14ac:dyDescent="0.25">
      <c r="O379178" s="9"/>
    </row>
    <row r="379199" spans="15:15" x14ac:dyDescent="0.25">
      <c r="O379199" s="9"/>
    </row>
    <row r="379220" spans="15:15" x14ac:dyDescent="0.25">
      <c r="O379220" s="9"/>
    </row>
    <row r="379241" spans="15:15" x14ac:dyDescent="0.25">
      <c r="O379241" s="9"/>
    </row>
    <row r="379262" spans="15:15" x14ac:dyDescent="0.25">
      <c r="O379262" s="9"/>
    </row>
    <row r="379283" spans="15:15" x14ac:dyDescent="0.25">
      <c r="O379283" s="9"/>
    </row>
    <row r="379304" spans="15:15" x14ac:dyDescent="0.25">
      <c r="O379304" s="9"/>
    </row>
    <row r="379325" spans="15:15" x14ac:dyDescent="0.25">
      <c r="O379325" s="9"/>
    </row>
    <row r="379346" spans="15:15" x14ac:dyDescent="0.25">
      <c r="O379346" s="9"/>
    </row>
    <row r="379367" spans="15:15" x14ac:dyDescent="0.25">
      <c r="O379367" s="9"/>
    </row>
    <row r="379388" spans="15:15" x14ac:dyDescent="0.25">
      <c r="O379388" s="9"/>
    </row>
    <row r="379409" spans="15:15" x14ac:dyDescent="0.25">
      <c r="O379409" s="9"/>
    </row>
    <row r="379430" spans="15:15" x14ac:dyDescent="0.25">
      <c r="O379430" s="9"/>
    </row>
    <row r="379451" spans="15:15" x14ac:dyDescent="0.25">
      <c r="O379451" s="9"/>
    </row>
    <row r="379472" spans="15:15" x14ac:dyDescent="0.25">
      <c r="O379472" s="9"/>
    </row>
    <row r="379493" spans="15:15" x14ac:dyDescent="0.25">
      <c r="O379493" s="9"/>
    </row>
    <row r="379514" spans="15:15" x14ac:dyDescent="0.25">
      <c r="O379514" s="9"/>
    </row>
    <row r="379535" spans="15:15" x14ac:dyDescent="0.25">
      <c r="O379535" s="9"/>
    </row>
    <row r="379556" spans="15:15" x14ac:dyDescent="0.25">
      <c r="O379556" s="9"/>
    </row>
    <row r="379577" spans="15:15" x14ac:dyDescent="0.25">
      <c r="O379577" s="9"/>
    </row>
    <row r="379598" spans="15:15" x14ac:dyDescent="0.25">
      <c r="O379598" s="9"/>
    </row>
    <row r="379619" spans="15:15" x14ac:dyDescent="0.25">
      <c r="O379619" s="9"/>
    </row>
    <row r="379640" spans="15:15" x14ac:dyDescent="0.25">
      <c r="O379640" s="9"/>
    </row>
    <row r="379661" spans="15:15" x14ac:dyDescent="0.25">
      <c r="O379661" s="9"/>
    </row>
    <row r="379682" spans="15:15" x14ac:dyDescent="0.25">
      <c r="O379682" s="9"/>
    </row>
    <row r="379703" spans="15:15" x14ac:dyDescent="0.25">
      <c r="O379703" s="9"/>
    </row>
    <row r="379724" spans="15:15" x14ac:dyDescent="0.25">
      <c r="O379724" s="9"/>
    </row>
    <row r="379745" spans="15:15" x14ac:dyDescent="0.25">
      <c r="O379745" s="9"/>
    </row>
    <row r="379766" spans="15:15" x14ac:dyDescent="0.25">
      <c r="O379766" s="9"/>
    </row>
    <row r="379787" spans="15:15" x14ac:dyDescent="0.25">
      <c r="O379787" s="9"/>
    </row>
    <row r="379808" spans="15:15" x14ac:dyDescent="0.25">
      <c r="O379808" s="9"/>
    </row>
    <row r="379829" spans="15:15" x14ac:dyDescent="0.25">
      <c r="O379829" s="9"/>
    </row>
    <row r="379850" spans="15:15" x14ac:dyDescent="0.25">
      <c r="O379850" s="9"/>
    </row>
    <row r="379871" spans="15:15" x14ac:dyDescent="0.25">
      <c r="O379871" s="9"/>
    </row>
    <row r="379892" spans="15:15" x14ac:dyDescent="0.25">
      <c r="O379892" s="9"/>
    </row>
    <row r="379913" spans="15:15" x14ac:dyDescent="0.25">
      <c r="O379913" s="9"/>
    </row>
    <row r="379934" spans="15:15" x14ac:dyDescent="0.25">
      <c r="O379934" s="9"/>
    </row>
    <row r="379955" spans="15:15" x14ac:dyDescent="0.25">
      <c r="O379955" s="9"/>
    </row>
    <row r="379976" spans="15:15" x14ac:dyDescent="0.25">
      <c r="O379976" s="9"/>
    </row>
    <row r="379997" spans="15:15" x14ac:dyDescent="0.25">
      <c r="O379997" s="9"/>
    </row>
    <row r="380018" spans="15:15" x14ac:dyDescent="0.25">
      <c r="O380018" s="9"/>
    </row>
    <row r="380039" spans="15:15" x14ac:dyDescent="0.25">
      <c r="O380039" s="9"/>
    </row>
    <row r="380060" spans="15:15" x14ac:dyDescent="0.25">
      <c r="O380060" s="9"/>
    </row>
    <row r="380081" spans="15:15" x14ac:dyDescent="0.25">
      <c r="O380081" s="9"/>
    </row>
    <row r="380102" spans="15:15" x14ac:dyDescent="0.25">
      <c r="O380102" s="9"/>
    </row>
    <row r="380123" spans="15:15" x14ac:dyDescent="0.25">
      <c r="O380123" s="9"/>
    </row>
    <row r="380144" spans="15:15" x14ac:dyDescent="0.25">
      <c r="O380144" s="9"/>
    </row>
    <row r="380165" spans="15:15" x14ac:dyDescent="0.25">
      <c r="O380165" s="9"/>
    </row>
    <row r="380186" spans="15:15" x14ac:dyDescent="0.25">
      <c r="O380186" s="9"/>
    </row>
    <row r="380207" spans="15:15" x14ac:dyDescent="0.25">
      <c r="O380207" s="9"/>
    </row>
    <row r="380228" spans="15:15" x14ac:dyDescent="0.25">
      <c r="O380228" s="9"/>
    </row>
    <row r="380249" spans="15:15" x14ac:dyDescent="0.25">
      <c r="O380249" s="9"/>
    </row>
    <row r="380270" spans="15:15" x14ac:dyDescent="0.25">
      <c r="O380270" s="9"/>
    </row>
    <row r="380291" spans="15:15" x14ac:dyDescent="0.25">
      <c r="O380291" s="9"/>
    </row>
    <row r="380312" spans="15:15" x14ac:dyDescent="0.25">
      <c r="O380312" s="9"/>
    </row>
    <row r="380333" spans="15:15" x14ac:dyDescent="0.25">
      <c r="O380333" s="9"/>
    </row>
    <row r="380354" spans="15:15" x14ac:dyDescent="0.25">
      <c r="O380354" s="9"/>
    </row>
    <row r="380375" spans="15:15" x14ac:dyDescent="0.25">
      <c r="O380375" s="9"/>
    </row>
    <row r="380396" spans="15:15" x14ac:dyDescent="0.25">
      <c r="O380396" s="9"/>
    </row>
    <row r="380417" spans="15:15" x14ac:dyDescent="0.25">
      <c r="O380417" s="9"/>
    </row>
    <row r="380438" spans="15:15" x14ac:dyDescent="0.25">
      <c r="O380438" s="9"/>
    </row>
    <row r="380459" spans="15:15" x14ac:dyDescent="0.25">
      <c r="O380459" s="9"/>
    </row>
    <row r="380480" spans="15:15" x14ac:dyDescent="0.25">
      <c r="O380480" s="9"/>
    </row>
    <row r="380501" spans="15:15" x14ac:dyDescent="0.25">
      <c r="O380501" s="9"/>
    </row>
    <row r="380522" spans="15:15" x14ac:dyDescent="0.25">
      <c r="O380522" s="9"/>
    </row>
    <row r="380543" spans="15:15" x14ac:dyDescent="0.25">
      <c r="O380543" s="9"/>
    </row>
    <row r="380564" spans="15:15" x14ac:dyDescent="0.25">
      <c r="O380564" s="9"/>
    </row>
    <row r="380585" spans="15:15" x14ac:dyDescent="0.25">
      <c r="O380585" s="9"/>
    </row>
    <row r="380606" spans="15:15" x14ac:dyDescent="0.25">
      <c r="O380606" s="9"/>
    </row>
    <row r="380627" spans="15:15" x14ac:dyDescent="0.25">
      <c r="O380627" s="9"/>
    </row>
    <row r="380648" spans="15:15" x14ac:dyDescent="0.25">
      <c r="O380648" s="9"/>
    </row>
    <row r="380669" spans="15:15" x14ac:dyDescent="0.25">
      <c r="O380669" s="9"/>
    </row>
    <row r="380690" spans="15:15" x14ac:dyDescent="0.25">
      <c r="O380690" s="9"/>
    </row>
    <row r="380711" spans="15:15" x14ac:dyDescent="0.25">
      <c r="O380711" s="9"/>
    </row>
    <row r="380732" spans="15:15" x14ac:dyDescent="0.25">
      <c r="O380732" s="9"/>
    </row>
    <row r="380753" spans="15:15" x14ac:dyDescent="0.25">
      <c r="O380753" s="9"/>
    </row>
    <row r="380774" spans="15:15" x14ac:dyDescent="0.25">
      <c r="O380774" s="9"/>
    </row>
    <row r="380795" spans="15:15" x14ac:dyDescent="0.25">
      <c r="O380795" s="9"/>
    </row>
    <row r="380816" spans="15:15" x14ac:dyDescent="0.25">
      <c r="O380816" s="9"/>
    </row>
    <row r="380837" spans="15:15" x14ac:dyDescent="0.25">
      <c r="O380837" s="9"/>
    </row>
    <row r="380858" spans="15:15" x14ac:dyDescent="0.25">
      <c r="O380858" s="9"/>
    </row>
    <row r="380879" spans="15:15" x14ac:dyDescent="0.25">
      <c r="O380879" s="9"/>
    </row>
    <row r="380900" spans="15:15" x14ac:dyDescent="0.25">
      <c r="O380900" s="9"/>
    </row>
    <row r="380921" spans="15:15" x14ac:dyDescent="0.25">
      <c r="O380921" s="9"/>
    </row>
    <row r="380942" spans="15:15" x14ac:dyDescent="0.25">
      <c r="O380942" s="9"/>
    </row>
    <row r="380963" spans="15:15" x14ac:dyDescent="0.25">
      <c r="O380963" s="9"/>
    </row>
    <row r="380984" spans="15:15" x14ac:dyDescent="0.25">
      <c r="O380984" s="9"/>
    </row>
    <row r="381005" spans="15:15" x14ac:dyDescent="0.25">
      <c r="O381005" s="9"/>
    </row>
    <row r="381026" spans="15:15" x14ac:dyDescent="0.25">
      <c r="O381026" s="9"/>
    </row>
    <row r="381047" spans="15:15" x14ac:dyDescent="0.25">
      <c r="O381047" s="9"/>
    </row>
    <row r="381068" spans="15:15" x14ac:dyDescent="0.25">
      <c r="O381068" s="9"/>
    </row>
    <row r="381089" spans="15:15" x14ac:dyDescent="0.25">
      <c r="O381089" s="9"/>
    </row>
    <row r="381110" spans="15:15" x14ac:dyDescent="0.25">
      <c r="O381110" s="9"/>
    </row>
    <row r="381131" spans="15:15" x14ac:dyDescent="0.25">
      <c r="O381131" s="9"/>
    </row>
    <row r="381152" spans="15:15" x14ac:dyDescent="0.25">
      <c r="O381152" s="9"/>
    </row>
    <row r="381173" spans="15:15" x14ac:dyDescent="0.25">
      <c r="O381173" s="9"/>
    </row>
    <row r="381194" spans="15:15" x14ac:dyDescent="0.25">
      <c r="O381194" s="9"/>
    </row>
    <row r="381215" spans="15:15" x14ac:dyDescent="0.25">
      <c r="O381215" s="9"/>
    </row>
    <row r="381236" spans="15:15" x14ac:dyDescent="0.25">
      <c r="O381236" s="9"/>
    </row>
    <row r="381257" spans="15:15" x14ac:dyDescent="0.25">
      <c r="O381257" s="9"/>
    </row>
    <row r="381278" spans="15:15" x14ac:dyDescent="0.25">
      <c r="O381278" s="9"/>
    </row>
    <row r="381299" spans="15:15" x14ac:dyDescent="0.25">
      <c r="O381299" s="9"/>
    </row>
    <row r="381320" spans="15:15" x14ac:dyDescent="0.25">
      <c r="O381320" s="9"/>
    </row>
    <row r="381341" spans="15:15" x14ac:dyDescent="0.25">
      <c r="O381341" s="9"/>
    </row>
    <row r="381362" spans="15:15" x14ac:dyDescent="0.25">
      <c r="O381362" s="9"/>
    </row>
    <row r="381383" spans="15:15" x14ac:dyDescent="0.25">
      <c r="O381383" s="9"/>
    </row>
    <row r="381404" spans="15:15" x14ac:dyDescent="0.25">
      <c r="O381404" s="9"/>
    </row>
    <row r="381425" spans="15:15" x14ac:dyDescent="0.25">
      <c r="O381425" s="9"/>
    </row>
    <row r="381446" spans="15:15" x14ac:dyDescent="0.25">
      <c r="O381446" s="9"/>
    </row>
    <row r="381467" spans="15:15" x14ac:dyDescent="0.25">
      <c r="O381467" s="9"/>
    </row>
    <row r="381488" spans="15:15" x14ac:dyDescent="0.25">
      <c r="O381488" s="9"/>
    </row>
    <row r="381509" spans="15:15" x14ac:dyDescent="0.25">
      <c r="O381509" s="9"/>
    </row>
    <row r="381530" spans="15:15" x14ac:dyDescent="0.25">
      <c r="O381530" s="9"/>
    </row>
    <row r="381551" spans="15:15" x14ac:dyDescent="0.25">
      <c r="O381551" s="9"/>
    </row>
    <row r="381572" spans="15:15" x14ac:dyDescent="0.25">
      <c r="O381572" s="9"/>
    </row>
    <row r="381593" spans="15:15" x14ac:dyDescent="0.25">
      <c r="O381593" s="9"/>
    </row>
    <row r="381614" spans="15:15" x14ac:dyDescent="0.25">
      <c r="O381614" s="9"/>
    </row>
    <row r="381635" spans="15:15" x14ac:dyDescent="0.25">
      <c r="O381635" s="9"/>
    </row>
    <row r="381656" spans="15:15" x14ac:dyDescent="0.25">
      <c r="O381656" s="9"/>
    </row>
    <row r="381677" spans="15:15" x14ac:dyDescent="0.25">
      <c r="O381677" s="9"/>
    </row>
    <row r="381698" spans="15:15" x14ac:dyDescent="0.25">
      <c r="O381698" s="9"/>
    </row>
    <row r="381719" spans="15:15" x14ac:dyDescent="0.25">
      <c r="O381719" s="9"/>
    </row>
    <row r="381740" spans="15:15" x14ac:dyDescent="0.25">
      <c r="O381740" s="9"/>
    </row>
    <row r="381761" spans="15:15" x14ac:dyDescent="0.25">
      <c r="O381761" s="9"/>
    </row>
    <row r="381782" spans="15:15" x14ac:dyDescent="0.25">
      <c r="O381782" s="9"/>
    </row>
    <row r="381803" spans="15:15" x14ac:dyDescent="0.25">
      <c r="O381803" s="9"/>
    </row>
    <row r="381824" spans="15:15" x14ac:dyDescent="0.25">
      <c r="O381824" s="9"/>
    </row>
    <row r="381845" spans="15:15" x14ac:dyDescent="0.25">
      <c r="O381845" s="9"/>
    </row>
    <row r="381866" spans="15:15" x14ac:dyDescent="0.25">
      <c r="O381866" s="9"/>
    </row>
    <row r="381887" spans="15:15" x14ac:dyDescent="0.25">
      <c r="O381887" s="9"/>
    </row>
    <row r="381908" spans="15:15" x14ac:dyDescent="0.25">
      <c r="O381908" s="9"/>
    </row>
    <row r="381929" spans="15:15" x14ac:dyDescent="0.25">
      <c r="O381929" s="9"/>
    </row>
    <row r="381950" spans="15:15" x14ac:dyDescent="0.25">
      <c r="O381950" s="9"/>
    </row>
    <row r="381971" spans="15:15" x14ac:dyDescent="0.25">
      <c r="O381971" s="9"/>
    </row>
    <row r="381992" spans="15:15" x14ac:dyDescent="0.25">
      <c r="O381992" s="9"/>
    </row>
    <row r="382013" spans="15:15" x14ac:dyDescent="0.25">
      <c r="O382013" s="9"/>
    </row>
    <row r="382034" spans="15:15" x14ac:dyDescent="0.25">
      <c r="O382034" s="9"/>
    </row>
    <row r="382055" spans="15:15" x14ac:dyDescent="0.25">
      <c r="O382055" s="9"/>
    </row>
    <row r="382076" spans="15:15" x14ac:dyDescent="0.25">
      <c r="O382076" s="9"/>
    </row>
    <row r="382097" spans="15:15" x14ac:dyDescent="0.25">
      <c r="O382097" s="9"/>
    </row>
    <row r="382118" spans="15:15" x14ac:dyDescent="0.25">
      <c r="O382118" s="9"/>
    </row>
    <row r="382139" spans="15:15" x14ac:dyDescent="0.25">
      <c r="O382139" s="9"/>
    </row>
    <row r="382160" spans="15:15" x14ac:dyDescent="0.25">
      <c r="O382160" s="9"/>
    </row>
    <row r="382181" spans="15:15" x14ac:dyDescent="0.25">
      <c r="O382181" s="9"/>
    </row>
    <row r="382202" spans="15:15" x14ac:dyDescent="0.25">
      <c r="O382202" s="9"/>
    </row>
    <row r="382223" spans="15:15" x14ac:dyDescent="0.25">
      <c r="O382223" s="9"/>
    </row>
    <row r="382244" spans="15:15" x14ac:dyDescent="0.25">
      <c r="O382244" s="9"/>
    </row>
    <row r="382265" spans="15:15" x14ac:dyDescent="0.25">
      <c r="O382265" s="9"/>
    </row>
    <row r="382286" spans="15:15" x14ac:dyDescent="0.25">
      <c r="O382286" s="9"/>
    </row>
    <row r="382307" spans="15:15" x14ac:dyDescent="0.25">
      <c r="O382307" s="9"/>
    </row>
    <row r="382328" spans="15:15" x14ac:dyDescent="0.25">
      <c r="O382328" s="9"/>
    </row>
    <row r="382349" spans="15:15" x14ac:dyDescent="0.25">
      <c r="O382349" s="9"/>
    </row>
    <row r="382370" spans="15:15" x14ac:dyDescent="0.25">
      <c r="O382370" s="9"/>
    </row>
    <row r="382391" spans="15:15" x14ac:dyDescent="0.25">
      <c r="O382391" s="9"/>
    </row>
    <row r="382412" spans="15:15" x14ac:dyDescent="0.25">
      <c r="O382412" s="9"/>
    </row>
    <row r="382433" spans="15:15" x14ac:dyDescent="0.25">
      <c r="O382433" s="9"/>
    </row>
    <row r="382454" spans="15:15" x14ac:dyDescent="0.25">
      <c r="O382454" s="9"/>
    </row>
    <row r="382475" spans="15:15" x14ac:dyDescent="0.25">
      <c r="O382475" s="9"/>
    </row>
    <row r="382496" spans="15:15" x14ac:dyDescent="0.25">
      <c r="O382496" s="9"/>
    </row>
    <row r="382517" spans="15:15" x14ac:dyDescent="0.25">
      <c r="O382517" s="9"/>
    </row>
    <row r="382538" spans="15:15" x14ac:dyDescent="0.25">
      <c r="O382538" s="9"/>
    </row>
    <row r="382559" spans="15:15" x14ac:dyDescent="0.25">
      <c r="O382559" s="9"/>
    </row>
    <row r="382580" spans="15:15" x14ac:dyDescent="0.25">
      <c r="O382580" s="9"/>
    </row>
    <row r="382601" spans="15:15" x14ac:dyDescent="0.25">
      <c r="O382601" s="9"/>
    </row>
    <row r="382622" spans="15:15" x14ac:dyDescent="0.25">
      <c r="O382622" s="9"/>
    </row>
    <row r="382643" spans="15:15" x14ac:dyDescent="0.25">
      <c r="O382643" s="9"/>
    </row>
    <row r="382664" spans="15:15" x14ac:dyDescent="0.25">
      <c r="O382664" s="9"/>
    </row>
    <row r="382685" spans="15:15" x14ac:dyDescent="0.25">
      <c r="O382685" s="9"/>
    </row>
    <row r="382706" spans="15:15" x14ac:dyDescent="0.25">
      <c r="O382706" s="9"/>
    </row>
    <row r="382727" spans="15:15" x14ac:dyDescent="0.25">
      <c r="O382727" s="9"/>
    </row>
    <row r="382748" spans="15:15" x14ac:dyDescent="0.25">
      <c r="O382748" s="9"/>
    </row>
    <row r="382769" spans="15:15" x14ac:dyDescent="0.25">
      <c r="O382769" s="9"/>
    </row>
    <row r="382790" spans="15:15" x14ac:dyDescent="0.25">
      <c r="O382790" s="9"/>
    </row>
    <row r="382811" spans="15:15" x14ac:dyDescent="0.25">
      <c r="O382811" s="9"/>
    </row>
    <row r="382832" spans="15:15" x14ac:dyDescent="0.25">
      <c r="O382832" s="9"/>
    </row>
    <row r="382853" spans="15:15" x14ac:dyDescent="0.25">
      <c r="O382853" s="9"/>
    </row>
    <row r="382874" spans="15:15" x14ac:dyDescent="0.25">
      <c r="O382874" s="9"/>
    </row>
    <row r="382895" spans="15:15" x14ac:dyDescent="0.25">
      <c r="O382895" s="9"/>
    </row>
    <row r="382916" spans="15:15" x14ac:dyDescent="0.25">
      <c r="O382916" s="9"/>
    </row>
    <row r="382937" spans="15:15" x14ac:dyDescent="0.25">
      <c r="O382937" s="9"/>
    </row>
    <row r="382958" spans="15:15" x14ac:dyDescent="0.25">
      <c r="O382958" s="9"/>
    </row>
    <row r="382979" spans="15:15" x14ac:dyDescent="0.25">
      <c r="O382979" s="9"/>
    </row>
    <row r="383000" spans="15:15" x14ac:dyDescent="0.25">
      <c r="O383000" s="9"/>
    </row>
    <row r="383021" spans="15:15" x14ac:dyDescent="0.25">
      <c r="O383021" s="9"/>
    </row>
    <row r="383042" spans="15:15" x14ac:dyDescent="0.25">
      <c r="O383042" s="9"/>
    </row>
    <row r="383063" spans="15:15" x14ac:dyDescent="0.25">
      <c r="O383063" s="9"/>
    </row>
    <row r="383084" spans="15:15" x14ac:dyDescent="0.25">
      <c r="O383084" s="9"/>
    </row>
    <row r="383105" spans="15:15" x14ac:dyDescent="0.25">
      <c r="O383105" s="9"/>
    </row>
    <row r="383126" spans="15:15" x14ac:dyDescent="0.25">
      <c r="O383126" s="9"/>
    </row>
    <row r="383147" spans="15:15" x14ac:dyDescent="0.25">
      <c r="O383147" s="9"/>
    </row>
    <row r="383168" spans="15:15" x14ac:dyDescent="0.25">
      <c r="O383168" s="9"/>
    </row>
    <row r="383189" spans="15:15" x14ac:dyDescent="0.25">
      <c r="O383189" s="9"/>
    </row>
    <row r="383210" spans="15:15" x14ac:dyDescent="0.25">
      <c r="O383210" s="9"/>
    </row>
    <row r="383231" spans="15:15" x14ac:dyDescent="0.25">
      <c r="O383231" s="9"/>
    </row>
    <row r="383252" spans="15:15" x14ac:dyDescent="0.25">
      <c r="O383252" s="9"/>
    </row>
    <row r="383273" spans="15:15" x14ac:dyDescent="0.25">
      <c r="O383273" s="9"/>
    </row>
    <row r="383294" spans="15:15" x14ac:dyDescent="0.25">
      <c r="O383294" s="9"/>
    </row>
    <row r="383315" spans="15:15" x14ac:dyDescent="0.25">
      <c r="O383315" s="9"/>
    </row>
    <row r="383336" spans="15:15" x14ac:dyDescent="0.25">
      <c r="O383336" s="9"/>
    </row>
    <row r="383357" spans="15:15" x14ac:dyDescent="0.25">
      <c r="O383357" s="9"/>
    </row>
    <row r="383378" spans="15:15" x14ac:dyDescent="0.25">
      <c r="O383378" s="9"/>
    </row>
    <row r="383399" spans="15:15" x14ac:dyDescent="0.25">
      <c r="O383399" s="9"/>
    </row>
    <row r="383420" spans="15:15" x14ac:dyDescent="0.25">
      <c r="O383420" s="9"/>
    </row>
    <row r="383441" spans="15:15" x14ac:dyDescent="0.25">
      <c r="O383441" s="9"/>
    </row>
    <row r="383462" spans="15:15" x14ac:dyDescent="0.25">
      <c r="O383462" s="9"/>
    </row>
    <row r="383483" spans="15:15" x14ac:dyDescent="0.25">
      <c r="O383483" s="9"/>
    </row>
    <row r="383504" spans="15:15" x14ac:dyDescent="0.25">
      <c r="O383504" s="9"/>
    </row>
    <row r="383525" spans="15:15" x14ac:dyDescent="0.25">
      <c r="O383525" s="9"/>
    </row>
    <row r="383546" spans="15:15" x14ac:dyDescent="0.25">
      <c r="O383546" s="9"/>
    </row>
    <row r="383567" spans="15:15" x14ac:dyDescent="0.25">
      <c r="O383567" s="9"/>
    </row>
    <row r="383588" spans="15:15" x14ac:dyDescent="0.25">
      <c r="O383588" s="9"/>
    </row>
    <row r="383609" spans="15:15" x14ac:dyDescent="0.25">
      <c r="O383609" s="9"/>
    </row>
    <row r="383630" spans="15:15" x14ac:dyDescent="0.25">
      <c r="O383630" s="9"/>
    </row>
    <row r="383651" spans="15:15" x14ac:dyDescent="0.25">
      <c r="O383651" s="9"/>
    </row>
    <row r="383672" spans="15:15" x14ac:dyDescent="0.25">
      <c r="O383672" s="9"/>
    </row>
    <row r="383693" spans="15:15" x14ac:dyDescent="0.25">
      <c r="O383693" s="9"/>
    </row>
    <row r="383714" spans="15:15" x14ac:dyDescent="0.25">
      <c r="O383714" s="9"/>
    </row>
    <row r="383735" spans="15:15" x14ac:dyDescent="0.25">
      <c r="O383735" s="9"/>
    </row>
    <row r="383756" spans="15:15" x14ac:dyDescent="0.25">
      <c r="O383756" s="9"/>
    </row>
    <row r="383777" spans="15:15" x14ac:dyDescent="0.25">
      <c r="O383777" s="9"/>
    </row>
    <row r="383798" spans="15:15" x14ac:dyDescent="0.25">
      <c r="O383798" s="9"/>
    </row>
    <row r="383819" spans="15:15" x14ac:dyDescent="0.25">
      <c r="O383819" s="9"/>
    </row>
    <row r="383840" spans="15:15" x14ac:dyDescent="0.25">
      <c r="O383840" s="9"/>
    </row>
    <row r="383861" spans="15:15" x14ac:dyDescent="0.25">
      <c r="O383861" s="9"/>
    </row>
    <row r="383882" spans="15:15" x14ac:dyDescent="0.25">
      <c r="O383882" s="9"/>
    </row>
    <row r="383903" spans="15:15" x14ac:dyDescent="0.25">
      <c r="O383903" s="9"/>
    </row>
    <row r="383924" spans="15:15" x14ac:dyDescent="0.25">
      <c r="O383924" s="9"/>
    </row>
    <row r="383945" spans="15:15" x14ac:dyDescent="0.25">
      <c r="O383945" s="9"/>
    </row>
    <row r="383966" spans="15:15" x14ac:dyDescent="0.25">
      <c r="O383966" s="9"/>
    </row>
    <row r="383987" spans="15:15" x14ac:dyDescent="0.25">
      <c r="O383987" s="9"/>
    </row>
    <row r="384008" spans="15:15" x14ac:dyDescent="0.25">
      <c r="O384008" s="9"/>
    </row>
    <row r="384029" spans="15:15" x14ac:dyDescent="0.25">
      <c r="O384029" s="9"/>
    </row>
    <row r="384050" spans="15:15" x14ac:dyDescent="0.25">
      <c r="O384050" s="9"/>
    </row>
    <row r="384071" spans="15:15" x14ac:dyDescent="0.25">
      <c r="O384071" s="9"/>
    </row>
    <row r="384092" spans="15:15" x14ac:dyDescent="0.25">
      <c r="O384092" s="9"/>
    </row>
    <row r="384113" spans="15:15" x14ac:dyDescent="0.25">
      <c r="O384113" s="9"/>
    </row>
    <row r="384134" spans="15:15" x14ac:dyDescent="0.25">
      <c r="O384134" s="9"/>
    </row>
    <row r="384155" spans="15:15" x14ac:dyDescent="0.25">
      <c r="O384155" s="9"/>
    </row>
    <row r="384176" spans="15:15" x14ac:dyDescent="0.25">
      <c r="O384176" s="9"/>
    </row>
    <row r="384197" spans="15:15" x14ac:dyDescent="0.25">
      <c r="O384197" s="9"/>
    </row>
    <row r="384218" spans="15:15" x14ac:dyDescent="0.25">
      <c r="O384218" s="9"/>
    </row>
    <row r="384239" spans="15:15" x14ac:dyDescent="0.25">
      <c r="O384239" s="9"/>
    </row>
    <row r="384260" spans="15:15" x14ac:dyDescent="0.25">
      <c r="O384260" s="9"/>
    </row>
    <row r="384281" spans="15:15" x14ac:dyDescent="0.25">
      <c r="O384281" s="9"/>
    </row>
    <row r="384302" spans="15:15" x14ac:dyDescent="0.25">
      <c r="O384302" s="9"/>
    </row>
    <row r="384323" spans="15:15" x14ac:dyDescent="0.25">
      <c r="O384323" s="9"/>
    </row>
    <row r="384344" spans="15:15" x14ac:dyDescent="0.25">
      <c r="O384344" s="9"/>
    </row>
    <row r="384365" spans="15:15" x14ac:dyDescent="0.25">
      <c r="O384365" s="9"/>
    </row>
    <row r="384386" spans="15:15" x14ac:dyDescent="0.25">
      <c r="O384386" s="9"/>
    </row>
    <row r="384407" spans="15:15" x14ac:dyDescent="0.25">
      <c r="O384407" s="9"/>
    </row>
    <row r="384428" spans="15:15" x14ac:dyDescent="0.25">
      <c r="O384428" s="9"/>
    </row>
    <row r="384449" spans="15:15" x14ac:dyDescent="0.25">
      <c r="O384449" s="9"/>
    </row>
    <row r="384470" spans="15:15" x14ac:dyDescent="0.25">
      <c r="O384470" s="9"/>
    </row>
    <row r="384491" spans="15:15" x14ac:dyDescent="0.25">
      <c r="O384491" s="9"/>
    </row>
    <row r="384512" spans="15:15" x14ac:dyDescent="0.25">
      <c r="O384512" s="9"/>
    </row>
    <row r="384533" spans="15:15" x14ac:dyDescent="0.25">
      <c r="O384533" s="9"/>
    </row>
    <row r="384554" spans="15:15" x14ac:dyDescent="0.25">
      <c r="O384554" s="9"/>
    </row>
    <row r="384575" spans="15:15" x14ac:dyDescent="0.25">
      <c r="O384575" s="9"/>
    </row>
    <row r="384596" spans="15:15" x14ac:dyDescent="0.25">
      <c r="O384596" s="9"/>
    </row>
    <row r="384617" spans="15:15" x14ac:dyDescent="0.25">
      <c r="O384617" s="9"/>
    </row>
    <row r="384638" spans="15:15" x14ac:dyDescent="0.25">
      <c r="O384638" s="9"/>
    </row>
    <row r="384659" spans="15:15" x14ac:dyDescent="0.25">
      <c r="O384659" s="9"/>
    </row>
    <row r="384680" spans="15:15" x14ac:dyDescent="0.25">
      <c r="O384680" s="9"/>
    </row>
    <row r="384701" spans="15:15" x14ac:dyDescent="0.25">
      <c r="O384701" s="9"/>
    </row>
    <row r="384722" spans="15:15" x14ac:dyDescent="0.25">
      <c r="O384722" s="9"/>
    </row>
    <row r="384743" spans="15:15" x14ac:dyDescent="0.25">
      <c r="O384743" s="9"/>
    </row>
    <row r="384764" spans="15:15" x14ac:dyDescent="0.25">
      <c r="O384764" s="9"/>
    </row>
    <row r="384785" spans="15:15" x14ac:dyDescent="0.25">
      <c r="O384785" s="9"/>
    </row>
    <row r="384806" spans="15:15" x14ac:dyDescent="0.25">
      <c r="O384806" s="9"/>
    </row>
    <row r="384827" spans="15:15" x14ac:dyDescent="0.25">
      <c r="O384827" s="9"/>
    </row>
    <row r="384848" spans="15:15" x14ac:dyDescent="0.25">
      <c r="O384848" s="9"/>
    </row>
    <row r="384869" spans="15:15" x14ac:dyDescent="0.25">
      <c r="O384869" s="9"/>
    </row>
    <row r="384890" spans="15:15" x14ac:dyDescent="0.25">
      <c r="O384890" s="9"/>
    </row>
    <row r="384911" spans="15:15" x14ac:dyDescent="0.25">
      <c r="O384911" s="9"/>
    </row>
    <row r="384932" spans="15:15" x14ac:dyDescent="0.25">
      <c r="O384932" s="9"/>
    </row>
    <row r="384953" spans="15:15" x14ac:dyDescent="0.25">
      <c r="O384953" s="9"/>
    </row>
    <row r="384974" spans="15:15" x14ac:dyDescent="0.25">
      <c r="O384974" s="9"/>
    </row>
    <row r="384995" spans="15:15" x14ac:dyDescent="0.25">
      <c r="O384995" s="9"/>
    </row>
    <row r="385016" spans="15:15" x14ac:dyDescent="0.25">
      <c r="O385016" s="9"/>
    </row>
    <row r="385037" spans="15:15" x14ac:dyDescent="0.25">
      <c r="O385037" s="9"/>
    </row>
    <row r="385058" spans="15:15" x14ac:dyDescent="0.25">
      <c r="O385058" s="9"/>
    </row>
    <row r="385079" spans="15:15" x14ac:dyDescent="0.25">
      <c r="O385079" s="9"/>
    </row>
    <row r="385100" spans="15:15" x14ac:dyDescent="0.25">
      <c r="O385100" s="9"/>
    </row>
    <row r="385121" spans="15:15" x14ac:dyDescent="0.25">
      <c r="O385121" s="9"/>
    </row>
    <row r="385142" spans="15:15" x14ac:dyDescent="0.25">
      <c r="O385142" s="9"/>
    </row>
    <row r="385163" spans="15:15" x14ac:dyDescent="0.25">
      <c r="O385163" s="9"/>
    </row>
    <row r="385184" spans="15:15" x14ac:dyDescent="0.25">
      <c r="O385184" s="9"/>
    </row>
    <row r="385205" spans="15:15" x14ac:dyDescent="0.25">
      <c r="O385205" s="9"/>
    </row>
    <row r="385226" spans="15:15" x14ac:dyDescent="0.25">
      <c r="O385226" s="9"/>
    </row>
    <row r="385247" spans="15:15" x14ac:dyDescent="0.25">
      <c r="O385247" s="9"/>
    </row>
    <row r="385268" spans="15:15" x14ac:dyDescent="0.25">
      <c r="O385268" s="9"/>
    </row>
    <row r="385289" spans="15:15" x14ac:dyDescent="0.25">
      <c r="O385289" s="9"/>
    </row>
    <row r="385310" spans="15:15" x14ac:dyDescent="0.25">
      <c r="O385310" s="9"/>
    </row>
    <row r="385331" spans="15:15" x14ac:dyDescent="0.25">
      <c r="O385331" s="9"/>
    </row>
    <row r="385352" spans="15:15" x14ac:dyDescent="0.25">
      <c r="O385352" s="9"/>
    </row>
    <row r="385373" spans="15:15" x14ac:dyDescent="0.25">
      <c r="O385373" s="9"/>
    </row>
    <row r="385394" spans="15:15" x14ac:dyDescent="0.25">
      <c r="O385394" s="9"/>
    </row>
    <row r="385415" spans="15:15" x14ac:dyDescent="0.25">
      <c r="O385415" s="9"/>
    </row>
    <row r="385436" spans="15:15" x14ac:dyDescent="0.25">
      <c r="O385436" s="9"/>
    </row>
    <row r="385457" spans="15:15" x14ac:dyDescent="0.25">
      <c r="O385457" s="9"/>
    </row>
    <row r="385478" spans="15:15" x14ac:dyDescent="0.25">
      <c r="O385478" s="9"/>
    </row>
    <row r="385499" spans="15:15" x14ac:dyDescent="0.25">
      <c r="O385499" s="9"/>
    </row>
    <row r="385520" spans="15:15" x14ac:dyDescent="0.25">
      <c r="O385520" s="9"/>
    </row>
    <row r="385541" spans="15:15" x14ac:dyDescent="0.25">
      <c r="O385541" s="9"/>
    </row>
    <row r="385562" spans="15:15" x14ac:dyDescent="0.25">
      <c r="O385562" s="9"/>
    </row>
    <row r="385583" spans="15:15" x14ac:dyDescent="0.25">
      <c r="O385583" s="9"/>
    </row>
    <row r="385604" spans="15:15" x14ac:dyDescent="0.25">
      <c r="O385604" s="9"/>
    </row>
    <row r="385625" spans="15:15" x14ac:dyDescent="0.25">
      <c r="O385625" s="9"/>
    </row>
    <row r="385646" spans="15:15" x14ac:dyDescent="0.25">
      <c r="O385646" s="9"/>
    </row>
    <row r="385667" spans="15:15" x14ac:dyDescent="0.25">
      <c r="O385667" s="9"/>
    </row>
    <row r="385688" spans="15:15" x14ac:dyDescent="0.25">
      <c r="O385688" s="9"/>
    </row>
    <row r="385709" spans="15:15" x14ac:dyDescent="0.25">
      <c r="O385709" s="9"/>
    </row>
    <row r="385730" spans="15:15" x14ac:dyDescent="0.25">
      <c r="O385730" s="9"/>
    </row>
    <row r="385751" spans="15:15" x14ac:dyDescent="0.25">
      <c r="O385751" s="9"/>
    </row>
    <row r="385772" spans="15:15" x14ac:dyDescent="0.25">
      <c r="O385772" s="9"/>
    </row>
    <row r="385793" spans="15:15" x14ac:dyDescent="0.25">
      <c r="O385793" s="9"/>
    </row>
    <row r="385814" spans="15:15" x14ac:dyDescent="0.25">
      <c r="O385814" s="9"/>
    </row>
    <row r="385835" spans="15:15" x14ac:dyDescent="0.25">
      <c r="O385835" s="9"/>
    </row>
    <row r="385856" spans="15:15" x14ac:dyDescent="0.25">
      <c r="O385856" s="9"/>
    </row>
    <row r="385877" spans="15:15" x14ac:dyDescent="0.25">
      <c r="O385877" s="9"/>
    </row>
    <row r="385898" spans="15:15" x14ac:dyDescent="0.25">
      <c r="O385898" s="9"/>
    </row>
    <row r="385919" spans="15:15" x14ac:dyDescent="0.25">
      <c r="O385919" s="9"/>
    </row>
    <row r="385940" spans="15:15" x14ac:dyDescent="0.25">
      <c r="O385940" s="9"/>
    </row>
    <row r="385961" spans="15:15" x14ac:dyDescent="0.25">
      <c r="O385961" s="9"/>
    </row>
    <row r="385982" spans="15:15" x14ac:dyDescent="0.25">
      <c r="O385982" s="9"/>
    </row>
    <row r="386003" spans="15:15" x14ac:dyDescent="0.25">
      <c r="O386003" s="9"/>
    </row>
    <row r="386024" spans="15:15" x14ac:dyDescent="0.25">
      <c r="O386024" s="9"/>
    </row>
    <row r="386045" spans="15:15" x14ac:dyDescent="0.25">
      <c r="O386045" s="9"/>
    </row>
    <row r="386066" spans="15:15" x14ac:dyDescent="0.25">
      <c r="O386066" s="9"/>
    </row>
    <row r="386087" spans="15:15" x14ac:dyDescent="0.25">
      <c r="O386087" s="9"/>
    </row>
    <row r="386108" spans="15:15" x14ac:dyDescent="0.25">
      <c r="O386108" s="9"/>
    </row>
    <row r="386129" spans="15:15" x14ac:dyDescent="0.25">
      <c r="O386129" s="9"/>
    </row>
    <row r="386150" spans="15:15" x14ac:dyDescent="0.25">
      <c r="O386150" s="9"/>
    </row>
    <row r="386171" spans="15:15" x14ac:dyDescent="0.25">
      <c r="O386171" s="9"/>
    </row>
    <row r="386192" spans="15:15" x14ac:dyDescent="0.25">
      <c r="O386192" s="9"/>
    </row>
    <row r="386213" spans="15:15" x14ac:dyDescent="0.25">
      <c r="O386213" s="9"/>
    </row>
    <row r="386234" spans="15:15" x14ac:dyDescent="0.25">
      <c r="O386234" s="9"/>
    </row>
    <row r="386255" spans="15:15" x14ac:dyDescent="0.25">
      <c r="O386255" s="9"/>
    </row>
    <row r="386276" spans="15:15" x14ac:dyDescent="0.25">
      <c r="O386276" s="9"/>
    </row>
    <row r="386297" spans="15:15" x14ac:dyDescent="0.25">
      <c r="O386297" s="9"/>
    </row>
    <row r="386318" spans="15:15" x14ac:dyDescent="0.25">
      <c r="O386318" s="9"/>
    </row>
    <row r="386339" spans="15:15" x14ac:dyDescent="0.25">
      <c r="O386339" s="9"/>
    </row>
    <row r="386360" spans="15:15" x14ac:dyDescent="0.25">
      <c r="O386360" s="9"/>
    </row>
    <row r="386381" spans="15:15" x14ac:dyDescent="0.25">
      <c r="O386381" s="9"/>
    </row>
    <row r="386402" spans="15:15" x14ac:dyDescent="0.25">
      <c r="O386402" s="9"/>
    </row>
    <row r="386423" spans="15:15" x14ac:dyDescent="0.25">
      <c r="O386423" s="9"/>
    </row>
    <row r="386444" spans="15:15" x14ac:dyDescent="0.25">
      <c r="O386444" s="9"/>
    </row>
    <row r="386465" spans="15:15" x14ac:dyDescent="0.25">
      <c r="O386465" s="9"/>
    </row>
    <row r="386486" spans="15:15" x14ac:dyDescent="0.25">
      <c r="O386486" s="9"/>
    </row>
    <row r="386507" spans="15:15" x14ac:dyDescent="0.25">
      <c r="O386507" s="9"/>
    </row>
    <row r="386528" spans="15:15" x14ac:dyDescent="0.25">
      <c r="O386528" s="9"/>
    </row>
    <row r="386549" spans="15:15" x14ac:dyDescent="0.25">
      <c r="O386549" s="9"/>
    </row>
    <row r="386570" spans="15:15" x14ac:dyDescent="0.25">
      <c r="O386570" s="9"/>
    </row>
    <row r="386591" spans="15:15" x14ac:dyDescent="0.25">
      <c r="O386591" s="9"/>
    </row>
    <row r="386612" spans="15:15" x14ac:dyDescent="0.25">
      <c r="O386612" s="9"/>
    </row>
    <row r="386633" spans="15:15" x14ac:dyDescent="0.25">
      <c r="O386633" s="9"/>
    </row>
    <row r="386654" spans="15:15" x14ac:dyDescent="0.25">
      <c r="O386654" s="9"/>
    </row>
    <row r="386675" spans="15:15" x14ac:dyDescent="0.25">
      <c r="O386675" s="9"/>
    </row>
    <row r="386696" spans="15:15" x14ac:dyDescent="0.25">
      <c r="O386696" s="9"/>
    </row>
    <row r="386717" spans="15:15" x14ac:dyDescent="0.25">
      <c r="O386717" s="9"/>
    </row>
    <row r="386738" spans="15:15" x14ac:dyDescent="0.25">
      <c r="O386738" s="9"/>
    </row>
    <row r="386759" spans="15:15" x14ac:dyDescent="0.25">
      <c r="O386759" s="9"/>
    </row>
    <row r="386780" spans="15:15" x14ac:dyDescent="0.25">
      <c r="O386780" s="9"/>
    </row>
    <row r="386801" spans="15:15" x14ac:dyDescent="0.25">
      <c r="O386801" s="9"/>
    </row>
    <row r="386822" spans="15:15" x14ac:dyDescent="0.25">
      <c r="O386822" s="9"/>
    </row>
    <row r="386843" spans="15:15" x14ac:dyDescent="0.25">
      <c r="O386843" s="9"/>
    </row>
    <row r="386864" spans="15:15" x14ac:dyDescent="0.25">
      <c r="O386864" s="9"/>
    </row>
    <row r="386885" spans="15:15" x14ac:dyDescent="0.25">
      <c r="O386885" s="9"/>
    </row>
    <row r="386906" spans="15:15" x14ac:dyDescent="0.25">
      <c r="O386906" s="9"/>
    </row>
    <row r="386927" spans="15:15" x14ac:dyDescent="0.25">
      <c r="O386927" s="9"/>
    </row>
    <row r="386948" spans="15:15" x14ac:dyDescent="0.25">
      <c r="O386948" s="9"/>
    </row>
    <row r="386969" spans="15:15" x14ac:dyDescent="0.25">
      <c r="O386969" s="9"/>
    </row>
    <row r="386990" spans="15:15" x14ac:dyDescent="0.25">
      <c r="O386990" s="9"/>
    </row>
    <row r="387011" spans="15:15" x14ac:dyDescent="0.25">
      <c r="O387011" s="9"/>
    </row>
    <row r="387032" spans="15:15" x14ac:dyDescent="0.25">
      <c r="O387032" s="9"/>
    </row>
    <row r="387053" spans="15:15" x14ac:dyDescent="0.25">
      <c r="O387053" s="9"/>
    </row>
    <row r="387074" spans="15:15" x14ac:dyDescent="0.25">
      <c r="O387074" s="9"/>
    </row>
    <row r="387095" spans="15:15" x14ac:dyDescent="0.25">
      <c r="O387095" s="9"/>
    </row>
    <row r="387116" spans="15:15" x14ac:dyDescent="0.25">
      <c r="O387116" s="9"/>
    </row>
    <row r="387137" spans="15:15" x14ac:dyDescent="0.25">
      <c r="O387137" s="9"/>
    </row>
    <row r="387158" spans="15:15" x14ac:dyDescent="0.25">
      <c r="O387158" s="9"/>
    </row>
    <row r="387179" spans="15:15" x14ac:dyDescent="0.25">
      <c r="O387179" s="9"/>
    </row>
    <row r="387200" spans="15:15" x14ac:dyDescent="0.25">
      <c r="O387200" s="9"/>
    </row>
    <row r="387221" spans="15:15" x14ac:dyDescent="0.25">
      <c r="O387221" s="9"/>
    </row>
    <row r="387242" spans="15:15" x14ac:dyDescent="0.25">
      <c r="O387242" s="9"/>
    </row>
    <row r="387263" spans="15:15" x14ac:dyDescent="0.25">
      <c r="O387263" s="9"/>
    </row>
    <row r="387284" spans="15:15" x14ac:dyDescent="0.25">
      <c r="O387284" s="9"/>
    </row>
    <row r="387305" spans="15:15" x14ac:dyDescent="0.25">
      <c r="O387305" s="9"/>
    </row>
    <row r="387326" spans="15:15" x14ac:dyDescent="0.25">
      <c r="O387326" s="9"/>
    </row>
    <row r="387347" spans="15:15" x14ac:dyDescent="0.25">
      <c r="O387347" s="9"/>
    </row>
    <row r="387368" spans="15:15" x14ac:dyDescent="0.25">
      <c r="O387368" s="9"/>
    </row>
    <row r="387389" spans="15:15" x14ac:dyDescent="0.25">
      <c r="O387389" s="9"/>
    </row>
    <row r="387410" spans="15:15" x14ac:dyDescent="0.25">
      <c r="O387410" s="9"/>
    </row>
    <row r="387431" spans="15:15" x14ac:dyDescent="0.25">
      <c r="O387431" s="9"/>
    </row>
    <row r="387452" spans="15:15" x14ac:dyDescent="0.25">
      <c r="O387452" s="9"/>
    </row>
    <row r="387473" spans="15:15" x14ac:dyDescent="0.25">
      <c r="O387473" s="9"/>
    </row>
    <row r="387494" spans="15:15" x14ac:dyDescent="0.25">
      <c r="O387494" s="9"/>
    </row>
    <row r="387515" spans="15:15" x14ac:dyDescent="0.25">
      <c r="O387515" s="9"/>
    </row>
    <row r="387536" spans="15:15" x14ac:dyDescent="0.25">
      <c r="O387536" s="9"/>
    </row>
    <row r="387557" spans="15:15" x14ac:dyDescent="0.25">
      <c r="O387557" s="9"/>
    </row>
    <row r="387578" spans="15:15" x14ac:dyDescent="0.25">
      <c r="O387578" s="9"/>
    </row>
    <row r="387599" spans="15:15" x14ac:dyDescent="0.25">
      <c r="O387599" s="9"/>
    </row>
    <row r="387620" spans="15:15" x14ac:dyDescent="0.25">
      <c r="O387620" s="9"/>
    </row>
    <row r="387641" spans="15:15" x14ac:dyDescent="0.25">
      <c r="O387641" s="9"/>
    </row>
    <row r="387662" spans="15:15" x14ac:dyDescent="0.25">
      <c r="O387662" s="9"/>
    </row>
    <row r="387683" spans="15:15" x14ac:dyDescent="0.25">
      <c r="O387683" s="9"/>
    </row>
    <row r="387704" spans="15:15" x14ac:dyDescent="0.25">
      <c r="O387704" s="9"/>
    </row>
    <row r="387725" spans="15:15" x14ac:dyDescent="0.25">
      <c r="O387725" s="9"/>
    </row>
    <row r="387746" spans="15:15" x14ac:dyDescent="0.25">
      <c r="O387746" s="9"/>
    </row>
    <row r="387767" spans="15:15" x14ac:dyDescent="0.25">
      <c r="O387767" s="9"/>
    </row>
    <row r="387788" spans="15:15" x14ac:dyDescent="0.25">
      <c r="O387788" s="9"/>
    </row>
    <row r="387809" spans="15:15" x14ac:dyDescent="0.25">
      <c r="O387809" s="9"/>
    </row>
    <row r="387830" spans="15:15" x14ac:dyDescent="0.25">
      <c r="O387830" s="9"/>
    </row>
    <row r="387851" spans="15:15" x14ac:dyDescent="0.25">
      <c r="O387851" s="9"/>
    </row>
    <row r="387872" spans="15:15" x14ac:dyDescent="0.25">
      <c r="O387872" s="9"/>
    </row>
    <row r="387893" spans="15:15" x14ac:dyDescent="0.25">
      <c r="O387893" s="9"/>
    </row>
    <row r="387914" spans="15:15" x14ac:dyDescent="0.25">
      <c r="O387914" s="9"/>
    </row>
    <row r="387935" spans="15:15" x14ac:dyDescent="0.25">
      <c r="O387935" s="9"/>
    </row>
    <row r="387956" spans="15:15" x14ac:dyDescent="0.25">
      <c r="O387956" s="9"/>
    </row>
    <row r="387977" spans="15:15" x14ac:dyDescent="0.25">
      <c r="O387977" s="9"/>
    </row>
    <row r="387998" spans="15:15" x14ac:dyDescent="0.25">
      <c r="O387998" s="9"/>
    </row>
    <row r="388019" spans="15:15" x14ac:dyDescent="0.25">
      <c r="O388019" s="9"/>
    </row>
    <row r="388040" spans="15:15" x14ac:dyDescent="0.25">
      <c r="O388040" s="9"/>
    </row>
    <row r="388061" spans="15:15" x14ac:dyDescent="0.25">
      <c r="O388061" s="9"/>
    </row>
    <row r="388082" spans="15:15" x14ac:dyDescent="0.25">
      <c r="O388082" s="9"/>
    </row>
    <row r="388103" spans="15:15" x14ac:dyDescent="0.25">
      <c r="O388103" s="9"/>
    </row>
    <row r="388124" spans="15:15" x14ac:dyDescent="0.25">
      <c r="O388124" s="9"/>
    </row>
    <row r="388145" spans="15:15" x14ac:dyDescent="0.25">
      <c r="O388145" s="9"/>
    </row>
    <row r="388166" spans="15:15" x14ac:dyDescent="0.25">
      <c r="O388166" s="9"/>
    </row>
    <row r="388187" spans="15:15" x14ac:dyDescent="0.25">
      <c r="O388187" s="9"/>
    </row>
    <row r="388208" spans="15:15" x14ac:dyDescent="0.25">
      <c r="O388208" s="9"/>
    </row>
    <row r="388229" spans="15:15" x14ac:dyDescent="0.25">
      <c r="O388229" s="9"/>
    </row>
    <row r="388250" spans="15:15" x14ac:dyDescent="0.25">
      <c r="O388250" s="9"/>
    </row>
    <row r="388271" spans="15:15" x14ac:dyDescent="0.25">
      <c r="O388271" s="9"/>
    </row>
    <row r="388292" spans="15:15" x14ac:dyDescent="0.25">
      <c r="O388292" s="9"/>
    </row>
    <row r="388313" spans="15:15" x14ac:dyDescent="0.25">
      <c r="O388313" s="9"/>
    </row>
    <row r="388334" spans="15:15" x14ac:dyDescent="0.25">
      <c r="O388334" s="9"/>
    </row>
    <row r="388355" spans="15:15" x14ac:dyDescent="0.25">
      <c r="O388355" s="9"/>
    </row>
    <row r="388376" spans="15:15" x14ac:dyDescent="0.25">
      <c r="O388376" s="9"/>
    </row>
    <row r="388397" spans="15:15" x14ac:dyDescent="0.25">
      <c r="O388397" s="9"/>
    </row>
    <row r="388418" spans="15:15" x14ac:dyDescent="0.25">
      <c r="O388418" s="9"/>
    </row>
    <row r="388439" spans="15:15" x14ac:dyDescent="0.25">
      <c r="O388439" s="9"/>
    </row>
    <row r="388460" spans="15:15" x14ac:dyDescent="0.25">
      <c r="O388460" s="9"/>
    </row>
    <row r="388481" spans="15:15" x14ac:dyDescent="0.25">
      <c r="O388481" s="9"/>
    </row>
    <row r="388502" spans="15:15" x14ac:dyDescent="0.25">
      <c r="O388502" s="9"/>
    </row>
    <row r="388523" spans="15:15" x14ac:dyDescent="0.25">
      <c r="O388523" s="9"/>
    </row>
    <row r="388544" spans="15:15" x14ac:dyDescent="0.25">
      <c r="O388544" s="9"/>
    </row>
    <row r="388565" spans="15:15" x14ac:dyDescent="0.25">
      <c r="O388565" s="9"/>
    </row>
    <row r="388586" spans="15:15" x14ac:dyDescent="0.25">
      <c r="O388586" s="9"/>
    </row>
    <row r="388607" spans="15:15" x14ac:dyDescent="0.25">
      <c r="O388607" s="9"/>
    </row>
    <row r="388628" spans="15:15" x14ac:dyDescent="0.25">
      <c r="O388628" s="9"/>
    </row>
    <row r="388649" spans="15:15" x14ac:dyDescent="0.25">
      <c r="O388649" s="9"/>
    </row>
    <row r="388670" spans="15:15" x14ac:dyDescent="0.25">
      <c r="O388670" s="9"/>
    </row>
    <row r="388691" spans="15:15" x14ac:dyDescent="0.25">
      <c r="O388691" s="9"/>
    </row>
    <row r="388712" spans="15:15" x14ac:dyDescent="0.25">
      <c r="O388712" s="9"/>
    </row>
    <row r="388733" spans="15:15" x14ac:dyDescent="0.25">
      <c r="O388733" s="9"/>
    </row>
    <row r="388754" spans="15:15" x14ac:dyDescent="0.25">
      <c r="O388754" s="9"/>
    </row>
    <row r="388775" spans="15:15" x14ac:dyDescent="0.25">
      <c r="O388775" s="9"/>
    </row>
    <row r="388796" spans="15:15" x14ac:dyDescent="0.25">
      <c r="O388796" s="9"/>
    </row>
    <row r="388817" spans="15:15" x14ac:dyDescent="0.25">
      <c r="O388817" s="9"/>
    </row>
    <row r="388838" spans="15:15" x14ac:dyDescent="0.25">
      <c r="O388838" s="9"/>
    </row>
    <row r="388859" spans="15:15" x14ac:dyDescent="0.25">
      <c r="O388859" s="9"/>
    </row>
    <row r="388880" spans="15:15" x14ac:dyDescent="0.25">
      <c r="O388880" s="9"/>
    </row>
    <row r="388901" spans="15:15" x14ac:dyDescent="0.25">
      <c r="O388901" s="9"/>
    </row>
    <row r="388922" spans="15:15" x14ac:dyDescent="0.25">
      <c r="O388922" s="9"/>
    </row>
    <row r="388943" spans="15:15" x14ac:dyDescent="0.25">
      <c r="O388943" s="9"/>
    </row>
    <row r="388964" spans="15:15" x14ac:dyDescent="0.25">
      <c r="O388964" s="9"/>
    </row>
    <row r="388985" spans="15:15" x14ac:dyDescent="0.25">
      <c r="O388985" s="9"/>
    </row>
    <row r="389006" spans="15:15" x14ac:dyDescent="0.25">
      <c r="O389006" s="9"/>
    </row>
    <row r="389027" spans="15:15" x14ac:dyDescent="0.25">
      <c r="O389027" s="9"/>
    </row>
    <row r="389048" spans="15:15" x14ac:dyDescent="0.25">
      <c r="O389048" s="9"/>
    </row>
    <row r="389069" spans="15:15" x14ac:dyDescent="0.25">
      <c r="O389069" s="9"/>
    </row>
    <row r="389090" spans="15:15" x14ac:dyDescent="0.25">
      <c r="O389090" s="9"/>
    </row>
    <row r="389111" spans="15:15" x14ac:dyDescent="0.25">
      <c r="O389111" s="9"/>
    </row>
    <row r="389132" spans="15:15" x14ac:dyDescent="0.25">
      <c r="O389132" s="9"/>
    </row>
    <row r="389153" spans="15:15" x14ac:dyDescent="0.25">
      <c r="O389153" s="9"/>
    </row>
    <row r="389174" spans="15:15" x14ac:dyDescent="0.25">
      <c r="O389174" s="9"/>
    </row>
    <row r="389195" spans="15:15" x14ac:dyDescent="0.25">
      <c r="O389195" s="9"/>
    </row>
    <row r="389216" spans="15:15" x14ac:dyDescent="0.25">
      <c r="O389216" s="9"/>
    </row>
    <row r="389237" spans="15:15" x14ac:dyDescent="0.25">
      <c r="O389237" s="9"/>
    </row>
    <row r="389258" spans="15:15" x14ac:dyDescent="0.25">
      <c r="O389258" s="9"/>
    </row>
    <row r="389279" spans="15:15" x14ac:dyDescent="0.25">
      <c r="O389279" s="9"/>
    </row>
    <row r="389300" spans="15:15" x14ac:dyDescent="0.25">
      <c r="O389300" s="9"/>
    </row>
    <row r="389321" spans="15:15" x14ac:dyDescent="0.25">
      <c r="O389321" s="9"/>
    </row>
    <row r="389342" spans="15:15" x14ac:dyDescent="0.25">
      <c r="O389342" s="9"/>
    </row>
    <row r="389363" spans="15:15" x14ac:dyDescent="0.25">
      <c r="O389363" s="9"/>
    </row>
    <row r="389384" spans="15:15" x14ac:dyDescent="0.25">
      <c r="O389384" s="9"/>
    </row>
    <row r="389405" spans="15:15" x14ac:dyDescent="0.25">
      <c r="O389405" s="9"/>
    </row>
    <row r="389426" spans="15:15" x14ac:dyDescent="0.25">
      <c r="O389426" s="9"/>
    </row>
    <row r="389447" spans="15:15" x14ac:dyDescent="0.25">
      <c r="O389447" s="9"/>
    </row>
    <row r="389468" spans="15:15" x14ac:dyDescent="0.25">
      <c r="O389468" s="9"/>
    </row>
    <row r="389489" spans="15:15" x14ac:dyDescent="0.25">
      <c r="O389489" s="9"/>
    </row>
    <row r="389510" spans="15:15" x14ac:dyDescent="0.25">
      <c r="O389510" s="9"/>
    </row>
    <row r="389531" spans="15:15" x14ac:dyDescent="0.25">
      <c r="O389531" s="9"/>
    </row>
    <row r="389552" spans="15:15" x14ac:dyDescent="0.25">
      <c r="O389552" s="9"/>
    </row>
    <row r="389573" spans="15:15" x14ac:dyDescent="0.25">
      <c r="O389573" s="9"/>
    </row>
    <row r="389594" spans="15:15" x14ac:dyDescent="0.25">
      <c r="O389594" s="9"/>
    </row>
    <row r="389615" spans="15:15" x14ac:dyDescent="0.25">
      <c r="O389615" s="9"/>
    </row>
    <row r="389636" spans="15:15" x14ac:dyDescent="0.25">
      <c r="O389636" s="9"/>
    </row>
    <row r="389657" spans="15:15" x14ac:dyDescent="0.25">
      <c r="O389657" s="9"/>
    </row>
    <row r="389678" spans="15:15" x14ac:dyDescent="0.25">
      <c r="O389678" s="9"/>
    </row>
    <row r="389699" spans="15:15" x14ac:dyDescent="0.25">
      <c r="O389699" s="9"/>
    </row>
    <row r="389720" spans="15:15" x14ac:dyDescent="0.25">
      <c r="O389720" s="9"/>
    </row>
    <row r="389741" spans="15:15" x14ac:dyDescent="0.25">
      <c r="O389741" s="9"/>
    </row>
    <row r="389762" spans="15:15" x14ac:dyDescent="0.25">
      <c r="O389762" s="9"/>
    </row>
    <row r="389783" spans="15:15" x14ac:dyDescent="0.25">
      <c r="O389783" s="9"/>
    </row>
    <row r="389804" spans="15:15" x14ac:dyDescent="0.25">
      <c r="O389804" s="9"/>
    </row>
    <row r="389825" spans="15:15" x14ac:dyDescent="0.25">
      <c r="O389825" s="9"/>
    </row>
    <row r="389846" spans="15:15" x14ac:dyDescent="0.25">
      <c r="O389846" s="9"/>
    </row>
    <row r="389867" spans="15:15" x14ac:dyDescent="0.25">
      <c r="O389867" s="9"/>
    </row>
    <row r="389888" spans="15:15" x14ac:dyDescent="0.25">
      <c r="O389888" s="9"/>
    </row>
    <row r="389909" spans="15:15" x14ac:dyDescent="0.25">
      <c r="O389909" s="9"/>
    </row>
    <row r="389930" spans="15:15" x14ac:dyDescent="0.25">
      <c r="O389930" s="9"/>
    </row>
    <row r="389951" spans="15:15" x14ac:dyDescent="0.25">
      <c r="O389951" s="9"/>
    </row>
    <row r="389972" spans="15:15" x14ac:dyDescent="0.25">
      <c r="O389972" s="9"/>
    </row>
    <row r="389993" spans="15:15" x14ac:dyDescent="0.25">
      <c r="O389993" s="9"/>
    </row>
    <row r="390014" spans="15:15" x14ac:dyDescent="0.25">
      <c r="O390014" s="9"/>
    </row>
    <row r="390035" spans="15:15" x14ac:dyDescent="0.25">
      <c r="O390035" s="9"/>
    </row>
    <row r="390056" spans="15:15" x14ac:dyDescent="0.25">
      <c r="O390056" s="9"/>
    </row>
    <row r="390077" spans="15:15" x14ac:dyDescent="0.25">
      <c r="O390077" s="9"/>
    </row>
    <row r="390098" spans="15:15" x14ac:dyDescent="0.25">
      <c r="O390098" s="9"/>
    </row>
    <row r="390119" spans="15:15" x14ac:dyDescent="0.25">
      <c r="O390119" s="9"/>
    </row>
    <row r="390140" spans="15:15" x14ac:dyDescent="0.25">
      <c r="O390140" s="9"/>
    </row>
    <row r="390161" spans="15:15" x14ac:dyDescent="0.25">
      <c r="O390161" s="9"/>
    </row>
    <row r="390182" spans="15:15" x14ac:dyDescent="0.25">
      <c r="O390182" s="9"/>
    </row>
    <row r="390203" spans="15:15" x14ac:dyDescent="0.25">
      <c r="O390203" s="9"/>
    </row>
    <row r="390224" spans="15:15" x14ac:dyDescent="0.25">
      <c r="O390224" s="9"/>
    </row>
    <row r="390245" spans="15:15" x14ac:dyDescent="0.25">
      <c r="O390245" s="9"/>
    </row>
    <row r="390266" spans="15:15" x14ac:dyDescent="0.25">
      <c r="O390266" s="9"/>
    </row>
    <row r="390287" spans="15:15" x14ac:dyDescent="0.25">
      <c r="O390287" s="9"/>
    </row>
    <row r="390308" spans="15:15" x14ac:dyDescent="0.25">
      <c r="O390308" s="9"/>
    </row>
    <row r="390329" spans="15:15" x14ac:dyDescent="0.25">
      <c r="O390329" s="9"/>
    </row>
    <row r="390350" spans="15:15" x14ac:dyDescent="0.25">
      <c r="O390350" s="9"/>
    </row>
    <row r="390371" spans="15:15" x14ac:dyDescent="0.25">
      <c r="O390371" s="9"/>
    </row>
    <row r="390392" spans="15:15" x14ac:dyDescent="0.25">
      <c r="O390392" s="9"/>
    </row>
    <row r="390413" spans="15:15" x14ac:dyDescent="0.25">
      <c r="O390413" s="9"/>
    </row>
    <row r="390434" spans="15:15" x14ac:dyDescent="0.25">
      <c r="O390434" s="9"/>
    </row>
    <row r="390455" spans="15:15" x14ac:dyDescent="0.25">
      <c r="O390455" s="9"/>
    </row>
    <row r="390476" spans="15:15" x14ac:dyDescent="0.25">
      <c r="O390476" s="9"/>
    </row>
    <row r="390497" spans="15:15" x14ac:dyDescent="0.25">
      <c r="O390497" s="9"/>
    </row>
    <row r="390518" spans="15:15" x14ac:dyDescent="0.25">
      <c r="O390518" s="9"/>
    </row>
    <row r="390539" spans="15:15" x14ac:dyDescent="0.25">
      <c r="O390539" s="9"/>
    </row>
    <row r="390560" spans="15:15" x14ac:dyDescent="0.25">
      <c r="O390560" s="9"/>
    </row>
    <row r="390581" spans="15:15" x14ac:dyDescent="0.25">
      <c r="O390581" s="9"/>
    </row>
    <row r="390602" spans="15:15" x14ac:dyDescent="0.25">
      <c r="O390602" s="9"/>
    </row>
    <row r="390623" spans="15:15" x14ac:dyDescent="0.25">
      <c r="O390623" s="9"/>
    </row>
    <row r="390644" spans="15:15" x14ac:dyDescent="0.25">
      <c r="O390644" s="9"/>
    </row>
    <row r="390665" spans="15:15" x14ac:dyDescent="0.25">
      <c r="O390665" s="9"/>
    </row>
    <row r="390686" spans="15:15" x14ac:dyDescent="0.25">
      <c r="O390686" s="9"/>
    </row>
    <row r="390707" spans="15:15" x14ac:dyDescent="0.25">
      <c r="O390707" s="9"/>
    </row>
    <row r="390728" spans="15:15" x14ac:dyDescent="0.25">
      <c r="O390728" s="9"/>
    </row>
    <row r="390749" spans="15:15" x14ac:dyDescent="0.25">
      <c r="O390749" s="9"/>
    </row>
    <row r="390770" spans="15:15" x14ac:dyDescent="0.25">
      <c r="O390770" s="9"/>
    </row>
    <row r="390791" spans="15:15" x14ac:dyDescent="0.25">
      <c r="O390791" s="9"/>
    </row>
    <row r="390812" spans="15:15" x14ac:dyDescent="0.25">
      <c r="O390812" s="9"/>
    </row>
    <row r="390833" spans="15:15" x14ac:dyDescent="0.25">
      <c r="O390833" s="9"/>
    </row>
    <row r="390854" spans="15:15" x14ac:dyDescent="0.25">
      <c r="O390854" s="9"/>
    </row>
    <row r="390875" spans="15:15" x14ac:dyDescent="0.25">
      <c r="O390875" s="9"/>
    </row>
    <row r="390896" spans="15:15" x14ac:dyDescent="0.25">
      <c r="O390896" s="9"/>
    </row>
    <row r="390917" spans="15:15" x14ac:dyDescent="0.25">
      <c r="O390917" s="9"/>
    </row>
    <row r="390938" spans="15:15" x14ac:dyDescent="0.25">
      <c r="O390938" s="9"/>
    </row>
    <row r="390959" spans="15:15" x14ac:dyDescent="0.25">
      <c r="O390959" s="9"/>
    </row>
    <row r="390980" spans="15:15" x14ac:dyDescent="0.25">
      <c r="O390980" s="9"/>
    </row>
    <row r="391001" spans="15:15" x14ac:dyDescent="0.25">
      <c r="O391001" s="9"/>
    </row>
    <row r="391022" spans="15:15" x14ac:dyDescent="0.25">
      <c r="O391022" s="9"/>
    </row>
    <row r="391043" spans="15:15" x14ac:dyDescent="0.25">
      <c r="O391043" s="9"/>
    </row>
    <row r="391064" spans="15:15" x14ac:dyDescent="0.25">
      <c r="O391064" s="9"/>
    </row>
    <row r="391085" spans="15:15" x14ac:dyDescent="0.25">
      <c r="O391085" s="9"/>
    </row>
    <row r="391106" spans="15:15" x14ac:dyDescent="0.25">
      <c r="O391106" s="9"/>
    </row>
    <row r="391127" spans="15:15" x14ac:dyDescent="0.25">
      <c r="O391127" s="9"/>
    </row>
    <row r="391148" spans="15:15" x14ac:dyDescent="0.25">
      <c r="O391148" s="9"/>
    </row>
    <row r="391169" spans="15:15" x14ac:dyDescent="0.25">
      <c r="O391169" s="9"/>
    </row>
    <row r="391190" spans="15:15" x14ac:dyDescent="0.25">
      <c r="O391190" s="9"/>
    </row>
    <row r="391211" spans="15:15" x14ac:dyDescent="0.25">
      <c r="O391211" s="9"/>
    </row>
    <row r="391232" spans="15:15" x14ac:dyDescent="0.25">
      <c r="O391232" s="9"/>
    </row>
    <row r="391253" spans="15:15" x14ac:dyDescent="0.25">
      <c r="O391253" s="9"/>
    </row>
    <row r="391274" spans="15:15" x14ac:dyDescent="0.25">
      <c r="O391274" s="9"/>
    </row>
    <row r="391295" spans="15:15" x14ac:dyDescent="0.25">
      <c r="O391295" s="9"/>
    </row>
    <row r="391316" spans="15:15" x14ac:dyDescent="0.25">
      <c r="O391316" s="9"/>
    </row>
    <row r="391337" spans="15:15" x14ac:dyDescent="0.25">
      <c r="O391337" s="9"/>
    </row>
    <row r="391358" spans="15:15" x14ac:dyDescent="0.25">
      <c r="O391358" s="9"/>
    </row>
    <row r="391379" spans="15:15" x14ac:dyDescent="0.25">
      <c r="O391379" s="9"/>
    </row>
    <row r="391400" spans="15:15" x14ac:dyDescent="0.25">
      <c r="O391400" s="9"/>
    </row>
    <row r="391421" spans="15:15" x14ac:dyDescent="0.25">
      <c r="O391421" s="9"/>
    </row>
    <row r="391442" spans="15:15" x14ac:dyDescent="0.25">
      <c r="O391442" s="9"/>
    </row>
    <row r="391463" spans="15:15" x14ac:dyDescent="0.25">
      <c r="O391463" s="9"/>
    </row>
    <row r="391484" spans="15:15" x14ac:dyDescent="0.25">
      <c r="O391484" s="9"/>
    </row>
    <row r="391505" spans="15:15" x14ac:dyDescent="0.25">
      <c r="O391505" s="9"/>
    </row>
    <row r="391526" spans="15:15" x14ac:dyDescent="0.25">
      <c r="O391526" s="9"/>
    </row>
    <row r="391547" spans="15:15" x14ac:dyDescent="0.25">
      <c r="O391547" s="9"/>
    </row>
    <row r="391568" spans="15:15" x14ac:dyDescent="0.25">
      <c r="O391568" s="9"/>
    </row>
    <row r="391589" spans="15:15" x14ac:dyDescent="0.25">
      <c r="O391589" s="9"/>
    </row>
    <row r="391610" spans="15:15" x14ac:dyDescent="0.25">
      <c r="O391610" s="9"/>
    </row>
    <row r="391631" spans="15:15" x14ac:dyDescent="0.25">
      <c r="O391631" s="9"/>
    </row>
    <row r="391652" spans="15:15" x14ac:dyDescent="0.25">
      <c r="O391652" s="9"/>
    </row>
    <row r="391673" spans="15:15" x14ac:dyDescent="0.25">
      <c r="O391673" s="9"/>
    </row>
    <row r="391694" spans="15:15" x14ac:dyDescent="0.25">
      <c r="O391694" s="9"/>
    </row>
    <row r="391715" spans="15:15" x14ac:dyDescent="0.25">
      <c r="O391715" s="9"/>
    </row>
    <row r="391736" spans="15:15" x14ac:dyDescent="0.25">
      <c r="O391736" s="9"/>
    </row>
    <row r="391757" spans="15:15" x14ac:dyDescent="0.25">
      <c r="O391757" s="9"/>
    </row>
    <row r="391778" spans="15:15" x14ac:dyDescent="0.25">
      <c r="O391778" s="9"/>
    </row>
    <row r="391799" spans="15:15" x14ac:dyDescent="0.25">
      <c r="O391799" s="9"/>
    </row>
    <row r="391820" spans="15:15" x14ac:dyDescent="0.25">
      <c r="O391820" s="9"/>
    </row>
    <row r="391841" spans="15:15" x14ac:dyDescent="0.25">
      <c r="O391841" s="9"/>
    </row>
    <row r="391862" spans="15:15" x14ac:dyDescent="0.25">
      <c r="O391862" s="9"/>
    </row>
    <row r="391883" spans="15:15" x14ac:dyDescent="0.25">
      <c r="O391883" s="9"/>
    </row>
    <row r="391904" spans="15:15" x14ac:dyDescent="0.25">
      <c r="O391904" s="9"/>
    </row>
    <row r="391925" spans="15:15" x14ac:dyDescent="0.25">
      <c r="O391925" s="9"/>
    </row>
    <row r="391946" spans="15:15" x14ac:dyDescent="0.25">
      <c r="O391946" s="9"/>
    </row>
    <row r="391967" spans="15:15" x14ac:dyDescent="0.25">
      <c r="O391967" s="9"/>
    </row>
    <row r="391988" spans="15:15" x14ac:dyDescent="0.25">
      <c r="O391988" s="9"/>
    </row>
    <row r="392009" spans="15:15" x14ac:dyDescent="0.25">
      <c r="O392009" s="9"/>
    </row>
    <row r="392030" spans="15:15" x14ac:dyDescent="0.25">
      <c r="O392030" s="9"/>
    </row>
    <row r="392051" spans="15:15" x14ac:dyDescent="0.25">
      <c r="O392051" s="9"/>
    </row>
    <row r="392072" spans="15:15" x14ac:dyDescent="0.25">
      <c r="O392072" s="9"/>
    </row>
    <row r="392093" spans="15:15" x14ac:dyDescent="0.25">
      <c r="O392093" s="9"/>
    </row>
    <row r="392114" spans="15:15" x14ac:dyDescent="0.25">
      <c r="O392114" s="9"/>
    </row>
    <row r="392135" spans="15:15" x14ac:dyDescent="0.25">
      <c r="O392135" s="9"/>
    </row>
    <row r="392156" spans="15:15" x14ac:dyDescent="0.25">
      <c r="O392156" s="9"/>
    </row>
    <row r="392177" spans="15:15" x14ac:dyDescent="0.25">
      <c r="O392177" s="9"/>
    </row>
    <row r="392198" spans="15:15" x14ac:dyDescent="0.25">
      <c r="O392198" s="9"/>
    </row>
    <row r="392219" spans="15:15" x14ac:dyDescent="0.25">
      <c r="O392219" s="9"/>
    </row>
    <row r="392240" spans="15:15" x14ac:dyDescent="0.25">
      <c r="O392240" s="9"/>
    </row>
    <row r="392261" spans="15:15" x14ac:dyDescent="0.25">
      <c r="O392261" s="9"/>
    </row>
    <row r="392282" spans="15:15" x14ac:dyDescent="0.25">
      <c r="O392282" s="9"/>
    </row>
    <row r="392303" spans="15:15" x14ac:dyDescent="0.25">
      <c r="O392303" s="9"/>
    </row>
    <row r="392324" spans="15:15" x14ac:dyDescent="0.25">
      <c r="O392324" s="9"/>
    </row>
    <row r="392345" spans="15:15" x14ac:dyDescent="0.25">
      <c r="O392345" s="9"/>
    </row>
    <row r="392366" spans="15:15" x14ac:dyDescent="0.25">
      <c r="O392366" s="9"/>
    </row>
    <row r="392387" spans="15:15" x14ac:dyDescent="0.25">
      <c r="O392387" s="9"/>
    </row>
    <row r="392408" spans="15:15" x14ac:dyDescent="0.25">
      <c r="O392408" s="9"/>
    </row>
    <row r="392429" spans="15:15" x14ac:dyDescent="0.25">
      <c r="O392429" s="9"/>
    </row>
    <row r="392450" spans="15:15" x14ac:dyDescent="0.25">
      <c r="O392450" s="9"/>
    </row>
    <row r="392471" spans="15:15" x14ac:dyDescent="0.25">
      <c r="O392471" s="9"/>
    </row>
    <row r="392492" spans="15:15" x14ac:dyDescent="0.25">
      <c r="O392492" s="9"/>
    </row>
    <row r="392513" spans="15:15" x14ac:dyDescent="0.25">
      <c r="O392513" s="9"/>
    </row>
    <row r="392534" spans="15:15" x14ac:dyDescent="0.25">
      <c r="O392534" s="9"/>
    </row>
    <row r="392555" spans="15:15" x14ac:dyDescent="0.25">
      <c r="O392555" s="9"/>
    </row>
    <row r="392576" spans="15:15" x14ac:dyDescent="0.25">
      <c r="O392576" s="9"/>
    </row>
    <row r="392597" spans="15:15" x14ac:dyDescent="0.25">
      <c r="O392597" s="9"/>
    </row>
    <row r="392618" spans="15:15" x14ac:dyDescent="0.25">
      <c r="O392618" s="9"/>
    </row>
    <row r="392639" spans="15:15" x14ac:dyDescent="0.25">
      <c r="O392639" s="9"/>
    </row>
    <row r="392660" spans="15:15" x14ac:dyDescent="0.25">
      <c r="O392660" s="9"/>
    </row>
    <row r="392681" spans="15:15" x14ac:dyDescent="0.25">
      <c r="O392681" s="9"/>
    </row>
    <row r="392702" spans="15:15" x14ac:dyDescent="0.25">
      <c r="O392702" s="9"/>
    </row>
    <row r="392723" spans="15:15" x14ac:dyDescent="0.25">
      <c r="O392723" s="9"/>
    </row>
    <row r="392744" spans="15:15" x14ac:dyDescent="0.25">
      <c r="O392744" s="9"/>
    </row>
    <row r="392765" spans="15:15" x14ac:dyDescent="0.25">
      <c r="O392765" s="9"/>
    </row>
    <row r="392786" spans="15:15" x14ac:dyDescent="0.25">
      <c r="O392786" s="9"/>
    </row>
    <row r="392807" spans="15:15" x14ac:dyDescent="0.25">
      <c r="O392807" s="9"/>
    </row>
    <row r="392828" spans="15:15" x14ac:dyDescent="0.25">
      <c r="O392828" s="9"/>
    </row>
    <row r="392849" spans="15:15" x14ac:dyDescent="0.25">
      <c r="O392849" s="9"/>
    </row>
    <row r="392870" spans="15:15" x14ac:dyDescent="0.25">
      <c r="O392870" s="9"/>
    </row>
    <row r="392891" spans="15:15" x14ac:dyDescent="0.25">
      <c r="O392891" s="9"/>
    </row>
    <row r="392912" spans="15:15" x14ac:dyDescent="0.25">
      <c r="O392912" s="9"/>
    </row>
    <row r="392933" spans="15:15" x14ac:dyDescent="0.25">
      <c r="O392933" s="9"/>
    </row>
    <row r="392954" spans="15:15" x14ac:dyDescent="0.25">
      <c r="O392954" s="9"/>
    </row>
    <row r="392975" spans="15:15" x14ac:dyDescent="0.25">
      <c r="O392975" s="9"/>
    </row>
    <row r="392996" spans="15:15" x14ac:dyDescent="0.25">
      <c r="O392996" s="9"/>
    </row>
    <row r="393017" spans="15:15" x14ac:dyDescent="0.25">
      <c r="O393017" s="9"/>
    </row>
    <row r="393038" spans="15:15" x14ac:dyDescent="0.25">
      <c r="O393038" s="9"/>
    </row>
    <row r="393059" spans="15:15" x14ac:dyDescent="0.25">
      <c r="O393059" s="9"/>
    </row>
    <row r="393080" spans="15:15" x14ac:dyDescent="0.25">
      <c r="O393080" s="9"/>
    </row>
    <row r="393101" spans="15:15" x14ac:dyDescent="0.25">
      <c r="O393101" s="9"/>
    </row>
    <row r="393122" spans="15:15" x14ac:dyDescent="0.25">
      <c r="O393122" s="9"/>
    </row>
    <row r="393143" spans="15:15" x14ac:dyDescent="0.25">
      <c r="O393143" s="9"/>
    </row>
    <row r="393164" spans="15:15" x14ac:dyDescent="0.25">
      <c r="O393164" s="9"/>
    </row>
    <row r="393185" spans="15:15" x14ac:dyDescent="0.25">
      <c r="O393185" s="9"/>
    </row>
    <row r="393206" spans="15:15" x14ac:dyDescent="0.25">
      <c r="O393206" s="9"/>
    </row>
    <row r="393227" spans="15:15" x14ac:dyDescent="0.25">
      <c r="O393227" s="9"/>
    </row>
    <row r="393248" spans="15:15" x14ac:dyDescent="0.25">
      <c r="O393248" s="9"/>
    </row>
    <row r="393269" spans="15:15" x14ac:dyDescent="0.25">
      <c r="O393269" s="9"/>
    </row>
    <row r="393290" spans="15:15" x14ac:dyDescent="0.25">
      <c r="O393290" s="9"/>
    </row>
    <row r="393311" spans="15:15" x14ac:dyDescent="0.25">
      <c r="O393311" s="9"/>
    </row>
    <row r="393332" spans="15:15" x14ac:dyDescent="0.25">
      <c r="O393332" s="9"/>
    </row>
    <row r="393353" spans="15:15" x14ac:dyDescent="0.25">
      <c r="O393353" s="9"/>
    </row>
    <row r="393374" spans="15:15" x14ac:dyDescent="0.25">
      <c r="O393374" s="9"/>
    </row>
    <row r="393395" spans="15:15" x14ac:dyDescent="0.25">
      <c r="O393395" s="9"/>
    </row>
    <row r="393416" spans="15:15" x14ac:dyDescent="0.25">
      <c r="O393416" s="9"/>
    </row>
    <row r="393437" spans="15:15" x14ac:dyDescent="0.25">
      <c r="O393437" s="9"/>
    </row>
    <row r="393458" spans="15:15" x14ac:dyDescent="0.25">
      <c r="O393458" s="9"/>
    </row>
    <row r="393479" spans="15:15" x14ac:dyDescent="0.25">
      <c r="O393479" s="9"/>
    </row>
    <row r="393500" spans="15:15" x14ac:dyDescent="0.25">
      <c r="O393500" s="9"/>
    </row>
    <row r="393521" spans="15:15" x14ac:dyDescent="0.25">
      <c r="O393521" s="9"/>
    </row>
    <row r="393542" spans="15:15" x14ac:dyDescent="0.25">
      <c r="O393542" s="9"/>
    </row>
    <row r="393563" spans="15:15" x14ac:dyDescent="0.25">
      <c r="O393563" s="9"/>
    </row>
    <row r="393584" spans="15:15" x14ac:dyDescent="0.25">
      <c r="O393584" s="9"/>
    </row>
    <row r="393605" spans="15:15" x14ac:dyDescent="0.25">
      <c r="O393605" s="9"/>
    </row>
    <row r="393626" spans="15:15" x14ac:dyDescent="0.25">
      <c r="O393626" s="9"/>
    </row>
    <row r="393647" spans="15:15" x14ac:dyDescent="0.25">
      <c r="O393647" s="9"/>
    </row>
    <row r="393668" spans="15:15" x14ac:dyDescent="0.25">
      <c r="O393668" s="9"/>
    </row>
    <row r="393689" spans="15:15" x14ac:dyDescent="0.25">
      <c r="O393689" s="9"/>
    </row>
    <row r="393710" spans="15:15" x14ac:dyDescent="0.25">
      <c r="O393710" s="9"/>
    </row>
    <row r="393731" spans="15:15" x14ac:dyDescent="0.25">
      <c r="O393731" s="9"/>
    </row>
    <row r="393752" spans="15:15" x14ac:dyDescent="0.25">
      <c r="O393752" s="9"/>
    </row>
    <row r="393773" spans="15:15" x14ac:dyDescent="0.25">
      <c r="O393773" s="9"/>
    </row>
    <row r="393794" spans="15:15" x14ac:dyDescent="0.25">
      <c r="O393794" s="9"/>
    </row>
    <row r="393815" spans="15:15" x14ac:dyDescent="0.25">
      <c r="O393815" s="9"/>
    </row>
    <row r="393836" spans="15:15" x14ac:dyDescent="0.25">
      <c r="O393836" s="9"/>
    </row>
    <row r="393857" spans="15:15" x14ac:dyDescent="0.25">
      <c r="O393857" s="9"/>
    </row>
    <row r="393878" spans="15:15" x14ac:dyDescent="0.25">
      <c r="O393878" s="9"/>
    </row>
    <row r="393899" spans="15:15" x14ac:dyDescent="0.25">
      <c r="O393899" s="9"/>
    </row>
    <row r="393920" spans="15:15" x14ac:dyDescent="0.25">
      <c r="O393920" s="9"/>
    </row>
    <row r="393941" spans="15:15" x14ac:dyDescent="0.25">
      <c r="O393941" s="9"/>
    </row>
    <row r="393962" spans="15:15" x14ac:dyDescent="0.25">
      <c r="O393962" s="9"/>
    </row>
    <row r="393983" spans="15:15" x14ac:dyDescent="0.25">
      <c r="O393983" s="9"/>
    </row>
    <row r="394004" spans="15:15" x14ac:dyDescent="0.25">
      <c r="O394004" s="9"/>
    </row>
    <row r="394025" spans="15:15" x14ac:dyDescent="0.25">
      <c r="O394025" s="9"/>
    </row>
    <row r="394046" spans="15:15" x14ac:dyDescent="0.25">
      <c r="O394046" s="9"/>
    </row>
    <row r="394067" spans="15:15" x14ac:dyDescent="0.25">
      <c r="O394067" s="9"/>
    </row>
    <row r="394088" spans="15:15" x14ac:dyDescent="0.25">
      <c r="O394088" s="9"/>
    </row>
    <row r="394109" spans="15:15" x14ac:dyDescent="0.25">
      <c r="O394109" s="9"/>
    </row>
    <row r="394130" spans="15:15" x14ac:dyDescent="0.25">
      <c r="O394130" s="9"/>
    </row>
    <row r="394151" spans="15:15" x14ac:dyDescent="0.25">
      <c r="O394151" s="9"/>
    </row>
    <row r="394172" spans="15:15" x14ac:dyDescent="0.25">
      <c r="O394172" s="9"/>
    </row>
    <row r="394193" spans="15:15" x14ac:dyDescent="0.25">
      <c r="O394193" s="9"/>
    </row>
    <row r="394214" spans="15:15" x14ac:dyDescent="0.25">
      <c r="O394214" s="9"/>
    </row>
    <row r="394235" spans="15:15" x14ac:dyDescent="0.25">
      <c r="O394235" s="9"/>
    </row>
    <row r="394256" spans="15:15" x14ac:dyDescent="0.25">
      <c r="O394256" s="9"/>
    </row>
    <row r="394277" spans="15:15" x14ac:dyDescent="0.25">
      <c r="O394277" s="9"/>
    </row>
    <row r="394298" spans="15:15" x14ac:dyDescent="0.25">
      <c r="O394298" s="9"/>
    </row>
    <row r="394319" spans="15:15" x14ac:dyDescent="0.25">
      <c r="O394319" s="9"/>
    </row>
    <row r="394340" spans="15:15" x14ac:dyDescent="0.25">
      <c r="O394340" s="9"/>
    </row>
    <row r="394361" spans="15:15" x14ac:dyDescent="0.25">
      <c r="O394361" s="9"/>
    </row>
    <row r="394382" spans="15:15" x14ac:dyDescent="0.25">
      <c r="O394382" s="9"/>
    </row>
    <row r="394403" spans="15:15" x14ac:dyDescent="0.25">
      <c r="O394403" s="9"/>
    </row>
    <row r="394424" spans="15:15" x14ac:dyDescent="0.25">
      <c r="O394424" s="9"/>
    </row>
    <row r="394445" spans="15:15" x14ac:dyDescent="0.25">
      <c r="O394445" s="9"/>
    </row>
    <row r="394466" spans="15:15" x14ac:dyDescent="0.25">
      <c r="O394466" s="9"/>
    </row>
    <row r="394487" spans="15:15" x14ac:dyDescent="0.25">
      <c r="O394487" s="9"/>
    </row>
    <row r="394508" spans="15:15" x14ac:dyDescent="0.25">
      <c r="O394508" s="9"/>
    </row>
    <row r="394529" spans="15:15" x14ac:dyDescent="0.25">
      <c r="O394529" s="9"/>
    </row>
    <row r="394550" spans="15:15" x14ac:dyDescent="0.25">
      <c r="O394550" s="9"/>
    </row>
    <row r="394571" spans="15:15" x14ac:dyDescent="0.25">
      <c r="O394571" s="9"/>
    </row>
    <row r="394592" spans="15:15" x14ac:dyDescent="0.25">
      <c r="O394592" s="9"/>
    </row>
    <row r="394613" spans="15:15" x14ac:dyDescent="0.25">
      <c r="O394613" s="9"/>
    </row>
    <row r="394634" spans="15:15" x14ac:dyDescent="0.25">
      <c r="O394634" s="9"/>
    </row>
    <row r="394655" spans="15:15" x14ac:dyDescent="0.25">
      <c r="O394655" s="9"/>
    </row>
    <row r="394676" spans="15:15" x14ac:dyDescent="0.25">
      <c r="O394676" s="9"/>
    </row>
    <row r="394697" spans="15:15" x14ac:dyDescent="0.25">
      <c r="O394697" s="9"/>
    </row>
    <row r="394718" spans="15:15" x14ac:dyDescent="0.25">
      <c r="O394718" s="9"/>
    </row>
    <row r="394739" spans="15:15" x14ac:dyDescent="0.25">
      <c r="O394739" s="9"/>
    </row>
    <row r="394760" spans="15:15" x14ac:dyDescent="0.25">
      <c r="O394760" s="9"/>
    </row>
    <row r="394781" spans="15:15" x14ac:dyDescent="0.25">
      <c r="O394781" s="9"/>
    </row>
    <row r="394802" spans="15:15" x14ac:dyDescent="0.25">
      <c r="O394802" s="9"/>
    </row>
    <row r="394823" spans="15:15" x14ac:dyDescent="0.25">
      <c r="O394823" s="9"/>
    </row>
    <row r="394844" spans="15:15" x14ac:dyDescent="0.25">
      <c r="O394844" s="9"/>
    </row>
    <row r="394865" spans="15:15" x14ac:dyDescent="0.25">
      <c r="O394865" s="9"/>
    </row>
    <row r="394886" spans="15:15" x14ac:dyDescent="0.25">
      <c r="O394886" s="9"/>
    </row>
    <row r="394907" spans="15:15" x14ac:dyDescent="0.25">
      <c r="O394907" s="9"/>
    </row>
    <row r="394928" spans="15:15" x14ac:dyDescent="0.25">
      <c r="O394928" s="9"/>
    </row>
    <row r="394949" spans="15:15" x14ac:dyDescent="0.25">
      <c r="O394949" s="9"/>
    </row>
    <row r="394970" spans="15:15" x14ac:dyDescent="0.25">
      <c r="O394970" s="9"/>
    </row>
    <row r="394991" spans="15:15" x14ac:dyDescent="0.25">
      <c r="O394991" s="9"/>
    </row>
    <row r="395012" spans="15:15" x14ac:dyDescent="0.25">
      <c r="O395012" s="9"/>
    </row>
    <row r="395033" spans="15:15" x14ac:dyDescent="0.25">
      <c r="O395033" s="9"/>
    </row>
    <row r="395054" spans="15:15" x14ac:dyDescent="0.25">
      <c r="O395054" s="9"/>
    </row>
    <row r="395075" spans="15:15" x14ac:dyDescent="0.25">
      <c r="O395075" s="9"/>
    </row>
    <row r="395096" spans="15:15" x14ac:dyDescent="0.25">
      <c r="O395096" s="9"/>
    </row>
    <row r="395117" spans="15:15" x14ac:dyDescent="0.25">
      <c r="O395117" s="9"/>
    </row>
    <row r="395138" spans="15:15" x14ac:dyDescent="0.25">
      <c r="O395138" s="9"/>
    </row>
    <row r="395159" spans="15:15" x14ac:dyDescent="0.25">
      <c r="O395159" s="9"/>
    </row>
    <row r="395180" spans="15:15" x14ac:dyDescent="0.25">
      <c r="O395180" s="9"/>
    </row>
    <row r="395201" spans="15:15" x14ac:dyDescent="0.25">
      <c r="O395201" s="9"/>
    </row>
    <row r="395222" spans="15:15" x14ac:dyDescent="0.25">
      <c r="O395222" s="9"/>
    </row>
    <row r="395243" spans="15:15" x14ac:dyDescent="0.25">
      <c r="O395243" s="9"/>
    </row>
    <row r="395264" spans="15:15" x14ac:dyDescent="0.25">
      <c r="O395264" s="9"/>
    </row>
    <row r="395285" spans="15:15" x14ac:dyDescent="0.25">
      <c r="O395285" s="9"/>
    </row>
    <row r="395306" spans="15:15" x14ac:dyDescent="0.25">
      <c r="O395306" s="9"/>
    </row>
    <row r="395327" spans="15:15" x14ac:dyDescent="0.25">
      <c r="O395327" s="9"/>
    </row>
    <row r="395348" spans="15:15" x14ac:dyDescent="0.25">
      <c r="O395348" s="9"/>
    </row>
    <row r="395369" spans="15:15" x14ac:dyDescent="0.25">
      <c r="O395369" s="9"/>
    </row>
    <row r="395390" spans="15:15" x14ac:dyDescent="0.25">
      <c r="O395390" s="9"/>
    </row>
    <row r="395411" spans="15:15" x14ac:dyDescent="0.25">
      <c r="O395411" s="9"/>
    </row>
    <row r="395432" spans="15:15" x14ac:dyDescent="0.25">
      <c r="O395432" s="9"/>
    </row>
    <row r="395453" spans="15:15" x14ac:dyDescent="0.25">
      <c r="O395453" s="9"/>
    </row>
    <row r="395474" spans="15:15" x14ac:dyDescent="0.25">
      <c r="O395474" s="9"/>
    </row>
    <row r="395495" spans="15:15" x14ac:dyDescent="0.25">
      <c r="O395495" s="9"/>
    </row>
    <row r="395516" spans="15:15" x14ac:dyDescent="0.25">
      <c r="O395516" s="9"/>
    </row>
    <row r="395537" spans="15:15" x14ac:dyDescent="0.25">
      <c r="O395537" s="9"/>
    </row>
    <row r="395558" spans="15:15" x14ac:dyDescent="0.25">
      <c r="O395558" s="9"/>
    </row>
    <row r="395579" spans="15:15" x14ac:dyDescent="0.25">
      <c r="O395579" s="9"/>
    </row>
    <row r="395600" spans="15:15" x14ac:dyDescent="0.25">
      <c r="O395600" s="9"/>
    </row>
    <row r="395621" spans="15:15" x14ac:dyDescent="0.25">
      <c r="O395621" s="9"/>
    </row>
    <row r="395642" spans="15:15" x14ac:dyDescent="0.25">
      <c r="O395642" s="9"/>
    </row>
    <row r="395663" spans="15:15" x14ac:dyDescent="0.25">
      <c r="O395663" s="9"/>
    </row>
    <row r="395684" spans="15:15" x14ac:dyDescent="0.25">
      <c r="O395684" s="9"/>
    </row>
    <row r="395705" spans="15:15" x14ac:dyDescent="0.25">
      <c r="O395705" s="9"/>
    </row>
    <row r="395726" spans="15:15" x14ac:dyDescent="0.25">
      <c r="O395726" s="9"/>
    </row>
    <row r="395747" spans="15:15" x14ac:dyDescent="0.25">
      <c r="O395747" s="9"/>
    </row>
    <row r="395768" spans="15:15" x14ac:dyDescent="0.25">
      <c r="O395768" s="9"/>
    </row>
    <row r="395789" spans="15:15" x14ac:dyDescent="0.25">
      <c r="O395789" s="9"/>
    </row>
    <row r="395810" spans="15:15" x14ac:dyDescent="0.25">
      <c r="O395810" s="9"/>
    </row>
    <row r="395831" spans="15:15" x14ac:dyDescent="0.25">
      <c r="O395831" s="9"/>
    </row>
    <row r="395852" spans="15:15" x14ac:dyDescent="0.25">
      <c r="O395852" s="9"/>
    </row>
    <row r="395873" spans="15:15" x14ac:dyDescent="0.25">
      <c r="O395873" s="9"/>
    </row>
    <row r="395894" spans="15:15" x14ac:dyDescent="0.25">
      <c r="O395894" s="9"/>
    </row>
    <row r="395915" spans="15:15" x14ac:dyDescent="0.25">
      <c r="O395915" s="9"/>
    </row>
    <row r="395936" spans="15:15" x14ac:dyDescent="0.25">
      <c r="O395936" s="9"/>
    </row>
    <row r="395957" spans="15:15" x14ac:dyDescent="0.25">
      <c r="O395957" s="9"/>
    </row>
    <row r="395978" spans="15:15" x14ac:dyDescent="0.25">
      <c r="O395978" s="9"/>
    </row>
    <row r="395999" spans="15:15" x14ac:dyDescent="0.25">
      <c r="O395999" s="9"/>
    </row>
    <row r="396020" spans="15:15" x14ac:dyDescent="0.25">
      <c r="O396020" s="9"/>
    </row>
    <row r="396041" spans="15:15" x14ac:dyDescent="0.25">
      <c r="O396041" s="9"/>
    </row>
    <row r="396062" spans="15:15" x14ac:dyDescent="0.25">
      <c r="O396062" s="9"/>
    </row>
    <row r="396083" spans="15:15" x14ac:dyDescent="0.25">
      <c r="O396083" s="9"/>
    </row>
    <row r="396104" spans="15:15" x14ac:dyDescent="0.25">
      <c r="O396104" s="9"/>
    </row>
    <row r="396125" spans="15:15" x14ac:dyDescent="0.25">
      <c r="O396125" s="9"/>
    </row>
    <row r="396146" spans="15:15" x14ac:dyDescent="0.25">
      <c r="O396146" s="9"/>
    </row>
    <row r="396167" spans="15:15" x14ac:dyDescent="0.25">
      <c r="O396167" s="9"/>
    </row>
    <row r="396188" spans="15:15" x14ac:dyDescent="0.25">
      <c r="O396188" s="9"/>
    </row>
    <row r="396209" spans="15:15" x14ac:dyDescent="0.25">
      <c r="O396209" s="9"/>
    </row>
    <row r="396230" spans="15:15" x14ac:dyDescent="0.25">
      <c r="O396230" s="9"/>
    </row>
    <row r="396251" spans="15:15" x14ac:dyDescent="0.25">
      <c r="O396251" s="9"/>
    </row>
    <row r="396272" spans="15:15" x14ac:dyDescent="0.25">
      <c r="O396272" s="9"/>
    </row>
    <row r="396293" spans="15:15" x14ac:dyDescent="0.25">
      <c r="O396293" s="9"/>
    </row>
    <row r="396314" spans="15:15" x14ac:dyDescent="0.25">
      <c r="O396314" s="9"/>
    </row>
    <row r="396335" spans="15:15" x14ac:dyDescent="0.25">
      <c r="O396335" s="9"/>
    </row>
    <row r="396356" spans="15:15" x14ac:dyDescent="0.25">
      <c r="O396356" s="9"/>
    </row>
    <row r="396377" spans="15:15" x14ac:dyDescent="0.25">
      <c r="O396377" s="9"/>
    </row>
    <row r="396398" spans="15:15" x14ac:dyDescent="0.25">
      <c r="O396398" s="9"/>
    </row>
    <row r="396419" spans="15:15" x14ac:dyDescent="0.25">
      <c r="O396419" s="9"/>
    </row>
    <row r="396440" spans="15:15" x14ac:dyDescent="0.25">
      <c r="O396440" s="9"/>
    </row>
    <row r="396461" spans="15:15" x14ac:dyDescent="0.25">
      <c r="O396461" s="9"/>
    </row>
    <row r="396482" spans="15:15" x14ac:dyDescent="0.25">
      <c r="O396482" s="9"/>
    </row>
    <row r="396503" spans="15:15" x14ac:dyDescent="0.25">
      <c r="O396503" s="9"/>
    </row>
    <row r="396524" spans="15:15" x14ac:dyDescent="0.25">
      <c r="O396524" s="9"/>
    </row>
    <row r="396545" spans="15:15" x14ac:dyDescent="0.25">
      <c r="O396545" s="9"/>
    </row>
    <row r="396566" spans="15:15" x14ac:dyDescent="0.25">
      <c r="O396566" s="9"/>
    </row>
    <row r="396587" spans="15:15" x14ac:dyDescent="0.25">
      <c r="O396587" s="9"/>
    </row>
    <row r="396608" spans="15:15" x14ac:dyDescent="0.25">
      <c r="O396608" s="9"/>
    </row>
    <row r="396629" spans="15:15" x14ac:dyDescent="0.25">
      <c r="O396629" s="9"/>
    </row>
    <row r="396650" spans="15:15" x14ac:dyDescent="0.25">
      <c r="O396650" s="9"/>
    </row>
    <row r="396671" spans="15:15" x14ac:dyDescent="0.25">
      <c r="O396671" s="9"/>
    </row>
    <row r="396692" spans="15:15" x14ac:dyDescent="0.25">
      <c r="O396692" s="9"/>
    </row>
    <row r="396713" spans="15:15" x14ac:dyDescent="0.25">
      <c r="O396713" s="9"/>
    </row>
    <row r="396734" spans="15:15" x14ac:dyDescent="0.25">
      <c r="O396734" s="9"/>
    </row>
    <row r="396755" spans="15:15" x14ac:dyDescent="0.25">
      <c r="O396755" s="9"/>
    </row>
    <row r="396776" spans="15:15" x14ac:dyDescent="0.25">
      <c r="O396776" s="9"/>
    </row>
    <row r="396797" spans="15:15" x14ac:dyDescent="0.25">
      <c r="O396797" s="9"/>
    </row>
    <row r="396818" spans="15:15" x14ac:dyDescent="0.25">
      <c r="O396818" s="9"/>
    </row>
    <row r="396839" spans="15:15" x14ac:dyDescent="0.25">
      <c r="O396839" s="9"/>
    </row>
    <row r="396860" spans="15:15" x14ac:dyDescent="0.25">
      <c r="O396860" s="9"/>
    </row>
    <row r="396881" spans="15:15" x14ac:dyDescent="0.25">
      <c r="O396881" s="9"/>
    </row>
    <row r="396902" spans="15:15" x14ac:dyDescent="0.25">
      <c r="O396902" s="9"/>
    </row>
    <row r="396923" spans="15:15" x14ac:dyDescent="0.25">
      <c r="O396923" s="9"/>
    </row>
    <row r="396944" spans="15:15" x14ac:dyDescent="0.25">
      <c r="O396944" s="9"/>
    </row>
    <row r="396965" spans="15:15" x14ac:dyDescent="0.25">
      <c r="O396965" s="9"/>
    </row>
    <row r="396986" spans="15:15" x14ac:dyDescent="0.25">
      <c r="O396986" s="9"/>
    </row>
    <row r="397007" spans="15:15" x14ac:dyDescent="0.25">
      <c r="O397007" s="9"/>
    </row>
    <row r="397028" spans="15:15" x14ac:dyDescent="0.25">
      <c r="O397028" s="9"/>
    </row>
    <row r="397049" spans="15:15" x14ac:dyDescent="0.25">
      <c r="O397049" s="9"/>
    </row>
    <row r="397070" spans="15:15" x14ac:dyDescent="0.25">
      <c r="O397070" s="9"/>
    </row>
    <row r="397091" spans="15:15" x14ac:dyDescent="0.25">
      <c r="O397091" s="9"/>
    </row>
    <row r="397112" spans="15:15" x14ac:dyDescent="0.25">
      <c r="O397112" s="9"/>
    </row>
    <row r="397133" spans="15:15" x14ac:dyDescent="0.25">
      <c r="O397133" s="9"/>
    </row>
    <row r="397154" spans="15:15" x14ac:dyDescent="0.25">
      <c r="O397154" s="9"/>
    </row>
    <row r="397175" spans="15:15" x14ac:dyDescent="0.25">
      <c r="O397175" s="9"/>
    </row>
    <row r="397196" spans="15:15" x14ac:dyDescent="0.25">
      <c r="O397196" s="9"/>
    </row>
    <row r="397217" spans="15:15" x14ac:dyDescent="0.25">
      <c r="O397217" s="9"/>
    </row>
    <row r="397238" spans="15:15" x14ac:dyDescent="0.25">
      <c r="O397238" s="9"/>
    </row>
    <row r="397259" spans="15:15" x14ac:dyDescent="0.25">
      <c r="O397259" s="9"/>
    </row>
    <row r="397280" spans="15:15" x14ac:dyDescent="0.25">
      <c r="O397280" s="9"/>
    </row>
    <row r="397301" spans="15:15" x14ac:dyDescent="0.25">
      <c r="O397301" s="9"/>
    </row>
    <row r="397322" spans="15:15" x14ac:dyDescent="0.25">
      <c r="O397322" s="9"/>
    </row>
    <row r="397343" spans="15:15" x14ac:dyDescent="0.25">
      <c r="O397343" s="9"/>
    </row>
    <row r="397364" spans="15:15" x14ac:dyDescent="0.25">
      <c r="O397364" s="9"/>
    </row>
    <row r="397385" spans="15:15" x14ac:dyDescent="0.25">
      <c r="O397385" s="9"/>
    </row>
    <row r="397406" spans="15:15" x14ac:dyDescent="0.25">
      <c r="O397406" s="9"/>
    </row>
    <row r="397427" spans="15:15" x14ac:dyDescent="0.25">
      <c r="O397427" s="9"/>
    </row>
    <row r="397448" spans="15:15" x14ac:dyDescent="0.25">
      <c r="O397448" s="9"/>
    </row>
    <row r="397469" spans="15:15" x14ac:dyDescent="0.25">
      <c r="O397469" s="9"/>
    </row>
    <row r="397490" spans="15:15" x14ac:dyDescent="0.25">
      <c r="O397490" s="9"/>
    </row>
    <row r="397511" spans="15:15" x14ac:dyDescent="0.25">
      <c r="O397511" s="9"/>
    </row>
    <row r="397532" spans="15:15" x14ac:dyDescent="0.25">
      <c r="O397532" s="9"/>
    </row>
    <row r="397553" spans="15:15" x14ac:dyDescent="0.25">
      <c r="O397553" s="9"/>
    </row>
    <row r="397574" spans="15:15" x14ac:dyDescent="0.25">
      <c r="O397574" s="9"/>
    </row>
    <row r="397595" spans="15:15" x14ac:dyDescent="0.25">
      <c r="O397595" s="9"/>
    </row>
    <row r="397616" spans="15:15" x14ac:dyDescent="0.25">
      <c r="O397616" s="9"/>
    </row>
    <row r="397637" spans="15:15" x14ac:dyDescent="0.25">
      <c r="O397637" s="9"/>
    </row>
    <row r="397658" spans="15:15" x14ac:dyDescent="0.25">
      <c r="O397658" s="9"/>
    </row>
    <row r="397679" spans="15:15" x14ac:dyDescent="0.25">
      <c r="O397679" s="9"/>
    </row>
    <row r="397700" spans="15:15" x14ac:dyDescent="0.25">
      <c r="O397700" s="9"/>
    </row>
    <row r="397721" spans="15:15" x14ac:dyDescent="0.25">
      <c r="O397721" s="9"/>
    </row>
    <row r="397742" spans="15:15" x14ac:dyDescent="0.25">
      <c r="O397742" s="9"/>
    </row>
    <row r="397763" spans="15:15" x14ac:dyDescent="0.25">
      <c r="O397763" s="9"/>
    </row>
    <row r="397784" spans="15:15" x14ac:dyDescent="0.25">
      <c r="O397784" s="9"/>
    </row>
    <row r="397805" spans="15:15" x14ac:dyDescent="0.25">
      <c r="O397805" s="9"/>
    </row>
    <row r="397826" spans="15:15" x14ac:dyDescent="0.25">
      <c r="O397826" s="9"/>
    </row>
    <row r="397847" spans="15:15" x14ac:dyDescent="0.25">
      <c r="O397847" s="9"/>
    </row>
    <row r="397868" spans="15:15" x14ac:dyDescent="0.25">
      <c r="O397868" s="9"/>
    </row>
    <row r="397889" spans="15:15" x14ac:dyDescent="0.25">
      <c r="O397889" s="9"/>
    </row>
    <row r="397910" spans="15:15" x14ac:dyDescent="0.25">
      <c r="O397910" s="9"/>
    </row>
    <row r="397931" spans="15:15" x14ac:dyDescent="0.25">
      <c r="O397931" s="9"/>
    </row>
    <row r="397952" spans="15:15" x14ac:dyDescent="0.25">
      <c r="O397952" s="9"/>
    </row>
    <row r="397973" spans="15:15" x14ac:dyDescent="0.25">
      <c r="O397973" s="9"/>
    </row>
    <row r="397994" spans="15:15" x14ac:dyDescent="0.25">
      <c r="O397994" s="9"/>
    </row>
    <row r="398015" spans="15:15" x14ac:dyDescent="0.25">
      <c r="O398015" s="9"/>
    </row>
    <row r="398036" spans="15:15" x14ac:dyDescent="0.25">
      <c r="O398036" s="9"/>
    </row>
    <row r="398057" spans="15:15" x14ac:dyDescent="0.25">
      <c r="O398057" s="9"/>
    </row>
    <row r="398078" spans="15:15" x14ac:dyDescent="0.25">
      <c r="O398078" s="9"/>
    </row>
    <row r="398099" spans="15:15" x14ac:dyDescent="0.25">
      <c r="O398099" s="9"/>
    </row>
    <row r="398120" spans="15:15" x14ac:dyDescent="0.25">
      <c r="O398120" s="9"/>
    </row>
    <row r="398141" spans="15:15" x14ac:dyDescent="0.25">
      <c r="O398141" s="9"/>
    </row>
    <row r="398162" spans="15:15" x14ac:dyDescent="0.25">
      <c r="O398162" s="9"/>
    </row>
    <row r="398183" spans="15:15" x14ac:dyDescent="0.25">
      <c r="O398183" s="9"/>
    </row>
    <row r="398204" spans="15:15" x14ac:dyDescent="0.25">
      <c r="O398204" s="9"/>
    </row>
    <row r="398225" spans="15:15" x14ac:dyDescent="0.25">
      <c r="O398225" s="9"/>
    </row>
    <row r="398246" spans="15:15" x14ac:dyDescent="0.25">
      <c r="O398246" s="9"/>
    </row>
    <row r="398267" spans="15:15" x14ac:dyDescent="0.25">
      <c r="O398267" s="9"/>
    </row>
    <row r="398288" spans="15:15" x14ac:dyDescent="0.25">
      <c r="O398288" s="9"/>
    </row>
    <row r="398309" spans="15:15" x14ac:dyDescent="0.25">
      <c r="O398309" s="9"/>
    </row>
    <row r="398330" spans="15:15" x14ac:dyDescent="0.25">
      <c r="O398330" s="9"/>
    </row>
    <row r="398351" spans="15:15" x14ac:dyDescent="0.25">
      <c r="O398351" s="9"/>
    </row>
    <row r="398372" spans="15:15" x14ac:dyDescent="0.25">
      <c r="O398372" s="9"/>
    </row>
    <row r="398393" spans="15:15" x14ac:dyDescent="0.25">
      <c r="O398393" s="9"/>
    </row>
    <row r="398414" spans="15:15" x14ac:dyDescent="0.25">
      <c r="O398414" s="9"/>
    </row>
    <row r="398435" spans="15:15" x14ac:dyDescent="0.25">
      <c r="O398435" s="9"/>
    </row>
    <row r="398456" spans="15:15" x14ac:dyDescent="0.25">
      <c r="O398456" s="9"/>
    </row>
    <row r="398477" spans="15:15" x14ac:dyDescent="0.25">
      <c r="O398477" s="9"/>
    </row>
    <row r="398498" spans="15:15" x14ac:dyDescent="0.25">
      <c r="O398498" s="9"/>
    </row>
    <row r="398519" spans="15:15" x14ac:dyDescent="0.25">
      <c r="O398519" s="9"/>
    </row>
    <row r="398540" spans="15:15" x14ac:dyDescent="0.25">
      <c r="O398540" s="9"/>
    </row>
    <row r="398561" spans="15:15" x14ac:dyDescent="0.25">
      <c r="O398561" s="9"/>
    </row>
    <row r="398582" spans="15:15" x14ac:dyDescent="0.25">
      <c r="O398582" s="9"/>
    </row>
    <row r="398603" spans="15:15" x14ac:dyDescent="0.25">
      <c r="O398603" s="9"/>
    </row>
    <row r="398624" spans="15:15" x14ac:dyDescent="0.25">
      <c r="O398624" s="9"/>
    </row>
    <row r="398645" spans="15:15" x14ac:dyDescent="0.25">
      <c r="O398645" s="9"/>
    </row>
    <row r="398666" spans="15:15" x14ac:dyDescent="0.25">
      <c r="O398666" s="9"/>
    </row>
    <row r="398687" spans="15:15" x14ac:dyDescent="0.25">
      <c r="O398687" s="9"/>
    </row>
    <row r="398708" spans="15:15" x14ac:dyDescent="0.25">
      <c r="O398708" s="9"/>
    </row>
    <row r="398729" spans="15:15" x14ac:dyDescent="0.25">
      <c r="O398729" s="9"/>
    </row>
    <row r="398750" spans="15:15" x14ac:dyDescent="0.25">
      <c r="O398750" s="9"/>
    </row>
    <row r="398771" spans="15:15" x14ac:dyDescent="0.25">
      <c r="O398771" s="9"/>
    </row>
    <row r="398792" spans="15:15" x14ac:dyDescent="0.25">
      <c r="O398792" s="9"/>
    </row>
    <row r="398813" spans="15:15" x14ac:dyDescent="0.25">
      <c r="O398813" s="9"/>
    </row>
    <row r="398834" spans="15:15" x14ac:dyDescent="0.25">
      <c r="O398834" s="9"/>
    </row>
    <row r="398855" spans="15:15" x14ac:dyDescent="0.25">
      <c r="O398855" s="9"/>
    </row>
    <row r="398876" spans="15:15" x14ac:dyDescent="0.25">
      <c r="O398876" s="9"/>
    </row>
    <row r="398897" spans="15:15" x14ac:dyDescent="0.25">
      <c r="O398897" s="9"/>
    </row>
    <row r="398918" spans="15:15" x14ac:dyDescent="0.25">
      <c r="O398918" s="9"/>
    </row>
    <row r="398939" spans="15:15" x14ac:dyDescent="0.25">
      <c r="O398939" s="9"/>
    </row>
    <row r="398960" spans="15:15" x14ac:dyDescent="0.25">
      <c r="O398960" s="9"/>
    </row>
    <row r="398981" spans="15:15" x14ac:dyDescent="0.25">
      <c r="O398981" s="9"/>
    </row>
    <row r="399002" spans="15:15" x14ac:dyDescent="0.25">
      <c r="O399002" s="9"/>
    </row>
    <row r="399023" spans="15:15" x14ac:dyDescent="0.25">
      <c r="O399023" s="9"/>
    </row>
    <row r="399044" spans="15:15" x14ac:dyDescent="0.25">
      <c r="O399044" s="9"/>
    </row>
    <row r="399065" spans="15:15" x14ac:dyDescent="0.25">
      <c r="O399065" s="9"/>
    </row>
    <row r="399086" spans="15:15" x14ac:dyDescent="0.25">
      <c r="O399086" s="9"/>
    </row>
    <row r="399107" spans="15:15" x14ac:dyDescent="0.25">
      <c r="O399107" s="9"/>
    </row>
    <row r="399128" spans="15:15" x14ac:dyDescent="0.25">
      <c r="O399128" s="9"/>
    </row>
    <row r="399149" spans="15:15" x14ac:dyDescent="0.25">
      <c r="O399149" s="9"/>
    </row>
    <row r="399170" spans="15:15" x14ac:dyDescent="0.25">
      <c r="O399170" s="9"/>
    </row>
    <row r="399191" spans="15:15" x14ac:dyDescent="0.25">
      <c r="O399191" s="9"/>
    </row>
    <row r="399212" spans="15:15" x14ac:dyDescent="0.25">
      <c r="O399212" s="9"/>
    </row>
    <row r="399233" spans="15:15" x14ac:dyDescent="0.25">
      <c r="O399233" s="9"/>
    </row>
    <row r="399254" spans="15:15" x14ac:dyDescent="0.25">
      <c r="O399254" s="9"/>
    </row>
    <row r="399275" spans="15:15" x14ac:dyDescent="0.25">
      <c r="O399275" s="9"/>
    </row>
    <row r="399296" spans="15:15" x14ac:dyDescent="0.25">
      <c r="O399296" s="9"/>
    </row>
    <row r="399317" spans="15:15" x14ac:dyDescent="0.25">
      <c r="O399317" s="9"/>
    </row>
    <row r="399338" spans="15:15" x14ac:dyDescent="0.25">
      <c r="O399338" s="9"/>
    </row>
    <row r="399359" spans="15:15" x14ac:dyDescent="0.25">
      <c r="O399359" s="9"/>
    </row>
    <row r="399380" spans="15:15" x14ac:dyDescent="0.25">
      <c r="O399380" s="9"/>
    </row>
    <row r="399401" spans="15:15" x14ac:dyDescent="0.25">
      <c r="O399401" s="9"/>
    </row>
    <row r="399422" spans="15:15" x14ac:dyDescent="0.25">
      <c r="O399422" s="9"/>
    </row>
    <row r="399443" spans="15:15" x14ac:dyDescent="0.25">
      <c r="O399443" s="9"/>
    </row>
    <row r="399464" spans="15:15" x14ac:dyDescent="0.25">
      <c r="O399464" s="9"/>
    </row>
    <row r="399485" spans="15:15" x14ac:dyDescent="0.25">
      <c r="O399485" s="9"/>
    </row>
    <row r="399506" spans="15:15" x14ac:dyDescent="0.25">
      <c r="O399506" s="9"/>
    </row>
    <row r="399527" spans="15:15" x14ac:dyDescent="0.25">
      <c r="O399527" s="9"/>
    </row>
    <row r="399548" spans="15:15" x14ac:dyDescent="0.25">
      <c r="O399548" s="9"/>
    </row>
    <row r="399569" spans="15:15" x14ac:dyDescent="0.25">
      <c r="O399569" s="9"/>
    </row>
    <row r="399590" spans="15:15" x14ac:dyDescent="0.25">
      <c r="O399590" s="9"/>
    </row>
    <row r="399611" spans="15:15" x14ac:dyDescent="0.25">
      <c r="O399611" s="9"/>
    </row>
    <row r="399632" spans="15:15" x14ac:dyDescent="0.25">
      <c r="O399632" s="9"/>
    </row>
    <row r="399653" spans="15:15" x14ac:dyDescent="0.25">
      <c r="O399653" s="9"/>
    </row>
    <row r="399674" spans="15:15" x14ac:dyDescent="0.25">
      <c r="O399674" s="9"/>
    </row>
    <row r="399695" spans="15:15" x14ac:dyDescent="0.25">
      <c r="O399695" s="9"/>
    </row>
    <row r="399716" spans="15:15" x14ac:dyDescent="0.25">
      <c r="O399716" s="9"/>
    </row>
    <row r="399737" spans="15:15" x14ac:dyDescent="0.25">
      <c r="O399737" s="9"/>
    </row>
    <row r="399758" spans="15:15" x14ac:dyDescent="0.25">
      <c r="O399758" s="9"/>
    </row>
    <row r="399779" spans="15:15" x14ac:dyDescent="0.25">
      <c r="O399779" s="9"/>
    </row>
    <row r="399800" spans="15:15" x14ac:dyDescent="0.25">
      <c r="O399800" s="9"/>
    </row>
    <row r="399821" spans="15:15" x14ac:dyDescent="0.25">
      <c r="O399821" s="9"/>
    </row>
    <row r="399842" spans="15:15" x14ac:dyDescent="0.25">
      <c r="O399842" s="9"/>
    </row>
    <row r="399863" spans="15:15" x14ac:dyDescent="0.25">
      <c r="O399863" s="9"/>
    </row>
    <row r="399884" spans="15:15" x14ac:dyDescent="0.25">
      <c r="O399884" s="9"/>
    </row>
    <row r="399905" spans="15:15" x14ac:dyDescent="0.25">
      <c r="O399905" s="9"/>
    </row>
    <row r="399926" spans="15:15" x14ac:dyDescent="0.25">
      <c r="O399926" s="9"/>
    </row>
    <row r="399947" spans="15:15" x14ac:dyDescent="0.25">
      <c r="O399947" s="9"/>
    </row>
    <row r="399968" spans="15:15" x14ac:dyDescent="0.25">
      <c r="O399968" s="9"/>
    </row>
    <row r="399989" spans="15:15" x14ac:dyDescent="0.25">
      <c r="O399989" s="9"/>
    </row>
    <row r="400010" spans="15:15" x14ac:dyDescent="0.25">
      <c r="O400010" s="9"/>
    </row>
    <row r="400031" spans="15:15" x14ac:dyDescent="0.25">
      <c r="O400031" s="9"/>
    </row>
    <row r="400052" spans="15:15" x14ac:dyDescent="0.25">
      <c r="O400052" s="9"/>
    </row>
    <row r="400073" spans="15:15" x14ac:dyDescent="0.25">
      <c r="O400073" s="9"/>
    </row>
    <row r="400094" spans="15:15" x14ac:dyDescent="0.25">
      <c r="O400094" s="9"/>
    </row>
    <row r="400115" spans="15:15" x14ac:dyDescent="0.25">
      <c r="O400115" s="9"/>
    </row>
    <row r="400136" spans="15:15" x14ac:dyDescent="0.25">
      <c r="O400136" s="9"/>
    </row>
    <row r="400157" spans="15:15" x14ac:dyDescent="0.25">
      <c r="O400157" s="9"/>
    </row>
    <row r="400178" spans="15:15" x14ac:dyDescent="0.25">
      <c r="O400178" s="9"/>
    </row>
    <row r="400199" spans="15:15" x14ac:dyDescent="0.25">
      <c r="O400199" s="9"/>
    </row>
    <row r="400220" spans="15:15" x14ac:dyDescent="0.25">
      <c r="O400220" s="9"/>
    </row>
    <row r="400241" spans="15:15" x14ac:dyDescent="0.25">
      <c r="O400241" s="9"/>
    </row>
    <row r="400262" spans="15:15" x14ac:dyDescent="0.25">
      <c r="O400262" s="9"/>
    </row>
    <row r="400283" spans="15:15" x14ac:dyDescent="0.25">
      <c r="O400283" s="9"/>
    </row>
    <row r="400304" spans="15:15" x14ac:dyDescent="0.25">
      <c r="O400304" s="9"/>
    </row>
    <row r="400325" spans="15:15" x14ac:dyDescent="0.25">
      <c r="O400325" s="9"/>
    </row>
    <row r="400346" spans="15:15" x14ac:dyDescent="0.25">
      <c r="O400346" s="9"/>
    </row>
    <row r="400367" spans="15:15" x14ac:dyDescent="0.25">
      <c r="O400367" s="9"/>
    </row>
    <row r="400388" spans="15:15" x14ac:dyDescent="0.25">
      <c r="O400388" s="9"/>
    </row>
    <row r="400409" spans="15:15" x14ac:dyDescent="0.25">
      <c r="O400409" s="9"/>
    </row>
    <row r="400430" spans="15:15" x14ac:dyDescent="0.25">
      <c r="O400430" s="9"/>
    </row>
    <row r="400451" spans="15:15" x14ac:dyDescent="0.25">
      <c r="O400451" s="9"/>
    </row>
    <row r="400472" spans="15:15" x14ac:dyDescent="0.25">
      <c r="O400472" s="9"/>
    </row>
    <row r="400493" spans="15:15" x14ac:dyDescent="0.25">
      <c r="O400493" s="9"/>
    </row>
    <row r="400514" spans="15:15" x14ac:dyDescent="0.25">
      <c r="O400514" s="9"/>
    </row>
    <row r="400535" spans="15:15" x14ac:dyDescent="0.25">
      <c r="O400535" s="9"/>
    </row>
    <row r="400556" spans="15:15" x14ac:dyDescent="0.25">
      <c r="O400556" s="9"/>
    </row>
    <row r="400577" spans="15:15" x14ac:dyDescent="0.25">
      <c r="O400577" s="9"/>
    </row>
    <row r="400598" spans="15:15" x14ac:dyDescent="0.25">
      <c r="O400598" s="9"/>
    </row>
    <row r="400619" spans="15:15" x14ac:dyDescent="0.25">
      <c r="O400619" s="9"/>
    </row>
    <row r="400640" spans="15:15" x14ac:dyDescent="0.25">
      <c r="O400640" s="9"/>
    </row>
    <row r="400661" spans="15:15" x14ac:dyDescent="0.25">
      <c r="O400661" s="9"/>
    </row>
    <row r="400682" spans="15:15" x14ac:dyDescent="0.25">
      <c r="O400682" s="9"/>
    </row>
    <row r="400703" spans="15:15" x14ac:dyDescent="0.25">
      <c r="O400703" s="9"/>
    </row>
    <row r="400724" spans="15:15" x14ac:dyDescent="0.25">
      <c r="O400724" s="9"/>
    </row>
    <row r="400745" spans="15:15" x14ac:dyDescent="0.25">
      <c r="O400745" s="9"/>
    </row>
    <row r="400766" spans="15:15" x14ac:dyDescent="0.25">
      <c r="O400766" s="9"/>
    </row>
    <row r="400787" spans="15:15" x14ac:dyDescent="0.25">
      <c r="O400787" s="9"/>
    </row>
    <row r="400808" spans="15:15" x14ac:dyDescent="0.25">
      <c r="O400808" s="9"/>
    </row>
    <row r="400829" spans="15:15" x14ac:dyDescent="0.25">
      <c r="O400829" s="9"/>
    </row>
    <row r="400850" spans="15:15" x14ac:dyDescent="0.25">
      <c r="O400850" s="9"/>
    </row>
    <row r="400871" spans="15:15" x14ac:dyDescent="0.25">
      <c r="O400871" s="9"/>
    </row>
    <row r="400892" spans="15:15" x14ac:dyDescent="0.25">
      <c r="O400892" s="9"/>
    </row>
    <row r="400913" spans="15:15" x14ac:dyDescent="0.25">
      <c r="O400913" s="9"/>
    </row>
    <row r="400934" spans="15:15" x14ac:dyDescent="0.25">
      <c r="O400934" s="9"/>
    </row>
    <row r="400955" spans="15:15" x14ac:dyDescent="0.25">
      <c r="O400955" s="9"/>
    </row>
    <row r="400976" spans="15:15" x14ac:dyDescent="0.25">
      <c r="O400976" s="9"/>
    </row>
    <row r="400997" spans="15:15" x14ac:dyDescent="0.25">
      <c r="O400997" s="9"/>
    </row>
    <row r="401018" spans="15:15" x14ac:dyDescent="0.25">
      <c r="O401018" s="9"/>
    </row>
    <row r="401039" spans="15:15" x14ac:dyDescent="0.25">
      <c r="O401039" s="9"/>
    </row>
    <row r="401060" spans="15:15" x14ac:dyDescent="0.25">
      <c r="O401060" s="9"/>
    </row>
    <row r="401081" spans="15:15" x14ac:dyDescent="0.25">
      <c r="O401081" s="9"/>
    </row>
    <row r="401102" spans="15:15" x14ac:dyDescent="0.25">
      <c r="O401102" s="9"/>
    </row>
    <row r="401123" spans="15:15" x14ac:dyDescent="0.25">
      <c r="O401123" s="9"/>
    </row>
    <row r="401144" spans="15:15" x14ac:dyDescent="0.25">
      <c r="O401144" s="9"/>
    </row>
    <row r="401165" spans="15:15" x14ac:dyDescent="0.25">
      <c r="O401165" s="9"/>
    </row>
    <row r="401186" spans="15:15" x14ac:dyDescent="0.25">
      <c r="O401186" s="9"/>
    </row>
    <row r="401207" spans="15:15" x14ac:dyDescent="0.25">
      <c r="O401207" s="9"/>
    </row>
    <row r="401228" spans="15:15" x14ac:dyDescent="0.25">
      <c r="O401228" s="9"/>
    </row>
    <row r="401249" spans="15:15" x14ac:dyDescent="0.25">
      <c r="O401249" s="9"/>
    </row>
    <row r="401270" spans="15:15" x14ac:dyDescent="0.25">
      <c r="O401270" s="9"/>
    </row>
    <row r="401291" spans="15:15" x14ac:dyDescent="0.25">
      <c r="O401291" s="9"/>
    </row>
    <row r="401312" spans="15:15" x14ac:dyDescent="0.25">
      <c r="O401312" s="9"/>
    </row>
    <row r="401333" spans="15:15" x14ac:dyDescent="0.25">
      <c r="O401333" s="9"/>
    </row>
    <row r="401354" spans="15:15" x14ac:dyDescent="0.25">
      <c r="O401354" s="9"/>
    </row>
    <row r="401375" spans="15:15" x14ac:dyDescent="0.25">
      <c r="O401375" s="9"/>
    </row>
    <row r="401396" spans="15:15" x14ac:dyDescent="0.25">
      <c r="O401396" s="9"/>
    </row>
    <row r="401417" spans="15:15" x14ac:dyDescent="0.25">
      <c r="O401417" s="9"/>
    </row>
    <row r="401438" spans="15:15" x14ac:dyDescent="0.25">
      <c r="O401438" s="9"/>
    </row>
    <row r="401459" spans="15:15" x14ac:dyDescent="0.25">
      <c r="O401459" s="9"/>
    </row>
    <row r="401480" spans="15:15" x14ac:dyDescent="0.25">
      <c r="O401480" s="9"/>
    </row>
    <row r="401501" spans="15:15" x14ac:dyDescent="0.25">
      <c r="O401501" s="9"/>
    </row>
    <row r="401522" spans="15:15" x14ac:dyDescent="0.25">
      <c r="O401522" s="9"/>
    </row>
    <row r="401543" spans="15:15" x14ac:dyDescent="0.25">
      <c r="O401543" s="9"/>
    </row>
    <row r="401564" spans="15:15" x14ac:dyDescent="0.25">
      <c r="O401564" s="9"/>
    </row>
    <row r="401585" spans="15:15" x14ac:dyDescent="0.25">
      <c r="O401585" s="9"/>
    </row>
    <row r="401606" spans="15:15" x14ac:dyDescent="0.25">
      <c r="O401606" s="9"/>
    </row>
    <row r="401627" spans="15:15" x14ac:dyDescent="0.25">
      <c r="O401627" s="9"/>
    </row>
    <row r="401648" spans="15:15" x14ac:dyDescent="0.25">
      <c r="O401648" s="9"/>
    </row>
    <row r="401669" spans="15:15" x14ac:dyDescent="0.25">
      <c r="O401669" s="9"/>
    </row>
    <row r="401690" spans="15:15" x14ac:dyDescent="0.25">
      <c r="O401690" s="9"/>
    </row>
    <row r="401711" spans="15:15" x14ac:dyDescent="0.25">
      <c r="O401711" s="9"/>
    </row>
    <row r="401732" spans="15:15" x14ac:dyDescent="0.25">
      <c r="O401732" s="9"/>
    </row>
    <row r="401753" spans="15:15" x14ac:dyDescent="0.25">
      <c r="O401753" s="9"/>
    </row>
    <row r="401774" spans="15:15" x14ac:dyDescent="0.25">
      <c r="O401774" s="9"/>
    </row>
    <row r="401795" spans="15:15" x14ac:dyDescent="0.25">
      <c r="O401795" s="9"/>
    </row>
    <row r="401816" spans="15:15" x14ac:dyDescent="0.25">
      <c r="O401816" s="9"/>
    </row>
    <row r="401837" spans="15:15" x14ac:dyDescent="0.25">
      <c r="O401837" s="9"/>
    </row>
    <row r="401858" spans="15:15" x14ac:dyDescent="0.25">
      <c r="O401858" s="9"/>
    </row>
    <row r="401879" spans="15:15" x14ac:dyDescent="0.25">
      <c r="O401879" s="9"/>
    </row>
    <row r="401900" spans="15:15" x14ac:dyDescent="0.25">
      <c r="O401900" s="9"/>
    </row>
    <row r="401921" spans="15:15" x14ac:dyDescent="0.25">
      <c r="O401921" s="9"/>
    </row>
    <row r="401942" spans="15:15" x14ac:dyDescent="0.25">
      <c r="O401942" s="9"/>
    </row>
    <row r="401963" spans="15:15" x14ac:dyDescent="0.25">
      <c r="O401963" s="9"/>
    </row>
    <row r="401984" spans="15:15" x14ac:dyDescent="0.25">
      <c r="O401984" s="9"/>
    </row>
    <row r="402005" spans="15:15" x14ac:dyDescent="0.25">
      <c r="O402005" s="9"/>
    </row>
    <row r="402026" spans="15:15" x14ac:dyDescent="0.25">
      <c r="O402026" s="9"/>
    </row>
    <row r="402047" spans="15:15" x14ac:dyDescent="0.25">
      <c r="O402047" s="9"/>
    </row>
    <row r="402068" spans="15:15" x14ac:dyDescent="0.25">
      <c r="O402068" s="9"/>
    </row>
    <row r="402089" spans="15:15" x14ac:dyDescent="0.25">
      <c r="O402089" s="9"/>
    </row>
    <row r="402110" spans="15:15" x14ac:dyDescent="0.25">
      <c r="O402110" s="9"/>
    </row>
    <row r="402131" spans="15:15" x14ac:dyDescent="0.25">
      <c r="O402131" s="9"/>
    </row>
    <row r="402152" spans="15:15" x14ac:dyDescent="0.25">
      <c r="O402152" s="9"/>
    </row>
    <row r="402173" spans="15:15" x14ac:dyDescent="0.25">
      <c r="O402173" s="9"/>
    </row>
    <row r="402194" spans="15:15" x14ac:dyDescent="0.25">
      <c r="O402194" s="9"/>
    </row>
    <row r="402215" spans="15:15" x14ac:dyDescent="0.25">
      <c r="O402215" s="9"/>
    </row>
    <row r="402236" spans="15:15" x14ac:dyDescent="0.25">
      <c r="O402236" s="9"/>
    </row>
    <row r="402257" spans="15:15" x14ac:dyDescent="0.25">
      <c r="O402257" s="9"/>
    </row>
    <row r="402278" spans="15:15" x14ac:dyDescent="0.25">
      <c r="O402278" s="9"/>
    </row>
    <row r="402299" spans="15:15" x14ac:dyDescent="0.25">
      <c r="O402299" s="9"/>
    </row>
    <row r="402320" spans="15:15" x14ac:dyDescent="0.25">
      <c r="O402320" s="9"/>
    </row>
    <row r="402341" spans="15:15" x14ac:dyDescent="0.25">
      <c r="O402341" s="9"/>
    </row>
    <row r="402362" spans="15:15" x14ac:dyDescent="0.25">
      <c r="O402362" s="9"/>
    </row>
    <row r="402383" spans="15:15" x14ac:dyDescent="0.25">
      <c r="O402383" s="9"/>
    </row>
    <row r="402404" spans="15:15" x14ac:dyDescent="0.25">
      <c r="O402404" s="9"/>
    </row>
    <row r="402425" spans="15:15" x14ac:dyDescent="0.25">
      <c r="O402425" s="9"/>
    </row>
    <row r="402446" spans="15:15" x14ac:dyDescent="0.25">
      <c r="O402446" s="9"/>
    </row>
    <row r="402467" spans="15:15" x14ac:dyDescent="0.25">
      <c r="O402467" s="9"/>
    </row>
    <row r="402488" spans="15:15" x14ac:dyDescent="0.25">
      <c r="O402488" s="9"/>
    </row>
    <row r="402509" spans="15:15" x14ac:dyDescent="0.25">
      <c r="O402509" s="9"/>
    </row>
    <row r="402530" spans="15:15" x14ac:dyDescent="0.25">
      <c r="O402530" s="9"/>
    </row>
    <row r="402551" spans="15:15" x14ac:dyDescent="0.25">
      <c r="O402551" s="9"/>
    </row>
    <row r="402572" spans="15:15" x14ac:dyDescent="0.25">
      <c r="O402572" s="9"/>
    </row>
    <row r="402593" spans="15:15" x14ac:dyDescent="0.25">
      <c r="O402593" s="9"/>
    </row>
    <row r="402614" spans="15:15" x14ac:dyDescent="0.25">
      <c r="O402614" s="9"/>
    </row>
    <row r="402635" spans="15:15" x14ac:dyDescent="0.25">
      <c r="O402635" s="9"/>
    </row>
    <row r="402656" spans="15:15" x14ac:dyDescent="0.25">
      <c r="O402656" s="9"/>
    </row>
    <row r="402677" spans="15:15" x14ac:dyDescent="0.25">
      <c r="O402677" s="9"/>
    </row>
    <row r="402698" spans="15:15" x14ac:dyDescent="0.25">
      <c r="O402698" s="9"/>
    </row>
    <row r="402719" spans="15:15" x14ac:dyDescent="0.25">
      <c r="O402719" s="9"/>
    </row>
    <row r="402740" spans="15:15" x14ac:dyDescent="0.25">
      <c r="O402740" s="9"/>
    </row>
    <row r="402761" spans="15:15" x14ac:dyDescent="0.25">
      <c r="O402761" s="9"/>
    </row>
    <row r="402782" spans="15:15" x14ac:dyDescent="0.25">
      <c r="O402782" s="9"/>
    </row>
    <row r="402803" spans="15:15" x14ac:dyDescent="0.25">
      <c r="O402803" s="9"/>
    </row>
    <row r="402824" spans="15:15" x14ac:dyDescent="0.25">
      <c r="O402824" s="9"/>
    </row>
    <row r="402845" spans="15:15" x14ac:dyDescent="0.25">
      <c r="O402845" s="9"/>
    </row>
    <row r="402866" spans="15:15" x14ac:dyDescent="0.25">
      <c r="O402866" s="9"/>
    </row>
    <row r="402887" spans="15:15" x14ac:dyDescent="0.25">
      <c r="O402887" s="9"/>
    </row>
    <row r="402908" spans="15:15" x14ac:dyDescent="0.25">
      <c r="O402908" s="9"/>
    </row>
    <row r="402929" spans="15:15" x14ac:dyDescent="0.25">
      <c r="O402929" s="9"/>
    </row>
    <row r="402950" spans="15:15" x14ac:dyDescent="0.25">
      <c r="O402950" s="9"/>
    </row>
    <row r="402971" spans="15:15" x14ac:dyDescent="0.25">
      <c r="O402971" s="9"/>
    </row>
    <row r="402992" spans="15:15" x14ac:dyDescent="0.25">
      <c r="O402992" s="9"/>
    </row>
    <row r="403013" spans="15:15" x14ac:dyDescent="0.25">
      <c r="O403013" s="9"/>
    </row>
    <row r="403034" spans="15:15" x14ac:dyDescent="0.25">
      <c r="O403034" s="9"/>
    </row>
    <row r="403055" spans="15:15" x14ac:dyDescent="0.25">
      <c r="O403055" s="9"/>
    </row>
    <row r="403076" spans="15:15" x14ac:dyDescent="0.25">
      <c r="O403076" s="9"/>
    </row>
    <row r="403097" spans="15:15" x14ac:dyDescent="0.25">
      <c r="O403097" s="9"/>
    </row>
    <row r="403118" spans="15:15" x14ac:dyDescent="0.25">
      <c r="O403118" s="9"/>
    </row>
    <row r="403139" spans="15:15" x14ac:dyDescent="0.25">
      <c r="O403139" s="9"/>
    </row>
    <row r="403160" spans="15:15" x14ac:dyDescent="0.25">
      <c r="O403160" s="9"/>
    </row>
    <row r="403181" spans="15:15" x14ac:dyDescent="0.25">
      <c r="O403181" s="9"/>
    </row>
    <row r="403202" spans="15:15" x14ac:dyDescent="0.25">
      <c r="O403202" s="9"/>
    </row>
    <row r="403223" spans="15:15" x14ac:dyDescent="0.25">
      <c r="O403223" s="9"/>
    </row>
    <row r="403244" spans="15:15" x14ac:dyDescent="0.25">
      <c r="O403244" s="9"/>
    </row>
    <row r="403265" spans="15:15" x14ac:dyDescent="0.25">
      <c r="O403265" s="9"/>
    </row>
    <row r="403286" spans="15:15" x14ac:dyDescent="0.25">
      <c r="O403286" s="9"/>
    </row>
    <row r="403307" spans="15:15" x14ac:dyDescent="0.25">
      <c r="O403307" s="9"/>
    </row>
    <row r="403328" spans="15:15" x14ac:dyDescent="0.25">
      <c r="O403328" s="9"/>
    </row>
    <row r="403349" spans="15:15" x14ac:dyDescent="0.25">
      <c r="O403349" s="9"/>
    </row>
    <row r="403370" spans="15:15" x14ac:dyDescent="0.25">
      <c r="O403370" s="9"/>
    </row>
    <row r="403391" spans="15:15" x14ac:dyDescent="0.25">
      <c r="O403391" s="9"/>
    </row>
    <row r="403412" spans="15:15" x14ac:dyDescent="0.25">
      <c r="O403412" s="9"/>
    </row>
    <row r="403433" spans="15:15" x14ac:dyDescent="0.25">
      <c r="O403433" s="9"/>
    </row>
    <row r="403454" spans="15:15" x14ac:dyDescent="0.25">
      <c r="O403454" s="9"/>
    </row>
    <row r="403475" spans="15:15" x14ac:dyDescent="0.25">
      <c r="O403475" s="9"/>
    </row>
    <row r="403496" spans="15:15" x14ac:dyDescent="0.25">
      <c r="O403496" s="9"/>
    </row>
    <row r="403517" spans="15:15" x14ac:dyDescent="0.25">
      <c r="O403517" s="9"/>
    </row>
    <row r="403538" spans="15:15" x14ac:dyDescent="0.25">
      <c r="O403538" s="9"/>
    </row>
    <row r="403559" spans="15:15" x14ac:dyDescent="0.25">
      <c r="O403559" s="9"/>
    </row>
    <row r="403580" spans="15:15" x14ac:dyDescent="0.25">
      <c r="O403580" s="9"/>
    </row>
    <row r="403601" spans="15:15" x14ac:dyDescent="0.25">
      <c r="O403601" s="9"/>
    </row>
    <row r="403622" spans="15:15" x14ac:dyDescent="0.25">
      <c r="O403622" s="9"/>
    </row>
    <row r="403643" spans="15:15" x14ac:dyDescent="0.25">
      <c r="O403643" s="9"/>
    </row>
    <row r="403664" spans="15:15" x14ac:dyDescent="0.25">
      <c r="O403664" s="9"/>
    </row>
    <row r="403685" spans="15:15" x14ac:dyDescent="0.25">
      <c r="O403685" s="9"/>
    </row>
    <row r="403706" spans="15:15" x14ac:dyDescent="0.25">
      <c r="O403706" s="9"/>
    </row>
    <row r="403727" spans="15:15" x14ac:dyDescent="0.25">
      <c r="O403727" s="9"/>
    </row>
    <row r="403748" spans="15:15" x14ac:dyDescent="0.25">
      <c r="O403748" s="9"/>
    </row>
    <row r="403769" spans="15:15" x14ac:dyDescent="0.25">
      <c r="O403769" s="9"/>
    </row>
    <row r="403790" spans="15:15" x14ac:dyDescent="0.25">
      <c r="O403790" s="9"/>
    </row>
    <row r="403811" spans="15:15" x14ac:dyDescent="0.25">
      <c r="O403811" s="9"/>
    </row>
    <row r="403832" spans="15:15" x14ac:dyDescent="0.25">
      <c r="O403832" s="9"/>
    </row>
    <row r="403853" spans="15:15" x14ac:dyDescent="0.25">
      <c r="O403853" s="9"/>
    </row>
    <row r="403874" spans="15:15" x14ac:dyDescent="0.25">
      <c r="O403874" s="9"/>
    </row>
    <row r="403895" spans="15:15" x14ac:dyDescent="0.25">
      <c r="O403895" s="9"/>
    </row>
    <row r="403916" spans="15:15" x14ac:dyDescent="0.25">
      <c r="O403916" s="9"/>
    </row>
    <row r="403937" spans="15:15" x14ac:dyDescent="0.25">
      <c r="O403937" s="9"/>
    </row>
    <row r="403958" spans="15:15" x14ac:dyDescent="0.25">
      <c r="O403958" s="9"/>
    </row>
    <row r="403979" spans="15:15" x14ac:dyDescent="0.25">
      <c r="O403979" s="9"/>
    </row>
    <row r="404000" spans="15:15" x14ac:dyDescent="0.25">
      <c r="O404000" s="9"/>
    </row>
    <row r="404021" spans="15:15" x14ac:dyDescent="0.25">
      <c r="O404021" s="9"/>
    </row>
    <row r="404042" spans="15:15" x14ac:dyDescent="0.25">
      <c r="O404042" s="9"/>
    </row>
    <row r="404063" spans="15:15" x14ac:dyDescent="0.25">
      <c r="O404063" s="9"/>
    </row>
    <row r="404084" spans="15:15" x14ac:dyDescent="0.25">
      <c r="O404084" s="9"/>
    </row>
    <row r="404105" spans="15:15" x14ac:dyDescent="0.25">
      <c r="O404105" s="9"/>
    </row>
    <row r="404126" spans="15:15" x14ac:dyDescent="0.25">
      <c r="O404126" s="9"/>
    </row>
    <row r="404147" spans="15:15" x14ac:dyDescent="0.25">
      <c r="O404147" s="9"/>
    </row>
    <row r="404168" spans="15:15" x14ac:dyDescent="0.25">
      <c r="O404168" s="9"/>
    </row>
    <row r="404189" spans="15:15" x14ac:dyDescent="0.25">
      <c r="O404189" s="9"/>
    </row>
    <row r="404210" spans="15:15" x14ac:dyDescent="0.25">
      <c r="O404210" s="9"/>
    </row>
    <row r="404231" spans="15:15" x14ac:dyDescent="0.25">
      <c r="O404231" s="9"/>
    </row>
    <row r="404252" spans="15:15" x14ac:dyDescent="0.25">
      <c r="O404252" s="9"/>
    </row>
    <row r="404273" spans="15:15" x14ac:dyDescent="0.25">
      <c r="O404273" s="9"/>
    </row>
    <row r="404294" spans="15:15" x14ac:dyDescent="0.25">
      <c r="O404294" s="9"/>
    </row>
    <row r="404315" spans="15:15" x14ac:dyDescent="0.25">
      <c r="O404315" s="9"/>
    </row>
    <row r="404336" spans="15:15" x14ac:dyDescent="0.25">
      <c r="O404336" s="9"/>
    </row>
    <row r="404357" spans="15:15" x14ac:dyDescent="0.25">
      <c r="O404357" s="9"/>
    </row>
    <row r="404378" spans="15:15" x14ac:dyDescent="0.25">
      <c r="O404378" s="9"/>
    </row>
    <row r="404399" spans="15:15" x14ac:dyDescent="0.25">
      <c r="O404399" s="9"/>
    </row>
    <row r="404420" spans="15:15" x14ac:dyDescent="0.25">
      <c r="O404420" s="9"/>
    </row>
    <row r="404441" spans="15:15" x14ac:dyDescent="0.25">
      <c r="O404441" s="9"/>
    </row>
    <row r="404462" spans="15:15" x14ac:dyDescent="0.25">
      <c r="O404462" s="9"/>
    </row>
    <row r="404483" spans="15:15" x14ac:dyDescent="0.25">
      <c r="O404483" s="9"/>
    </row>
    <row r="404504" spans="15:15" x14ac:dyDescent="0.25">
      <c r="O404504" s="9"/>
    </row>
    <row r="404525" spans="15:15" x14ac:dyDescent="0.25">
      <c r="O404525" s="9"/>
    </row>
    <row r="404546" spans="15:15" x14ac:dyDescent="0.25">
      <c r="O404546" s="9"/>
    </row>
    <row r="404567" spans="15:15" x14ac:dyDescent="0.25">
      <c r="O404567" s="9"/>
    </row>
    <row r="404588" spans="15:15" x14ac:dyDescent="0.25">
      <c r="O404588" s="9"/>
    </row>
    <row r="404609" spans="15:15" x14ac:dyDescent="0.25">
      <c r="O404609" s="9"/>
    </row>
    <row r="404630" spans="15:15" x14ac:dyDescent="0.25">
      <c r="O404630" s="9"/>
    </row>
    <row r="404651" spans="15:15" x14ac:dyDescent="0.25">
      <c r="O404651" s="9"/>
    </row>
    <row r="404672" spans="15:15" x14ac:dyDescent="0.25">
      <c r="O404672" s="9"/>
    </row>
    <row r="404693" spans="15:15" x14ac:dyDescent="0.25">
      <c r="O404693" s="9"/>
    </row>
    <row r="404714" spans="15:15" x14ac:dyDescent="0.25">
      <c r="O404714" s="9"/>
    </row>
    <row r="404735" spans="15:15" x14ac:dyDescent="0.25">
      <c r="O404735" s="9"/>
    </row>
    <row r="404756" spans="15:15" x14ac:dyDescent="0.25">
      <c r="O404756" s="9"/>
    </row>
    <row r="404777" spans="15:15" x14ac:dyDescent="0.25">
      <c r="O404777" s="9"/>
    </row>
    <row r="404798" spans="15:15" x14ac:dyDescent="0.25">
      <c r="O404798" s="9"/>
    </row>
    <row r="404819" spans="15:15" x14ac:dyDescent="0.25">
      <c r="O404819" s="9"/>
    </row>
    <row r="404840" spans="15:15" x14ac:dyDescent="0.25">
      <c r="O404840" s="9"/>
    </row>
    <row r="404861" spans="15:15" x14ac:dyDescent="0.25">
      <c r="O404861" s="9"/>
    </row>
    <row r="404882" spans="15:15" x14ac:dyDescent="0.25">
      <c r="O404882" s="9"/>
    </row>
    <row r="404903" spans="15:15" x14ac:dyDescent="0.25">
      <c r="O404903" s="9"/>
    </row>
    <row r="404924" spans="15:15" x14ac:dyDescent="0.25">
      <c r="O404924" s="9"/>
    </row>
    <row r="404945" spans="15:15" x14ac:dyDescent="0.25">
      <c r="O404945" s="9"/>
    </row>
    <row r="404966" spans="15:15" x14ac:dyDescent="0.25">
      <c r="O404966" s="9"/>
    </row>
    <row r="404987" spans="15:15" x14ac:dyDescent="0.25">
      <c r="O404987" s="9"/>
    </row>
    <row r="405008" spans="15:15" x14ac:dyDescent="0.25">
      <c r="O405008" s="9"/>
    </row>
    <row r="405029" spans="15:15" x14ac:dyDescent="0.25">
      <c r="O405029" s="9"/>
    </row>
    <row r="405050" spans="15:15" x14ac:dyDescent="0.25">
      <c r="O405050" s="9"/>
    </row>
    <row r="405071" spans="15:15" x14ac:dyDescent="0.25">
      <c r="O405071" s="9"/>
    </row>
    <row r="405092" spans="15:15" x14ac:dyDescent="0.25">
      <c r="O405092" s="9"/>
    </row>
    <row r="405113" spans="15:15" x14ac:dyDescent="0.25">
      <c r="O405113" s="9"/>
    </row>
    <row r="405134" spans="15:15" x14ac:dyDescent="0.25">
      <c r="O405134" s="9"/>
    </row>
    <row r="405155" spans="15:15" x14ac:dyDescent="0.25">
      <c r="O405155" s="9"/>
    </row>
    <row r="405176" spans="15:15" x14ac:dyDescent="0.25">
      <c r="O405176" s="9"/>
    </row>
    <row r="405197" spans="15:15" x14ac:dyDescent="0.25">
      <c r="O405197" s="9"/>
    </row>
    <row r="405218" spans="15:15" x14ac:dyDescent="0.25">
      <c r="O405218" s="9"/>
    </row>
    <row r="405239" spans="15:15" x14ac:dyDescent="0.25">
      <c r="O405239" s="9"/>
    </row>
    <row r="405260" spans="15:15" x14ac:dyDescent="0.25">
      <c r="O405260" s="9"/>
    </row>
    <row r="405281" spans="15:15" x14ac:dyDescent="0.25">
      <c r="O405281" s="9"/>
    </row>
    <row r="405302" spans="15:15" x14ac:dyDescent="0.25">
      <c r="O405302" s="9"/>
    </row>
    <row r="405323" spans="15:15" x14ac:dyDescent="0.25">
      <c r="O405323" s="9"/>
    </row>
    <row r="405344" spans="15:15" x14ac:dyDescent="0.25">
      <c r="O405344" s="9"/>
    </row>
    <row r="405365" spans="15:15" x14ac:dyDescent="0.25">
      <c r="O405365" s="9"/>
    </row>
    <row r="405386" spans="15:15" x14ac:dyDescent="0.25">
      <c r="O405386" s="9"/>
    </row>
    <row r="405407" spans="15:15" x14ac:dyDescent="0.25">
      <c r="O405407" s="9"/>
    </row>
    <row r="405428" spans="15:15" x14ac:dyDescent="0.25">
      <c r="O405428" s="9"/>
    </row>
    <row r="405449" spans="15:15" x14ac:dyDescent="0.25">
      <c r="O405449" s="9"/>
    </row>
    <row r="405470" spans="15:15" x14ac:dyDescent="0.25">
      <c r="O405470" s="9"/>
    </row>
    <row r="405491" spans="15:15" x14ac:dyDescent="0.25">
      <c r="O405491" s="9"/>
    </row>
    <row r="405512" spans="15:15" x14ac:dyDescent="0.25">
      <c r="O405512" s="9"/>
    </row>
    <row r="405533" spans="15:15" x14ac:dyDescent="0.25">
      <c r="O405533" s="9"/>
    </row>
    <row r="405554" spans="15:15" x14ac:dyDescent="0.25">
      <c r="O405554" s="9"/>
    </row>
    <row r="405575" spans="15:15" x14ac:dyDescent="0.25">
      <c r="O405575" s="9"/>
    </row>
    <row r="405596" spans="15:15" x14ac:dyDescent="0.25">
      <c r="O405596" s="9"/>
    </row>
    <row r="405617" spans="15:15" x14ac:dyDescent="0.25">
      <c r="O405617" s="9"/>
    </row>
    <row r="405638" spans="15:15" x14ac:dyDescent="0.25">
      <c r="O405638" s="9"/>
    </row>
    <row r="405659" spans="15:15" x14ac:dyDescent="0.25">
      <c r="O405659" s="9"/>
    </row>
    <row r="405680" spans="15:15" x14ac:dyDescent="0.25">
      <c r="O405680" s="9"/>
    </row>
    <row r="405701" spans="15:15" x14ac:dyDescent="0.25">
      <c r="O405701" s="9"/>
    </row>
    <row r="405722" spans="15:15" x14ac:dyDescent="0.25">
      <c r="O405722" s="9"/>
    </row>
    <row r="405743" spans="15:15" x14ac:dyDescent="0.25">
      <c r="O405743" s="9"/>
    </row>
    <row r="405764" spans="15:15" x14ac:dyDescent="0.25">
      <c r="O405764" s="9"/>
    </row>
    <row r="405785" spans="15:15" x14ac:dyDescent="0.25">
      <c r="O405785" s="9"/>
    </row>
    <row r="405806" spans="15:15" x14ac:dyDescent="0.25">
      <c r="O405806" s="9"/>
    </row>
    <row r="405827" spans="15:15" x14ac:dyDescent="0.25">
      <c r="O405827" s="9"/>
    </row>
    <row r="405848" spans="15:15" x14ac:dyDescent="0.25">
      <c r="O405848" s="9"/>
    </row>
    <row r="405869" spans="15:15" x14ac:dyDescent="0.25">
      <c r="O405869" s="9"/>
    </row>
    <row r="405890" spans="15:15" x14ac:dyDescent="0.25">
      <c r="O405890" s="9"/>
    </row>
    <row r="405911" spans="15:15" x14ac:dyDescent="0.25">
      <c r="O405911" s="9"/>
    </row>
    <row r="405932" spans="15:15" x14ac:dyDescent="0.25">
      <c r="O405932" s="9"/>
    </row>
    <row r="405953" spans="15:15" x14ac:dyDescent="0.25">
      <c r="O405953" s="9"/>
    </row>
    <row r="405974" spans="15:15" x14ac:dyDescent="0.25">
      <c r="O405974" s="9"/>
    </row>
    <row r="405995" spans="15:15" x14ac:dyDescent="0.25">
      <c r="O405995" s="9"/>
    </row>
    <row r="406016" spans="15:15" x14ac:dyDescent="0.25">
      <c r="O406016" s="9"/>
    </row>
    <row r="406037" spans="15:15" x14ac:dyDescent="0.25">
      <c r="O406037" s="9"/>
    </row>
    <row r="406058" spans="15:15" x14ac:dyDescent="0.25">
      <c r="O406058" s="9"/>
    </row>
    <row r="406079" spans="15:15" x14ac:dyDescent="0.25">
      <c r="O406079" s="9"/>
    </row>
    <row r="406100" spans="15:15" x14ac:dyDescent="0.25">
      <c r="O406100" s="9"/>
    </row>
    <row r="406121" spans="15:15" x14ac:dyDescent="0.25">
      <c r="O406121" s="9"/>
    </row>
    <row r="406142" spans="15:15" x14ac:dyDescent="0.25">
      <c r="O406142" s="9"/>
    </row>
    <row r="406163" spans="15:15" x14ac:dyDescent="0.25">
      <c r="O406163" s="9"/>
    </row>
    <row r="406184" spans="15:15" x14ac:dyDescent="0.25">
      <c r="O406184" s="9"/>
    </row>
    <row r="406205" spans="15:15" x14ac:dyDescent="0.25">
      <c r="O406205" s="9"/>
    </row>
    <row r="406226" spans="15:15" x14ac:dyDescent="0.25">
      <c r="O406226" s="9"/>
    </row>
    <row r="406247" spans="15:15" x14ac:dyDescent="0.25">
      <c r="O406247" s="9"/>
    </row>
    <row r="406268" spans="15:15" x14ac:dyDescent="0.25">
      <c r="O406268" s="9"/>
    </row>
    <row r="406289" spans="15:15" x14ac:dyDescent="0.25">
      <c r="O406289" s="9"/>
    </row>
    <row r="406310" spans="15:15" x14ac:dyDescent="0.25">
      <c r="O406310" s="9"/>
    </row>
    <row r="406331" spans="15:15" x14ac:dyDescent="0.25">
      <c r="O406331" s="9"/>
    </row>
    <row r="406352" spans="15:15" x14ac:dyDescent="0.25">
      <c r="O406352" s="9"/>
    </row>
    <row r="406373" spans="15:15" x14ac:dyDescent="0.25">
      <c r="O406373" s="9"/>
    </row>
    <row r="406394" spans="15:15" x14ac:dyDescent="0.25">
      <c r="O406394" s="9"/>
    </row>
    <row r="406415" spans="15:15" x14ac:dyDescent="0.25">
      <c r="O406415" s="9"/>
    </row>
    <row r="406436" spans="15:15" x14ac:dyDescent="0.25">
      <c r="O406436" s="9"/>
    </row>
    <row r="406457" spans="15:15" x14ac:dyDescent="0.25">
      <c r="O406457" s="9"/>
    </row>
    <row r="406478" spans="15:15" x14ac:dyDescent="0.25">
      <c r="O406478" s="9"/>
    </row>
    <row r="406499" spans="15:15" x14ac:dyDescent="0.25">
      <c r="O406499" s="9"/>
    </row>
    <row r="406520" spans="15:15" x14ac:dyDescent="0.25">
      <c r="O406520" s="9"/>
    </row>
    <row r="406541" spans="15:15" x14ac:dyDescent="0.25">
      <c r="O406541" s="9"/>
    </row>
    <row r="406562" spans="15:15" x14ac:dyDescent="0.25">
      <c r="O406562" s="9"/>
    </row>
    <row r="406583" spans="15:15" x14ac:dyDescent="0.25">
      <c r="O406583" s="9"/>
    </row>
    <row r="406604" spans="15:15" x14ac:dyDescent="0.25">
      <c r="O406604" s="9"/>
    </row>
    <row r="406625" spans="15:15" x14ac:dyDescent="0.25">
      <c r="O406625" s="9"/>
    </row>
    <row r="406646" spans="15:15" x14ac:dyDescent="0.25">
      <c r="O406646" s="9"/>
    </row>
    <row r="406667" spans="15:15" x14ac:dyDescent="0.25">
      <c r="O406667" s="9"/>
    </row>
    <row r="406688" spans="15:15" x14ac:dyDescent="0.25">
      <c r="O406688" s="9"/>
    </row>
    <row r="406709" spans="15:15" x14ac:dyDescent="0.25">
      <c r="O406709" s="9"/>
    </row>
    <row r="406730" spans="15:15" x14ac:dyDescent="0.25">
      <c r="O406730" s="9"/>
    </row>
    <row r="406751" spans="15:15" x14ac:dyDescent="0.25">
      <c r="O406751" s="9"/>
    </row>
    <row r="406772" spans="15:15" x14ac:dyDescent="0.25">
      <c r="O406772" s="9"/>
    </row>
    <row r="406793" spans="15:15" x14ac:dyDescent="0.25">
      <c r="O406793" s="9"/>
    </row>
    <row r="406814" spans="15:15" x14ac:dyDescent="0.25">
      <c r="O406814" s="9"/>
    </row>
    <row r="406835" spans="15:15" x14ac:dyDescent="0.25">
      <c r="O406835" s="9"/>
    </row>
    <row r="406856" spans="15:15" x14ac:dyDescent="0.25">
      <c r="O406856" s="9"/>
    </row>
    <row r="406877" spans="15:15" x14ac:dyDescent="0.25">
      <c r="O406877" s="9"/>
    </row>
    <row r="406898" spans="15:15" x14ac:dyDescent="0.25">
      <c r="O406898" s="9"/>
    </row>
    <row r="406919" spans="15:15" x14ac:dyDescent="0.25">
      <c r="O406919" s="9"/>
    </row>
    <row r="406940" spans="15:15" x14ac:dyDescent="0.25">
      <c r="O406940" s="9"/>
    </row>
    <row r="406961" spans="15:15" x14ac:dyDescent="0.25">
      <c r="O406961" s="9"/>
    </row>
    <row r="406982" spans="15:15" x14ac:dyDescent="0.25">
      <c r="O406982" s="9"/>
    </row>
    <row r="407003" spans="15:15" x14ac:dyDescent="0.25">
      <c r="O407003" s="9"/>
    </row>
    <row r="407024" spans="15:15" x14ac:dyDescent="0.25">
      <c r="O407024" s="9"/>
    </row>
    <row r="407045" spans="15:15" x14ac:dyDescent="0.25">
      <c r="O407045" s="9"/>
    </row>
    <row r="407066" spans="15:15" x14ac:dyDescent="0.25">
      <c r="O407066" s="9"/>
    </row>
    <row r="407087" spans="15:15" x14ac:dyDescent="0.25">
      <c r="O407087" s="9"/>
    </row>
    <row r="407108" spans="15:15" x14ac:dyDescent="0.25">
      <c r="O407108" s="9"/>
    </row>
    <row r="407129" spans="15:15" x14ac:dyDescent="0.25">
      <c r="O407129" s="9"/>
    </row>
    <row r="407150" spans="15:15" x14ac:dyDescent="0.25">
      <c r="O407150" s="9"/>
    </row>
    <row r="407171" spans="15:15" x14ac:dyDescent="0.25">
      <c r="O407171" s="9"/>
    </row>
    <row r="407192" spans="15:15" x14ac:dyDescent="0.25">
      <c r="O407192" s="9"/>
    </row>
    <row r="407213" spans="15:15" x14ac:dyDescent="0.25">
      <c r="O407213" s="9"/>
    </row>
    <row r="407234" spans="15:15" x14ac:dyDescent="0.25">
      <c r="O407234" s="9"/>
    </row>
    <row r="407255" spans="15:15" x14ac:dyDescent="0.25">
      <c r="O407255" s="9"/>
    </row>
    <row r="407276" spans="15:15" x14ac:dyDescent="0.25">
      <c r="O407276" s="9"/>
    </row>
    <row r="407297" spans="15:15" x14ac:dyDescent="0.25">
      <c r="O407297" s="9"/>
    </row>
    <row r="407318" spans="15:15" x14ac:dyDescent="0.25">
      <c r="O407318" s="9"/>
    </row>
    <row r="407339" spans="15:15" x14ac:dyDescent="0.25">
      <c r="O407339" s="9"/>
    </row>
    <row r="407360" spans="15:15" x14ac:dyDescent="0.25">
      <c r="O407360" s="9"/>
    </row>
    <row r="407381" spans="15:15" x14ac:dyDescent="0.25">
      <c r="O407381" s="9"/>
    </row>
    <row r="407402" spans="15:15" x14ac:dyDescent="0.25">
      <c r="O407402" s="9"/>
    </row>
    <row r="407423" spans="15:15" x14ac:dyDescent="0.25">
      <c r="O407423" s="9"/>
    </row>
    <row r="407444" spans="15:15" x14ac:dyDescent="0.25">
      <c r="O407444" s="9"/>
    </row>
    <row r="407465" spans="15:15" x14ac:dyDescent="0.25">
      <c r="O407465" s="9"/>
    </row>
    <row r="407486" spans="15:15" x14ac:dyDescent="0.25">
      <c r="O407486" s="9"/>
    </row>
    <row r="407507" spans="15:15" x14ac:dyDescent="0.25">
      <c r="O407507" s="9"/>
    </row>
    <row r="407528" spans="15:15" x14ac:dyDescent="0.25">
      <c r="O407528" s="9"/>
    </row>
    <row r="407549" spans="15:15" x14ac:dyDescent="0.25">
      <c r="O407549" s="9"/>
    </row>
    <row r="407570" spans="15:15" x14ac:dyDescent="0.25">
      <c r="O407570" s="9"/>
    </row>
    <row r="407591" spans="15:15" x14ac:dyDescent="0.25">
      <c r="O407591" s="9"/>
    </row>
    <row r="407612" spans="15:15" x14ac:dyDescent="0.25">
      <c r="O407612" s="9"/>
    </row>
    <row r="407633" spans="15:15" x14ac:dyDescent="0.25">
      <c r="O407633" s="9"/>
    </row>
    <row r="407654" spans="15:15" x14ac:dyDescent="0.25">
      <c r="O407654" s="9"/>
    </row>
    <row r="407675" spans="15:15" x14ac:dyDescent="0.25">
      <c r="O407675" s="9"/>
    </row>
    <row r="407696" spans="15:15" x14ac:dyDescent="0.25">
      <c r="O407696" s="9"/>
    </row>
    <row r="407717" spans="15:15" x14ac:dyDescent="0.25">
      <c r="O407717" s="9"/>
    </row>
    <row r="407738" spans="15:15" x14ac:dyDescent="0.25">
      <c r="O407738" s="9"/>
    </row>
    <row r="407759" spans="15:15" x14ac:dyDescent="0.25">
      <c r="O407759" s="9"/>
    </row>
    <row r="407780" spans="15:15" x14ac:dyDescent="0.25">
      <c r="O407780" s="9"/>
    </row>
    <row r="407801" spans="15:15" x14ac:dyDescent="0.25">
      <c r="O407801" s="9"/>
    </row>
    <row r="407822" spans="15:15" x14ac:dyDescent="0.25">
      <c r="O407822" s="9"/>
    </row>
    <row r="407843" spans="15:15" x14ac:dyDescent="0.25">
      <c r="O407843" s="9"/>
    </row>
    <row r="407864" spans="15:15" x14ac:dyDescent="0.25">
      <c r="O407864" s="9"/>
    </row>
    <row r="407885" spans="15:15" x14ac:dyDescent="0.25">
      <c r="O407885" s="9"/>
    </row>
    <row r="407906" spans="15:15" x14ac:dyDescent="0.25">
      <c r="O407906" s="9"/>
    </row>
    <row r="407927" spans="15:15" x14ac:dyDescent="0.25">
      <c r="O407927" s="9"/>
    </row>
    <row r="407948" spans="15:15" x14ac:dyDescent="0.25">
      <c r="O407948" s="9"/>
    </row>
    <row r="407969" spans="15:15" x14ac:dyDescent="0.25">
      <c r="O407969" s="9"/>
    </row>
    <row r="407990" spans="15:15" x14ac:dyDescent="0.25">
      <c r="O407990" s="9"/>
    </row>
    <row r="408011" spans="15:15" x14ac:dyDescent="0.25">
      <c r="O408011" s="9"/>
    </row>
    <row r="408032" spans="15:15" x14ac:dyDescent="0.25">
      <c r="O408032" s="9"/>
    </row>
    <row r="408053" spans="15:15" x14ac:dyDescent="0.25">
      <c r="O408053" s="9"/>
    </row>
    <row r="408074" spans="15:15" x14ac:dyDescent="0.25">
      <c r="O408074" s="9"/>
    </row>
    <row r="408095" spans="15:15" x14ac:dyDescent="0.25">
      <c r="O408095" s="9"/>
    </row>
    <row r="408116" spans="15:15" x14ac:dyDescent="0.25">
      <c r="O408116" s="9"/>
    </row>
    <row r="408137" spans="15:15" x14ac:dyDescent="0.25">
      <c r="O408137" s="9"/>
    </row>
    <row r="408158" spans="15:15" x14ac:dyDescent="0.25">
      <c r="O408158" s="9"/>
    </row>
    <row r="408179" spans="15:15" x14ac:dyDescent="0.25">
      <c r="O408179" s="9"/>
    </row>
    <row r="408200" spans="15:15" x14ac:dyDescent="0.25">
      <c r="O408200" s="9"/>
    </row>
    <row r="408221" spans="15:15" x14ac:dyDescent="0.25">
      <c r="O408221" s="9"/>
    </row>
    <row r="408242" spans="15:15" x14ac:dyDescent="0.25">
      <c r="O408242" s="9"/>
    </row>
    <row r="408263" spans="15:15" x14ac:dyDescent="0.25">
      <c r="O408263" s="9"/>
    </row>
    <row r="408284" spans="15:15" x14ac:dyDescent="0.25">
      <c r="O408284" s="9"/>
    </row>
    <row r="408305" spans="15:15" x14ac:dyDescent="0.25">
      <c r="O408305" s="9"/>
    </row>
    <row r="408326" spans="15:15" x14ac:dyDescent="0.25">
      <c r="O408326" s="9"/>
    </row>
    <row r="408347" spans="15:15" x14ac:dyDescent="0.25">
      <c r="O408347" s="9"/>
    </row>
    <row r="408368" spans="15:15" x14ac:dyDescent="0.25">
      <c r="O408368" s="9"/>
    </row>
    <row r="408389" spans="15:15" x14ac:dyDescent="0.25">
      <c r="O408389" s="9"/>
    </row>
    <row r="408410" spans="15:15" x14ac:dyDescent="0.25">
      <c r="O408410" s="9"/>
    </row>
    <row r="408431" spans="15:15" x14ac:dyDescent="0.25">
      <c r="O408431" s="9"/>
    </row>
    <row r="408452" spans="15:15" x14ac:dyDescent="0.25">
      <c r="O408452" s="9"/>
    </row>
    <row r="408473" spans="15:15" x14ac:dyDescent="0.25">
      <c r="O408473" s="9"/>
    </row>
    <row r="408494" spans="15:15" x14ac:dyDescent="0.25">
      <c r="O408494" s="9"/>
    </row>
    <row r="408515" spans="15:15" x14ac:dyDescent="0.25">
      <c r="O408515" s="9"/>
    </row>
    <row r="408536" spans="15:15" x14ac:dyDescent="0.25">
      <c r="O408536" s="9"/>
    </row>
    <row r="408557" spans="15:15" x14ac:dyDescent="0.25">
      <c r="O408557" s="9"/>
    </row>
    <row r="408578" spans="15:15" x14ac:dyDescent="0.25">
      <c r="O408578" s="9"/>
    </row>
    <row r="408599" spans="15:15" x14ac:dyDescent="0.25">
      <c r="O408599" s="9"/>
    </row>
    <row r="408620" spans="15:15" x14ac:dyDescent="0.25">
      <c r="O408620" s="9"/>
    </row>
    <row r="408641" spans="15:15" x14ac:dyDescent="0.25">
      <c r="O408641" s="9"/>
    </row>
    <row r="408662" spans="15:15" x14ac:dyDescent="0.25">
      <c r="O408662" s="9"/>
    </row>
    <row r="408683" spans="15:15" x14ac:dyDescent="0.25">
      <c r="O408683" s="9"/>
    </row>
    <row r="408704" spans="15:15" x14ac:dyDescent="0.25">
      <c r="O408704" s="9"/>
    </row>
    <row r="408725" spans="15:15" x14ac:dyDescent="0.25">
      <c r="O408725" s="9"/>
    </row>
    <row r="408746" spans="15:15" x14ac:dyDescent="0.25">
      <c r="O408746" s="9"/>
    </row>
    <row r="408767" spans="15:15" x14ac:dyDescent="0.25">
      <c r="O408767" s="9"/>
    </row>
    <row r="408788" spans="15:15" x14ac:dyDescent="0.25">
      <c r="O408788" s="9"/>
    </row>
    <row r="408809" spans="15:15" x14ac:dyDescent="0.25">
      <c r="O408809" s="9"/>
    </row>
    <row r="408830" spans="15:15" x14ac:dyDescent="0.25">
      <c r="O408830" s="9"/>
    </row>
    <row r="408851" spans="15:15" x14ac:dyDescent="0.25">
      <c r="O408851" s="9"/>
    </row>
    <row r="408872" spans="15:15" x14ac:dyDescent="0.25">
      <c r="O408872" s="9"/>
    </row>
    <row r="408893" spans="15:15" x14ac:dyDescent="0.25">
      <c r="O408893" s="9"/>
    </row>
    <row r="408914" spans="15:15" x14ac:dyDescent="0.25">
      <c r="O408914" s="9"/>
    </row>
    <row r="408935" spans="15:15" x14ac:dyDescent="0.25">
      <c r="O408935" s="9"/>
    </row>
    <row r="408956" spans="15:15" x14ac:dyDescent="0.25">
      <c r="O408956" s="9"/>
    </row>
    <row r="408977" spans="15:15" x14ac:dyDescent="0.25">
      <c r="O408977" s="9"/>
    </row>
    <row r="408998" spans="15:15" x14ac:dyDescent="0.25">
      <c r="O408998" s="9"/>
    </row>
    <row r="409019" spans="15:15" x14ac:dyDescent="0.25">
      <c r="O409019" s="9"/>
    </row>
    <row r="409040" spans="15:15" x14ac:dyDescent="0.25">
      <c r="O409040" s="9"/>
    </row>
    <row r="409061" spans="15:15" x14ac:dyDescent="0.25">
      <c r="O409061" s="9"/>
    </row>
    <row r="409082" spans="15:15" x14ac:dyDescent="0.25">
      <c r="O409082" s="9"/>
    </row>
    <row r="409103" spans="15:15" x14ac:dyDescent="0.25">
      <c r="O409103" s="9"/>
    </row>
    <row r="409124" spans="15:15" x14ac:dyDescent="0.25">
      <c r="O409124" s="9"/>
    </row>
    <row r="409145" spans="15:15" x14ac:dyDescent="0.25">
      <c r="O409145" s="9"/>
    </row>
    <row r="409166" spans="15:15" x14ac:dyDescent="0.25">
      <c r="O409166" s="9"/>
    </row>
    <row r="409187" spans="15:15" x14ac:dyDescent="0.25">
      <c r="O409187" s="9"/>
    </row>
    <row r="409208" spans="15:15" x14ac:dyDescent="0.25">
      <c r="O409208" s="9"/>
    </row>
    <row r="409229" spans="15:15" x14ac:dyDescent="0.25">
      <c r="O409229" s="9"/>
    </row>
    <row r="409250" spans="15:15" x14ac:dyDescent="0.25">
      <c r="O409250" s="9"/>
    </row>
    <row r="409271" spans="15:15" x14ac:dyDescent="0.25">
      <c r="O409271" s="9"/>
    </row>
    <row r="409292" spans="15:15" x14ac:dyDescent="0.25">
      <c r="O409292" s="9"/>
    </row>
    <row r="409313" spans="15:15" x14ac:dyDescent="0.25">
      <c r="O409313" s="9"/>
    </row>
    <row r="409334" spans="15:15" x14ac:dyDescent="0.25">
      <c r="O409334" s="9"/>
    </row>
    <row r="409355" spans="15:15" x14ac:dyDescent="0.25">
      <c r="O409355" s="9"/>
    </row>
    <row r="409376" spans="15:15" x14ac:dyDescent="0.25">
      <c r="O409376" s="9"/>
    </row>
    <row r="409397" spans="15:15" x14ac:dyDescent="0.25">
      <c r="O409397" s="9"/>
    </row>
    <row r="409418" spans="15:15" x14ac:dyDescent="0.25">
      <c r="O409418" s="9"/>
    </row>
    <row r="409439" spans="15:15" x14ac:dyDescent="0.25">
      <c r="O409439" s="9"/>
    </row>
    <row r="409460" spans="15:15" x14ac:dyDescent="0.25">
      <c r="O409460" s="9"/>
    </row>
    <row r="409481" spans="15:15" x14ac:dyDescent="0.25">
      <c r="O409481" s="9"/>
    </row>
    <row r="409502" spans="15:15" x14ac:dyDescent="0.25">
      <c r="O409502" s="9"/>
    </row>
    <row r="409523" spans="15:15" x14ac:dyDescent="0.25">
      <c r="O409523" s="9"/>
    </row>
    <row r="409544" spans="15:15" x14ac:dyDescent="0.25">
      <c r="O409544" s="9"/>
    </row>
    <row r="409565" spans="15:15" x14ac:dyDescent="0.25">
      <c r="O409565" s="9"/>
    </row>
    <row r="409586" spans="15:15" x14ac:dyDescent="0.25">
      <c r="O409586" s="9"/>
    </row>
    <row r="409607" spans="15:15" x14ac:dyDescent="0.25">
      <c r="O409607" s="9"/>
    </row>
    <row r="409628" spans="15:15" x14ac:dyDescent="0.25">
      <c r="O409628" s="9"/>
    </row>
    <row r="409649" spans="15:15" x14ac:dyDescent="0.25">
      <c r="O409649" s="9"/>
    </row>
    <row r="409670" spans="15:15" x14ac:dyDescent="0.25">
      <c r="O409670" s="9"/>
    </row>
    <row r="409691" spans="15:15" x14ac:dyDescent="0.25">
      <c r="O409691" s="9"/>
    </row>
    <row r="409712" spans="15:15" x14ac:dyDescent="0.25">
      <c r="O409712" s="9"/>
    </row>
    <row r="409733" spans="15:15" x14ac:dyDescent="0.25">
      <c r="O409733" s="9"/>
    </row>
    <row r="409754" spans="15:15" x14ac:dyDescent="0.25">
      <c r="O409754" s="9"/>
    </row>
    <row r="409775" spans="15:15" x14ac:dyDescent="0.25">
      <c r="O409775" s="9"/>
    </row>
    <row r="409796" spans="15:15" x14ac:dyDescent="0.25">
      <c r="O409796" s="9"/>
    </row>
    <row r="409817" spans="15:15" x14ac:dyDescent="0.25">
      <c r="O409817" s="9"/>
    </row>
    <row r="409838" spans="15:15" x14ac:dyDescent="0.25">
      <c r="O409838" s="9"/>
    </row>
    <row r="409859" spans="15:15" x14ac:dyDescent="0.25">
      <c r="O409859" s="9"/>
    </row>
    <row r="409880" spans="15:15" x14ac:dyDescent="0.25">
      <c r="O409880" s="9"/>
    </row>
    <row r="409901" spans="15:15" x14ac:dyDescent="0.25">
      <c r="O409901" s="9"/>
    </row>
    <row r="409922" spans="15:15" x14ac:dyDescent="0.25">
      <c r="O409922" s="9"/>
    </row>
    <row r="409943" spans="15:15" x14ac:dyDescent="0.25">
      <c r="O409943" s="9"/>
    </row>
    <row r="409964" spans="15:15" x14ac:dyDescent="0.25">
      <c r="O409964" s="9"/>
    </row>
    <row r="409985" spans="15:15" x14ac:dyDescent="0.25">
      <c r="O409985" s="9"/>
    </row>
    <row r="410006" spans="15:15" x14ac:dyDescent="0.25">
      <c r="O410006" s="9"/>
    </row>
    <row r="410027" spans="15:15" x14ac:dyDescent="0.25">
      <c r="O410027" s="9"/>
    </row>
    <row r="410048" spans="15:15" x14ac:dyDescent="0.25">
      <c r="O410048" s="9"/>
    </row>
    <row r="410069" spans="15:15" x14ac:dyDescent="0.25">
      <c r="O410069" s="9"/>
    </row>
    <row r="410090" spans="15:15" x14ac:dyDescent="0.25">
      <c r="O410090" s="9"/>
    </row>
    <row r="410111" spans="15:15" x14ac:dyDescent="0.25">
      <c r="O410111" s="9"/>
    </row>
    <row r="410132" spans="15:15" x14ac:dyDescent="0.25">
      <c r="O410132" s="9"/>
    </row>
    <row r="410153" spans="15:15" x14ac:dyDescent="0.25">
      <c r="O410153" s="9"/>
    </row>
    <row r="410174" spans="15:15" x14ac:dyDescent="0.25">
      <c r="O410174" s="9"/>
    </row>
    <row r="410195" spans="15:15" x14ac:dyDescent="0.25">
      <c r="O410195" s="9"/>
    </row>
    <row r="410216" spans="15:15" x14ac:dyDescent="0.25">
      <c r="O410216" s="9"/>
    </row>
    <row r="410237" spans="15:15" x14ac:dyDescent="0.25">
      <c r="O410237" s="9"/>
    </row>
    <row r="410258" spans="15:15" x14ac:dyDescent="0.25">
      <c r="O410258" s="9"/>
    </row>
    <row r="410279" spans="15:15" x14ac:dyDescent="0.25">
      <c r="O410279" s="9"/>
    </row>
    <row r="410300" spans="15:15" x14ac:dyDescent="0.25">
      <c r="O410300" s="9"/>
    </row>
    <row r="410321" spans="15:15" x14ac:dyDescent="0.25">
      <c r="O410321" s="9"/>
    </row>
    <row r="410342" spans="15:15" x14ac:dyDescent="0.25">
      <c r="O410342" s="9"/>
    </row>
    <row r="410363" spans="15:15" x14ac:dyDescent="0.25">
      <c r="O410363" s="9"/>
    </row>
    <row r="410384" spans="15:15" x14ac:dyDescent="0.25">
      <c r="O410384" s="9"/>
    </row>
    <row r="410405" spans="15:15" x14ac:dyDescent="0.25">
      <c r="O410405" s="9"/>
    </row>
    <row r="410426" spans="15:15" x14ac:dyDescent="0.25">
      <c r="O410426" s="9"/>
    </row>
    <row r="410447" spans="15:15" x14ac:dyDescent="0.25">
      <c r="O410447" s="9"/>
    </row>
    <row r="410468" spans="15:15" x14ac:dyDescent="0.25">
      <c r="O410468" s="9"/>
    </row>
    <row r="410489" spans="15:15" x14ac:dyDescent="0.25">
      <c r="O410489" s="9"/>
    </row>
    <row r="410510" spans="15:15" x14ac:dyDescent="0.25">
      <c r="O410510" s="9"/>
    </row>
    <row r="410531" spans="15:15" x14ac:dyDescent="0.25">
      <c r="O410531" s="9"/>
    </row>
    <row r="410552" spans="15:15" x14ac:dyDescent="0.25">
      <c r="O410552" s="9"/>
    </row>
    <row r="410573" spans="15:15" x14ac:dyDescent="0.25">
      <c r="O410573" s="9"/>
    </row>
    <row r="410594" spans="15:15" x14ac:dyDescent="0.25">
      <c r="O410594" s="9"/>
    </row>
    <row r="410615" spans="15:15" x14ac:dyDescent="0.25">
      <c r="O410615" s="9"/>
    </row>
    <row r="410636" spans="15:15" x14ac:dyDescent="0.25">
      <c r="O410636" s="9"/>
    </row>
    <row r="410657" spans="15:15" x14ac:dyDescent="0.25">
      <c r="O410657" s="9"/>
    </row>
    <row r="410678" spans="15:15" x14ac:dyDescent="0.25">
      <c r="O410678" s="9"/>
    </row>
    <row r="410699" spans="15:15" x14ac:dyDescent="0.25">
      <c r="O410699" s="9"/>
    </row>
    <row r="410720" spans="15:15" x14ac:dyDescent="0.25">
      <c r="O410720" s="9"/>
    </row>
    <row r="410741" spans="15:15" x14ac:dyDescent="0.25">
      <c r="O410741" s="9"/>
    </row>
    <row r="410762" spans="15:15" x14ac:dyDescent="0.25">
      <c r="O410762" s="9"/>
    </row>
    <row r="410783" spans="15:15" x14ac:dyDescent="0.25">
      <c r="O410783" s="9"/>
    </row>
    <row r="410804" spans="15:15" x14ac:dyDescent="0.25">
      <c r="O410804" s="9"/>
    </row>
    <row r="410825" spans="15:15" x14ac:dyDescent="0.25">
      <c r="O410825" s="9"/>
    </row>
    <row r="410846" spans="15:15" x14ac:dyDescent="0.25">
      <c r="O410846" s="9"/>
    </row>
    <row r="410867" spans="15:15" x14ac:dyDescent="0.25">
      <c r="O410867" s="9"/>
    </row>
    <row r="410888" spans="15:15" x14ac:dyDescent="0.25">
      <c r="O410888" s="9"/>
    </row>
    <row r="410909" spans="15:15" x14ac:dyDescent="0.25">
      <c r="O410909" s="9"/>
    </row>
    <row r="410930" spans="15:15" x14ac:dyDescent="0.25">
      <c r="O410930" s="9"/>
    </row>
    <row r="410951" spans="15:15" x14ac:dyDescent="0.25">
      <c r="O410951" s="9"/>
    </row>
    <row r="410972" spans="15:15" x14ac:dyDescent="0.25">
      <c r="O410972" s="9"/>
    </row>
    <row r="410993" spans="15:15" x14ac:dyDescent="0.25">
      <c r="O410993" s="9"/>
    </row>
    <row r="411014" spans="15:15" x14ac:dyDescent="0.25">
      <c r="O411014" s="9"/>
    </row>
    <row r="411035" spans="15:15" x14ac:dyDescent="0.25">
      <c r="O411035" s="9"/>
    </row>
    <row r="411056" spans="15:15" x14ac:dyDescent="0.25">
      <c r="O411056" s="9"/>
    </row>
    <row r="411077" spans="15:15" x14ac:dyDescent="0.25">
      <c r="O411077" s="9"/>
    </row>
    <row r="411098" spans="15:15" x14ac:dyDescent="0.25">
      <c r="O411098" s="9"/>
    </row>
    <row r="411119" spans="15:15" x14ac:dyDescent="0.25">
      <c r="O411119" s="9"/>
    </row>
    <row r="411140" spans="15:15" x14ac:dyDescent="0.25">
      <c r="O411140" s="9"/>
    </row>
    <row r="411161" spans="15:15" x14ac:dyDescent="0.25">
      <c r="O411161" s="9"/>
    </row>
    <row r="411182" spans="15:15" x14ac:dyDescent="0.25">
      <c r="O411182" s="9"/>
    </row>
    <row r="411203" spans="15:15" x14ac:dyDescent="0.25">
      <c r="O411203" s="9"/>
    </row>
    <row r="411224" spans="15:15" x14ac:dyDescent="0.25">
      <c r="O411224" s="9"/>
    </row>
    <row r="411245" spans="15:15" x14ac:dyDescent="0.25">
      <c r="O411245" s="9"/>
    </row>
    <row r="411266" spans="15:15" x14ac:dyDescent="0.25">
      <c r="O411266" s="9"/>
    </row>
    <row r="411287" spans="15:15" x14ac:dyDescent="0.25">
      <c r="O411287" s="9"/>
    </row>
    <row r="411308" spans="15:15" x14ac:dyDescent="0.25">
      <c r="O411308" s="9"/>
    </row>
    <row r="411329" spans="15:15" x14ac:dyDescent="0.25">
      <c r="O411329" s="9"/>
    </row>
    <row r="411350" spans="15:15" x14ac:dyDescent="0.25">
      <c r="O411350" s="9"/>
    </row>
    <row r="411371" spans="15:15" x14ac:dyDescent="0.25">
      <c r="O411371" s="9"/>
    </row>
    <row r="411392" spans="15:15" x14ac:dyDescent="0.25">
      <c r="O411392" s="9"/>
    </row>
    <row r="411413" spans="15:15" x14ac:dyDescent="0.25">
      <c r="O411413" s="9"/>
    </row>
    <row r="411434" spans="15:15" x14ac:dyDescent="0.25">
      <c r="O411434" s="9"/>
    </row>
    <row r="411455" spans="15:15" x14ac:dyDescent="0.25">
      <c r="O411455" s="9"/>
    </row>
    <row r="411476" spans="15:15" x14ac:dyDescent="0.25">
      <c r="O411476" s="9"/>
    </row>
    <row r="411497" spans="15:15" x14ac:dyDescent="0.25">
      <c r="O411497" s="9"/>
    </row>
    <row r="411518" spans="15:15" x14ac:dyDescent="0.25">
      <c r="O411518" s="9"/>
    </row>
    <row r="411539" spans="15:15" x14ac:dyDescent="0.25">
      <c r="O411539" s="9"/>
    </row>
    <row r="411560" spans="15:15" x14ac:dyDescent="0.25">
      <c r="O411560" s="9"/>
    </row>
    <row r="411581" spans="15:15" x14ac:dyDescent="0.25">
      <c r="O411581" s="9"/>
    </row>
    <row r="411602" spans="15:15" x14ac:dyDescent="0.25">
      <c r="O411602" s="9"/>
    </row>
    <row r="411623" spans="15:15" x14ac:dyDescent="0.25">
      <c r="O411623" s="9"/>
    </row>
    <row r="411644" spans="15:15" x14ac:dyDescent="0.25">
      <c r="O411644" s="9"/>
    </row>
    <row r="411665" spans="15:15" x14ac:dyDescent="0.25">
      <c r="O411665" s="9"/>
    </row>
    <row r="411686" spans="15:15" x14ac:dyDescent="0.25">
      <c r="O411686" s="9"/>
    </row>
    <row r="411707" spans="15:15" x14ac:dyDescent="0.25">
      <c r="O411707" s="9"/>
    </row>
    <row r="411728" spans="15:15" x14ac:dyDescent="0.25">
      <c r="O411728" s="9"/>
    </row>
    <row r="411749" spans="15:15" x14ac:dyDescent="0.25">
      <c r="O411749" s="9"/>
    </row>
    <row r="411770" spans="15:15" x14ac:dyDescent="0.25">
      <c r="O411770" s="9"/>
    </row>
    <row r="411791" spans="15:15" x14ac:dyDescent="0.25">
      <c r="O411791" s="9"/>
    </row>
    <row r="411812" spans="15:15" x14ac:dyDescent="0.25">
      <c r="O411812" s="9"/>
    </row>
    <row r="411833" spans="15:15" x14ac:dyDescent="0.25">
      <c r="O411833" s="9"/>
    </row>
    <row r="411854" spans="15:15" x14ac:dyDescent="0.25">
      <c r="O411854" s="9"/>
    </row>
    <row r="411875" spans="15:15" x14ac:dyDescent="0.25">
      <c r="O411875" s="9"/>
    </row>
    <row r="411896" spans="15:15" x14ac:dyDescent="0.25">
      <c r="O411896" s="9"/>
    </row>
    <row r="411917" spans="15:15" x14ac:dyDescent="0.25">
      <c r="O411917" s="9"/>
    </row>
    <row r="411938" spans="15:15" x14ac:dyDescent="0.25">
      <c r="O411938" s="9"/>
    </row>
    <row r="411959" spans="15:15" x14ac:dyDescent="0.25">
      <c r="O411959" s="9"/>
    </row>
    <row r="411980" spans="15:15" x14ac:dyDescent="0.25">
      <c r="O411980" s="9"/>
    </row>
    <row r="412001" spans="15:15" x14ac:dyDescent="0.25">
      <c r="O412001" s="9"/>
    </row>
    <row r="412022" spans="15:15" x14ac:dyDescent="0.25">
      <c r="O412022" s="9"/>
    </row>
    <row r="412043" spans="15:15" x14ac:dyDescent="0.25">
      <c r="O412043" s="9"/>
    </row>
    <row r="412064" spans="15:15" x14ac:dyDescent="0.25">
      <c r="O412064" s="9"/>
    </row>
    <row r="412085" spans="15:15" x14ac:dyDescent="0.25">
      <c r="O412085" s="9"/>
    </row>
    <row r="412106" spans="15:15" x14ac:dyDescent="0.25">
      <c r="O412106" s="9"/>
    </row>
    <row r="412127" spans="15:15" x14ac:dyDescent="0.25">
      <c r="O412127" s="9"/>
    </row>
    <row r="412148" spans="15:15" x14ac:dyDescent="0.25">
      <c r="O412148" s="9"/>
    </row>
    <row r="412169" spans="15:15" x14ac:dyDescent="0.25">
      <c r="O412169" s="9"/>
    </row>
    <row r="412190" spans="15:15" x14ac:dyDescent="0.25">
      <c r="O412190" s="9"/>
    </row>
    <row r="412211" spans="15:15" x14ac:dyDescent="0.25">
      <c r="O412211" s="9"/>
    </row>
    <row r="412232" spans="15:15" x14ac:dyDescent="0.25">
      <c r="O412232" s="9"/>
    </row>
    <row r="412253" spans="15:15" x14ac:dyDescent="0.25">
      <c r="O412253" s="9"/>
    </row>
    <row r="412274" spans="15:15" x14ac:dyDescent="0.25">
      <c r="O412274" s="9"/>
    </row>
    <row r="412295" spans="15:15" x14ac:dyDescent="0.25">
      <c r="O412295" s="9"/>
    </row>
    <row r="412316" spans="15:15" x14ac:dyDescent="0.25">
      <c r="O412316" s="9"/>
    </row>
    <row r="412337" spans="15:15" x14ac:dyDescent="0.25">
      <c r="O412337" s="9"/>
    </row>
    <row r="412358" spans="15:15" x14ac:dyDescent="0.25">
      <c r="O412358" s="9"/>
    </row>
    <row r="412379" spans="15:15" x14ac:dyDescent="0.25">
      <c r="O412379" s="9"/>
    </row>
    <row r="412400" spans="15:15" x14ac:dyDescent="0.25">
      <c r="O412400" s="9"/>
    </row>
    <row r="412421" spans="15:15" x14ac:dyDescent="0.25">
      <c r="O412421" s="9"/>
    </row>
    <row r="412442" spans="15:15" x14ac:dyDescent="0.25">
      <c r="O412442" s="9"/>
    </row>
    <row r="412463" spans="15:15" x14ac:dyDescent="0.25">
      <c r="O412463" s="9"/>
    </row>
    <row r="412484" spans="15:15" x14ac:dyDescent="0.25">
      <c r="O412484" s="9"/>
    </row>
    <row r="412505" spans="15:15" x14ac:dyDescent="0.25">
      <c r="O412505" s="9"/>
    </row>
    <row r="412526" spans="15:15" x14ac:dyDescent="0.25">
      <c r="O412526" s="9"/>
    </row>
    <row r="412547" spans="15:15" x14ac:dyDescent="0.25">
      <c r="O412547" s="9"/>
    </row>
    <row r="412568" spans="15:15" x14ac:dyDescent="0.25">
      <c r="O412568" s="9"/>
    </row>
    <row r="412589" spans="15:15" x14ac:dyDescent="0.25">
      <c r="O412589" s="9"/>
    </row>
    <row r="412610" spans="15:15" x14ac:dyDescent="0.25">
      <c r="O412610" s="9"/>
    </row>
    <row r="412631" spans="15:15" x14ac:dyDescent="0.25">
      <c r="O412631" s="9"/>
    </row>
    <row r="412652" spans="15:15" x14ac:dyDescent="0.25">
      <c r="O412652" s="9"/>
    </row>
    <row r="412673" spans="15:15" x14ac:dyDescent="0.25">
      <c r="O412673" s="9"/>
    </row>
    <row r="412694" spans="15:15" x14ac:dyDescent="0.25">
      <c r="O412694" s="9"/>
    </row>
    <row r="412715" spans="15:15" x14ac:dyDescent="0.25">
      <c r="O412715" s="9"/>
    </row>
    <row r="412736" spans="15:15" x14ac:dyDescent="0.25">
      <c r="O412736" s="9"/>
    </row>
    <row r="412757" spans="15:15" x14ac:dyDescent="0.25">
      <c r="O412757" s="9"/>
    </row>
    <row r="412778" spans="15:15" x14ac:dyDescent="0.25">
      <c r="O412778" s="9"/>
    </row>
    <row r="412799" spans="15:15" x14ac:dyDescent="0.25">
      <c r="O412799" s="9"/>
    </row>
    <row r="412820" spans="15:15" x14ac:dyDescent="0.25">
      <c r="O412820" s="9"/>
    </row>
    <row r="412841" spans="15:15" x14ac:dyDescent="0.25">
      <c r="O412841" s="9"/>
    </row>
    <row r="412862" spans="15:15" x14ac:dyDescent="0.25">
      <c r="O412862" s="9"/>
    </row>
    <row r="412883" spans="15:15" x14ac:dyDescent="0.25">
      <c r="O412883" s="9"/>
    </row>
    <row r="412904" spans="15:15" x14ac:dyDescent="0.25">
      <c r="O412904" s="9"/>
    </row>
    <row r="412925" spans="15:15" x14ac:dyDescent="0.25">
      <c r="O412925" s="9"/>
    </row>
    <row r="412946" spans="15:15" x14ac:dyDescent="0.25">
      <c r="O412946" s="9"/>
    </row>
    <row r="412967" spans="15:15" x14ac:dyDescent="0.25">
      <c r="O412967" s="9"/>
    </row>
    <row r="412988" spans="15:15" x14ac:dyDescent="0.25">
      <c r="O412988" s="9"/>
    </row>
    <row r="413009" spans="15:15" x14ac:dyDescent="0.25">
      <c r="O413009" s="9"/>
    </row>
    <row r="413030" spans="15:15" x14ac:dyDescent="0.25">
      <c r="O413030" s="9"/>
    </row>
    <row r="413051" spans="15:15" x14ac:dyDescent="0.25">
      <c r="O413051" s="9"/>
    </row>
    <row r="413072" spans="15:15" x14ac:dyDescent="0.25">
      <c r="O413072" s="9"/>
    </row>
    <row r="413093" spans="15:15" x14ac:dyDescent="0.25">
      <c r="O413093" s="9"/>
    </row>
    <row r="413114" spans="15:15" x14ac:dyDescent="0.25">
      <c r="O413114" s="9"/>
    </row>
    <row r="413135" spans="15:15" x14ac:dyDescent="0.25">
      <c r="O413135" s="9"/>
    </row>
    <row r="413156" spans="15:15" x14ac:dyDescent="0.25">
      <c r="O413156" s="9"/>
    </row>
    <row r="413177" spans="15:15" x14ac:dyDescent="0.25">
      <c r="O413177" s="9"/>
    </row>
    <row r="413198" spans="15:15" x14ac:dyDescent="0.25">
      <c r="O413198" s="9"/>
    </row>
    <row r="413219" spans="15:15" x14ac:dyDescent="0.25">
      <c r="O413219" s="9"/>
    </row>
    <row r="413240" spans="15:15" x14ac:dyDescent="0.25">
      <c r="O413240" s="9"/>
    </row>
    <row r="413261" spans="15:15" x14ac:dyDescent="0.25">
      <c r="O413261" s="9"/>
    </row>
    <row r="413282" spans="15:15" x14ac:dyDescent="0.25">
      <c r="O413282" s="9"/>
    </row>
    <row r="413303" spans="15:15" x14ac:dyDescent="0.25">
      <c r="O413303" s="9"/>
    </row>
    <row r="413324" spans="15:15" x14ac:dyDescent="0.25">
      <c r="O413324" s="9"/>
    </row>
    <row r="413345" spans="15:15" x14ac:dyDescent="0.25">
      <c r="O413345" s="9"/>
    </row>
    <row r="413366" spans="15:15" x14ac:dyDescent="0.25">
      <c r="O413366" s="9"/>
    </row>
    <row r="413387" spans="15:15" x14ac:dyDescent="0.25">
      <c r="O413387" s="9"/>
    </row>
    <row r="413408" spans="15:15" x14ac:dyDescent="0.25">
      <c r="O413408" s="9"/>
    </row>
    <row r="413429" spans="15:15" x14ac:dyDescent="0.25">
      <c r="O413429" s="9"/>
    </row>
    <row r="413450" spans="15:15" x14ac:dyDescent="0.25">
      <c r="O413450" s="9"/>
    </row>
    <row r="413471" spans="15:15" x14ac:dyDescent="0.25">
      <c r="O413471" s="9"/>
    </row>
    <row r="413492" spans="15:15" x14ac:dyDescent="0.25">
      <c r="O413492" s="9"/>
    </row>
    <row r="413513" spans="15:15" x14ac:dyDescent="0.25">
      <c r="O413513" s="9"/>
    </row>
    <row r="413534" spans="15:15" x14ac:dyDescent="0.25">
      <c r="O413534" s="9"/>
    </row>
    <row r="413555" spans="15:15" x14ac:dyDescent="0.25">
      <c r="O413555" s="9"/>
    </row>
    <row r="413576" spans="15:15" x14ac:dyDescent="0.25">
      <c r="O413576" s="9"/>
    </row>
    <row r="413597" spans="15:15" x14ac:dyDescent="0.25">
      <c r="O413597" s="9"/>
    </row>
    <row r="413618" spans="15:15" x14ac:dyDescent="0.25">
      <c r="O413618" s="9"/>
    </row>
    <row r="413639" spans="15:15" x14ac:dyDescent="0.25">
      <c r="O413639" s="9"/>
    </row>
    <row r="413660" spans="15:15" x14ac:dyDescent="0.25">
      <c r="O413660" s="9"/>
    </row>
    <row r="413681" spans="15:15" x14ac:dyDescent="0.25">
      <c r="O413681" s="9"/>
    </row>
    <row r="413702" spans="15:15" x14ac:dyDescent="0.25">
      <c r="O413702" s="9"/>
    </row>
    <row r="413723" spans="15:15" x14ac:dyDescent="0.25">
      <c r="O413723" s="9"/>
    </row>
    <row r="413744" spans="15:15" x14ac:dyDescent="0.25">
      <c r="O413744" s="9"/>
    </row>
    <row r="413765" spans="15:15" x14ac:dyDescent="0.25">
      <c r="O413765" s="9"/>
    </row>
    <row r="413786" spans="15:15" x14ac:dyDescent="0.25">
      <c r="O413786" s="9"/>
    </row>
    <row r="413807" spans="15:15" x14ac:dyDescent="0.25">
      <c r="O413807" s="9"/>
    </row>
    <row r="413828" spans="15:15" x14ac:dyDescent="0.25">
      <c r="O413828" s="9"/>
    </row>
    <row r="413849" spans="15:15" x14ac:dyDescent="0.25">
      <c r="O413849" s="9"/>
    </row>
    <row r="413870" spans="15:15" x14ac:dyDescent="0.25">
      <c r="O413870" s="9"/>
    </row>
    <row r="413891" spans="15:15" x14ac:dyDescent="0.25">
      <c r="O413891" s="9"/>
    </row>
    <row r="413912" spans="15:15" x14ac:dyDescent="0.25">
      <c r="O413912" s="9"/>
    </row>
    <row r="413933" spans="15:15" x14ac:dyDescent="0.25">
      <c r="O413933" s="9"/>
    </row>
    <row r="413954" spans="15:15" x14ac:dyDescent="0.25">
      <c r="O413954" s="9"/>
    </row>
    <row r="413975" spans="15:15" x14ac:dyDescent="0.25">
      <c r="O413975" s="9"/>
    </row>
    <row r="413996" spans="15:15" x14ac:dyDescent="0.25">
      <c r="O413996" s="9"/>
    </row>
    <row r="414017" spans="15:15" x14ac:dyDescent="0.25">
      <c r="O414017" s="9"/>
    </row>
    <row r="414038" spans="15:15" x14ac:dyDescent="0.25">
      <c r="O414038" s="9"/>
    </row>
    <row r="414059" spans="15:15" x14ac:dyDescent="0.25">
      <c r="O414059" s="9"/>
    </row>
    <row r="414080" spans="15:15" x14ac:dyDescent="0.25">
      <c r="O414080" s="9"/>
    </row>
    <row r="414101" spans="15:15" x14ac:dyDescent="0.25">
      <c r="O414101" s="9"/>
    </row>
    <row r="414122" spans="15:15" x14ac:dyDescent="0.25">
      <c r="O414122" s="9"/>
    </row>
    <row r="414143" spans="15:15" x14ac:dyDescent="0.25">
      <c r="O414143" s="9"/>
    </row>
    <row r="414164" spans="15:15" x14ac:dyDescent="0.25">
      <c r="O414164" s="9"/>
    </row>
    <row r="414185" spans="15:15" x14ac:dyDescent="0.25">
      <c r="O414185" s="9"/>
    </row>
    <row r="414206" spans="15:15" x14ac:dyDescent="0.25">
      <c r="O414206" s="9"/>
    </row>
    <row r="414227" spans="15:15" x14ac:dyDescent="0.25">
      <c r="O414227" s="9"/>
    </row>
    <row r="414248" spans="15:15" x14ac:dyDescent="0.25">
      <c r="O414248" s="9"/>
    </row>
    <row r="414269" spans="15:15" x14ac:dyDescent="0.25">
      <c r="O414269" s="9"/>
    </row>
    <row r="414290" spans="15:15" x14ac:dyDescent="0.25">
      <c r="O414290" s="9"/>
    </row>
    <row r="414311" spans="15:15" x14ac:dyDescent="0.25">
      <c r="O414311" s="9"/>
    </row>
    <row r="414332" spans="15:15" x14ac:dyDescent="0.25">
      <c r="O414332" s="9"/>
    </row>
    <row r="414353" spans="15:15" x14ac:dyDescent="0.25">
      <c r="O414353" s="9"/>
    </row>
    <row r="414374" spans="15:15" x14ac:dyDescent="0.25">
      <c r="O414374" s="9"/>
    </row>
    <row r="414395" spans="15:15" x14ac:dyDescent="0.25">
      <c r="O414395" s="9"/>
    </row>
    <row r="414416" spans="15:15" x14ac:dyDescent="0.25">
      <c r="O414416" s="9"/>
    </row>
    <row r="414437" spans="15:15" x14ac:dyDescent="0.25">
      <c r="O414437" s="9"/>
    </row>
    <row r="414458" spans="15:15" x14ac:dyDescent="0.25">
      <c r="O414458" s="9"/>
    </row>
    <row r="414479" spans="15:15" x14ac:dyDescent="0.25">
      <c r="O414479" s="9"/>
    </row>
    <row r="414500" spans="15:15" x14ac:dyDescent="0.25">
      <c r="O414500" s="9"/>
    </row>
    <row r="414521" spans="15:15" x14ac:dyDescent="0.25">
      <c r="O414521" s="9"/>
    </row>
    <row r="414542" spans="15:15" x14ac:dyDescent="0.25">
      <c r="O414542" s="9"/>
    </row>
    <row r="414563" spans="15:15" x14ac:dyDescent="0.25">
      <c r="O414563" s="9"/>
    </row>
    <row r="414584" spans="15:15" x14ac:dyDescent="0.25">
      <c r="O414584" s="9"/>
    </row>
    <row r="414605" spans="15:15" x14ac:dyDescent="0.25">
      <c r="O414605" s="9"/>
    </row>
    <row r="414626" spans="15:15" x14ac:dyDescent="0.25">
      <c r="O414626" s="9"/>
    </row>
    <row r="414647" spans="15:15" x14ac:dyDescent="0.25">
      <c r="O414647" s="9"/>
    </row>
    <row r="414668" spans="15:15" x14ac:dyDescent="0.25">
      <c r="O414668" s="9"/>
    </row>
    <row r="414689" spans="15:15" x14ac:dyDescent="0.25">
      <c r="O414689" s="9"/>
    </row>
    <row r="414710" spans="15:15" x14ac:dyDescent="0.25">
      <c r="O414710" s="9"/>
    </row>
    <row r="414731" spans="15:15" x14ac:dyDescent="0.25">
      <c r="O414731" s="9"/>
    </row>
    <row r="414752" spans="15:15" x14ac:dyDescent="0.25">
      <c r="O414752" s="9"/>
    </row>
    <row r="414773" spans="15:15" x14ac:dyDescent="0.25">
      <c r="O414773" s="9"/>
    </row>
    <row r="414794" spans="15:15" x14ac:dyDescent="0.25">
      <c r="O414794" s="9"/>
    </row>
    <row r="414815" spans="15:15" x14ac:dyDescent="0.25">
      <c r="O414815" s="9"/>
    </row>
    <row r="414836" spans="15:15" x14ac:dyDescent="0.25">
      <c r="O414836" s="9"/>
    </row>
    <row r="414857" spans="15:15" x14ac:dyDescent="0.25">
      <c r="O414857" s="9"/>
    </row>
    <row r="414878" spans="15:15" x14ac:dyDescent="0.25">
      <c r="O414878" s="9"/>
    </row>
    <row r="414899" spans="15:15" x14ac:dyDescent="0.25">
      <c r="O414899" s="9"/>
    </row>
    <row r="414920" spans="15:15" x14ac:dyDescent="0.25">
      <c r="O414920" s="9"/>
    </row>
    <row r="414941" spans="15:15" x14ac:dyDescent="0.25">
      <c r="O414941" s="9"/>
    </row>
    <row r="414962" spans="15:15" x14ac:dyDescent="0.25">
      <c r="O414962" s="9"/>
    </row>
    <row r="414983" spans="15:15" x14ac:dyDescent="0.25">
      <c r="O414983" s="9"/>
    </row>
    <row r="415004" spans="15:15" x14ac:dyDescent="0.25">
      <c r="O415004" s="9"/>
    </row>
    <row r="415025" spans="15:15" x14ac:dyDescent="0.25">
      <c r="O415025" s="9"/>
    </row>
    <row r="415046" spans="15:15" x14ac:dyDescent="0.25">
      <c r="O415046" s="9"/>
    </row>
    <row r="415067" spans="15:15" x14ac:dyDescent="0.25">
      <c r="O415067" s="9"/>
    </row>
    <row r="415088" spans="15:15" x14ac:dyDescent="0.25">
      <c r="O415088" s="9"/>
    </row>
    <row r="415109" spans="15:15" x14ac:dyDescent="0.25">
      <c r="O415109" s="9"/>
    </row>
    <row r="415130" spans="15:15" x14ac:dyDescent="0.25">
      <c r="O415130" s="9"/>
    </row>
    <row r="415151" spans="15:15" x14ac:dyDescent="0.25">
      <c r="O415151" s="9"/>
    </row>
    <row r="415172" spans="15:15" x14ac:dyDescent="0.25">
      <c r="O415172" s="9"/>
    </row>
    <row r="415193" spans="15:15" x14ac:dyDescent="0.25">
      <c r="O415193" s="9"/>
    </row>
    <row r="415214" spans="15:15" x14ac:dyDescent="0.25">
      <c r="O415214" s="9"/>
    </row>
    <row r="415235" spans="15:15" x14ac:dyDescent="0.25">
      <c r="O415235" s="9"/>
    </row>
    <row r="415256" spans="15:15" x14ac:dyDescent="0.25">
      <c r="O415256" s="9"/>
    </row>
    <row r="415277" spans="15:15" x14ac:dyDescent="0.25">
      <c r="O415277" s="9"/>
    </row>
    <row r="415298" spans="15:15" x14ac:dyDescent="0.25">
      <c r="O415298" s="9"/>
    </row>
    <row r="415319" spans="15:15" x14ac:dyDescent="0.25">
      <c r="O415319" s="9"/>
    </row>
    <row r="415340" spans="15:15" x14ac:dyDescent="0.25">
      <c r="O415340" s="9"/>
    </row>
    <row r="415361" spans="15:15" x14ac:dyDescent="0.25">
      <c r="O415361" s="9"/>
    </row>
    <row r="415382" spans="15:15" x14ac:dyDescent="0.25">
      <c r="O415382" s="9"/>
    </row>
    <row r="415403" spans="15:15" x14ac:dyDescent="0.25">
      <c r="O415403" s="9"/>
    </row>
    <row r="415424" spans="15:15" x14ac:dyDescent="0.25">
      <c r="O415424" s="9"/>
    </row>
    <row r="415445" spans="15:15" x14ac:dyDescent="0.25">
      <c r="O415445" s="9"/>
    </row>
    <row r="415466" spans="15:15" x14ac:dyDescent="0.25">
      <c r="O415466" s="9"/>
    </row>
    <row r="415487" spans="15:15" x14ac:dyDescent="0.25">
      <c r="O415487" s="9"/>
    </row>
    <row r="415508" spans="15:15" x14ac:dyDescent="0.25">
      <c r="O415508" s="9"/>
    </row>
    <row r="415529" spans="15:15" x14ac:dyDescent="0.25">
      <c r="O415529" s="9"/>
    </row>
    <row r="415550" spans="15:15" x14ac:dyDescent="0.25">
      <c r="O415550" s="9"/>
    </row>
    <row r="415571" spans="15:15" x14ac:dyDescent="0.25">
      <c r="O415571" s="9"/>
    </row>
    <row r="415592" spans="15:15" x14ac:dyDescent="0.25">
      <c r="O415592" s="9"/>
    </row>
    <row r="415613" spans="15:15" x14ac:dyDescent="0.25">
      <c r="O415613" s="9"/>
    </row>
    <row r="415634" spans="15:15" x14ac:dyDescent="0.25">
      <c r="O415634" s="9"/>
    </row>
    <row r="415655" spans="15:15" x14ac:dyDescent="0.25">
      <c r="O415655" s="9"/>
    </row>
    <row r="415676" spans="15:15" x14ac:dyDescent="0.25">
      <c r="O415676" s="9"/>
    </row>
    <row r="415697" spans="15:15" x14ac:dyDescent="0.25">
      <c r="O415697" s="9"/>
    </row>
    <row r="415718" spans="15:15" x14ac:dyDescent="0.25">
      <c r="O415718" s="9"/>
    </row>
    <row r="415739" spans="15:15" x14ac:dyDescent="0.25">
      <c r="O415739" s="9"/>
    </row>
    <row r="415760" spans="15:15" x14ac:dyDescent="0.25">
      <c r="O415760" s="9"/>
    </row>
    <row r="415781" spans="15:15" x14ac:dyDescent="0.25">
      <c r="O415781" s="9"/>
    </row>
    <row r="415802" spans="15:15" x14ac:dyDescent="0.25">
      <c r="O415802" s="9"/>
    </row>
    <row r="415823" spans="15:15" x14ac:dyDescent="0.25">
      <c r="O415823" s="9"/>
    </row>
    <row r="415844" spans="15:15" x14ac:dyDescent="0.25">
      <c r="O415844" s="9"/>
    </row>
    <row r="415865" spans="15:15" x14ac:dyDescent="0.25">
      <c r="O415865" s="9"/>
    </row>
    <row r="415886" spans="15:15" x14ac:dyDescent="0.25">
      <c r="O415886" s="9"/>
    </row>
    <row r="415907" spans="15:15" x14ac:dyDescent="0.25">
      <c r="O415907" s="9"/>
    </row>
    <row r="415928" spans="15:15" x14ac:dyDescent="0.25">
      <c r="O415928" s="9"/>
    </row>
    <row r="415949" spans="15:15" x14ac:dyDescent="0.25">
      <c r="O415949" s="9"/>
    </row>
    <row r="415970" spans="15:15" x14ac:dyDescent="0.25">
      <c r="O415970" s="9"/>
    </row>
    <row r="415991" spans="15:15" x14ac:dyDescent="0.25">
      <c r="O415991" s="9"/>
    </row>
    <row r="416012" spans="15:15" x14ac:dyDescent="0.25">
      <c r="O416012" s="9"/>
    </row>
    <row r="416033" spans="15:15" x14ac:dyDescent="0.25">
      <c r="O416033" s="9"/>
    </row>
    <row r="416054" spans="15:15" x14ac:dyDescent="0.25">
      <c r="O416054" s="9"/>
    </row>
    <row r="416075" spans="15:15" x14ac:dyDescent="0.25">
      <c r="O416075" s="9"/>
    </row>
    <row r="416096" spans="15:15" x14ac:dyDescent="0.25">
      <c r="O416096" s="9"/>
    </row>
    <row r="416117" spans="15:15" x14ac:dyDescent="0.25">
      <c r="O416117" s="9"/>
    </row>
    <row r="416138" spans="15:15" x14ac:dyDescent="0.25">
      <c r="O416138" s="9"/>
    </row>
    <row r="416159" spans="15:15" x14ac:dyDescent="0.25">
      <c r="O416159" s="9"/>
    </row>
    <row r="416180" spans="15:15" x14ac:dyDescent="0.25">
      <c r="O416180" s="9"/>
    </row>
    <row r="416201" spans="15:15" x14ac:dyDescent="0.25">
      <c r="O416201" s="9"/>
    </row>
    <row r="416222" spans="15:15" x14ac:dyDescent="0.25">
      <c r="O416222" s="9"/>
    </row>
    <row r="416243" spans="15:15" x14ac:dyDescent="0.25">
      <c r="O416243" s="9"/>
    </row>
    <row r="416264" spans="15:15" x14ac:dyDescent="0.25">
      <c r="O416264" s="9"/>
    </row>
    <row r="416285" spans="15:15" x14ac:dyDescent="0.25">
      <c r="O416285" s="9"/>
    </row>
    <row r="416306" spans="15:15" x14ac:dyDescent="0.25">
      <c r="O416306" s="9"/>
    </row>
    <row r="416327" spans="15:15" x14ac:dyDescent="0.25">
      <c r="O416327" s="9"/>
    </row>
    <row r="416348" spans="15:15" x14ac:dyDescent="0.25">
      <c r="O416348" s="9"/>
    </row>
    <row r="416369" spans="15:15" x14ac:dyDescent="0.25">
      <c r="O416369" s="9"/>
    </row>
    <row r="416390" spans="15:15" x14ac:dyDescent="0.25">
      <c r="O416390" s="9"/>
    </row>
    <row r="416411" spans="15:15" x14ac:dyDescent="0.25">
      <c r="O416411" s="9"/>
    </row>
    <row r="416432" spans="15:15" x14ac:dyDescent="0.25">
      <c r="O416432" s="9"/>
    </row>
    <row r="416453" spans="15:15" x14ac:dyDescent="0.25">
      <c r="O416453" s="9"/>
    </row>
    <row r="416474" spans="15:15" x14ac:dyDescent="0.25">
      <c r="O416474" s="9"/>
    </row>
    <row r="416495" spans="15:15" x14ac:dyDescent="0.25">
      <c r="O416495" s="9"/>
    </row>
    <row r="416516" spans="15:15" x14ac:dyDescent="0.25">
      <c r="O416516" s="9"/>
    </row>
    <row r="416537" spans="15:15" x14ac:dyDescent="0.25">
      <c r="O416537" s="9"/>
    </row>
    <row r="416558" spans="15:15" x14ac:dyDescent="0.25">
      <c r="O416558" s="9"/>
    </row>
    <row r="416579" spans="15:15" x14ac:dyDescent="0.25">
      <c r="O416579" s="9"/>
    </row>
    <row r="416600" spans="15:15" x14ac:dyDescent="0.25">
      <c r="O416600" s="9"/>
    </row>
    <row r="416621" spans="15:15" x14ac:dyDescent="0.25">
      <c r="O416621" s="9"/>
    </row>
    <row r="416642" spans="15:15" x14ac:dyDescent="0.25">
      <c r="O416642" s="9"/>
    </row>
    <row r="416663" spans="15:15" x14ac:dyDescent="0.25">
      <c r="O416663" s="9"/>
    </row>
    <row r="416684" spans="15:15" x14ac:dyDescent="0.25">
      <c r="O416684" s="9"/>
    </row>
    <row r="416705" spans="15:15" x14ac:dyDescent="0.25">
      <c r="O416705" s="9"/>
    </row>
    <row r="416726" spans="15:15" x14ac:dyDescent="0.25">
      <c r="O416726" s="9"/>
    </row>
    <row r="416747" spans="15:15" x14ac:dyDescent="0.25">
      <c r="O416747" s="9"/>
    </row>
    <row r="416768" spans="15:15" x14ac:dyDescent="0.25">
      <c r="O416768" s="9"/>
    </row>
    <row r="416789" spans="15:15" x14ac:dyDescent="0.25">
      <c r="O416789" s="9"/>
    </row>
    <row r="416810" spans="15:15" x14ac:dyDescent="0.25">
      <c r="O416810" s="9"/>
    </row>
    <row r="416831" spans="15:15" x14ac:dyDescent="0.25">
      <c r="O416831" s="9"/>
    </row>
    <row r="416852" spans="15:15" x14ac:dyDescent="0.25">
      <c r="O416852" s="9"/>
    </row>
    <row r="416873" spans="15:15" x14ac:dyDescent="0.25">
      <c r="O416873" s="9"/>
    </row>
    <row r="416894" spans="15:15" x14ac:dyDescent="0.25">
      <c r="O416894" s="9"/>
    </row>
    <row r="416915" spans="15:15" x14ac:dyDescent="0.25">
      <c r="O416915" s="9"/>
    </row>
    <row r="416936" spans="15:15" x14ac:dyDescent="0.25">
      <c r="O416936" s="9"/>
    </row>
    <row r="416957" spans="15:15" x14ac:dyDescent="0.25">
      <c r="O416957" s="9"/>
    </row>
    <row r="416978" spans="15:15" x14ac:dyDescent="0.25">
      <c r="O416978" s="9"/>
    </row>
    <row r="416999" spans="15:15" x14ac:dyDescent="0.25">
      <c r="O416999" s="9"/>
    </row>
    <row r="417020" spans="15:15" x14ac:dyDescent="0.25">
      <c r="O417020" s="9"/>
    </row>
    <row r="417041" spans="15:15" x14ac:dyDescent="0.25">
      <c r="O417041" s="9"/>
    </row>
    <row r="417062" spans="15:15" x14ac:dyDescent="0.25">
      <c r="O417062" s="9"/>
    </row>
    <row r="417083" spans="15:15" x14ac:dyDescent="0.25">
      <c r="O417083" s="9"/>
    </row>
    <row r="417104" spans="15:15" x14ac:dyDescent="0.25">
      <c r="O417104" s="9"/>
    </row>
    <row r="417125" spans="15:15" x14ac:dyDescent="0.25">
      <c r="O417125" s="9"/>
    </row>
    <row r="417146" spans="15:15" x14ac:dyDescent="0.25">
      <c r="O417146" s="9"/>
    </row>
    <row r="417167" spans="15:15" x14ac:dyDescent="0.25">
      <c r="O417167" s="9"/>
    </row>
    <row r="417188" spans="15:15" x14ac:dyDescent="0.25">
      <c r="O417188" s="9"/>
    </row>
    <row r="417209" spans="15:15" x14ac:dyDescent="0.25">
      <c r="O417209" s="9"/>
    </row>
    <row r="417230" spans="15:15" x14ac:dyDescent="0.25">
      <c r="O417230" s="9"/>
    </row>
    <row r="417251" spans="15:15" x14ac:dyDescent="0.25">
      <c r="O417251" s="9"/>
    </row>
    <row r="417272" spans="15:15" x14ac:dyDescent="0.25">
      <c r="O417272" s="9"/>
    </row>
    <row r="417293" spans="15:15" x14ac:dyDescent="0.25">
      <c r="O417293" s="9"/>
    </row>
    <row r="417314" spans="15:15" x14ac:dyDescent="0.25">
      <c r="O417314" s="9"/>
    </row>
    <row r="417335" spans="15:15" x14ac:dyDescent="0.25">
      <c r="O417335" s="9"/>
    </row>
    <row r="417356" spans="15:15" x14ac:dyDescent="0.25">
      <c r="O417356" s="9"/>
    </row>
    <row r="417377" spans="15:15" x14ac:dyDescent="0.25">
      <c r="O417377" s="9"/>
    </row>
    <row r="417398" spans="15:15" x14ac:dyDescent="0.25">
      <c r="O417398" s="9"/>
    </row>
    <row r="417419" spans="15:15" x14ac:dyDescent="0.25">
      <c r="O417419" s="9"/>
    </row>
    <row r="417440" spans="15:15" x14ac:dyDescent="0.25">
      <c r="O417440" s="9"/>
    </row>
    <row r="417461" spans="15:15" x14ac:dyDescent="0.25">
      <c r="O417461" s="9"/>
    </row>
    <row r="417482" spans="15:15" x14ac:dyDescent="0.25">
      <c r="O417482" s="9"/>
    </row>
    <row r="417503" spans="15:15" x14ac:dyDescent="0.25">
      <c r="O417503" s="9"/>
    </row>
    <row r="417524" spans="15:15" x14ac:dyDescent="0.25">
      <c r="O417524" s="9"/>
    </row>
    <row r="417545" spans="15:15" x14ac:dyDescent="0.25">
      <c r="O417545" s="9"/>
    </row>
    <row r="417566" spans="15:15" x14ac:dyDescent="0.25">
      <c r="O417566" s="9"/>
    </row>
    <row r="417587" spans="15:15" x14ac:dyDescent="0.25">
      <c r="O417587" s="9"/>
    </row>
    <row r="417608" spans="15:15" x14ac:dyDescent="0.25">
      <c r="O417608" s="9"/>
    </row>
    <row r="417629" spans="15:15" x14ac:dyDescent="0.25">
      <c r="O417629" s="9"/>
    </row>
    <row r="417650" spans="15:15" x14ac:dyDescent="0.25">
      <c r="O417650" s="9"/>
    </row>
    <row r="417671" spans="15:15" x14ac:dyDescent="0.25">
      <c r="O417671" s="9"/>
    </row>
    <row r="417692" spans="15:15" x14ac:dyDescent="0.25">
      <c r="O417692" s="9"/>
    </row>
    <row r="417713" spans="15:15" x14ac:dyDescent="0.25">
      <c r="O417713" s="9"/>
    </row>
    <row r="417734" spans="15:15" x14ac:dyDescent="0.25">
      <c r="O417734" s="9"/>
    </row>
    <row r="417755" spans="15:15" x14ac:dyDescent="0.25">
      <c r="O417755" s="9"/>
    </row>
    <row r="417776" spans="15:15" x14ac:dyDescent="0.25">
      <c r="O417776" s="9"/>
    </row>
    <row r="417797" spans="15:15" x14ac:dyDescent="0.25">
      <c r="O417797" s="9"/>
    </row>
    <row r="417818" spans="15:15" x14ac:dyDescent="0.25">
      <c r="O417818" s="9"/>
    </row>
    <row r="417839" spans="15:15" x14ac:dyDescent="0.25">
      <c r="O417839" s="9"/>
    </row>
    <row r="417860" spans="15:15" x14ac:dyDescent="0.25">
      <c r="O417860" s="9"/>
    </row>
    <row r="417881" spans="15:15" x14ac:dyDescent="0.25">
      <c r="O417881" s="9"/>
    </row>
    <row r="417902" spans="15:15" x14ac:dyDescent="0.25">
      <c r="O417902" s="9"/>
    </row>
    <row r="417923" spans="15:15" x14ac:dyDescent="0.25">
      <c r="O417923" s="9"/>
    </row>
    <row r="417944" spans="15:15" x14ac:dyDescent="0.25">
      <c r="O417944" s="9"/>
    </row>
    <row r="417965" spans="15:15" x14ac:dyDescent="0.25">
      <c r="O417965" s="9"/>
    </row>
    <row r="417986" spans="15:15" x14ac:dyDescent="0.25">
      <c r="O417986" s="9"/>
    </row>
    <row r="418007" spans="15:15" x14ac:dyDescent="0.25">
      <c r="O418007" s="9"/>
    </row>
    <row r="418028" spans="15:15" x14ac:dyDescent="0.25">
      <c r="O418028" s="9"/>
    </row>
    <row r="418049" spans="15:15" x14ac:dyDescent="0.25">
      <c r="O418049" s="9"/>
    </row>
    <row r="418070" spans="15:15" x14ac:dyDescent="0.25">
      <c r="O418070" s="9"/>
    </row>
    <row r="418091" spans="15:15" x14ac:dyDescent="0.25">
      <c r="O418091" s="9"/>
    </row>
    <row r="418112" spans="15:15" x14ac:dyDescent="0.25">
      <c r="O418112" s="9"/>
    </row>
    <row r="418133" spans="15:15" x14ac:dyDescent="0.25">
      <c r="O418133" s="9"/>
    </row>
    <row r="418154" spans="15:15" x14ac:dyDescent="0.25">
      <c r="O418154" s="9"/>
    </row>
    <row r="418175" spans="15:15" x14ac:dyDescent="0.25">
      <c r="O418175" s="9"/>
    </row>
    <row r="418196" spans="15:15" x14ac:dyDescent="0.25">
      <c r="O418196" s="9"/>
    </row>
    <row r="418217" spans="15:15" x14ac:dyDescent="0.25">
      <c r="O418217" s="9"/>
    </row>
    <row r="418238" spans="15:15" x14ac:dyDescent="0.25">
      <c r="O418238" s="9"/>
    </row>
    <row r="418259" spans="15:15" x14ac:dyDescent="0.25">
      <c r="O418259" s="9"/>
    </row>
    <row r="418280" spans="15:15" x14ac:dyDescent="0.25">
      <c r="O418280" s="9"/>
    </row>
    <row r="418301" spans="15:15" x14ac:dyDescent="0.25">
      <c r="O418301" s="9"/>
    </row>
    <row r="418322" spans="15:15" x14ac:dyDescent="0.25">
      <c r="O418322" s="9"/>
    </row>
    <row r="418343" spans="15:15" x14ac:dyDescent="0.25">
      <c r="O418343" s="9"/>
    </row>
    <row r="418364" spans="15:15" x14ac:dyDescent="0.25">
      <c r="O418364" s="9"/>
    </row>
    <row r="418385" spans="15:15" x14ac:dyDescent="0.25">
      <c r="O418385" s="9"/>
    </row>
    <row r="418406" spans="15:15" x14ac:dyDescent="0.25">
      <c r="O418406" s="9"/>
    </row>
    <row r="418427" spans="15:15" x14ac:dyDescent="0.25">
      <c r="O418427" s="9"/>
    </row>
    <row r="418448" spans="15:15" x14ac:dyDescent="0.25">
      <c r="O418448" s="9"/>
    </row>
    <row r="418469" spans="15:15" x14ac:dyDescent="0.25">
      <c r="O418469" s="9"/>
    </row>
    <row r="418490" spans="15:15" x14ac:dyDescent="0.25">
      <c r="O418490" s="9"/>
    </row>
    <row r="418511" spans="15:15" x14ac:dyDescent="0.25">
      <c r="O418511" s="9"/>
    </row>
    <row r="418532" spans="15:15" x14ac:dyDescent="0.25">
      <c r="O418532" s="9"/>
    </row>
    <row r="418553" spans="15:15" x14ac:dyDescent="0.25">
      <c r="O418553" s="9"/>
    </row>
    <row r="418574" spans="15:15" x14ac:dyDescent="0.25">
      <c r="O418574" s="9"/>
    </row>
    <row r="418595" spans="15:15" x14ac:dyDescent="0.25">
      <c r="O418595" s="9"/>
    </row>
    <row r="418616" spans="15:15" x14ac:dyDescent="0.25">
      <c r="O418616" s="9"/>
    </row>
    <row r="418637" spans="15:15" x14ac:dyDescent="0.25">
      <c r="O418637" s="9"/>
    </row>
    <row r="418658" spans="15:15" x14ac:dyDescent="0.25">
      <c r="O418658" s="9"/>
    </row>
    <row r="418679" spans="15:15" x14ac:dyDescent="0.25">
      <c r="O418679" s="9"/>
    </row>
    <row r="418700" spans="15:15" x14ac:dyDescent="0.25">
      <c r="O418700" s="9"/>
    </row>
    <row r="418721" spans="15:15" x14ac:dyDescent="0.25">
      <c r="O418721" s="9"/>
    </row>
    <row r="418742" spans="15:15" x14ac:dyDescent="0.25">
      <c r="O418742" s="9"/>
    </row>
    <row r="418763" spans="15:15" x14ac:dyDescent="0.25">
      <c r="O418763" s="9"/>
    </row>
    <row r="418784" spans="15:15" x14ac:dyDescent="0.25">
      <c r="O418784" s="9"/>
    </row>
    <row r="418805" spans="15:15" x14ac:dyDescent="0.25">
      <c r="O418805" s="9"/>
    </row>
    <row r="418826" spans="15:15" x14ac:dyDescent="0.25">
      <c r="O418826" s="9"/>
    </row>
    <row r="418847" spans="15:15" x14ac:dyDescent="0.25">
      <c r="O418847" s="9"/>
    </row>
    <row r="418868" spans="15:15" x14ac:dyDescent="0.25">
      <c r="O418868" s="9"/>
    </row>
    <row r="418889" spans="15:15" x14ac:dyDescent="0.25">
      <c r="O418889" s="9"/>
    </row>
    <row r="418910" spans="15:15" x14ac:dyDescent="0.25">
      <c r="O418910" s="9"/>
    </row>
    <row r="418931" spans="15:15" x14ac:dyDescent="0.25">
      <c r="O418931" s="9"/>
    </row>
    <row r="418952" spans="15:15" x14ac:dyDescent="0.25">
      <c r="O418952" s="9"/>
    </row>
    <row r="418973" spans="15:15" x14ac:dyDescent="0.25">
      <c r="O418973" s="9"/>
    </row>
    <row r="418994" spans="15:15" x14ac:dyDescent="0.25">
      <c r="O418994" s="9"/>
    </row>
    <row r="419015" spans="15:15" x14ac:dyDescent="0.25">
      <c r="O419015" s="9"/>
    </row>
    <row r="419036" spans="15:15" x14ac:dyDescent="0.25">
      <c r="O419036" s="9"/>
    </row>
    <row r="419057" spans="15:15" x14ac:dyDescent="0.25">
      <c r="O419057" s="9"/>
    </row>
    <row r="419078" spans="15:15" x14ac:dyDescent="0.25">
      <c r="O419078" s="9"/>
    </row>
    <row r="419099" spans="15:15" x14ac:dyDescent="0.25">
      <c r="O419099" s="9"/>
    </row>
    <row r="419120" spans="15:15" x14ac:dyDescent="0.25">
      <c r="O419120" s="9"/>
    </row>
    <row r="419141" spans="15:15" x14ac:dyDescent="0.25">
      <c r="O419141" s="9"/>
    </row>
    <row r="419162" spans="15:15" x14ac:dyDescent="0.25">
      <c r="O419162" s="9"/>
    </row>
    <row r="419183" spans="15:15" x14ac:dyDescent="0.25">
      <c r="O419183" s="9"/>
    </row>
    <row r="419204" spans="15:15" x14ac:dyDescent="0.25">
      <c r="O419204" s="9"/>
    </row>
    <row r="419225" spans="15:15" x14ac:dyDescent="0.25">
      <c r="O419225" s="9"/>
    </row>
    <row r="419246" spans="15:15" x14ac:dyDescent="0.25">
      <c r="O419246" s="9"/>
    </row>
    <row r="419267" spans="15:15" x14ac:dyDescent="0.25">
      <c r="O419267" s="9"/>
    </row>
    <row r="419288" spans="15:15" x14ac:dyDescent="0.25">
      <c r="O419288" s="9"/>
    </row>
    <row r="419309" spans="15:15" x14ac:dyDescent="0.25">
      <c r="O419309" s="9"/>
    </row>
    <row r="419330" spans="15:15" x14ac:dyDescent="0.25">
      <c r="O419330" s="9"/>
    </row>
    <row r="419351" spans="15:15" x14ac:dyDescent="0.25">
      <c r="O419351" s="9"/>
    </row>
    <row r="419372" spans="15:15" x14ac:dyDescent="0.25">
      <c r="O419372" s="9"/>
    </row>
    <row r="419393" spans="15:15" x14ac:dyDescent="0.25">
      <c r="O419393" s="9"/>
    </row>
    <row r="419414" spans="15:15" x14ac:dyDescent="0.25">
      <c r="O419414" s="9"/>
    </row>
    <row r="419435" spans="15:15" x14ac:dyDescent="0.25">
      <c r="O419435" s="9"/>
    </row>
    <row r="419456" spans="15:15" x14ac:dyDescent="0.25">
      <c r="O419456" s="9"/>
    </row>
    <row r="419477" spans="15:15" x14ac:dyDescent="0.25">
      <c r="O419477" s="9"/>
    </row>
    <row r="419498" spans="15:15" x14ac:dyDescent="0.25">
      <c r="O419498" s="9"/>
    </row>
    <row r="419519" spans="15:15" x14ac:dyDescent="0.25">
      <c r="O419519" s="9"/>
    </row>
    <row r="419540" spans="15:15" x14ac:dyDescent="0.25">
      <c r="O419540" s="9"/>
    </row>
    <row r="419561" spans="15:15" x14ac:dyDescent="0.25">
      <c r="O419561" s="9"/>
    </row>
    <row r="419582" spans="15:15" x14ac:dyDescent="0.25">
      <c r="O419582" s="9"/>
    </row>
    <row r="419603" spans="15:15" x14ac:dyDescent="0.25">
      <c r="O419603" s="9"/>
    </row>
    <row r="419624" spans="15:15" x14ac:dyDescent="0.25">
      <c r="O419624" s="9"/>
    </row>
    <row r="419645" spans="15:15" x14ac:dyDescent="0.25">
      <c r="O419645" s="9"/>
    </row>
    <row r="419666" spans="15:15" x14ac:dyDescent="0.25">
      <c r="O419666" s="9"/>
    </row>
    <row r="419687" spans="15:15" x14ac:dyDescent="0.25">
      <c r="O419687" s="9"/>
    </row>
    <row r="419708" spans="15:15" x14ac:dyDescent="0.25">
      <c r="O419708" s="9"/>
    </row>
    <row r="419729" spans="15:15" x14ac:dyDescent="0.25">
      <c r="O419729" s="9"/>
    </row>
    <row r="419750" spans="15:15" x14ac:dyDescent="0.25">
      <c r="O419750" s="9"/>
    </row>
    <row r="419771" spans="15:15" x14ac:dyDescent="0.25">
      <c r="O419771" s="9"/>
    </row>
    <row r="419792" spans="15:15" x14ac:dyDescent="0.25">
      <c r="O419792" s="9"/>
    </row>
    <row r="419813" spans="15:15" x14ac:dyDescent="0.25">
      <c r="O419813" s="9"/>
    </row>
    <row r="419834" spans="15:15" x14ac:dyDescent="0.25">
      <c r="O419834" s="9"/>
    </row>
    <row r="419855" spans="15:15" x14ac:dyDescent="0.25">
      <c r="O419855" s="9"/>
    </row>
    <row r="419876" spans="15:15" x14ac:dyDescent="0.25">
      <c r="O419876" s="9"/>
    </row>
    <row r="419897" spans="15:15" x14ac:dyDescent="0.25">
      <c r="O419897" s="9"/>
    </row>
    <row r="419918" spans="15:15" x14ac:dyDescent="0.25">
      <c r="O419918" s="9"/>
    </row>
    <row r="419939" spans="15:15" x14ac:dyDescent="0.25">
      <c r="O419939" s="9"/>
    </row>
    <row r="419960" spans="15:15" x14ac:dyDescent="0.25">
      <c r="O419960" s="9"/>
    </row>
    <row r="419981" spans="15:15" x14ac:dyDescent="0.25">
      <c r="O419981" s="9"/>
    </row>
    <row r="420002" spans="15:15" x14ac:dyDescent="0.25">
      <c r="O420002" s="9"/>
    </row>
    <row r="420023" spans="15:15" x14ac:dyDescent="0.25">
      <c r="O420023" s="9"/>
    </row>
    <row r="420044" spans="15:15" x14ac:dyDescent="0.25">
      <c r="O420044" s="9"/>
    </row>
    <row r="420065" spans="15:15" x14ac:dyDescent="0.25">
      <c r="O420065" s="9"/>
    </row>
    <row r="420086" spans="15:15" x14ac:dyDescent="0.25">
      <c r="O420086" s="9"/>
    </row>
    <row r="420107" spans="15:15" x14ac:dyDescent="0.25">
      <c r="O420107" s="9"/>
    </row>
    <row r="420128" spans="15:15" x14ac:dyDescent="0.25">
      <c r="O420128" s="9"/>
    </row>
    <row r="420149" spans="15:15" x14ac:dyDescent="0.25">
      <c r="O420149" s="9"/>
    </row>
    <row r="420170" spans="15:15" x14ac:dyDescent="0.25">
      <c r="O420170" s="9"/>
    </row>
    <row r="420191" spans="15:15" x14ac:dyDescent="0.25">
      <c r="O420191" s="9"/>
    </row>
    <row r="420212" spans="15:15" x14ac:dyDescent="0.25">
      <c r="O420212" s="9"/>
    </row>
    <row r="420233" spans="15:15" x14ac:dyDescent="0.25">
      <c r="O420233" s="9"/>
    </row>
    <row r="420254" spans="15:15" x14ac:dyDescent="0.25">
      <c r="O420254" s="9"/>
    </row>
    <row r="420275" spans="15:15" x14ac:dyDescent="0.25">
      <c r="O420275" s="9"/>
    </row>
    <row r="420296" spans="15:15" x14ac:dyDescent="0.25">
      <c r="O420296" s="9"/>
    </row>
    <row r="420317" spans="15:15" x14ac:dyDescent="0.25">
      <c r="O420317" s="9"/>
    </row>
    <row r="420338" spans="15:15" x14ac:dyDescent="0.25">
      <c r="O420338" s="9"/>
    </row>
    <row r="420359" spans="15:15" x14ac:dyDescent="0.25">
      <c r="O420359" s="9"/>
    </row>
    <row r="420380" spans="15:15" x14ac:dyDescent="0.25">
      <c r="O420380" s="9"/>
    </row>
    <row r="420401" spans="15:15" x14ac:dyDescent="0.25">
      <c r="O420401" s="9"/>
    </row>
    <row r="420422" spans="15:15" x14ac:dyDescent="0.25">
      <c r="O420422" s="9"/>
    </row>
    <row r="420443" spans="15:15" x14ac:dyDescent="0.25">
      <c r="O420443" s="9"/>
    </row>
    <row r="420464" spans="15:15" x14ac:dyDescent="0.25">
      <c r="O420464" s="9"/>
    </row>
    <row r="420485" spans="15:15" x14ac:dyDescent="0.25">
      <c r="O420485" s="9"/>
    </row>
    <row r="420506" spans="15:15" x14ac:dyDescent="0.25">
      <c r="O420506" s="9"/>
    </row>
    <row r="420527" spans="15:15" x14ac:dyDescent="0.25">
      <c r="O420527" s="9"/>
    </row>
    <row r="420548" spans="15:15" x14ac:dyDescent="0.25">
      <c r="O420548" s="9"/>
    </row>
    <row r="420569" spans="15:15" x14ac:dyDescent="0.25">
      <c r="O420569" s="9"/>
    </row>
    <row r="420590" spans="15:15" x14ac:dyDescent="0.25">
      <c r="O420590" s="9"/>
    </row>
    <row r="420611" spans="15:15" x14ac:dyDescent="0.25">
      <c r="O420611" s="9"/>
    </row>
    <row r="420632" spans="15:15" x14ac:dyDescent="0.25">
      <c r="O420632" s="9"/>
    </row>
    <row r="420653" spans="15:15" x14ac:dyDescent="0.25">
      <c r="O420653" s="9"/>
    </row>
    <row r="420674" spans="15:15" x14ac:dyDescent="0.25">
      <c r="O420674" s="9"/>
    </row>
    <row r="420695" spans="15:15" x14ac:dyDescent="0.25">
      <c r="O420695" s="9"/>
    </row>
    <row r="420716" spans="15:15" x14ac:dyDescent="0.25">
      <c r="O420716" s="9"/>
    </row>
    <row r="420737" spans="15:15" x14ac:dyDescent="0.25">
      <c r="O420737" s="9"/>
    </row>
    <row r="420758" spans="15:15" x14ac:dyDescent="0.25">
      <c r="O420758" s="9"/>
    </row>
    <row r="420779" spans="15:15" x14ac:dyDescent="0.25">
      <c r="O420779" s="9"/>
    </row>
    <row r="420800" spans="15:15" x14ac:dyDescent="0.25">
      <c r="O420800" s="9"/>
    </row>
    <row r="420821" spans="15:15" x14ac:dyDescent="0.25">
      <c r="O420821" s="9"/>
    </row>
    <row r="420842" spans="15:15" x14ac:dyDescent="0.25">
      <c r="O420842" s="9"/>
    </row>
    <row r="420863" spans="15:15" x14ac:dyDescent="0.25">
      <c r="O420863" s="9"/>
    </row>
    <row r="420884" spans="15:15" x14ac:dyDescent="0.25">
      <c r="O420884" s="9"/>
    </row>
    <row r="420905" spans="15:15" x14ac:dyDescent="0.25">
      <c r="O420905" s="9"/>
    </row>
    <row r="420926" spans="15:15" x14ac:dyDescent="0.25">
      <c r="O420926" s="9"/>
    </row>
    <row r="420947" spans="15:15" x14ac:dyDescent="0.25">
      <c r="O420947" s="9"/>
    </row>
    <row r="420968" spans="15:15" x14ac:dyDescent="0.25">
      <c r="O420968" s="9"/>
    </row>
    <row r="420989" spans="15:15" x14ac:dyDescent="0.25">
      <c r="O420989" s="9"/>
    </row>
    <row r="421010" spans="15:15" x14ac:dyDescent="0.25">
      <c r="O421010" s="9"/>
    </row>
    <row r="421031" spans="15:15" x14ac:dyDescent="0.25">
      <c r="O421031" s="9"/>
    </row>
    <row r="421052" spans="15:15" x14ac:dyDescent="0.25">
      <c r="O421052" s="9"/>
    </row>
    <row r="421073" spans="15:15" x14ac:dyDescent="0.25">
      <c r="O421073" s="9"/>
    </row>
    <row r="421094" spans="15:15" x14ac:dyDescent="0.25">
      <c r="O421094" s="9"/>
    </row>
    <row r="421115" spans="15:15" x14ac:dyDescent="0.25">
      <c r="O421115" s="9"/>
    </row>
    <row r="421136" spans="15:15" x14ac:dyDescent="0.25">
      <c r="O421136" s="9"/>
    </row>
    <row r="421157" spans="15:15" x14ac:dyDescent="0.25">
      <c r="O421157" s="9"/>
    </row>
    <row r="421178" spans="15:15" x14ac:dyDescent="0.25">
      <c r="O421178" s="9"/>
    </row>
    <row r="421199" spans="15:15" x14ac:dyDescent="0.25">
      <c r="O421199" s="9"/>
    </row>
    <row r="421220" spans="15:15" x14ac:dyDescent="0.25">
      <c r="O421220" s="9"/>
    </row>
    <row r="421241" spans="15:15" x14ac:dyDescent="0.25">
      <c r="O421241" s="9"/>
    </row>
    <row r="421262" spans="15:15" x14ac:dyDescent="0.25">
      <c r="O421262" s="9"/>
    </row>
    <row r="421283" spans="15:15" x14ac:dyDescent="0.25">
      <c r="O421283" s="9"/>
    </row>
    <row r="421304" spans="15:15" x14ac:dyDescent="0.25">
      <c r="O421304" s="9"/>
    </row>
    <row r="421325" spans="15:15" x14ac:dyDescent="0.25">
      <c r="O421325" s="9"/>
    </row>
    <row r="421346" spans="15:15" x14ac:dyDescent="0.25">
      <c r="O421346" s="9"/>
    </row>
    <row r="421367" spans="15:15" x14ac:dyDescent="0.25">
      <c r="O421367" s="9"/>
    </row>
    <row r="421388" spans="15:15" x14ac:dyDescent="0.25">
      <c r="O421388" s="9"/>
    </row>
    <row r="421409" spans="15:15" x14ac:dyDescent="0.25">
      <c r="O421409" s="9"/>
    </row>
    <row r="421430" spans="15:15" x14ac:dyDescent="0.25">
      <c r="O421430" s="9"/>
    </row>
    <row r="421451" spans="15:15" x14ac:dyDescent="0.25">
      <c r="O421451" s="9"/>
    </row>
    <row r="421472" spans="15:15" x14ac:dyDescent="0.25">
      <c r="O421472" s="9"/>
    </row>
    <row r="421493" spans="15:15" x14ac:dyDescent="0.25">
      <c r="O421493" s="9"/>
    </row>
    <row r="421514" spans="15:15" x14ac:dyDescent="0.25">
      <c r="O421514" s="9"/>
    </row>
    <row r="421535" spans="15:15" x14ac:dyDescent="0.25">
      <c r="O421535" s="9"/>
    </row>
    <row r="421556" spans="15:15" x14ac:dyDescent="0.25">
      <c r="O421556" s="9"/>
    </row>
    <row r="421577" spans="15:15" x14ac:dyDescent="0.25">
      <c r="O421577" s="9"/>
    </row>
    <row r="421598" spans="15:15" x14ac:dyDescent="0.25">
      <c r="O421598" s="9"/>
    </row>
    <row r="421619" spans="15:15" x14ac:dyDescent="0.25">
      <c r="O421619" s="9"/>
    </row>
    <row r="421640" spans="15:15" x14ac:dyDescent="0.25">
      <c r="O421640" s="9"/>
    </row>
    <row r="421661" spans="15:15" x14ac:dyDescent="0.25">
      <c r="O421661" s="9"/>
    </row>
    <row r="421682" spans="15:15" x14ac:dyDescent="0.25">
      <c r="O421682" s="9"/>
    </row>
    <row r="421703" spans="15:15" x14ac:dyDescent="0.25">
      <c r="O421703" s="9"/>
    </row>
    <row r="421724" spans="15:15" x14ac:dyDescent="0.25">
      <c r="O421724" s="9"/>
    </row>
    <row r="421745" spans="15:15" x14ac:dyDescent="0.25">
      <c r="O421745" s="9"/>
    </row>
    <row r="421766" spans="15:15" x14ac:dyDescent="0.25">
      <c r="O421766" s="9"/>
    </row>
    <row r="421787" spans="15:15" x14ac:dyDescent="0.25">
      <c r="O421787" s="9"/>
    </row>
    <row r="421808" spans="15:15" x14ac:dyDescent="0.25">
      <c r="O421808" s="9"/>
    </row>
    <row r="421829" spans="15:15" x14ac:dyDescent="0.25">
      <c r="O421829" s="9"/>
    </row>
    <row r="421850" spans="15:15" x14ac:dyDescent="0.25">
      <c r="O421850" s="9"/>
    </row>
    <row r="421871" spans="15:15" x14ac:dyDescent="0.25">
      <c r="O421871" s="9"/>
    </row>
    <row r="421892" spans="15:15" x14ac:dyDescent="0.25">
      <c r="O421892" s="9"/>
    </row>
    <row r="421913" spans="15:15" x14ac:dyDescent="0.25">
      <c r="O421913" s="9"/>
    </row>
    <row r="421934" spans="15:15" x14ac:dyDescent="0.25">
      <c r="O421934" s="9"/>
    </row>
    <row r="421955" spans="15:15" x14ac:dyDescent="0.25">
      <c r="O421955" s="9"/>
    </row>
    <row r="421976" spans="15:15" x14ac:dyDescent="0.25">
      <c r="O421976" s="9"/>
    </row>
    <row r="421997" spans="15:15" x14ac:dyDescent="0.25">
      <c r="O421997" s="9"/>
    </row>
    <row r="422018" spans="15:15" x14ac:dyDescent="0.25">
      <c r="O422018" s="9"/>
    </row>
    <row r="422039" spans="15:15" x14ac:dyDescent="0.25">
      <c r="O422039" s="9"/>
    </row>
    <row r="422060" spans="15:15" x14ac:dyDescent="0.25">
      <c r="O422060" s="9"/>
    </row>
    <row r="422081" spans="15:15" x14ac:dyDescent="0.25">
      <c r="O422081" s="9"/>
    </row>
    <row r="422102" spans="15:15" x14ac:dyDescent="0.25">
      <c r="O422102" s="9"/>
    </row>
    <row r="422123" spans="15:15" x14ac:dyDescent="0.25">
      <c r="O422123" s="9"/>
    </row>
    <row r="422144" spans="15:15" x14ac:dyDescent="0.25">
      <c r="O422144" s="9"/>
    </row>
    <row r="422165" spans="15:15" x14ac:dyDescent="0.25">
      <c r="O422165" s="9"/>
    </row>
    <row r="422186" spans="15:15" x14ac:dyDescent="0.25">
      <c r="O422186" s="9"/>
    </row>
    <row r="422207" spans="15:15" x14ac:dyDescent="0.25">
      <c r="O422207" s="9"/>
    </row>
    <row r="422228" spans="15:15" x14ac:dyDescent="0.25">
      <c r="O422228" s="9"/>
    </row>
    <row r="422249" spans="15:15" x14ac:dyDescent="0.25">
      <c r="O422249" s="9"/>
    </row>
    <row r="422270" spans="15:15" x14ac:dyDescent="0.25">
      <c r="O422270" s="9"/>
    </row>
    <row r="422291" spans="15:15" x14ac:dyDescent="0.25">
      <c r="O422291" s="9"/>
    </row>
    <row r="422312" spans="15:15" x14ac:dyDescent="0.25">
      <c r="O422312" s="9"/>
    </row>
    <row r="422333" spans="15:15" x14ac:dyDescent="0.25">
      <c r="O422333" s="9"/>
    </row>
    <row r="422354" spans="15:15" x14ac:dyDescent="0.25">
      <c r="O422354" s="9"/>
    </row>
    <row r="422375" spans="15:15" x14ac:dyDescent="0.25">
      <c r="O422375" s="9"/>
    </row>
    <row r="422396" spans="15:15" x14ac:dyDescent="0.25">
      <c r="O422396" s="9"/>
    </row>
    <row r="422417" spans="15:15" x14ac:dyDescent="0.25">
      <c r="O422417" s="9"/>
    </row>
    <row r="422438" spans="15:15" x14ac:dyDescent="0.25">
      <c r="O422438" s="9"/>
    </row>
    <row r="422459" spans="15:15" x14ac:dyDescent="0.25">
      <c r="O422459" s="9"/>
    </row>
    <row r="422480" spans="15:15" x14ac:dyDescent="0.25">
      <c r="O422480" s="9"/>
    </row>
    <row r="422501" spans="15:15" x14ac:dyDescent="0.25">
      <c r="O422501" s="9"/>
    </row>
    <row r="422522" spans="15:15" x14ac:dyDescent="0.25">
      <c r="O422522" s="9"/>
    </row>
    <row r="422543" spans="15:15" x14ac:dyDescent="0.25">
      <c r="O422543" s="9"/>
    </row>
    <row r="422564" spans="15:15" x14ac:dyDescent="0.25">
      <c r="O422564" s="9"/>
    </row>
    <row r="422585" spans="15:15" x14ac:dyDescent="0.25">
      <c r="O422585" s="9"/>
    </row>
    <row r="422606" spans="15:15" x14ac:dyDescent="0.25">
      <c r="O422606" s="9"/>
    </row>
    <row r="422627" spans="15:15" x14ac:dyDescent="0.25">
      <c r="O422627" s="9"/>
    </row>
    <row r="422648" spans="15:15" x14ac:dyDescent="0.25">
      <c r="O422648" s="9"/>
    </row>
    <row r="422669" spans="15:15" x14ac:dyDescent="0.25">
      <c r="O422669" s="9"/>
    </row>
    <row r="422690" spans="15:15" x14ac:dyDescent="0.25">
      <c r="O422690" s="9"/>
    </row>
    <row r="422711" spans="15:15" x14ac:dyDescent="0.25">
      <c r="O422711" s="9"/>
    </row>
    <row r="422732" spans="15:15" x14ac:dyDescent="0.25">
      <c r="O422732" s="9"/>
    </row>
    <row r="422753" spans="15:15" x14ac:dyDescent="0.25">
      <c r="O422753" s="9"/>
    </row>
    <row r="422774" spans="15:15" x14ac:dyDescent="0.25">
      <c r="O422774" s="9"/>
    </row>
    <row r="422795" spans="15:15" x14ac:dyDescent="0.25">
      <c r="O422795" s="9"/>
    </row>
    <row r="422816" spans="15:15" x14ac:dyDescent="0.25">
      <c r="O422816" s="9"/>
    </row>
    <row r="422837" spans="15:15" x14ac:dyDescent="0.25">
      <c r="O422837" s="9"/>
    </row>
    <row r="422858" spans="15:15" x14ac:dyDescent="0.25">
      <c r="O422858" s="9"/>
    </row>
    <row r="422879" spans="15:15" x14ac:dyDescent="0.25">
      <c r="O422879" s="9"/>
    </row>
    <row r="422900" spans="15:15" x14ac:dyDescent="0.25">
      <c r="O422900" s="9"/>
    </row>
    <row r="422921" spans="15:15" x14ac:dyDescent="0.25">
      <c r="O422921" s="9"/>
    </row>
    <row r="422942" spans="15:15" x14ac:dyDescent="0.25">
      <c r="O422942" s="9"/>
    </row>
    <row r="422963" spans="15:15" x14ac:dyDescent="0.25">
      <c r="O422963" s="9"/>
    </row>
    <row r="422984" spans="15:15" x14ac:dyDescent="0.25">
      <c r="O422984" s="9"/>
    </row>
    <row r="423005" spans="15:15" x14ac:dyDescent="0.25">
      <c r="O423005" s="9"/>
    </row>
    <row r="423026" spans="15:15" x14ac:dyDescent="0.25">
      <c r="O423026" s="9"/>
    </row>
    <row r="423047" spans="15:15" x14ac:dyDescent="0.25">
      <c r="O423047" s="9"/>
    </row>
    <row r="423068" spans="15:15" x14ac:dyDescent="0.25">
      <c r="O423068" s="9"/>
    </row>
    <row r="423089" spans="15:15" x14ac:dyDescent="0.25">
      <c r="O423089" s="9"/>
    </row>
    <row r="423110" spans="15:15" x14ac:dyDescent="0.25">
      <c r="O423110" s="9"/>
    </row>
    <row r="423131" spans="15:15" x14ac:dyDescent="0.25">
      <c r="O423131" s="9"/>
    </row>
    <row r="423152" spans="15:15" x14ac:dyDescent="0.25">
      <c r="O423152" s="9"/>
    </row>
    <row r="423173" spans="15:15" x14ac:dyDescent="0.25">
      <c r="O423173" s="9"/>
    </row>
    <row r="423194" spans="15:15" x14ac:dyDescent="0.25">
      <c r="O423194" s="9"/>
    </row>
    <row r="423215" spans="15:15" x14ac:dyDescent="0.25">
      <c r="O423215" s="9"/>
    </row>
    <row r="423236" spans="15:15" x14ac:dyDescent="0.25">
      <c r="O423236" s="9"/>
    </row>
    <row r="423257" spans="15:15" x14ac:dyDescent="0.25">
      <c r="O423257" s="9"/>
    </row>
    <row r="423278" spans="15:15" x14ac:dyDescent="0.25">
      <c r="O423278" s="9"/>
    </row>
    <row r="423299" spans="15:15" x14ac:dyDescent="0.25">
      <c r="O423299" s="9"/>
    </row>
    <row r="423320" spans="15:15" x14ac:dyDescent="0.25">
      <c r="O423320" s="9"/>
    </row>
    <row r="423341" spans="15:15" x14ac:dyDescent="0.25">
      <c r="O423341" s="9"/>
    </row>
    <row r="423362" spans="15:15" x14ac:dyDescent="0.25">
      <c r="O423362" s="9"/>
    </row>
    <row r="423383" spans="15:15" x14ac:dyDescent="0.25">
      <c r="O423383" s="9"/>
    </row>
    <row r="423404" spans="15:15" x14ac:dyDescent="0.25">
      <c r="O423404" s="9"/>
    </row>
    <row r="423425" spans="15:15" x14ac:dyDescent="0.25">
      <c r="O423425" s="9"/>
    </row>
    <row r="423446" spans="15:15" x14ac:dyDescent="0.25">
      <c r="O423446" s="9"/>
    </row>
    <row r="423467" spans="15:15" x14ac:dyDescent="0.25">
      <c r="O423467" s="9"/>
    </row>
    <row r="423488" spans="15:15" x14ac:dyDescent="0.25">
      <c r="O423488" s="9"/>
    </row>
    <row r="423509" spans="15:15" x14ac:dyDescent="0.25">
      <c r="O423509" s="9"/>
    </row>
    <row r="423530" spans="15:15" x14ac:dyDescent="0.25">
      <c r="O423530" s="9"/>
    </row>
    <row r="423551" spans="15:15" x14ac:dyDescent="0.25">
      <c r="O423551" s="9"/>
    </row>
    <row r="423572" spans="15:15" x14ac:dyDescent="0.25">
      <c r="O423572" s="9"/>
    </row>
    <row r="423593" spans="15:15" x14ac:dyDescent="0.25">
      <c r="O423593" s="9"/>
    </row>
    <row r="423614" spans="15:15" x14ac:dyDescent="0.25">
      <c r="O423614" s="9"/>
    </row>
    <row r="423635" spans="15:15" x14ac:dyDescent="0.25">
      <c r="O423635" s="9"/>
    </row>
    <row r="423656" spans="15:15" x14ac:dyDescent="0.25">
      <c r="O423656" s="9"/>
    </row>
    <row r="423677" spans="15:15" x14ac:dyDescent="0.25">
      <c r="O423677" s="9"/>
    </row>
    <row r="423698" spans="15:15" x14ac:dyDescent="0.25">
      <c r="O423698" s="9"/>
    </row>
    <row r="423719" spans="15:15" x14ac:dyDescent="0.25">
      <c r="O423719" s="9"/>
    </row>
    <row r="423740" spans="15:15" x14ac:dyDescent="0.25">
      <c r="O423740" s="9"/>
    </row>
    <row r="423761" spans="15:15" x14ac:dyDescent="0.25">
      <c r="O423761" s="9"/>
    </row>
    <row r="423782" spans="15:15" x14ac:dyDescent="0.25">
      <c r="O423782" s="9"/>
    </row>
    <row r="423803" spans="15:15" x14ac:dyDescent="0.25">
      <c r="O423803" s="9"/>
    </row>
    <row r="423824" spans="15:15" x14ac:dyDescent="0.25">
      <c r="O423824" s="9"/>
    </row>
    <row r="423845" spans="15:15" x14ac:dyDescent="0.25">
      <c r="O423845" s="9"/>
    </row>
    <row r="423866" spans="15:15" x14ac:dyDescent="0.25">
      <c r="O423866" s="9"/>
    </row>
    <row r="423887" spans="15:15" x14ac:dyDescent="0.25">
      <c r="O423887" s="9"/>
    </row>
    <row r="423908" spans="15:15" x14ac:dyDescent="0.25">
      <c r="O423908" s="9"/>
    </row>
    <row r="423929" spans="15:15" x14ac:dyDescent="0.25">
      <c r="O423929" s="9"/>
    </row>
    <row r="423950" spans="15:15" x14ac:dyDescent="0.25">
      <c r="O423950" s="9"/>
    </row>
    <row r="423971" spans="15:15" x14ac:dyDescent="0.25">
      <c r="O423971" s="9"/>
    </row>
    <row r="423992" spans="15:15" x14ac:dyDescent="0.25">
      <c r="O423992" s="9"/>
    </row>
    <row r="424013" spans="15:15" x14ac:dyDescent="0.25">
      <c r="O424013" s="9"/>
    </row>
    <row r="424034" spans="15:15" x14ac:dyDescent="0.25">
      <c r="O424034" s="9"/>
    </row>
    <row r="424055" spans="15:15" x14ac:dyDescent="0.25">
      <c r="O424055" s="9"/>
    </row>
    <row r="424076" spans="15:15" x14ac:dyDescent="0.25">
      <c r="O424076" s="9"/>
    </row>
    <row r="424097" spans="15:15" x14ac:dyDescent="0.25">
      <c r="O424097" s="9"/>
    </row>
    <row r="424118" spans="15:15" x14ac:dyDescent="0.25">
      <c r="O424118" s="9"/>
    </row>
    <row r="424139" spans="15:15" x14ac:dyDescent="0.25">
      <c r="O424139" s="9"/>
    </row>
    <row r="424160" spans="15:15" x14ac:dyDescent="0.25">
      <c r="O424160" s="9"/>
    </row>
    <row r="424181" spans="15:15" x14ac:dyDescent="0.25">
      <c r="O424181" s="9"/>
    </row>
    <row r="424202" spans="15:15" x14ac:dyDescent="0.25">
      <c r="O424202" s="9"/>
    </row>
    <row r="424223" spans="15:15" x14ac:dyDescent="0.25">
      <c r="O424223" s="9"/>
    </row>
    <row r="424244" spans="15:15" x14ac:dyDescent="0.25">
      <c r="O424244" s="9"/>
    </row>
    <row r="424265" spans="15:15" x14ac:dyDescent="0.25">
      <c r="O424265" s="9"/>
    </row>
    <row r="424286" spans="15:15" x14ac:dyDescent="0.25">
      <c r="O424286" s="9"/>
    </row>
    <row r="424307" spans="15:15" x14ac:dyDescent="0.25">
      <c r="O424307" s="9"/>
    </row>
    <row r="424328" spans="15:15" x14ac:dyDescent="0.25">
      <c r="O424328" s="9"/>
    </row>
    <row r="424349" spans="15:15" x14ac:dyDescent="0.25">
      <c r="O424349" s="9"/>
    </row>
    <row r="424370" spans="15:15" x14ac:dyDescent="0.25">
      <c r="O424370" s="9"/>
    </row>
    <row r="424391" spans="15:15" x14ac:dyDescent="0.25">
      <c r="O424391" s="9"/>
    </row>
    <row r="424412" spans="15:15" x14ac:dyDescent="0.25">
      <c r="O424412" s="9"/>
    </row>
    <row r="424433" spans="15:15" x14ac:dyDescent="0.25">
      <c r="O424433" s="9"/>
    </row>
    <row r="424454" spans="15:15" x14ac:dyDescent="0.25">
      <c r="O424454" s="9"/>
    </row>
    <row r="424475" spans="15:15" x14ac:dyDescent="0.25">
      <c r="O424475" s="9"/>
    </row>
    <row r="424496" spans="15:15" x14ac:dyDescent="0.25">
      <c r="O424496" s="9"/>
    </row>
    <row r="424517" spans="15:15" x14ac:dyDescent="0.25">
      <c r="O424517" s="9"/>
    </row>
    <row r="424538" spans="15:15" x14ac:dyDescent="0.25">
      <c r="O424538" s="9"/>
    </row>
    <row r="424559" spans="15:15" x14ac:dyDescent="0.25">
      <c r="O424559" s="9"/>
    </row>
    <row r="424580" spans="15:15" x14ac:dyDescent="0.25">
      <c r="O424580" s="9"/>
    </row>
    <row r="424601" spans="15:15" x14ac:dyDescent="0.25">
      <c r="O424601" s="9"/>
    </row>
    <row r="424622" spans="15:15" x14ac:dyDescent="0.25">
      <c r="O424622" s="9"/>
    </row>
    <row r="424643" spans="15:15" x14ac:dyDescent="0.25">
      <c r="O424643" s="9"/>
    </row>
    <row r="424664" spans="15:15" x14ac:dyDescent="0.25">
      <c r="O424664" s="9"/>
    </row>
    <row r="424685" spans="15:15" x14ac:dyDescent="0.25">
      <c r="O424685" s="9"/>
    </row>
    <row r="424706" spans="15:15" x14ac:dyDescent="0.25">
      <c r="O424706" s="9"/>
    </row>
    <row r="424727" spans="15:15" x14ac:dyDescent="0.25">
      <c r="O424727" s="9"/>
    </row>
    <row r="424748" spans="15:15" x14ac:dyDescent="0.25">
      <c r="O424748" s="9"/>
    </row>
    <row r="424769" spans="15:15" x14ac:dyDescent="0.25">
      <c r="O424769" s="9"/>
    </row>
    <row r="424790" spans="15:15" x14ac:dyDescent="0.25">
      <c r="O424790" s="9"/>
    </row>
    <row r="424811" spans="15:15" x14ac:dyDescent="0.25">
      <c r="O424811" s="9"/>
    </row>
    <row r="424832" spans="15:15" x14ac:dyDescent="0.25">
      <c r="O424832" s="9"/>
    </row>
    <row r="424853" spans="15:15" x14ac:dyDescent="0.25">
      <c r="O424853" s="9"/>
    </row>
    <row r="424874" spans="15:15" x14ac:dyDescent="0.25">
      <c r="O424874" s="9"/>
    </row>
    <row r="424895" spans="15:15" x14ac:dyDescent="0.25">
      <c r="O424895" s="9"/>
    </row>
    <row r="424916" spans="15:15" x14ac:dyDescent="0.25">
      <c r="O424916" s="9"/>
    </row>
    <row r="424937" spans="15:15" x14ac:dyDescent="0.25">
      <c r="O424937" s="9"/>
    </row>
    <row r="424958" spans="15:15" x14ac:dyDescent="0.25">
      <c r="O424958" s="9"/>
    </row>
    <row r="424979" spans="15:15" x14ac:dyDescent="0.25">
      <c r="O424979" s="9"/>
    </row>
    <row r="425000" spans="15:15" x14ac:dyDescent="0.25">
      <c r="O425000" s="9"/>
    </row>
    <row r="425021" spans="15:15" x14ac:dyDescent="0.25">
      <c r="O425021" s="9"/>
    </row>
    <row r="425042" spans="15:15" x14ac:dyDescent="0.25">
      <c r="O425042" s="9"/>
    </row>
    <row r="425063" spans="15:15" x14ac:dyDescent="0.25">
      <c r="O425063" s="9"/>
    </row>
    <row r="425084" spans="15:15" x14ac:dyDescent="0.25">
      <c r="O425084" s="9"/>
    </row>
    <row r="425105" spans="15:15" x14ac:dyDescent="0.25">
      <c r="O425105" s="9"/>
    </row>
    <row r="425126" spans="15:15" x14ac:dyDescent="0.25">
      <c r="O425126" s="9"/>
    </row>
    <row r="425147" spans="15:15" x14ac:dyDescent="0.25">
      <c r="O425147" s="9"/>
    </row>
    <row r="425168" spans="15:15" x14ac:dyDescent="0.25">
      <c r="O425168" s="9"/>
    </row>
    <row r="425189" spans="15:15" x14ac:dyDescent="0.25">
      <c r="O425189" s="9"/>
    </row>
    <row r="425210" spans="15:15" x14ac:dyDescent="0.25">
      <c r="O425210" s="9"/>
    </row>
    <row r="425231" spans="15:15" x14ac:dyDescent="0.25">
      <c r="O425231" s="9"/>
    </row>
    <row r="425252" spans="15:15" x14ac:dyDescent="0.25">
      <c r="O425252" s="9"/>
    </row>
    <row r="425273" spans="15:15" x14ac:dyDescent="0.25">
      <c r="O425273" s="9"/>
    </row>
    <row r="425294" spans="15:15" x14ac:dyDescent="0.25">
      <c r="O425294" s="9"/>
    </row>
    <row r="425315" spans="15:15" x14ac:dyDescent="0.25">
      <c r="O425315" s="9"/>
    </row>
    <row r="425336" spans="15:15" x14ac:dyDescent="0.25">
      <c r="O425336" s="9"/>
    </row>
    <row r="425357" spans="15:15" x14ac:dyDescent="0.25">
      <c r="O425357" s="9"/>
    </row>
    <row r="425378" spans="15:15" x14ac:dyDescent="0.25">
      <c r="O425378" s="9"/>
    </row>
    <row r="425399" spans="15:15" x14ac:dyDescent="0.25">
      <c r="O425399" s="9"/>
    </row>
    <row r="425420" spans="15:15" x14ac:dyDescent="0.25">
      <c r="O425420" s="9"/>
    </row>
    <row r="425441" spans="15:15" x14ac:dyDescent="0.25">
      <c r="O425441" s="9"/>
    </row>
    <row r="425462" spans="15:15" x14ac:dyDescent="0.25">
      <c r="O425462" s="9"/>
    </row>
    <row r="425483" spans="15:15" x14ac:dyDescent="0.25">
      <c r="O425483" s="9"/>
    </row>
    <row r="425504" spans="15:15" x14ac:dyDescent="0.25">
      <c r="O425504" s="9"/>
    </row>
    <row r="425525" spans="15:15" x14ac:dyDescent="0.25">
      <c r="O425525" s="9"/>
    </row>
    <row r="425546" spans="15:15" x14ac:dyDescent="0.25">
      <c r="O425546" s="9"/>
    </row>
    <row r="425567" spans="15:15" x14ac:dyDescent="0.25">
      <c r="O425567" s="9"/>
    </row>
    <row r="425588" spans="15:15" x14ac:dyDescent="0.25">
      <c r="O425588" s="9"/>
    </row>
    <row r="425609" spans="15:15" x14ac:dyDescent="0.25">
      <c r="O425609" s="9"/>
    </row>
    <row r="425630" spans="15:15" x14ac:dyDescent="0.25">
      <c r="O425630" s="9"/>
    </row>
    <row r="425651" spans="15:15" x14ac:dyDescent="0.25">
      <c r="O425651" s="9"/>
    </row>
    <row r="425672" spans="15:15" x14ac:dyDescent="0.25">
      <c r="O425672" s="9"/>
    </row>
    <row r="425693" spans="15:15" x14ac:dyDescent="0.25">
      <c r="O425693" s="9"/>
    </row>
    <row r="425714" spans="15:15" x14ac:dyDescent="0.25">
      <c r="O425714" s="9"/>
    </row>
    <row r="425735" spans="15:15" x14ac:dyDescent="0.25">
      <c r="O425735" s="9"/>
    </row>
    <row r="425756" spans="15:15" x14ac:dyDescent="0.25">
      <c r="O425756" s="9"/>
    </row>
    <row r="425777" spans="15:15" x14ac:dyDescent="0.25">
      <c r="O425777" s="9"/>
    </row>
    <row r="425798" spans="15:15" x14ac:dyDescent="0.25">
      <c r="O425798" s="9"/>
    </row>
    <row r="425819" spans="15:15" x14ac:dyDescent="0.25">
      <c r="O425819" s="9"/>
    </row>
    <row r="425840" spans="15:15" x14ac:dyDescent="0.25">
      <c r="O425840" s="9"/>
    </row>
    <row r="425861" spans="15:15" x14ac:dyDescent="0.25">
      <c r="O425861" s="9"/>
    </row>
    <row r="425882" spans="15:15" x14ac:dyDescent="0.25">
      <c r="O425882" s="9"/>
    </row>
    <row r="425903" spans="15:15" x14ac:dyDescent="0.25">
      <c r="O425903" s="9"/>
    </row>
    <row r="425924" spans="15:15" x14ac:dyDescent="0.25">
      <c r="O425924" s="9"/>
    </row>
    <row r="425945" spans="15:15" x14ac:dyDescent="0.25">
      <c r="O425945" s="9"/>
    </row>
    <row r="425966" spans="15:15" x14ac:dyDescent="0.25">
      <c r="O425966" s="9"/>
    </row>
    <row r="425987" spans="15:15" x14ac:dyDescent="0.25">
      <c r="O425987" s="9"/>
    </row>
    <row r="426008" spans="15:15" x14ac:dyDescent="0.25">
      <c r="O426008" s="9"/>
    </row>
    <row r="426029" spans="15:15" x14ac:dyDescent="0.25">
      <c r="O426029" s="9"/>
    </row>
    <row r="426050" spans="15:15" x14ac:dyDescent="0.25">
      <c r="O426050" s="9"/>
    </row>
    <row r="426071" spans="15:15" x14ac:dyDescent="0.25">
      <c r="O426071" s="9"/>
    </row>
    <row r="426092" spans="15:15" x14ac:dyDescent="0.25">
      <c r="O426092" s="9"/>
    </row>
    <row r="426113" spans="15:15" x14ac:dyDescent="0.25">
      <c r="O426113" s="9"/>
    </row>
    <row r="426134" spans="15:15" x14ac:dyDescent="0.25">
      <c r="O426134" s="9"/>
    </row>
    <row r="426155" spans="15:15" x14ac:dyDescent="0.25">
      <c r="O426155" s="9"/>
    </row>
    <row r="426176" spans="15:15" x14ac:dyDescent="0.25">
      <c r="O426176" s="9"/>
    </row>
    <row r="426197" spans="15:15" x14ac:dyDescent="0.25">
      <c r="O426197" s="9"/>
    </row>
    <row r="426218" spans="15:15" x14ac:dyDescent="0.25">
      <c r="O426218" s="9"/>
    </row>
    <row r="426239" spans="15:15" x14ac:dyDescent="0.25">
      <c r="O426239" s="9"/>
    </row>
    <row r="426260" spans="15:15" x14ac:dyDescent="0.25">
      <c r="O426260" s="9"/>
    </row>
    <row r="426281" spans="15:15" x14ac:dyDescent="0.25">
      <c r="O426281" s="9"/>
    </row>
    <row r="426302" spans="15:15" x14ac:dyDescent="0.25">
      <c r="O426302" s="9"/>
    </row>
    <row r="426323" spans="15:15" x14ac:dyDescent="0.25">
      <c r="O426323" s="9"/>
    </row>
    <row r="426344" spans="15:15" x14ac:dyDescent="0.25">
      <c r="O426344" s="9"/>
    </row>
    <row r="426365" spans="15:15" x14ac:dyDescent="0.25">
      <c r="O426365" s="9"/>
    </row>
    <row r="426386" spans="15:15" x14ac:dyDescent="0.25">
      <c r="O426386" s="9"/>
    </row>
    <row r="426407" spans="15:15" x14ac:dyDescent="0.25">
      <c r="O426407" s="9"/>
    </row>
    <row r="426428" spans="15:15" x14ac:dyDescent="0.25">
      <c r="O426428" s="9"/>
    </row>
    <row r="426449" spans="15:15" x14ac:dyDescent="0.25">
      <c r="O426449" s="9"/>
    </row>
    <row r="426470" spans="15:15" x14ac:dyDescent="0.25">
      <c r="O426470" s="9"/>
    </row>
    <row r="426491" spans="15:15" x14ac:dyDescent="0.25">
      <c r="O426491" s="9"/>
    </row>
    <row r="426512" spans="15:15" x14ac:dyDescent="0.25">
      <c r="O426512" s="9"/>
    </row>
    <row r="426533" spans="15:15" x14ac:dyDescent="0.25">
      <c r="O426533" s="9"/>
    </row>
    <row r="426554" spans="15:15" x14ac:dyDescent="0.25">
      <c r="O426554" s="9"/>
    </row>
    <row r="426575" spans="15:15" x14ac:dyDescent="0.25">
      <c r="O426575" s="9"/>
    </row>
    <row r="426596" spans="15:15" x14ac:dyDescent="0.25">
      <c r="O426596" s="9"/>
    </row>
    <row r="426617" spans="15:15" x14ac:dyDescent="0.25">
      <c r="O426617" s="9"/>
    </row>
    <row r="426638" spans="15:15" x14ac:dyDescent="0.25">
      <c r="O426638" s="9"/>
    </row>
    <row r="426659" spans="15:15" x14ac:dyDescent="0.25">
      <c r="O426659" s="9"/>
    </row>
    <row r="426680" spans="15:15" x14ac:dyDescent="0.25">
      <c r="O426680" s="9"/>
    </row>
    <row r="426701" spans="15:15" x14ac:dyDescent="0.25">
      <c r="O426701" s="9"/>
    </row>
    <row r="426722" spans="15:15" x14ac:dyDescent="0.25">
      <c r="O426722" s="9"/>
    </row>
    <row r="426743" spans="15:15" x14ac:dyDescent="0.25">
      <c r="O426743" s="9"/>
    </row>
    <row r="426764" spans="15:15" x14ac:dyDescent="0.25">
      <c r="O426764" s="9"/>
    </row>
    <row r="426785" spans="15:15" x14ac:dyDescent="0.25">
      <c r="O426785" s="9"/>
    </row>
    <row r="426806" spans="15:15" x14ac:dyDescent="0.25">
      <c r="O426806" s="9"/>
    </row>
    <row r="426827" spans="15:15" x14ac:dyDescent="0.25">
      <c r="O426827" s="9"/>
    </row>
    <row r="426848" spans="15:15" x14ac:dyDescent="0.25">
      <c r="O426848" s="9"/>
    </row>
    <row r="426869" spans="15:15" x14ac:dyDescent="0.25">
      <c r="O426869" s="9"/>
    </row>
    <row r="426890" spans="15:15" x14ac:dyDescent="0.25">
      <c r="O426890" s="9"/>
    </row>
    <row r="426911" spans="15:15" x14ac:dyDescent="0.25">
      <c r="O426911" s="9"/>
    </row>
    <row r="426932" spans="15:15" x14ac:dyDescent="0.25">
      <c r="O426932" s="9"/>
    </row>
    <row r="426953" spans="15:15" x14ac:dyDescent="0.25">
      <c r="O426953" s="9"/>
    </row>
    <row r="426974" spans="15:15" x14ac:dyDescent="0.25">
      <c r="O426974" s="9"/>
    </row>
    <row r="426995" spans="15:15" x14ac:dyDescent="0.25">
      <c r="O426995" s="9"/>
    </row>
    <row r="427016" spans="15:15" x14ac:dyDescent="0.25">
      <c r="O427016" s="9"/>
    </row>
    <row r="427037" spans="15:15" x14ac:dyDescent="0.25">
      <c r="O427037" s="9"/>
    </row>
    <row r="427058" spans="15:15" x14ac:dyDescent="0.25">
      <c r="O427058" s="9"/>
    </row>
    <row r="427079" spans="15:15" x14ac:dyDescent="0.25">
      <c r="O427079" s="9"/>
    </row>
    <row r="427100" spans="15:15" x14ac:dyDescent="0.25">
      <c r="O427100" s="9"/>
    </row>
    <row r="427121" spans="15:15" x14ac:dyDescent="0.25">
      <c r="O427121" s="9"/>
    </row>
    <row r="427142" spans="15:15" x14ac:dyDescent="0.25">
      <c r="O427142" s="9"/>
    </row>
    <row r="427163" spans="15:15" x14ac:dyDescent="0.25">
      <c r="O427163" s="9"/>
    </row>
    <row r="427184" spans="15:15" x14ac:dyDescent="0.25">
      <c r="O427184" s="9"/>
    </row>
    <row r="427205" spans="15:15" x14ac:dyDescent="0.25">
      <c r="O427205" s="9"/>
    </row>
    <row r="427226" spans="15:15" x14ac:dyDescent="0.25">
      <c r="O427226" s="9"/>
    </row>
    <row r="427247" spans="15:15" x14ac:dyDescent="0.25">
      <c r="O427247" s="9"/>
    </row>
    <row r="427268" spans="15:15" x14ac:dyDescent="0.25">
      <c r="O427268" s="9"/>
    </row>
    <row r="427289" spans="15:15" x14ac:dyDescent="0.25">
      <c r="O427289" s="9"/>
    </row>
    <row r="427310" spans="15:15" x14ac:dyDescent="0.25">
      <c r="O427310" s="9"/>
    </row>
    <row r="427331" spans="15:15" x14ac:dyDescent="0.25">
      <c r="O427331" s="9"/>
    </row>
    <row r="427352" spans="15:15" x14ac:dyDescent="0.25">
      <c r="O427352" s="9"/>
    </row>
    <row r="427373" spans="15:15" x14ac:dyDescent="0.25">
      <c r="O427373" s="9"/>
    </row>
    <row r="427394" spans="15:15" x14ac:dyDescent="0.25">
      <c r="O427394" s="9"/>
    </row>
    <row r="427415" spans="15:15" x14ac:dyDescent="0.25">
      <c r="O427415" s="9"/>
    </row>
    <row r="427436" spans="15:15" x14ac:dyDescent="0.25">
      <c r="O427436" s="9"/>
    </row>
    <row r="427457" spans="15:15" x14ac:dyDescent="0.25">
      <c r="O427457" s="9"/>
    </row>
    <row r="427478" spans="15:15" x14ac:dyDescent="0.25">
      <c r="O427478" s="9"/>
    </row>
    <row r="427499" spans="15:15" x14ac:dyDescent="0.25">
      <c r="O427499" s="9"/>
    </row>
    <row r="427520" spans="15:15" x14ac:dyDescent="0.25">
      <c r="O427520" s="9"/>
    </row>
    <row r="427541" spans="15:15" x14ac:dyDescent="0.25">
      <c r="O427541" s="9"/>
    </row>
    <row r="427562" spans="15:15" x14ac:dyDescent="0.25">
      <c r="O427562" s="9"/>
    </row>
    <row r="427583" spans="15:15" x14ac:dyDescent="0.25">
      <c r="O427583" s="9"/>
    </row>
    <row r="427604" spans="15:15" x14ac:dyDescent="0.25">
      <c r="O427604" s="9"/>
    </row>
    <row r="427625" spans="15:15" x14ac:dyDescent="0.25">
      <c r="O427625" s="9"/>
    </row>
    <row r="427646" spans="15:15" x14ac:dyDescent="0.25">
      <c r="O427646" s="9"/>
    </row>
    <row r="427667" spans="15:15" x14ac:dyDescent="0.25">
      <c r="O427667" s="9"/>
    </row>
    <row r="427688" spans="15:15" x14ac:dyDescent="0.25">
      <c r="O427688" s="9"/>
    </row>
    <row r="427709" spans="15:15" x14ac:dyDescent="0.25">
      <c r="O427709" s="9"/>
    </row>
    <row r="427730" spans="15:15" x14ac:dyDescent="0.25">
      <c r="O427730" s="9"/>
    </row>
    <row r="427751" spans="15:15" x14ac:dyDescent="0.25">
      <c r="O427751" s="9"/>
    </row>
    <row r="427772" spans="15:15" x14ac:dyDescent="0.25">
      <c r="O427772" s="9"/>
    </row>
    <row r="427793" spans="15:15" x14ac:dyDescent="0.25">
      <c r="O427793" s="9"/>
    </row>
    <row r="427814" spans="15:15" x14ac:dyDescent="0.25">
      <c r="O427814" s="9"/>
    </row>
    <row r="427835" spans="15:15" x14ac:dyDescent="0.25">
      <c r="O427835" s="9"/>
    </row>
    <row r="427856" spans="15:15" x14ac:dyDescent="0.25">
      <c r="O427856" s="9"/>
    </row>
    <row r="427877" spans="15:15" x14ac:dyDescent="0.25">
      <c r="O427877" s="9"/>
    </row>
    <row r="427898" spans="15:15" x14ac:dyDescent="0.25">
      <c r="O427898" s="9"/>
    </row>
    <row r="427919" spans="15:15" x14ac:dyDescent="0.25">
      <c r="O427919" s="9"/>
    </row>
    <row r="427940" spans="15:15" x14ac:dyDescent="0.25">
      <c r="O427940" s="9"/>
    </row>
    <row r="427961" spans="15:15" x14ac:dyDescent="0.25">
      <c r="O427961" s="9"/>
    </row>
    <row r="427982" spans="15:15" x14ac:dyDescent="0.25">
      <c r="O427982" s="9"/>
    </row>
    <row r="428003" spans="15:15" x14ac:dyDescent="0.25">
      <c r="O428003" s="9"/>
    </row>
    <row r="428024" spans="15:15" x14ac:dyDescent="0.25">
      <c r="O428024" s="9"/>
    </row>
    <row r="428045" spans="15:15" x14ac:dyDescent="0.25">
      <c r="O428045" s="9"/>
    </row>
    <row r="428066" spans="15:15" x14ac:dyDescent="0.25">
      <c r="O428066" s="9"/>
    </row>
    <row r="428087" spans="15:15" x14ac:dyDescent="0.25">
      <c r="O428087" s="9"/>
    </row>
    <row r="428108" spans="15:15" x14ac:dyDescent="0.25">
      <c r="O428108" s="9"/>
    </row>
    <row r="428129" spans="15:15" x14ac:dyDescent="0.25">
      <c r="O428129" s="9"/>
    </row>
    <row r="428150" spans="15:15" x14ac:dyDescent="0.25">
      <c r="O428150" s="9"/>
    </row>
    <row r="428171" spans="15:15" x14ac:dyDescent="0.25">
      <c r="O428171" s="9"/>
    </row>
    <row r="428192" spans="15:15" x14ac:dyDescent="0.25">
      <c r="O428192" s="9"/>
    </row>
    <row r="428213" spans="15:15" x14ac:dyDescent="0.25">
      <c r="O428213" s="9"/>
    </row>
    <row r="428234" spans="15:15" x14ac:dyDescent="0.25">
      <c r="O428234" s="9"/>
    </row>
    <row r="428255" spans="15:15" x14ac:dyDescent="0.25">
      <c r="O428255" s="9"/>
    </row>
    <row r="428276" spans="15:15" x14ac:dyDescent="0.25">
      <c r="O428276" s="9"/>
    </row>
    <row r="428297" spans="15:15" x14ac:dyDescent="0.25">
      <c r="O428297" s="9"/>
    </row>
    <row r="428318" spans="15:15" x14ac:dyDescent="0.25">
      <c r="O428318" s="9"/>
    </row>
    <row r="428339" spans="15:15" x14ac:dyDescent="0.25">
      <c r="O428339" s="9"/>
    </row>
    <row r="428360" spans="15:15" x14ac:dyDescent="0.25">
      <c r="O428360" s="9"/>
    </row>
    <row r="428381" spans="15:15" x14ac:dyDescent="0.25">
      <c r="O428381" s="9"/>
    </row>
    <row r="428402" spans="15:15" x14ac:dyDescent="0.25">
      <c r="O428402" s="9"/>
    </row>
    <row r="428423" spans="15:15" x14ac:dyDescent="0.25">
      <c r="O428423" s="9"/>
    </row>
    <row r="428444" spans="15:15" x14ac:dyDescent="0.25">
      <c r="O428444" s="9"/>
    </row>
    <row r="428465" spans="15:15" x14ac:dyDescent="0.25">
      <c r="O428465" s="9"/>
    </row>
    <row r="428486" spans="15:15" x14ac:dyDescent="0.25">
      <c r="O428486" s="9"/>
    </row>
    <row r="428507" spans="15:15" x14ac:dyDescent="0.25">
      <c r="O428507" s="9"/>
    </row>
    <row r="428528" spans="15:15" x14ac:dyDescent="0.25">
      <c r="O428528" s="9"/>
    </row>
    <row r="428549" spans="15:15" x14ac:dyDescent="0.25">
      <c r="O428549" s="9"/>
    </row>
    <row r="428570" spans="15:15" x14ac:dyDescent="0.25">
      <c r="O428570" s="9"/>
    </row>
    <row r="428591" spans="15:15" x14ac:dyDescent="0.25">
      <c r="O428591" s="9"/>
    </row>
    <row r="428612" spans="15:15" x14ac:dyDescent="0.25">
      <c r="O428612" s="9"/>
    </row>
    <row r="428633" spans="15:15" x14ac:dyDescent="0.25">
      <c r="O428633" s="9"/>
    </row>
    <row r="428654" spans="15:15" x14ac:dyDescent="0.25">
      <c r="O428654" s="9"/>
    </row>
    <row r="428675" spans="15:15" x14ac:dyDescent="0.25">
      <c r="O428675" s="9"/>
    </row>
    <row r="428696" spans="15:15" x14ac:dyDescent="0.25">
      <c r="O428696" s="9"/>
    </row>
    <row r="428717" spans="15:15" x14ac:dyDescent="0.25">
      <c r="O428717" s="9"/>
    </row>
    <row r="428738" spans="15:15" x14ac:dyDescent="0.25">
      <c r="O428738" s="9"/>
    </row>
    <row r="428759" spans="15:15" x14ac:dyDescent="0.25">
      <c r="O428759" s="9"/>
    </row>
    <row r="428780" spans="15:15" x14ac:dyDescent="0.25">
      <c r="O428780" s="9"/>
    </row>
    <row r="428801" spans="15:15" x14ac:dyDescent="0.25">
      <c r="O428801" s="9"/>
    </row>
    <row r="428822" spans="15:15" x14ac:dyDescent="0.25">
      <c r="O428822" s="9"/>
    </row>
    <row r="428843" spans="15:15" x14ac:dyDescent="0.25">
      <c r="O428843" s="9"/>
    </row>
    <row r="428864" spans="15:15" x14ac:dyDescent="0.25">
      <c r="O428864" s="9"/>
    </row>
    <row r="428885" spans="15:15" x14ac:dyDescent="0.25">
      <c r="O428885" s="9"/>
    </row>
    <row r="428906" spans="15:15" x14ac:dyDescent="0.25">
      <c r="O428906" s="9"/>
    </row>
    <row r="428927" spans="15:15" x14ac:dyDescent="0.25">
      <c r="O428927" s="9"/>
    </row>
    <row r="428948" spans="15:15" x14ac:dyDescent="0.25">
      <c r="O428948" s="9"/>
    </row>
    <row r="428969" spans="15:15" x14ac:dyDescent="0.25">
      <c r="O428969" s="9"/>
    </row>
    <row r="428990" spans="15:15" x14ac:dyDescent="0.25">
      <c r="O428990" s="9"/>
    </row>
    <row r="429011" spans="15:15" x14ac:dyDescent="0.25">
      <c r="O429011" s="9"/>
    </row>
    <row r="429032" spans="15:15" x14ac:dyDescent="0.25">
      <c r="O429032" s="9"/>
    </row>
    <row r="429053" spans="15:15" x14ac:dyDescent="0.25">
      <c r="O429053" s="9"/>
    </row>
    <row r="429074" spans="15:15" x14ac:dyDescent="0.25">
      <c r="O429074" s="9"/>
    </row>
    <row r="429095" spans="15:15" x14ac:dyDescent="0.25">
      <c r="O429095" s="9"/>
    </row>
    <row r="429116" spans="15:15" x14ac:dyDescent="0.25">
      <c r="O429116" s="9"/>
    </row>
    <row r="429137" spans="15:15" x14ac:dyDescent="0.25">
      <c r="O429137" s="9"/>
    </row>
    <row r="429158" spans="15:15" x14ac:dyDescent="0.25">
      <c r="O429158" s="9"/>
    </row>
    <row r="429179" spans="15:15" x14ac:dyDescent="0.25">
      <c r="O429179" s="9"/>
    </row>
    <row r="429200" spans="15:15" x14ac:dyDescent="0.25">
      <c r="O429200" s="9"/>
    </row>
    <row r="429221" spans="15:15" x14ac:dyDescent="0.25">
      <c r="O429221" s="9"/>
    </row>
    <row r="429242" spans="15:15" x14ac:dyDescent="0.25">
      <c r="O429242" s="9"/>
    </row>
    <row r="429263" spans="15:15" x14ac:dyDescent="0.25">
      <c r="O429263" s="9"/>
    </row>
    <row r="429284" spans="15:15" x14ac:dyDescent="0.25">
      <c r="O429284" s="9"/>
    </row>
    <row r="429305" spans="15:15" x14ac:dyDescent="0.25">
      <c r="O429305" s="9"/>
    </row>
    <row r="429326" spans="15:15" x14ac:dyDescent="0.25">
      <c r="O429326" s="9"/>
    </row>
    <row r="429347" spans="15:15" x14ac:dyDescent="0.25">
      <c r="O429347" s="9"/>
    </row>
    <row r="429368" spans="15:15" x14ac:dyDescent="0.25">
      <c r="O429368" s="9"/>
    </row>
    <row r="429389" spans="15:15" x14ac:dyDescent="0.25">
      <c r="O429389" s="9"/>
    </row>
    <row r="429410" spans="15:15" x14ac:dyDescent="0.25">
      <c r="O429410" s="9"/>
    </row>
    <row r="429431" spans="15:15" x14ac:dyDescent="0.25">
      <c r="O429431" s="9"/>
    </row>
    <row r="429452" spans="15:15" x14ac:dyDescent="0.25">
      <c r="O429452" s="9"/>
    </row>
    <row r="429473" spans="15:15" x14ac:dyDescent="0.25">
      <c r="O429473" s="9"/>
    </row>
    <row r="429494" spans="15:15" x14ac:dyDescent="0.25">
      <c r="O429494" s="9"/>
    </row>
    <row r="429515" spans="15:15" x14ac:dyDescent="0.25">
      <c r="O429515" s="9"/>
    </row>
    <row r="429536" spans="15:15" x14ac:dyDescent="0.25">
      <c r="O429536" s="9"/>
    </row>
    <row r="429557" spans="15:15" x14ac:dyDescent="0.25">
      <c r="O429557" s="9"/>
    </row>
    <row r="429578" spans="15:15" x14ac:dyDescent="0.25">
      <c r="O429578" s="9"/>
    </row>
    <row r="429599" spans="15:15" x14ac:dyDescent="0.25">
      <c r="O429599" s="9"/>
    </row>
    <row r="429620" spans="15:15" x14ac:dyDescent="0.25">
      <c r="O429620" s="9"/>
    </row>
    <row r="429641" spans="15:15" x14ac:dyDescent="0.25">
      <c r="O429641" s="9"/>
    </row>
    <row r="429662" spans="15:15" x14ac:dyDescent="0.25">
      <c r="O429662" s="9"/>
    </row>
    <row r="429683" spans="15:15" x14ac:dyDescent="0.25">
      <c r="O429683" s="9"/>
    </row>
    <row r="429704" spans="15:15" x14ac:dyDescent="0.25">
      <c r="O429704" s="9"/>
    </row>
    <row r="429725" spans="15:15" x14ac:dyDescent="0.25">
      <c r="O429725" s="9"/>
    </row>
    <row r="429746" spans="15:15" x14ac:dyDescent="0.25">
      <c r="O429746" s="9"/>
    </row>
    <row r="429767" spans="15:15" x14ac:dyDescent="0.25">
      <c r="O429767" s="9"/>
    </row>
    <row r="429788" spans="15:15" x14ac:dyDescent="0.25">
      <c r="O429788" s="9"/>
    </row>
    <row r="429809" spans="15:15" x14ac:dyDescent="0.25">
      <c r="O429809" s="9"/>
    </row>
    <row r="429830" spans="15:15" x14ac:dyDescent="0.25">
      <c r="O429830" s="9"/>
    </row>
    <row r="429851" spans="15:15" x14ac:dyDescent="0.25">
      <c r="O429851" s="9"/>
    </row>
    <row r="429872" spans="15:15" x14ac:dyDescent="0.25">
      <c r="O429872" s="9"/>
    </row>
    <row r="429893" spans="15:15" x14ac:dyDescent="0.25">
      <c r="O429893" s="9"/>
    </row>
    <row r="429914" spans="15:15" x14ac:dyDescent="0.25">
      <c r="O429914" s="9"/>
    </row>
    <row r="429935" spans="15:15" x14ac:dyDescent="0.25">
      <c r="O429935" s="9"/>
    </row>
    <row r="429956" spans="15:15" x14ac:dyDescent="0.25">
      <c r="O429956" s="9"/>
    </row>
    <row r="429977" spans="15:15" x14ac:dyDescent="0.25">
      <c r="O429977" s="9"/>
    </row>
    <row r="429998" spans="15:15" x14ac:dyDescent="0.25">
      <c r="O429998" s="9"/>
    </row>
    <row r="430019" spans="15:15" x14ac:dyDescent="0.25">
      <c r="O430019" s="9"/>
    </row>
    <row r="430040" spans="15:15" x14ac:dyDescent="0.25">
      <c r="O430040" s="9"/>
    </row>
    <row r="430061" spans="15:15" x14ac:dyDescent="0.25">
      <c r="O430061" s="9"/>
    </row>
    <row r="430082" spans="15:15" x14ac:dyDescent="0.25">
      <c r="O430082" s="9"/>
    </row>
    <row r="430103" spans="15:15" x14ac:dyDescent="0.25">
      <c r="O430103" s="9"/>
    </row>
    <row r="430124" spans="15:15" x14ac:dyDescent="0.25">
      <c r="O430124" s="9"/>
    </row>
    <row r="430145" spans="15:15" x14ac:dyDescent="0.25">
      <c r="O430145" s="9"/>
    </row>
    <row r="430166" spans="15:15" x14ac:dyDescent="0.25">
      <c r="O430166" s="9"/>
    </row>
    <row r="430187" spans="15:15" x14ac:dyDescent="0.25">
      <c r="O430187" s="9"/>
    </row>
    <row r="430208" spans="15:15" x14ac:dyDescent="0.25">
      <c r="O430208" s="9"/>
    </row>
    <row r="430229" spans="15:15" x14ac:dyDescent="0.25">
      <c r="O430229" s="9"/>
    </row>
    <row r="430250" spans="15:15" x14ac:dyDescent="0.25">
      <c r="O430250" s="9"/>
    </row>
    <row r="430271" spans="15:15" x14ac:dyDescent="0.25">
      <c r="O430271" s="9"/>
    </row>
    <row r="430292" spans="15:15" x14ac:dyDescent="0.25">
      <c r="O430292" s="9"/>
    </row>
    <row r="430313" spans="15:15" x14ac:dyDescent="0.25">
      <c r="O430313" s="9"/>
    </row>
    <row r="430334" spans="15:15" x14ac:dyDescent="0.25">
      <c r="O430334" s="9"/>
    </row>
    <row r="430355" spans="15:15" x14ac:dyDescent="0.25">
      <c r="O430355" s="9"/>
    </row>
    <row r="430376" spans="15:15" x14ac:dyDescent="0.25">
      <c r="O430376" s="9"/>
    </row>
    <row r="430397" spans="15:15" x14ac:dyDescent="0.25">
      <c r="O430397" s="9"/>
    </row>
    <row r="430418" spans="15:15" x14ac:dyDescent="0.25">
      <c r="O430418" s="9"/>
    </row>
    <row r="430439" spans="15:15" x14ac:dyDescent="0.25">
      <c r="O430439" s="9"/>
    </row>
    <row r="430460" spans="15:15" x14ac:dyDescent="0.25">
      <c r="O430460" s="9"/>
    </row>
    <row r="430481" spans="15:15" x14ac:dyDescent="0.25">
      <c r="O430481" s="9"/>
    </row>
    <row r="430502" spans="15:15" x14ac:dyDescent="0.25">
      <c r="O430502" s="9"/>
    </row>
    <row r="430523" spans="15:15" x14ac:dyDescent="0.25">
      <c r="O430523" s="9"/>
    </row>
    <row r="430544" spans="15:15" x14ac:dyDescent="0.25">
      <c r="O430544" s="9"/>
    </row>
    <row r="430565" spans="15:15" x14ac:dyDescent="0.25">
      <c r="O430565" s="9"/>
    </row>
    <row r="430586" spans="15:15" x14ac:dyDescent="0.25">
      <c r="O430586" s="9"/>
    </row>
    <row r="430607" spans="15:15" x14ac:dyDescent="0.25">
      <c r="O430607" s="9"/>
    </row>
    <row r="430628" spans="15:15" x14ac:dyDescent="0.25">
      <c r="O430628" s="9"/>
    </row>
    <row r="430649" spans="15:15" x14ac:dyDescent="0.25">
      <c r="O430649" s="9"/>
    </row>
    <row r="430670" spans="15:15" x14ac:dyDescent="0.25">
      <c r="O430670" s="9"/>
    </row>
    <row r="430691" spans="15:15" x14ac:dyDescent="0.25">
      <c r="O430691" s="9"/>
    </row>
    <row r="430712" spans="15:15" x14ac:dyDescent="0.25">
      <c r="O430712" s="9"/>
    </row>
    <row r="430733" spans="15:15" x14ac:dyDescent="0.25">
      <c r="O430733" s="9"/>
    </row>
    <row r="430754" spans="15:15" x14ac:dyDescent="0.25">
      <c r="O430754" s="9"/>
    </row>
    <row r="430775" spans="15:15" x14ac:dyDescent="0.25">
      <c r="O430775" s="9"/>
    </row>
    <row r="430796" spans="15:15" x14ac:dyDescent="0.25">
      <c r="O430796" s="9"/>
    </row>
    <row r="430817" spans="15:15" x14ac:dyDescent="0.25">
      <c r="O430817" s="9"/>
    </row>
    <row r="430838" spans="15:15" x14ac:dyDescent="0.25">
      <c r="O430838" s="9"/>
    </row>
    <row r="430859" spans="15:15" x14ac:dyDescent="0.25">
      <c r="O430859" s="9"/>
    </row>
    <row r="430880" spans="15:15" x14ac:dyDescent="0.25">
      <c r="O430880" s="9"/>
    </row>
    <row r="430901" spans="15:15" x14ac:dyDescent="0.25">
      <c r="O430901" s="9"/>
    </row>
    <row r="430922" spans="15:15" x14ac:dyDescent="0.25">
      <c r="O430922" s="9"/>
    </row>
    <row r="430943" spans="15:15" x14ac:dyDescent="0.25">
      <c r="O430943" s="9"/>
    </row>
    <row r="430964" spans="15:15" x14ac:dyDescent="0.25">
      <c r="O430964" s="9"/>
    </row>
    <row r="430985" spans="15:15" x14ac:dyDescent="0.25">
      <c r="O430985" s="9"/>
    </row>
    <row r="431006" spans="15:15" x14ac:dyDescent="0.25">
      <c r="O431006" s="9"/>
    </row>
    <row r="431027" spans="15:15" x14ac:dyDescent="0.25">
      <c r="O431027" s="9"/>
    </row>
    <row r="431048" spans="15:15" x14ac:dyDescent="0.25">
      <c r="O431048" s="9"/>
    </row>
    <row r="431069" spans="15:15" x14ac:dyDescent="0.25">
      <c r="O431069" s="9"/>
    </row>
    <row r="431090" spans="15:15" x14ac:dyDescent="0.25">
      <c r="O431090" s="9"/>
    </row>
    <row r="431111" spans="15:15" x14ac:dyDescent="0.25">
      <c r="O431111" s="9"/>
    </row>
    <row r="431132" spans="15:15" x14ac:dyDescent="0.25">
      <c r="O431132" s="9"/>
    </row>
    <row r="431153" spans="15:15" x14ac:dyDescent="0.25">
      <c r="O431153" s="9"/>
    </row>
    <row r="431174" spans="15:15" x14ac:dyDescent="0.25">
      <c r="O431174" s="9"/>
    </row>
    <row r="431195" spans="15:15" x14ac:dyDescent="0.25">
      <c r="O431195" s="9"/>
    </row>
    <row r="431216" spans="15:15" x14ac:dyDescent="0.25">
      <c r="O431216" s="9"/>
    </row>
    <row r="431237" spans="15:15" x14ac:dyDescent="0.25">
      <c r="O431237" s="9"/>
    </row>
    <row r="431258" spans="15:15" x14ac:dyDescent="0.25">
      <c r="O431258" s="9"/>
    </row>
    <row r="431279" spans="15:15" x14ac:dyDescent="0.25">
      <c r="O431279" s="9"/>
    </row>
    <row r="431300" spans="15:15" x14ac:dyDescent="0.25">
      <c r="O431300" s="9"/>
    </row>
    <row r="431321" spans="15:15" x14ac:dyDescent="0.25">
      <c r="O431321" s="9"/>
    </row>
    <row r="431342" spans="15:15" x14ac:dyDescent="0.25">
      <c r="O431342" s="9"/>
    </row>
    <row r="431363" spans="15:15" x14ac:dyDescent="0.25">
      <c r="O431363" s="9"/>
    </row>
    <row r="431384" spans="15:15" x14ac:dyDescent="0.25">
      <c r="O431384" s="9"/>
    </row>
    <row r="431405" spans="15:15" x14ac:dyDescent="0.25">
      <c r="O431405" s="9"/>
    </row>
    <row r="431426" spans="15:15" x14ac:dyDescent="0.25">
      <c r="O431426" s="9"/>
    </row>
    <row r="431447" spans="15:15" x14ac:dyDescent="0.25">
      <c r="O431447" s="9"/>
    </row>
    <row r="431468" spans="15:15" x14ac:dyDescent="0.25">
      <c r="O431468" s="9"/>
    </row>
    <row r="431489" spans="15:15" x14ac:dyDescent="0.25">
      <c r="O431489" s="9"/>
    </row>
    <row r="431510" spans="15:15" x14ac:dyDescent="0.25">
      <c r="O431510" s="9"/>
    </row>
    <row r="431531" spans="15:15" x14ac:dyDescent="0.25">
      <c r="O431531" s="9"/>
    </row>
    <row r="431552" spans="15:15" x14ac:dyDescent="0.25">
      <c r="O431552" s="9"/>
    </row>
    <row r="431573" spans="15:15" x14ac:dyDescent="0.25">
      <c r="O431573" s="9"/>
    </row>
    <row r="431594" spans="15:15" x14ac:dyDescent="0.25">
      <c r="O431594" s="9"/>
    </row>
    <row r="431615" spans="15:15" x14ac:dyDescent="0.25">
      <c r="O431615" s="9"/>
    </row>
    <row r="431636" spans="15:15" x14ac:dyDescent="0.25">
      <c r="O431636" s="9"/>
    </row>
    <row r="431657" spans="15:15" x14ac:dyDescent="0.25">
      <c r="O431657" s="9"/>
    </row>
    <row r="431678" spans="15:15" x14ac:dyDescent="0.25">
      <c r="O431678" s="9"/>
    </row>
    <row r="431699" spans="15:15" x14ac:dyDescent="0.25">
      <c r="O431699" s="9"/>
    </row>
    <row r="431720" spans="15:15" x14ac:dyDescent="0.25">
      <c r="O431720" s="9"/>
    </row>
    <row r="431741" spans="15:15" x14ac:dyDescent="0.25">
      <c r="O431741" s="9"/>
    </row>
    <row r="431762" spans="15:15" x14ac:dyDescent="0.25">
      <c r="O431762" s="9"/>
    </row>
    <row r="431783" spans="15:15" x14ac:dyDescent="0.25">
      <c r="O431783" s="9"/>
    </row>
    <row r="431804" spans="15:15" x14ac:dyDescent="0.25">
      <c r="O431804" s="9"/>
    </row>
    <row r="431825" spans="15:15" x14ac:dyDescent="0.25">
      <c r="O431825" s="9"/>
    </row>
    <row r="431846" spans="15:15" x14ac:dyDescent="0.25">
      <c r="O431846" s="9"/>
    </row>
    <row r="431867" spans="15:15" x14ac:dyDescent="0.25">
      <c r="O431867" s="9"/>
    </row>
    <row r="431888" spans="15:15" x14ac:dyDescent="0.25">
      <c r="O431888" s="9"/>
    </row>
    <row r="431909" spans="15:15" x14ac:dyDescent="0.25">
      <c r="O431909" s="9"/>
    </row>
    <row r="431930" spans="15:15" x14ac:dyDescent="0.25">
      <c r="O431930" s="9"/>
    </row>
    <row r="431951" spans="15:15" x14ac:dyDescent="0.25">
      <c r="O431951" s="9"/>
    </row>
    <row r="431972" spans="15:15" x14ac:dyDescent="0.25">
      <c r="O431972" s="9"/>
    </row>
    <row r="431993" spans="15:15" x14ac:dyDescent="0.25">
      <c r="O431993" s="9"/>
    </row>
    <row r="432014" spans="15:15" x14ac:dyDescent="0.25">
      <c r="O432014" s="9"/>
    </row>
    <row r="432035" spans="15:15" x14ac:dyDescent="0.25">
      <c r="O432035" s="9"/>
    </row>
    <row r="432056" spans="15:15" x14ac:dyDescent="0.25">
      <c r="O432056" s="9"/>
    </row>
    <row r="432077" spans="15:15" x14ac:dyDescent="0.25">
      <c r="O432077" s="9"/>
    </row>
    <row r="432098" spans="15:15" x14ac:dyDescent="0.25">
      <c r="O432098" s="9"/>
    </row>
    <row r="432119" spans="15:15" x14ac:dyDescent="0.25">
      <c r="O432119" s="9"/>
    </row>
    <row r="432140" spans="15:15" x14ac:dyDescent="0.25">
      <c r="O432140" s="9"/>
    </row>
    <row r="432161" spans="15:15" x14ac:dyDescent="0.25">
      <c r="O432161" s="9"/>
    </row>
    <row r="432182" spans="15:15" x14ac:dyDescent="0.25">
      <c r="O432182" s="9"/>
    </row>
    <row r="432203" spans="15:15" x14ac:dyDescent="0.25">
      <c r="O432203" s="9"/>
    </row>
    <row r="432224" spans="15:15" x14ac:dyDescent="0.25">
      <c r="O432224" s="9"/>
    </row>
    <row r="432245" spans="15:15" x14ac:dyDescent="0.25">
      <c r="O432245" s="9"/>
    </row>
    <row r="432266" spans="15:15" x14ac:dyDescent="0.25">
      <c r="O432266" s="9"/>
    </row>
    <row r="432287" spans="15:15" x14ac:dyDescent="0.25">
      <c r="O432287" s="9"/>
    </row>
    <row r="432308" spans="15:15" x14ac:dyDescent="0.25">
      <c r="O432308" s="9"/>
    </row>
    <row r="432329" spans="15:15" x14ac:dyDescent="0.25">
      <c r="O432329" s="9"/>
    </row>
    <row r="432350" spans="15:15" x14ac:dyDescent="0.25">
      <c r="O432350" s="9"/>
    </row>
    <row r="432371" spans="15:15" x14ac:dyDescent="0.25">
      <c r="O432371" s="9"/>
    </row>
    <row r="432392" spans="15:15" x14ac:dyDescent="0.25">
      <c r="O432392" s="9"/>
    </row>
    <row r="432413" spans="15:15" x14ac:dyDescent="0.25">
      <c r="O432413" s="9"/>
    </row>
    <row r="432434" spans="15:15" x14ac:dyDescent="0.25">
      <c r="O432434" s="9"/>
    </row>
    <row r="432455" spans="15:15" x14ac:dyDescent="0.25">
      <c r="O432455" s="9"/>
    </row>
    <row r="432476" spans="15:15" x14ac:dyDescent="0.25">
      <c r="O432476" s="9"/>
    </row>
    <row r="432497" spans="15:15" x14ac:dyDescent="0.25">
      <c r="O432497" s="9"/>
    </row>
    <row r="432518" spans="15:15" x14ac:dyDescent="0.25">
      <c r="O432518" s="9"/>
    </row>
    <row r="432539" spans="15:15" x14ac:dyDescent="0.25">
      <c r="O432539" s="9"/>
    </row>
    <row r="432560" spans="15:15" x14ac:dyDescent="0.25">
      <c r="O432560" s="9"/>
    </row>
    <row r="432581" spans="15:15" x14ac:dyDescent="0.25">
      <c r="O432581" s="9"/>
    </row>
    <row r="432602" spans="15:15" x14ac:dyDescent="0.25">
      <c r="O432602" s="9"/>
    </row>
    <row r="432623" spans="15:15" x14ac:dyDescent="0.25">
      <c r="O432623" s="9"/>
    </row>
    <row r="432644" spans="15:15" x14ac:dyDescent="0.25">
      <c r="O432644" s="9"/>
    </row>
    <row r="432665" spans="15:15" x14ac:dyDescent="0.25">
      <c r="O432665" s="9"/>
    </row>
    <row r="432686" spans="15:15" x14ac:dyDescent="0.25">
      <c r="O432686" s="9"/>
    </row>
    <row r="432707" spans="15:15" x14ac:dyDescent="0.25">
      <c r="O432707" s="9"/>
    </row>
    <row r="432728" spans="15:15" x14ac:dyDescent="0.25">
      <c r="O432728" s="9"/>
    </row>
    <row r="432749" spans="15:15" x14ac:dyDescent="0.25">
      <c r="O432749" s="9"/>
    </row>
    <row r="432770" spans="15:15" x14ac:dyDescent="0.25">
      <c r="O432770" s="9"/>
    </row>
    <row r="432791" spans="15:15" x14ac:dyDescent="0.25">
      <c r="O432791" s="9"/>
    </row>
    <row r="432812" spans="15:15" x14ac:dyDescent="0.25">
      <c r="O432812" s="9"/>
    </row>
    <row r="432833" spans="15:15" x14ac:dyDescent="0.25">
      <c r="O432833" s="9"/>
    </row>
    <row r="432854" spans="15:15" x14ac:dyDescent="0.25">
      <c r="O432854" s="9"/>
    </row>
    <row r="432875" spans="15:15" x14ac:dyDescent="0.25">
      <c r="O432875" s="9"/>
    </row>
    <row r="432896" spans="15:15" x14ac:dyDescent="0.25">
      <c r="O432896" s="9"/>
    </row>
    <row r="432917" spans="15:15" x14ac:dyDescent="0.25">
      <c r="O432917" s="9"/>
    </row>
    <row r="432938" spans="15:15" x14ac:dyDescent="0.25">
      <c r="O432938" s="9"/>
    </row>
    <row r="432959" spans="15:15" x14ac:dyDescent="0.25">
      <c r="O432959" s="9"/>
    </row>
    <row r="432980" spans="15:15" x14ac:dyDescent="0.25">
      <c r="O432980" s="9"/>
    </row>
    <row r="433001" spans="15:15" x14ac:dyDescent="0.25">
      <c r="O433001" s="9"/>
    </row>
    <row r="433022" spans="15:15" x14ac:dyDescent="0.25">
      <c r="O433022" s="9"/>
    </row>
    <row r="433043" spans="15:15" x14ac:dyDescent="0.25">
      <c r="O433043" s="9"/>
    </row>
    <row r="433064" spans="15:15" x14ac:dyDescent="0.25">
      <c r="O433064" s="9"/>
    </row>
    <row r="433085" spans="15:15" x14ac:dyDescent="0.25">
      <c r="O433085" s="9"/>
    </row>
    <row r="433106" spans="15:15" x14ac:dyDescent="0.25">
      <c r="O433106" s="9"/>
    </row>
    <row r="433127" spans="15:15" x14ac:dyDescent="0.25">
      <c r="O433127" s="9"/>
    </row>
    <row r="433148" spans="15:15" x14ac:dyDescent="0.25">
      <c r="O433148" s="9"/>
    </row>
    <row r="433169" spans="15:15" x14ac:dyDescent="0.25">
      <c r="O433169" s="9"/>
    </row>
    <row r="433190" spans="15:15" x14ac:dyDescent="0.25">
      <c r="O433190" s="9"/>
    </row>
    <row r="433211" spans="15:15" x14ac:dyDescent="0.25">
      <c r="O433211" s="9"/>
    </row>
    <row r="433232" spans="15:15" x14ac:dyDescent="0.25">
      <c r="O433232" s="9"/>
    </row>
    <row r="433253" spans="15:15" x14ac:dyDescent="0.25">
      <c r="O433253" s="9"/>
    </row>
    <row r="433274" spans="15:15" x14ac:dyDescent="0.25">
      <c r="O433274" s="9"/>
    </row>
    <row r="433295" spans="15:15" x14ac:dyDescent="0.25">
      <c r="O433295" s="9"/>
    </row>
    <row r="433316" spans="15:15" x14ac:dyDescent="0.25">
      <c r="O433316" s="9"/>
    </row>
    <row r="433337" spans="15:15" x14ac:dyDescent="0.25">
      <c r="O433337" s="9"/>
    </row>
    <row r="433358" spans="15:15" x14ac:dyDescent="0.25">
      <c r="O433358" s="9"/>
    </row>
    <row r="433379" spans="15:15" x14ac:dyDescent="0.25">
      <c r="O433379" s="9"/>
    </row>
    <row r="433400" spans="15:15" x14ac:dyDescent="0.25">
      <c r="O433400" s="9"/>
    </row>
    <row r="433421" spans="15:15" x14ac:dyDescent="0.25">
      <c r="O433421" s="9"/>
    </row>
    <row r="433442" spans="15:15" x14ac:dyDescent="0.25">
      <c r="O433442" s="9"/>
    </row>
    <row r="433463" spans="15:15" x14ac:dyDescent="0.25">
      <c r="O433463" s="9"/>
    </row>
    <row r="433484" spans="15:15" x14ac:dyDescent="0.25">
      <c r="O433484" s="9"/>
    </row>
    <row r="433505" spans="15:15" x14ac:dyDescent="0.25">
      <c r="O433505" s="9"/>
    </row>
    <row r="433526" spans="15:15" x14ac:dyDescent="0.25">
      <c r="O433526" s="9"/>
    </row>
    <row r="433547" spans="15:15" x14ac:dyDescent="0.25">
      <c r="O433547" s="9"/>
    </row>
    <row r="433568" spans="15:15" x14ac:dyDescent="0.25">
      <c r="O433568" s="9"/>
    </row>
    <row r="433589" spans="15:15" x14ac:dyDescent="0.25">
      <c r="O433589" s="9"/>
    </row>
    <row r="433610" spans="15:15" x14ac:dyDescent="0.25">
      <c r="O433610" s="9"/>
    </row>
    <row r="433631" spans="15:15" x14ac:dyDescent="0.25">
      <c r="O433631" s="9"/>
    </row>
    <row r="433652" spans="15:15" x14ac:dyDescent="0.25">
      <c r="O433652" s="9"/>
    </row>
    <row r="433673" spans="15:15" x14ac:dyDescent="0.25">
      <c r="O433673" s="9"/>
    </row>
    <row r="433694" spans="15:15" x14ac:dyDescent="0.25">
      <c r="O433694" s="9"/>
    </row>
    <row r="433715" spans="15:15" x14ac:dyDescent="0.25">
      <c r="O433715" s="9"/>
    </row>
    <row r="433736" spans="15:15" x14ac:dyDescent="0.25">
      <c r="O433736" s="9"/>
    </row>
    <row r="433757" spans="15:15" x14ac:dyDescent="0.25">
      <c r="O433757" s="9"/>
    </row>
    <row r="433778" spans="15:15" x14ac:dyDescent="0.25">
      <c r="O433778" s="9"/>
    </row>
    <row r="433799" spans="15:15" x14ac:dyDescent="0.25">
      <c r="O433799" s="9"/>
    </row>
    <row r="433820" spans="15:15" x14ac:dyDescent="0.25">
      <c r="O433820" s="9"/>
    </row>
    <row r="433841" spans="15:15" x14ac:dyDescent="0.25">
      <c r="O433841" s="9"/>
    </row>
    <row r="433862" spans="15:15" x14ac:dyDescent="0.25">
      <c r="O433862" s="9"/>
    </row>
    <row r="433883" spans="15:15" x14ac:dyDescent="0.25">
      <c r="O433883" s="9"/>
    </row>
    <row r="433904" spans="15:15" x14ac:dyDescent="0.25">
      <c r="O433904" s="9"/>
    </row>
    <row r="433925" spans="15:15" x14ac:dyDescent="0.25">
      <c r="O433925" s="9"/>
    </row>
    <row r="433946" spans="15:15" x14ac:dyDescent="0.25">
      <c r="O433946" s="9"/>
    </row>
    <row r="433967" spans="15:15" x14ac:dyDescent="0.25">
      <c r="O433967" s="9"/>
    </row>
    <row r="433988" spans="15:15" x14ac:dyDescent="0.25">
      <c r="O433988" s="9"/>
    </row>
    <row r="434009" spans="15:15" x14ac:dyDescent="0.25">
      <c r="O434009" s="9"/>
    </row>
    <row r="434030" spans="15:15" x14ac:dyDescent="0.25">
      <c r="O434030" s="9"/>
    </row>
    <row r="434051" spans="15:15" x14ac:dyDescent="0.25">
      <c r="O434051" s="9"/>
    </row>
    <row r="434072" spans="15:15" x14ac:dyDescent="0.25">
      <c r="O434072" s="9"/>
    </row>
    <row r="434093" spans="15:15" x14ac:dyDescent="0.25">
      <c r="O434093" s="9"/>
    </row>
    <row r="434114" spans="15:15" x14ac:dyDescent="0.25">
      <c r="O434114" s="9"/>
    </row>
    <row r="434135" spans="15:15" x14ac:dyDescent="0.25">
      <c r="O434135" s="9"/>
    </row>
    <row r="434156" spans="15:15" x14ac:dyDescent="0.25">
      <c r="O434156" s="9"/>
    </row>
    <row r="434177" spans="15:15" x14ac:dyDescent="0.25">
      <c r="O434177" s="9"/>
    </row>
    <row r="434198" spans="15:15" x14ac:dyDescent="0.25">
      <c r="O434198" s="9"/>
    </row>
    <row r="434219" spans="15:15" x14ac:dyDescent="0.25">
      <c r="O434219" s="9"/>
    </row>
    <row r="434240" spans="15:15" x14ac:dyDescent="0.25">
      <c r="O434240" s="9"/>
    </row>
    <row r="434261" spans="15:15" x14ac:dyDescent="0.25">
      <c r="O434261" s="9"/>
    </row>
    <row r="434282" spans="15:15" x14ac:dyDescent="0.25">
      <c r="O434282" s="9"/>
    </row>
    <row r="434303" spans="15:15" x14ac:dyDescent="0.25">
      <c r="O434303" s="9"/>
    </row>
    <row r="434324" spans="15:15" x14ac:dyDescent="0.25">
      <c r="O434324" s="9"/>
    </row>
    <row r="434345" spans="15:15" x14ac:dyDescent="0.25">
      <c r="O434345" s="9"/>
    </row>
    <row r="434366" spans="15:15" x14ac:dyDescent="0.25">
      <c r="O434366" s="9"/>
    </row>
    <row r="434387" spans="15:15" x14ac:dyDescent="0.25">
      <c r="O434387" s="9"/>
    </row>
    <row r="434408" spans="15:15" x14ac:dyDescent="0.25">
      <c r="O434408" s="9"/>
    </row>
    <row r="434429" spans="15:15" x14ac:dyDescent="0.25">
      <c r="O434429" s="9"/>
    </row>
    <row r="434450" spans="15:15" x14ac:dyDescent="0.25">
      <c r="O434450" s="9"/>
    </row>
    <row r="434471" spans="15:15" x14ac:dyDescent="0.25">
      <c r="O434471" s="9"/>
    </row>
    <row r="434492" spans="15:15" x14ac:dyDescent="0.25">
      <c r="O434492" s="9"/>
    </row>
    <row r="434513" spans="15:15" x14ac:dyDescent="0.25">
      <c r="O434513" s="9"/>
    </row>
    <row r="434534" spans="15:15" x14ac:dyDescent="0.25">
      <c r="O434534" s="9"/>
    </row>
    <row r="434555" spans="15:15" x14ac:dyDescent="0.25">
      <c r="O434555" s="9"/>
    </row>
    <row r="434576" spans="15:15" x14ac:dyDescent="0.25">
      <c r="O434576" s="9"/>
    </row>
    <row r="434597" spans="15:15" x14ac:dyDescent="0.25">
      <c r="O434597" s="9"/>
    </row>
    <row r="434618" spans="15:15" x14ac:dyDescent="0.25">
      <c r="O434618" s="9"/>
    </row>
    <row r="434639" spans="15:15" x14ac:dyDescent="0.25">
      <c r="O434639" s="9"/>
    </row>
    <row r="434660" spans="15:15" x14ac:dyDescent="0.25">
      <c r="O434660" s="9"/>
    </row>
    <row r="434681" spans="15:15" x14ac:dyDescent="0.25">
      <c r="O434681" s="9"/>
    </row>
    <row r="434702" spans="15:15" x14ac:dyDescent="0.25">
      <c r="O434702" s="9"/>
    </row>
    <row r="434723" spans="15:15" x14ac:dyDescent="0.25">
      <c r="O434723" s="9"/>
    </row>
    <row r="434744" spans="15:15" x14ac:dyDescent="0.25">
      <c r="O434744" s="9"/>
    </row>
    <row r="434765" spans="15:15" x14ac:dyDescent="0.25">
      <c r="O434765" s="9"/>
    </row>
    <row r="434786" spans="15:15" x14ac:dyDescent="0.25">
      <c r="O434786" s="9"/>
    </row>
    <row r="434807" spans="15:15" x14ac:dyDescent="0.25">
      <c r="O434807" s="9"/>
    </row>
    <row r="434828" spans="15:15" x14ac:dyDescent="0.25">
      <c r="O434828" s="9"/>
    </row>
    <row r="434849" spans="15:15" x14ac:dyDescent="0.25">
      <c r="O434849" s="9"/>
    </row>
    <row r="434870" spans="15:15" x14ac:dyDescent="0.25">
      <c r="O434870" s="9"/>
    </row>
    <row r="434891" spans="15:15" x14ac:dyDescent="0.25">
      <c r="O434891" s="9"/>
    </row>
    <row r="434912" spans="15:15" x14ac:dyDescent="0.25">
      <c r="O434912" s="9"/>
    </row>
    <row r="434933" spans="15:15" x14ac:dyDescent="0.25">
      <c r="O434933" s="9"/>
    </row>
    <row r="434954" spans="15:15" x14ac:dyDescent="0.25">
      <c r="O434954" s="9"/>
    </row>
    <row r="434975" spans="15:15" x14ac:dyDescent="0.25">
      <c r="O434975" s="9"/>
    </row>
    <row r="434996" spans="15:15" x14ac:dyDescent="0.25">
      <c r="O434996" s="9"/>
    </row>
    <row r="435017" spans="15:15" x14ac:dyDescent="0.25">
      <c r="O435017" s="9"/>
    </row>
    <row r="435038" spans="15:15" x14ac:dyDescent="0.25">
      <c r="O435038" s="9"/>
    </row>
    <row r="435059" spans="15:15" x14ac:dyDescent="0.25">
      <c r="O435059" s="9"/>
    </row>
    <row r="435080" spans="15:15" x14ac:dyDescent="0.25">
      <c r="O435080" s="9"/>
    </row>
    <row r="435101" spans="15:15" x14ac:dyDescent="0.25">
      <c r="O435101" s="9"/>
    </row>
    <row r="435122" spans="15:15" x14ac:dyDescent="0.25">
      <c r="O435122" s="9"/>
    </row>
    <row r="435143" spans="15:15" x14ac:dyDescent="0.25">
      <c r="O435143" s="9"/>
    </row>
    <row r="435164" spans="15:15" x14ac:dyDescent="0.25">
      <c r="O435164" s="9"/>
    </row>
    <row r="435185" spans="15:15" x14ac:dyDescent="0.25">
      <c r="O435185" s="9"/>
    </row>
    <row r="435206" spans="15:15" x14ac:dyDescent="0.25">
      <c r="O435206" s="9"/>
    </row>
    <row r="435227" spans="15:15" x14ac:dyDescent="0.25">
      <c r="O435227" s="9"/>
    </row>
    <row r="435248" spans="15:15" x14ac:dyDescent="0.25">
      <c r="O435248" s="9"/>
    </row>
    <row r="435269" spans="15:15" x14ac:dyDescent="0.25">
      <c r="O435269" s="9"/>
    </row>
    <row r="435290" spans="15:15" x14ac:dyDescent="0.25">
      <c r="O435290" s="9"/>
    </row>
    <row r="435311" spans="15:15" x14ac:dyDescent="0.25">
      <c r="O435311" s="9"/>
    </row>
    <row r="435332" spans="15:15" x14ac:dyDescent="0.25">
      <c r="O435332" s="9"/>
    </row>
    <row r="435353" spans="15:15" x14ac:dyDescent="0.25">
      <c r="O435353" s="9"/>
    </row>
    <row r="435374" spans="15:15" x14ac:dyDescent="0.25">
      <c r="O435374" s="9"/>
    </row>
    <row r="435395" spans="15:15" x14ac:dyDescent="0.25">
      <c r="O435395" s="9"/>
    </row>
    <row r="435416" spans="15:15" x14ac:dyDescent="0.25">
      <c r="O435416" s="9"/>
    </row>
    <row r="435437" spans="15:15" x14ac:dyDescent="0.25">
      <c r="O435437" s="9"/>
    </row>
    <row r="435458" spans="15:15" x14ac:dyDescent="0.25">
      <c r="O435458" s="9"/>
    </row>
    <row r="435479" spans="15:15" x14ac:dyDescent="0.25">
      <c r="O435479" s="9"/>
    </row>
    <row r="435500" spans="15:15" x14ac:dyDescent="0.25">
      <c r="O435500" s="9"/>
    </row>
    <row r="435521" spans="15:15" x14ac:dyDescent="0.25">
      <c r="O435521" s="9"/>
    </row>
    <row r="435542" spans="15:15" x14ac:dyDescent="0.25">
      <c r="O435542" s="9"/>
    </row>
    <row r="435563" spans="15:15" x14ac:dyDescent="0.25">
      <c r="O435563" s="9"/>
    </row>
    <row r="435584" spans="15:15" x14ac:dyDescent="0.25">
      <c r="O435584" s="9"/>
    </row>
    <row r="435605" spans="15:15" x14ac:dyDescent="0.25">
      <c r="O435605" s="9"/>
    </row>
    <row r="435626" spans="15:15" x14ac:dyDescent="0.25">
      <c r="O435626" s="9"/>
    </row>
    <row r="435647" spans="15:15" x14ac:dyDescent="0.25">
      <c r="O435647" s="9"/>
    </row>
    <row r="435668" spans="15:15" x14ac:dyDescent="0.25">
      <c r="O435668" s="9"/>
    </row>
    <row r="435689" spans="15:15" x14ac:dyDescent="0.25">
      <c r="O435689" s="9"/>
    </row>
    <row r="435710" spans="15:15" x14ac:dyDescent="0.25">
      <c r="O435710" s="9"/>
    </row>
    <row r="435731" spans="15:15" x14ac:dyDescent="0.25">
      <c r="O435731" s="9"/>
    </row>
    <row r="435752" spans="15:15" x14ac:dyDescent="0.25">
      <c r="O435752" s="9"/>
    </row>
    <row r="435773" spans="15:15" x14ac:dyDescent="0.25">
      <c r="O435773" s="9"/>
    </row>
    <row r="435794" spans="15:15" x14ac:dyDescent="0.25">
      <c r="O435794" s="9"/>
    </row>
    <row r="435815" spans="15:15" x14ac:dyDescent="0.25">
      <c r="O435815" s="9"/>
    </row>
    <row r="435836" spans="15:15" x14ac:dyDescent="0.25">
      <c r="O435836" s="9"/>
    </row>
    <row r="435857" spans="15:15" x14ac:dyDescent="0.25">
      <c r="O435857" s="9"/>
    </row>
    <row r="435878" spans="15:15" x14ac:dyDescent="0.25">
      <c r="O435878" s="9"/>
    </row>
    <row r="435899" spans="15:15" x14ac:dyDescent="0.25">
      <c r="O435899" s="9"/>
    </row>
    <row r="435920" spans="15:15" x14ac:dyDescent="0.25">
      <c r="O435920" s="9"/>
    </row>
    <row r="435941" spans="15:15" x14ac:dyDescent="0.25">
      <c r="O435941" s="9"/>
    </row>
    <row r="435962" spans="15:15" x14ac:dyDescent="0.25">
      <c r="O435962" s="9"/>
    </row>
    <row r="435983" spans="15:15" x14ac:dyDescent="0.25">
      <c r="O435983" s="9"/>
    </row>
    <row r="436004" spans="15:15" x14ac:dyDescent="0.25">
      <c r="O436004" s="9"/>
    </row>
    <row r="436025" spans="15:15" x14ac:dyDescent="0.25">
      <c r="O436025" s="9"/>
    </row>
    <row r="436046" spans="15:15" x14ac:dyDescent="0.25">
      <c r="O436046" s="9"/>
    </row>
    <row r="436067" spans="15:15" x14ac:dyDescent="0.25">
      <c r="O436067" s="9"/>
    </row>
    <row r="436088" spans="15:15" x14ac:dyDescent="0.25">
      <c r="O436088" s="9"/>
    </row>
    <row r="436109" spans="15:15" x14ac:dyDescent="0.25">
      <c r="O436109" s="9"/>
    </row>
    <row r="436130" spans="15:15" x14ac:dyDescent="0.25">
      <c r="O436130" s="9"/>
    </row>
    <row r="436151" spans="15:15" x14ac:dyDescent="0.25">
      <c r="O436151" s="9"/>
    </row>
    <row r="436172" spans="15:15" x14ac:dyDescent="0.25">
      <c r="O436172" s="9"/>
    </row>
    <row r="436193" spans="15:15" x14ac:dyDescent="0.25">
      <c r="O436193" s="9"/>
    </row>
    <row r="436214" spans="15:15" x14ac:dyDescent="0.25">
      <c r="O436214" s="9"/>
    </row>
    <row r="436235" spans="15:15" x14ac:dyDescent="0.25">
      <c r="O436235" s="9"/>
    </row>
    <row r="436256" spans="15:15" x14ac:dyDescent="0.25">
      <c r="O436256" s="9"/>
    </row>
    <row r="436277" spans="15:15" x14ac:dyDescent="0.25">
      <c r="O436277" s="9"/>
    </row>
    <row r="436298" spans="15:15" x14ac:dyDescent="0.25">
      <c r="O436298" s="9"/>
    </row>
    <row r="436319" spans="15:15" x14ac:dyDescent="0.25">
      <c r="O436319" s="9"/>
    </row>
    <row r="436340" spans="15:15" x14ac:dyDescent="0.25">
      <c r="O436340" s="9"/>
    </row>
    <row r="436361" spans="15:15" x14ac:dyDescent="0.25">
      <c r="O436361" s="9"/>
    </row>
    <row r="436382" spans="15:15" x14ac:dyDescent="0.25">
      <c r="O436382" s="9"/>
    </row>
    <row r="436403" spans="15:15" x14ac:dyDescent="0.25">
      <c r="O436403" s="9"/>
    </row>
    <row r="436424" spans="15:15" x14ac:dyDescent="0.25">
      <c r="O436424" s="9"/>
    </row>
    <row r="436445" spans="15:15" x14ac:dyDescent="0.25">
      <c r="O436445" s="9"/>
    </row>
    <row r="436466" spans="15:15" x14ac:dyDescent="0.25">
      <c r="O436466" s="9"/>
    </row>
    <row r="436487" spans="15:15" x14ac:dyDescent="0.25">
      <c r="O436487" s="9"/>
    </row>
    <row r="436508" spans="15:15" x14ac:dyDescent="0.25">
      <c r="O436508" s="9"/>
    </row>
    <row r="436529" spans="15:15" x14ac:dyDescent="0.25">
      <c r="O436529" s="9"/>
    </row>
    <row r="436550" spans="15:15" x14ac:dyDescent="0.25">
      <c r="O436550" s="9"/>
    </row>
    <row r="436571" spans="15:15" x14ac:dyDescent="0.25">
      <c r="O436571" s="9"/>
    </row>
    <row r="436592" spans="15:15" x14ac:dyDescent="0.25">
      <c r="O436592" s="9"/>
    </row>
    <row r="436613" spans="15:15" x14ac:dyDescent="0.25">
      <c r="O436613" s="9"/>
    </row>
    <row r="436634" spans="15:15" x14ac:dyDescent="0.25">
      <c r="O436634" s="9"/>
    </row>
    <row r="436655" spans="15:15" x14ac:dyDescent="0.25">
      <c r="O436655" s="9"/>
    </row>
    <row r="436676" spans="15:15" x14ac:dyDescent="0.25">
      <c r="O436676" s="9"/>
    </row>
    <row r="436697" spans="15:15" x14ac:dyDescent="0.25">
      <c r="O436697" s="9"/>
    </row>
    <row r="436718" spans="15:15" x14ac:dyDescent="0.25">
      <c r="O436718" s="9"/>
    </row>
    <row r="436739" spans="15:15" x14ac:dyDescent="0.25">
      <c r="O436739" s="9"/>
    </row>
    <row r="436760" spans="15:15" x14ac:dyDescent="0.25">
      <c r="O436760" s="9"/>
    </row>
    <row r="436781" spans="15:15" x14ac:dyDescent="0.25">
      <c r="O436781" s="9"/>
    </row>
    <row r="436802" spans="15:15" x14ac:dyDescent="0.25">
      <c r="O436802" s="9"/>
    </row>
    <row r="436823" spans="15:15" x14ac:dyDescent="0.25">
      <c r="O436823" s="9"/>
    </row>
    <row r="436844" spans="15:15" x14ac:dyDescent="0.25">
      <c r="O436844" s="9"/>
    </row>
    <row r="436865" spans="15:15" x14ac:dyDescent="0.25">
      <c r="O436865" s="9"/>
    </row>
    <row r="436886" spans="15:15" x14ac:dyDescent="0.25">
      <c r="O436886" s="9"/>
    </row>
    <row r="436907" spans="15:15" x14ac:dyDescent="0.25">
      <c r="O436907" s="9"/>
    </row>
    <row r="436928" spans="15:15" x14ac:dyDescent="0.25">
      <c r="O436928" s="9"/>
    </row>
    <row r="436949" spans="15:15" x14ac:dyDescent="0.25">
      <c r="O436949" s="9"/>
    </row>
    <row r="436970" spans="15:15" x14ac:dyDescent="0.25">
      <c r="O436970" s="9"/>
    </row>
    <row r="436991" spans="15:15" x14ac:dyDescent="0.25">
      <c r="O436991" s="9"/>
    </row>
    <row r="437012" spans="15:15" x14ac:dyDescent="0.25">
      <c r="O437012" s="9"/>
    </row>
    <row r="437033" spans="15:15" x14ac:dyDescent="0.25">
      <c r="O437033" s="9"/>
    </row>
    <row r="437054" spans="15:15" x14ac:dyDescent="0.25">
      <c r="O437054" s="9"/>
    </row>
    <row r="437075" spans="15:15" x14ac:dyDescent="0.25">
      <c r="O437075" s="9"/>
    </row>
    <row r="437096" spans="15:15" x14ac:dyDescent="0.25">
      <c r="O437096" s="9"/>
    </row>
    <row r="437117" spans="15:15" x14ac:dyDescent="0.25">
      <c r="O437117" s="9"/>
    </row>
    <row r="437138" spans="15:15" x14ac:dyDescent="0.25">
      <c r="O437138" s="9"/>
    </row>
    <row r="437159" spans="15:15" x14ac:dyDescent="0.25">
      <c r="O437159" s="9"/>
    </row>
    <row r="437180" spans="15:15" x14ac:dyDescent="0.25">
      <c r="O437180" s="9"/>
    </row>
    <row r="437201" spans="15:15" x14ac:dyDescent="0.25">
      <c r="O437201" s="9"/>
    </row>
    <row r="437222" spans="15:15" x14ac:dyDescent="0.25">
      <c r="O437222" s="9"/>
    </row>
    <row r="437243" spans="15:15" x14ac:dyDescent="0.25">
      <c r="O437243" s="9"/>
    </row>
    <row r="437264" spans="15:15" x14ac:dyDescent="0.25">
      <c r="O437264" s="9"/>
    </row>
    <row r="437285" spans="15:15" x14ac:dyDescent="0.25">
      <c r="O437285" s="9"/>
    </row>
    <row r="437306" spans="15:15" x14ac:dyDescent="0.25">
      <c r="O437306" s="9"/>
    </row>
    <row r="437327" spans="15:15" x14ac:dyDescent="0.25">
      <c r="O437327" s="9"/>
    </row>
    <row r="437348" spans="15:15" x14ac:dyDescent="0.25">
      <c r="O437348" s="9"/>
    </row>
    <row r="437369" spans="15:15" x14ac:dyDescent="0.25">
      <c r="O437369" s="9"/>
    </row>
    <row r="437390" spans="15:15" x14ac:dyDescent="0.25">
      <c r="O437390" s="9"/>
    </row>
    <row r="437411" spans="15:15" x14ac:dyDescent="0.25">
      <c r="O437411" s="9"/>
    </row>
    <row r="437432" spans="15:15" x14ac:dyDescent="0.25">
      <c r="O437432" s="9"/>
    </row>
    <row r="437453" spans="15:15" x14ac:dyDescent="0.25">
      <c r="O437453" s="9"/>
    </row>
    <row r="437474" spans="15:15" x14ac:dyDescent="0.25">
      <c r="O437474" s="9"/>
    </row>
    <row r="437495" spans="15:15" x14ac:dyDescent="0.25">
      <c r="O437495" s="9"/>
    </row>
    <row r="437516" spans="15:15" x14ac:dyDescent="0.25">
      <c r="O437516" s="9"/>
    </row>
    <row r="437537" spans="15:15" x14ac:dyDescent="0.25">
      <c r="O437537" s="9"/>
    </row>
    <row r="437558" spans="15:15" x14ac:dyDescent="0.25">
      <c r="O437558" s="9"/>
    </row>
    <row r="437579" spans="15:15" x14ac:dyDescent="0.25">
      <c r="O437579" s="9"/>
    </row>
    <row r="437600" spans="15:15" x14ac:dyDescent="0.25">
      <c r="O437600" s="9"/>
    </row>
    <row r="437621" spans="15:15" x14ac:dyDescent="0.25">
      <c r="O437621" s="9"/>
    </row>
    <row r="437642" spans="15:15" x14ac:dyDescent="0.25">
      <c r="O437642" s="9"/>
    </row>
    <row r="437663" spans="15:15" x14ac:dyDescent="0.25">
      <c r="O437663" s="9"/>
    </row>
    <row r="437684" spans="15:15" x14ac:dyDescent="0.25">
      <c r="O437684" s="9"/>
    </row>
    <row r="437705" spans="15:15" x14ac:dyDescent="0.25">
      <c r="O437705" s="9"/>
    </row>
    <row r="437726" spans="15:15" x14ac:dyDescent="0.25">
      <c r="O437726" s="9"/>
    </row>
    <row r="437747" spans="15:15" x14ac:dyDescent="0.25">
      <c r="O437747" s="9"/>
    </row>
    <row r="437768" spans="15:15" x14ac:dyDescent="0.25">
      <c r="O437768" s="9"/>
    </row>
    <row r="437789" spans="15:15" x14ac:dyDescent="0.25">
      <c r="O437789" s="9"/>
    </row>
    <row r="437810" spans="15:15" x14ac:dyDescent="0.25">
      <c r="O437810" s="9"/>
    </row>
    <row r="437831" spans="15:15" x14ac:dyDescent="0.25">
      <c r="O437831" s="9"/>
    </row>
    <row r="437852" spans="15:15" x14ac:dyDescent="0.25">
      <c r="O437852" s="9"/>
    </row>
    <row r="437873" spans="15:15" x14ac:dyDescent="0.25">
      <c r="O437873" s="9"/>
    </row>
    <row r="437894" spans="15:15" x14ac:dyDescent="0.25">
      <c r="O437894" s="9"/>
    </row>
    <row r="437915" spans="15:15" x14ac:dyDescent="0.25">
      <c r="O437915" s="9"/>
    </row>
    <row r="437936" spans="15:15" x14ac:dyDescent="0.25">
      <c r="O437936" s="9"/>
    </row>
    <row r="437957" spans="15:15" x14ac:dyDescent="0.25">
      <c r="O437957" s="9"/>
    </row>
    <row r="437978" spans="15:15" x14ac:dyDescent="0.25">
      <c r="O437978" s="9"/>
    </row>
    <row r="437999" spans="15:15" x14ac:dyDescent="0.25">
      <c r="O437999" s="9"/>
    </row>
    <row r="438020" spans="15:15" x14ac:dyDescent="0.25">
      <c r="O438020" s="9"/>
    </row>
    <row r="438041" spans="15:15" x14ac:dyDescent="0.25">
      <c r="O438041" s="9"/>
    </row>
    <row r="438062" spans="15:15" x14ac:dyDescent="0.25">
      <c r="O438062" s="9"/>
    </row>
    <row r="438083" spans="15:15" x14ac:dyDescent="0.25">
      <c r="O438083" s="9"/>
    </row>
    <row r="438104" spans="15:15" x14ac:dyDescent="0.25">
      <c r="O438104" s="9"/>
    </row>
    <row r="438125" spans="15:15" x14ac:dyDescent="0.25">
      <c r="O438125" s="9"/>
    </row>
    <row r="438146" spans="15:15" x14ac:dyDescent="0.25">
      <c r="O438146" s="9"/>
    </row>
    <row r="438167" spans="15:15" x14ac:dyDescent="0.25">
      <c r="O438167" s="9"/>
    </row>
    <row r="438188" spans="15:15" x14ac:dyDescent="0.25">
      <c r="O438188" s="9"/>
    </row>
    <row r="438209" spans="15:15" x14ac:dyDescent="0.25">
      <c r="O438209" s="9"/>
    </row>
    <row r="438230" spans="15:15" x14ac:dyDescent="0.25">
      <c r="O438230" s="9"/>
    </row>
    <row r="438251" spans="15:15" x14ac:dyDescent="0.25">
      <c r="O438251" s="9"/>
    </row>
    <row r="438272" spans="15:15" x14ac:dyDescent="0.25">
      <c r="O438272" s="9"/>
    </row>
    <row r="438293" spans="15:15" x14ac:dyDescent="0.25">
      <c r="O438293" s="9"/>
    </row>
    <row r="438314" spans="15:15" x14ac:dyDescent="0.25">
      <c r="O438314" s="9"/>
    </row>
    <row r="438335" spans="15:15" x14ac:dyDescent="0.25">
      <c r="O438335" s="9"/>
    </row>
    <row r="438356" spans="15:15" x14ac:dyDescent="0.25">
      <c r="O438356" s="9"/>
    </row>
    <row r="438377" spans="15:15" x14ac:dyDescent="0.25">
      <c r="O438377" s="9"/>
    </row>
    <row r="438398" spans="15:15" x14ac:dyDescent="0.25">
      <c r="O438398" s="9"/>
    </row>
    <row r="438419" spans="15:15" x14ac:dyDescent="0.25">
      <c r="O438419" s="9"/>
    </row>
    <row r="438440" spans="15:15" x14ac:dyDescent="0.25">
      <c r="O438440" s="9"/>
    </row>
    <row r="438461" spans="15:15" x14ac:dyDescent="0.25">
      <c r="O438461" s="9"/>
    </row>
    <row r="438482" spans="15:15" x14ac:dyDescent="0.25">
      <c r="O438482" s="9"/>
    </row>
    <row r="438503" spans="15:15" x14ac:dyDescent="0.25">
      <c r="O438503" s="9"/>
    </row>
    <row r="438524" spans="15:15" x14ac:dyDescent="0.25">
      <c r="O438524" s="9"/>
    </row>
    <row r="438545" spans="15:15" x14ac:dyDescent="0.25">
      <c r="O438545" s="9"/>
    </row>
    <row r="438566" spans="15:15" x14ac:dyDescent="0.25">
      <c r="O438566" s="9"/>
    </row>
    <row r="438587" spans="15:15" x14ac:dyDescent="0.25">
      <c r="O438587" s="9"/>
    </row>
    <row r="438608" spans="15:15" x14ac:dyDescent="0.25">
      <c r="O438608" s="9"/>
    </row>
    <row r="438629" spans="15:15" x14ac:dyDescent="0.25">
      <c r="O438629" s="9"/>
    </row>
    <row r="438650" spans="15:15" x14ac:dyDescent="0.25">
      <c r="O438650" s="9"/>
    </row>
    <row r="438671" spans="15:15" x14ac:dyDescent="0.25">
      <c r="O438671" s="9"/>
    </row>
    <row r="438692" spans="15:15" x14ac:dyDescent="0.25">
      <c r="O438692" s="9"/>
    </row>
    <row r="438713" spans="15:15" x14ac:dyDescent="0.25">
      <c r="O438713" s="9"/>
    </row>
    <row r="438734" spans="15:15" x14ac:dyDescent="0.25">
      <c r="O438734" s="9"/>
    </row>
    <row r="438755" spans="15:15" x14ac:dyDescent="0.25">
      <c r="O438755" s="9"/>
    </row>
    <row r="438776" spans="15:15" x14ac:dyDescent="0.25">
      <c r="O438776" s="9"/>
    </row>
    <row r="438797" spans="15:15" x14ac:dyDescent="0.25">
      <c r="O438797" s="9"/>
    </row>
    <row r="438818" spans="15:15" x14ac:dyDescent="0.25">
      <c r="O438818" s="9"/>
    </row>
    <row r="438839" spans="15:15" x14ac:dyDescent="0.25">
      <c r="O438839" s="9"/>
    </row>
    <row r="438860" spans="15:15" x14ac:dyDescent="0.25">
      <c r="O438860" s="9"/>
    </row>
    <row r="438881" spans="15:15" x14ac:dyDescent="0.25">
      <c r="O438881" s="9"/>
    </row>
    <row r="438902" spans="15:15" x14ac:dyDescent="0.25">
      <c r="O438902" s="9"/>
    </row>
    <row r="438923" spans="15:15" x14ac:dyDescent="0.25">
      <c r="O438923" s="9"/>
    </row>
    <row r="438944" spans="15:15" x14ac:dyDescent="0.25">
      <c r="O438944" s="9"/>
    </row>
    <row r="438965" spans="15:15" x14ac:dyDescent="0.25">
      <c r="O438965" s="9"/>
    </row>
    <row r="438986" spans="15:15" x14ac:dyDescent="0.25">
      <c r="O438986" s="9"/>
    </row>
    <row r="439007" spans="15:15" x14ac:dyDescent="0.25">
      <c r="O439007" s="9"/>
    </row>
    <row r="439028" spans="15:15" x14ac:dyDescent="0.25">
      <c r="O439028" s="9"/>
    </row>
    <row r="439049" spans="15:15" x14ac:dyDescent="0.25">
      <c r="O439049" s="9"/>
    </row>
    <row r="439070" spans="15:15" x14ac:dyDescent="0.25">
      <c r="O439070" s="9"/>
    </row>
    <row r="439091" spans="15:15" x14ac:dyDescent="0.25">
      <c r="O439091" s="9"/>
    </row>
    <row r="439112" spans="15:15" x14ac:dyDescent="0.25">
      <c r="O439112" s="9"/>
    </row>
    <row r="439133" spans="15:15" x14ac:dyDescent="0.25">
      <c r="O439133" s="9"/>
    </row>
    <row r="439154" spans="15:15" x14ac:dyDescent="0.25">
      <c r="O439154" s="9"/>
    </row>
    <row r="439175" spans="15:15" x14ac:dyDescent="0.25">
      <c r="O439175" s="9"/>
    </row>
    <row r="439196" spans="15:15" x14ac:dyDescent="0.25">
      <c r="O439196" s="9"/>
    </row>
    <row r="439217" spans="15:15" x14ac:dyDescent="0.25">
      <c r="O439217" s="9"/>
    </row>
    <row r="439238" spans="15:15" x14ac:dyDescent="0.25">
      <c r="O439238" s="9"/>
    </row>
    <row r="439259" spans="15:15" x14ac:dyDescent="0.25">
      <c r="O439259" s="9"/>
    </row>
    <row r="439280" spans="15:15" x14ac:dyDescent="0.25">
      <c r="O439280" s="9"/>
    </row>
    <row r="439301" spans="15:15" x14ac:dyDescent="0.25">
      <c r="O439301" s="9"/>
    </row>
    <row r="439322" spans="15:15" x14ac:dyDescent="0.25">
      <c r="O439322" s="9"/>
    </row>
    <row r="439343" spans="15:15" x14ac:dyDescent="0.25">
      <c r="O439343" s="9"/>
    </row>
    <row r="439364" spans="15:15" x14ac:dyDescent="0.25">
      <c r="O439364" s="9"/>
    </row>
    <row r="439385" spans="15:15" x14ac:dyDescent="0.25">
      <c r="O439385" s="9"/>
    </row>
    <row r="439406" spans="15:15" x14ac:dyDescent="0.25">
      <c r="O439406" s="9"/>
    </row>
    <row r="439427" spans="15:15" x14ac:dyDescent="0.25">
      <c r="O439427" s="9"/>
    </row>
    <row r="439448" spans="15:15" x14ac:dyDescent="0.25">
      <c r="O439448" s="9"/>
    </row>
    <row r="439469" spans="15:15" x14ac:dyDescent="0.25">
      <c r="O439469" s="9"/>
    </row>
    <row r="439490" spans="15:15" x14ac:dyDescent="0.25">
      <c r="O439490" s="9"/>
    </row>
    <row r="439511" spans="15:15" x14ac:dyDescent="0.25">
      <c r="O439511" s="9"/>
    </row>
    <row r="439532" spans="15:15" x14ac:dyDescent="0.25">
      <c r="O439532" s="9"/>
    </row>
    <row r="439553" spans="15:15" x14ac:dyDescent="0.25">
      <c r="O439553" s="9"/>
    </row>
    <row r="439574" spans="15:15" x14ac:dyDescent="0.25">
      <c r="O439574" s="9"/>
    </row>
    <row r="439595" spans="15:15" x14ac:dyDescent="0.25">
      <c r="O439595" s="9"/>
    </row>
    <row r="439616" spans="15:15" x14ac:dyDescent="0.25">
      <c r="O439616" s="9"/>
    </row>
    <row r="439637" spans="15:15" x14ac:dyDescent="0.25">
      <c r="O439637" s="9"/>
    </row>
    <row r="439658" spans="15:15" x14ac:dyDescent="0.25">
      <c r="O439658" s="9"/>
    </row>
    <row r="439679" spans="15:15" x14ac:dyDescent="0.25">
      <c r="O439679" s="9"/>
    </row>
    <row r="439700" spans="15:15" x14ac:dyDescent="0.25">
      <c r="O439700" s="9"/>
    </row>
    <row r="439721" spans="15:15" x14ac:dyDescent="0.25">
      <c r="O439721" s="9"/>
    </row>
    <row r="439742" spans="15:15" x14ac:dyDescent="0.25">
      <c r="O439742" s="9"/>
    </row>
    <row r="439763" spans="15:15" x14ac:dyDescent="0.25">
      <c r="O439763" s="9"/>
    </row>
    <row r="439784" spans="15:15" x14ac:dyDescent="0.25">
      <c r="O439784" s="9"/>
    </row>
    <row r="439805" spans="15:15" x14ac:dyDescent="0.25">
      <c r="O439805" s="9"/>
    </row>
    <row r="439826" spans="15:15" x14ac:dyDescent="0.25">
      <c r="O439826" s="9"/>
    </row>
    <row r="439847" spans="15:15" x14ac:dyDescent="0.25">
      <c r="O439847" s="9"/>
    </row>
    <row r="439868" spans="15:15" x14ac:dyDescent="0.25">
      <c r="O439868" s="9"/>
    </row>
    <row r="439889" spans="15:15" x14ac:dyDescent="0.25">
      <c r="O439889" s="9"/>
    </row>
    <row r="439910" spans="15:15" x14ac:dyDescent="0.25">
      <c r="O439910" s="9"/>
    </row>
    <row r="439931" spans="15:15" x14ac:dyDescent="0.25">
      <c r="O439931" s="9"/>
    </row>
    <row r="439952" spans="15:15" x14ac:dyDescent="0.25">
      <c r="O439952" s="9"/>
    </row>
    <row r="439973" spans="15:15" x14ac:dyDescent="0.25">
      <c r="O439973" s="9"/>
    </row>
    <row r="439994" spans="15:15" x14ac:dyDescent="0.25">
      <c r="O439994" s="9"/>
    </row>
    <row r="440015" spans="15:15" x14ac:dyDescent="0.25">
      <c r="O440015" s="9"/>
    </row>
    <row r="440036" spans="15:15" x14ac:dyDescent="0.25">
      <c r="O440036" s="9"/>
    </row>
    <row r="440057" spans="15:15" x14ac:dyDescent="0.25">
      <c r="O440057" s="9"/>
    </row>
    <row r="440078" spans="15:15" x14ac:dyDescent="0.25">
      <c r="O440078" s="9"/>
    </row>
    <row r="440099" spans="15:15" x14ac:dyDescent="0.25">
      <c r="O440099" s="9"/>
    </row>
    <row r="440120" spans="15:15" x14ac:dyDescent="0.25">
      <c r="O440120" s="9"/>
    </row>
    <row r="440141" spans="15:15" x14ac:dyDescent="0.25">
      <c r="O440141" s="9"/>
    </row>
    <row r="440162" spans="15:15" x14ac:dyDescent="0.25">
      <c r="O440162" s="9"/>
    </row>
    <row r="440183" spans="15:15" x14ac:dyDescent="0.25">
      <c r="O440183" s="9"/>
    </row>
    <row r="440204" spans="15:15" x14ac:dyDescent="0.25">
      <c r="O440204" s="9"/>
    </row>
    <row r="440225" spans="15:15" x14ac:dyDescent="0.25">
      <c r="O440225" s="9"/>
    </row>
    <row r="440246" spans="15:15" x14ac:dyDescent="0.25">
      <c r="O440246" s="9"/>
    </row>
    <row r="440267" spans="15:15" x14ac:dyDescent="0.25">
      <c r="O440267" s="9"/>
    </row>
    <row r="440288" spans="15:15" x14ac:dyDescent="0.25">
      <c r="O440288" s="9"/>
    </row>
    <row r="440309" spans="15:15" x14ac:dyDescent="0.25">
      <c r="O440309" s="9"/>
    </row>
    <row r="440330" spans="15:15" x14ac:dyDescent="0.25">
      <c r="O440330" s="9"/>
    </row>
    <row r="440351" spans="15:15" x14ac:dyDescent="0.25">
      <c r="O440351" s="9"/>
    </row>
    <row r="440372" spans="15:15" x14ac:dyDescent="0.25">
      <c r="O440372" s="9"/>
    </row>
    <row r="440393" spans="15:15" x14ac:dyDescent="0.25">
      <c r="O440393" s="9"/>
    </row>
    <row r="440414" spans="15:15" x14ac:dyDescent="0.25">
      <c r="O440414" s="9"/>
    </row>
    <row r="440435" spans="15:15" x14ac:dyDescent="0.25">
      <c r="O440435" s="9"/>
    </row>
    <row r="440456" spans="15:15" x14ac:dyDescent="0.25">
      <c r="O440456" s="9"/>
    </row>
    <row r="440477" spans="15:15" x14ac:dyDescent="0.25">
      <c r="O440477" s="9"/>
    </row>
    <row r="440498" spans="15:15" x14ac:dyDescent="0.25">
      <c r="O440498" s="9"/>
    </row>
    <row r="440519" spans="15:15" x14ac:dyDescent="0.25">
      <c r="O440519" s="9"/>
    </row>
    <row r="440540" spans="15:15" x14ac:dyDescent="0.25">
      <c r="O440540" s="9"/>
    </row>
    <row r="440561" spans="15:15" x14ac:dyDescent="0.25">
      <c r="O440561" s="9"/>
    </row>
    <row r="440582" spans="15:15" x14ac:dyDescent="0.25">
      <c r="O440582" s="9"/>
    </row>
    <row r="440603" spans="15:15" x14ac:dyDescent="0.25">
      <c r="O440603" s="9"/>
    </row>
    <row r="440624" spans="15:15" x14ac:dyDescent="0.25">
      <c r="O440624" s="9"/>
    </row>
    <row r="440645" spans="15:15" x14ac:dyDescent="0.25">
      <c r="O440645" s="9"/>
    </row>
    <row r="440666" spans="15:15" x14ac:dyDescent="0.25">
      <c r="O440666" s="9"/>
    </row>
    <row r="440687" spans="15:15" x14ac:dyDescent="0.25">
      <c r="O440687" s="9"/>
    </row>
    <row r="440708" spans="15:15" x14ac:dyDescent="0.25">
      <c r="O440708" s="9"/>
    </row>
    <row r="440729" spans="15:15" x14ac:dyDescent="0.25">
      <c r="O440729" s="9"/>
    </row>
    <row r="440750" spans="15:15" x14ac:dyDescent="0.25">
      <c r="O440750" s="9"/>
    </row>
    <row r="440771" spans="15:15" x14ac:dyDescent="0.25">
      <c r="O440771" s="9"/>
    </row>
    <row r="440792" spans="15:15" x14ac:dyDescent="0.25">
      <c r="O440792" s="9"/>
    </row>
    <row r="440813" spans="15:15" x14ac:dyDescent="0.25">
      <c r="O440813" s="9"/>
    </row>
    <row r="440834" spans="15:15" x14ac:dyDescent="0.25">
      <c r="O440834" s="9"/>
    </row>
    <row r="440855" spans="15:15" x14ac:dyDescent="0.25">
      <c r="O440855" s="9"/>
    </row>
    <row r="440876" spans="15:15" x14ac:dyDescent="0.25">
      <c r="O440876" s="9"/>
    </row>
    <row r="440897" spans="15:15" x14ac:dyDescent="0.25">
      <c r="O440897" s="9"/>
    </row>
    <row r="440918" spans="15:15" x14ac:dyDescent="0.25">
      <c r="O440918" s="9"/>
    </row>
    <row r="440939" spans="15:15" x14ac:dyDescent="0.25">
      <c r="O440939" s="9"/>
    </row>
    <row r="440960" spans="15:15" x14ac:dyDescent="0.25">
      <c r="O440960" s="9"/>
    </row>
    <row r="440981" spans="15:15" x14ac:dyDescent="0.25">
      <c r="O440981" s="9"/>
    </row>
    <row r="441002" spans="15:15" x14ac:dyDescent="0.25">
      <c r="O441002" s="9"/>
    </row>
    <row r="441023" spans="15:15" x14ac:dyDescent="0.25">
      <c r="O441023" s="9"/>
    </row>
    <row r="441044" spans="15:15" x14ac:dyDescent="0.25">
      <c r="O441044" s="9"/>
    </row>
    <row r="441065" spans="15:15" x14ac:dyDescent="0.25">
      <c r="O441065" s="9"/>
    </row>
    <row r="441086" spans="15:15" x14ac:dyDescent="0.25">
      <c r="O441086" s="9"/>
    </row>
    <row r="441107" spans="15:15" x14ac:dyDescent="0.25">
      <c r="O441107" s="9"/>
    </row>
    <row r="441128" spans="15:15" x14ac:dyDescent="0.25">
      <c r="O441128" s="9"/>
    </row>
    <row r="441149" spans="15:15" x14ac:dyDescent="0.25">
      <c r="O441149" s="9"/>
    </row>
    <row r="441170" spans="15:15" x14ac:dyDescent="0.25">
      <c r="O441170" s="9"/>
    </row>
    <row r="441191" spans="15:15" x14ac:dyDescent="0.25">
      <c r="O441191" s="9"/>
    </row>
    <row r="441212" spans="15:15" x14ac:dyDescent="0.25">
      <c r="O441212" s="9"/>
    </row>
    <row r="441233" spans="15:15" x14ac:dyDescent="0.25">
      <c r="O441233" s="9"/>
    </row>
    <row r="441254" spans="15:15" x14ac:dyDescent="0.25">
      <c r="O441254" s="9"/>
    </row>
    <row r="441275" spans="15:15" x14ac:dyDescent="0.25">
      <c r="O441275" s="9"/>
    </row>
    <row r="441296" spans="15:15" x14ac:dyDescent="0.25">
      <c r="O441296" s="9"/>
    </row>
    <row r="441317" spans="15:15" x14ac:dyDescent="0.25">
      <c r="O441317" s="9"/>
    </row>
    <row r="441338" spans="15:15" x14ac:dyDescent="0.25">
      <c r="O441338" s="9"/>
    </row>
    <row r="441359" spans="15:15" x14ac:dyDescent="0.25">
      <c r="O441359" s="9"/>
    </row>
    <row r="441380" spans="15:15" x14ac:dyDescent="0.25">
      <c r="O441380" s="9"/>
    </row>
    <row r="441401" spans="15:15" x14ac:dyDescent="0.25">
      <c r="O441401" s="9"/>
    </row>
    <row r="441422" spans="15:15" x14ac:dyDescent="0.25">
      <c r="O441422" s="9"/>
    </row>
    <row r="441443" spans="15:15" x14ac:dyDescent="0.25">
      <c r="O441443" s="9"/>
    </row>
    <row r="441464" spans="15:15" x14ac:dyDescent="0.25">
      <c r="O441464" s="9"/>
    </row>
    <row r="441485" spans="15:15" x14ac:dyDescent="0.25">
      <c r="O441485" s="9"/>
    </row>
    <row r="441506" spans="15:15" x14ac:dyDescent="0.25">
      <c r="O441506" s="9"/>
    </row>
    <row r="441527" spans="15:15" x14ac:dyDescent="0.25">
      <c r="O441527" s="9"/>
    </row>
    <row r="441548" spans="15:15" x14ac:dyDescent="0.25">
      <c r="O441548" s="9"/>
    </row>
    <row r="441569" spans="15:15" x14ac:dyDescent="0.25">
      <c r="O441569" s="9"/>
    </row>
    <row r="441590" spans="15:15" x14ac:dyDescent="0.25">
      <c r="O441590" s="9"/>
    </row>
    <row r="441611" spans="15:15" x14ac:dyDescent="0.25">
      <c r="O441611" s="9"/>
    </row>
    <row r="441632" spans="15:15" x14ac:dyDescent="0.25">
      <c r="O441632" s="9"/>
    </row>
    <row r="441653" spans="15:15" x14ac:dyDescent="0.25">
      <c r="O441653" s="9"/>
    </row>
    <row r="441674" spans="15:15" x14ac:dyDescent="0.25">
      <c r="O441674" s="9"/>
    </row>
    <row r="441695" spans="15:15" x14ac:dyDescent="0.25">
      <c r="O441695" s="9"/>
    </row>
    <row r="441716" spans="15:15" x14ac:dyDescent="0.25">
      <c r="O441716" s="9"/>
    </row>
    <row r="441737" spans="15:15" x14ac:dyDescent="0.25">
      <c r="O441737" s="9"/>
    </row>
    <row r="441758" spans="15:15" x14ac:dyDescent="0.25">
      <c r="O441758" s="9"/>
    </row>
    <row r="441779" spans="15:15" x14ac:dyDescent="0.25">
      <c r="O441779" s="9"/>
    </row>
    <row r="441800" spans="15:15" x14ac:dyDescent="0.25">
      <c r="O441800" s="9"/>
    </row>
    <row r="441821" spans="15:15" x14ac:dyDescent="0.25">
      <c r="O441821" s="9"/>
    </row>
    <row r="441842" spans="15:15" x14ac:dyDescent="0.25">
      <c r="O441842" s="9"/>
    </row>
    <row r="441863" spans="15:15" x14ac:dyDescent="0.25">
      <c r="O441863" s="9"/>
    </row>
    <row r="441884" spans="15:15" x14ac:dyDescent="0.25">
      <c r="O441884" s="9"/>
    </row>
    <row r="441905" spans="15:15" x14ac:dyDescent="0.25">
      <c r="O441905" s="9"/>
    </row>
    <row r="441926" spans="15:15" x14ac:dyDescent="0.25">
      <c r="O441926" s="9"/>
    </row>
    <row r="441947" spans="15:15" x14ac:dyDescent="0.25">
      <c r="O441947" s="9"/>
    </row>
    <row r="441968" spans="15:15" x14ac:dyDescent="0.25">
      <c r="O441968" s="9"/>
    </row>
    <row r="441989" spans="15:15" x14ac:dyDescent="0.25">
      <c r="O441989" s="9"/>
    </row>
    <row r="442010" spans="15:15" x14ac:dyDescent="0.25">
      <c r="O442010" s="9"/>
    </row>
    <row r="442031" spans="15:15" x14ac:dyDescent="0.25">
      <c r="O442031" s="9"/>
    </row>
    <row r="442052" spans="15:15" x14ac:dyDescent="0.25">
      <c r="O442052" s="9"/>
    </row>
    <row r="442073" spans="15:15" x14ac:dyDescent="0.25">
      <c r="O442073" s="9"/>
    </row>
    <row r="442094" spans="15:15" x14ac:dyDescent="0.25">
      <c r="O442094" s="9"/>
    </row>
    <row r="442115" spans="15:15" x14ac:dyDescent="0.25">
      <c r="O442115" s="9"/>
    </row>
    <row r="442136" spans="15:15" x14ac:dyDescent="0.25">
      <c r="O442136" s="9"/>
    </row>
    <row r="442157" spans="15:15" x14ac:dyDescent="0.25">
      <c r="O442157" s="9"/>
    </row>
    <row r="442178" spans="15:15" x14ac:dyDescent="0.25">
      <c r="O442178" s="9"/>
    </row>
    <row r="442199" spans="15:15" x14ac:dyDescent="0.25">
      <c r="O442199" s="9"/>
    </row>
    <row r="442220" spans="15:15" x14ac:dyDescent="0.25">
      <c r="O442220" s="9"/>
    </row>
    <row r="442241" spans="15:15" x14ac:dyDescent="0.25">
      <c r="O442241" s="9"/>
    </row>
    <row r="442262" spans="15:15" x14ac:dyDescent="0.25">
      <c r="O442262" s="9"/>
    </row>
    <row r="442283" spans="15:15" x14ac:dyDescent="0.25">
      <c r="O442283" s="9"/>
    </row>
    <row r="442304" spans="15:15" x14ac:dyDescent="0.25">
      <c r="O442304" s="9"/>
    </row>
    <row r="442325" spans="15:15" x14ac:dyDescent="0.25">
      <c r="O442325" s="9"/>
    </row>
    <row r="442346" spans="15:15" x14ac:dyDescent="0.25">
      <c r="O442346" s="9"/>
    </row>
    <row r="442367" spans="15:15" x14ac:dyDescent="0.25">
      <c r="O442367" s="9"/>
    </row>
    <row r="442388" spans="15:15" x14ac:dyDescent="0.25">
      <c r="O442388" s="9"/>
    </row>
    <row r="442409" spans="15:15" x14ac:dyDescent="0.25">
      <c r="O442409" s="9"/>
    </row>
    <row r="442430" spans="15:15" x14ac:dyDescent="0.25">
      <c r="O442430" s="9"/>
    </row>
    <row r="442451" spans="15:15" x14ac:dyDescent="0.25">
      <c r="O442451" s="9"/>
    </row>
    <row r="442472" spans="15:15" x14ac:dyDescent="0.25">
      <c r="O442472" s="9"/>
    </row>
    <row r="442493" spans="15:15" x14ac:dyDescent="0.25">
      <c r="O442493" s="9"/>
    </row>
    <row r="442514" spans="15:15" x14ac:dyDescent="0.25">
      <c r="O442514" s="9"/>
    </row>
    <row r="442535" spans="15:15" x14ac:dyDescent="0.25">
      <c r="O442535" s="9"/>
    </row>
    <row r="442556" spans="15:15" x14ac:dyDescent="0.25">
      <c r="O442556" s="9"/>
    </row>
    <row r="442577" spans="15:15" x14ac:dyDescent="0.25">
      <c r="O442577" s="9"/>
    </row>
    <row r="442598" spans="15:15" x14ac:dyDescent="0.25">
      <c r="O442598" s="9"/>
    </row>
    <row r="442619" spans="15:15" x14ac:dyDescent="0.25">
      <c r="O442619" s="9"/>
    </row>
    <row r="442640" spans="15:15" x14ac:dyDescent="0.25">
      <c r="O442640" s="9"/>
    </row>
    <row r="442661" spans="15:15" x14ac:dyDescent="0.25">
      <c r="O442661" s="9"/>
    </row>
    <row r="442682" spans="15:15" x14ac:dyDescent="0.25">
      <c r="O442682" s="9"/>
    </row>
    <row r="442703" spans="15:15" x14ac:dyDescent="0.25">
      <c r="O442703" s="9"/>
    </row>
    <row r="442724" spans="15:15" x14ac:dyDescent="0.25">
      <c r="O442724" s="9"/>
    </row>
    <row r="442745" spans="15:15" x14ac:dyDescent="0.25">
      <c r="O442745" s="9"/>
    </row>
    <row r="442766" spans="15:15" x14ac:dyDescent="0.25">
      <c r="O442766" s="9"/>
    </row>
    <row r="442787" spans="15:15" x14ac:dyDescent="0.25">
      <c r="O442787" s="9"/>
    </row>
    <row r="442808" spans="15:15" x14ac:dyDescent="0.25">
      <c r="O442808" s="9"/>
    </row>
    <row r="442829" spans="15:15" x14ac:dyDescent="0.25">
      <c r="O442829" s="9"/>
    </row>
    <row r="442850" spans="15:15" x14ac:dyDescent="0.25">
      <c r="O442850" s="9"/>
    </row>
    <row r="442871" spans="15:15" x14ac:dyDescent="0.25">
      <c r="O442871" s="9"/>
    </row>
    <row r="442892" spans="15:15" x14ac:dyDescent="0.25">
      <c r="O442892" s="9"/>
    </row>
    <row r="442913" spans="15:15" x14ac:dyDescent="0.25">
      <c r="O442913" s="9"/>
    </row>
    <row r="442934" spans="15:15" x14ac:dyDescent="0.25">
      <c r="O442934" s="9"/>
    </row>
    <row r="442955" spans="15:15" x14ac:dyDescent="0.25">
      <c r="O442955" s="9"/>
    </row>
    <row r="442976" spans="15:15" x14ac:dyDescent="0.25">
      <c r="O442976" s="9"/>
    </row>
    <row r="442997" spans="15:15" x14ac:dyDescent="0.25">
      <c r="O442997" s="9"/>
    </row>
    <row r="443018" spans="15:15" x14ac:dyDescent="0.25">
      <c r="O443018" s="9"/>
    </row>
    <row r="443039" spans="15:15" x14ac:dyDescent="0.25">
      <c r="O443039" s="9"/>
    </row>
    <row r="443060" spans="15:15" x14ac:dyDescent="0.25">
      <c r="O443060" s="9"/>
    </row>
    <row r="443081" spans="15:15" x14ac:dyDescent="0.25">
      <c r="O443081" s="9"/>
    </row>
    <row r="443102" spans="15:15" x14ac:dyDescent="0.25">
      <c r="O443102" s="9"/>
    </row>
    <row r="443123" spans="15:15" x14ac:dyDescent="0.25">
      <c r="O443123" s="9"/>
    </row>
    <row r="443144" spans="15:15" x14ac:dyDescent="0.25">
      <c r="O443144" s="9"/>
    </row>
    <row r="443165" spans="15:15" x14ac:dyDescent="0.25">
      <c r="O443165" s="9"/>
    </row>
    <row r="443186" spans="15:15" x14ac:dyDescent="0.25">
      <c r="O443186" s="9"/>
    </row>
    <row r="443207" spans="15:15" x14ac:dyDescent="0.25">
      <c r="O443207" s="9"/>
    </row>
    <row r="443228" spans="15:15" x14ac:dyDescent="0.25">
      <c r="O443228" s="9"/>
    </row>
    <row r="443249" spans="15:15" x14ac:dyDescent="0.25">
      <c r="O443249" s="9"/>
    </row>
    <row r="443270" spans="15:15" x14ac:dyDescent="0.25">
      <c r="O443270" s="9"/>
    </row>
    <row r="443291" spans="15:15" x14ac:dyDescent="0.25">
      <c r="O443291" s="9"/>
    </row>
    <row r="443312" spans="15:15" x14ac:dyDescent="0.25">
      <c r="O443312" s="9"/>
    </row>
    <row r="443333" spans="15:15" x14ac:dyDescent="0.25">
      <c r="O443333" s="9"/>
    </row>
    <row r="443354" spans="15:15" x14ac:dyDescent="0.25">
      <c r="O443354" s="9"/>
    </row>
    <row r="443375" spans="15:15" x14ac:dyDescent="0.25">
      <c r="O443375" s="9"/>
    </row>
    <row r="443396" spans="15:15" x14ac:dyDescent="0.25">
      <c r="O443396" s="9"/>
    </row>
    <row r="443417" spans="15:15" x14ac:dyDescent="0.25">
      <c r="O443417" s="9"/>
    </row>
    <row r="443438" spans="15:15" x14ac:dyDescent="0.25">
      <c r="O443438" s="9"/>
    </row>
    <row r="443459" spans="15:15" x14ac:dyDescent="0.25">
      <c r="O443459" s="9"/>
    </row>
    <row r="443480" spans="15:15" x14ac:dyDescent="0.25">
      <c r="O443480" s="9"/>
    </row>
    <row r="443501" spans="15:15" x14ac:dyDescent="0.25">
      <c r="O443501" s="9"/>
    </row>
    <row r="443522" spans="15:15" x14ac:dyDescent="0.25">
      <c r="O443522" s="9"/>
    </row>
    <row r="443543" spans="15:15" x14ac:dyDescent="0.25">
      <c r="O443543" s="9"/>
    </row>
    <row r="443564" spans="15:15" x14ac:dyDescent="0.25">
      <c r="O443564" s="9"/>
    </row>
    <row r="443585" spans="15:15" x14ac:dyDescent="0.25">
      <c r="O443585" s="9"/>
    </row>
    <row r="443606" spans="15:15" x14ac:dyDescent="0.25">
      <c r="O443606" s="9"/>
    </row>
    <row r="443627" spans="15:15" x14ac:dyDescent="0.25">
      <c r="O443627" s="9"/>
    </row>
    <row r="443648" spans="15:15" x14ac:dyDescent="0.25">
      <c r="O443648" s="9"/>
    </row>
    <row r="443669" spans="15:15" x14ac:dyDescent="0.25">
      <c r="O443669" s="9"/>
    </row>
    <row r="443690" spans="15:15" x14ac:dyDescent="0.25">
      <c r="O443690" s="9"/>
    </row>
    <row r="443711" spans="15:15" x14ac:dyDescent="0.25">
      <c r="O443711" s="9"/>
    </row>
    <row r="443732" spans="15:15" x14ac:dyDescent="0.25">
      <c r="O443732" s="9"/>
    </row>
    <row r="443753" spans="15:15" x14ac:dyDescent="0.25">
      <c r="O443753" s="9"/>
    </row>
    <row r="443774" spans="15:15" x14ac:dyDescent="0.25">
      <c r="O443774" s="9"/>
    </row>
    <row r="443795" spans="15:15" x14ac:dyDescent="0.25">
      <c r="O443795" s="9"/>
    </row>
    <row r="443816" spans="15:15" x14ac:dyDescent="0.25">
      <c r="O443816" s="9"/>
    </row>
    <row r="443837" spans="15:15" x14ac:dyDescent="0.25">
      <c r="O443837" s="9"/>
    </row>
    <row r="443858" spans="15:15" x14ac:dyDescent="0.25">
      <c r="O443858" s="9"/>
    </row>
    <row r="443879" spans="15:15" x14ac:dyDescent="0.25">
      <c r="O443879" s="9"/>
    </row>
    <row r="443900" spans="15:15" x14ac:dyDescent="0.25">
      <c r="O443900" s="9"/>
    </row>
    <row r="443921" spans="15:15" x14ac:dyDescent="0.25">
      <c r="O443921" s="9"/>
    </row>
    <row r="443942" spans="15:15" x14ac:dyDescent="0.25">
      <c r="O443942" s="9"/>
    </row>
    <row r="443963" spans="15:15" x14ac:dyDescent="0.25">
      <c r="O443963" s="9"/>
    </row>
    <row r="443984" spans="15:15" x14ac:dyDescent="0.25">
      <c r="O443984" s="9"/>
    </row>
    <row r="444005" spans="15:15" x14ac:dyDescent="0.25">
      <c r="O444005" s="9"/>
    </row>
    <row r="444026" spans="15:15" x14ac:dyDescent="0.25">
      <c r="O444026" s="9"/>
    </row>
    <row r="444047" spans="15:15" x14ac:dyDescent="0.25">
      <c r="O444047" s="9"/>
    </row>
    <row r="444068" spans="15:15" x14ac:dyDescent="0.25">
      <c r="O444068" s="9"/>
    </row>
    <row r="444089" spans="15:15" x14ac:dyDescent="0.25">
      <c r="O444089" s="9"/>
    </row>
    <row r="444110" spans="15:15" x14ac:dyDescent="0.25">
      <c r="O444110" s="9"/>
    </row>
    <row r="444131" spans="15:15" x14ac:dyDescent="0.25">
      <c r="O444131" s="9"/>
    </row>
    <row r="444152" spans="15:15" x14ac:dyDescent="0.25">
      <c r="O444152" s="9"/>
    </row>
    <row r="444173" spans="15:15" x14ac:dyDescent="0.25">
      <c r="O444173" s="9"/>
    </row>
    <row r="444194" spans="15:15" x14ac:dyDescent="0.25">
      <c r="O444194" s="9"/>
    </row>
    <row r="444215" spans="15:15" x14ac:dyDescent="0.25">
      <c r="O444215" s="9"/>
    </row>
    <row r="444236" spans="15:15" x14ac:dyDescent="0.25">
      <c r="O444236" s="9"/>
    </row>
    <row r="444257" spans="15:15" x14ac:dyDescent="0.25">
      <c r="O444257" s="9"/>
    </row>
    <row r="444278" spans="15:15" x14ac:dyDescent="0.25">
      <c r="O444278" s="9"/>
    </row>
    <row r="444299" spans="15:15" x14ac:dyDescent="0.25">
      <c r="O444299" s="9"/>
    </row>
    <row r="444320" spans="15:15" x14ac:dyDescent="0.25">
      <c r="O444320" s="9"/>
    </row>
    <row r="444341" spans="15:15" x14ac:dyDescent="0.25">
      <c r="O444341" s="9"/>
    </row>
    <row r="444362" spans="15:15" x14ac:dyDescent="0.25">
      <c r="O444362" s="9"/>
    </row>
    <row r="444383" spans="15:15" x14ac:dyDescent="0.25">
      <c r="O444383" s="9"/>
    </row>
    <row r="444404" spans="15:15" x14ac:dyDescent="0.25">
      <c r="O444404" s="9"/>
    </row>
    <row r="444425" spans="15:15" x14ac:dyDescent="0.25">
      <c r="O444425" s="9"/>
    </row>
    <row r="444446" spans="15:15" x14ac:dyDescent="0.25">
      <c r="O444446" s="9"/>
    </row>
    <row r="444467" spans="15:15" x14ac:dyDescent="0.25">
      <c r="O444467" s="9"/>
    </row>
    <row r="444488" spans="15:15" x14ac:dyDescent="0.25">
      <c r="O444488" s="9"/>
    </row>
    <row r="444509" spans="15:15" x14ac:dyDescent="0.25">
      <c r="O444509" s="9"/>
    </row>
    <row r="444530" spans="15:15" x14ac:dyDescent="0.25">
      <c r="O444530" s="9"/>
    </row>
    <row r="444551" spans="15:15" x14ac:dyDescent="0.25">
      <c r="O444551" s="9"/>
    </row>
    <row r="444572" spans="15:15" x14ac:dyDescent="0.25">
      <c r="O444572" s="9"/>
    </row>
    <row r="444593" spans="15:15" x14ac:dyDescent="0.25">
      <c r="O444593" s="9"/>
    </row>
    <row r="444614" spans="15:15" x14ac:dyDescent="0.25">
      <c r="O444614" s="9"/>
    </row>
    <row r="444635" spans="15:15" x14ac:dyDescent="0.25">
      <c r="O444635" s="9"/>
    </row>
    <row r="444656" spans="15:15" x14ac:dyDescent="0.25">
      <c r="O444656" s="9"/>
    </row>
    <row r="444677" spans="15:15" x14ac:dyDescent="0.25">
      <c r="O444677" s="9"/>
    </row>
    <row r="444698" spans="15:15" x14ac:dyDescent="0.25">
      <c r="O444698" s="9"/>
    </row>
    <row r="444719" spans="15:15" x14ac:dyDescent="0.25">
      <c r="O444719" s="9"/>
    </row>
    <row r="444740" spans="15:15" x14ac:dyDescent="0.25">
      <c r="O444740" s="9"/>
    </row>
    <row r="444761" spans="15:15" x14ac:dyDescent="0.25">
      <c r="O444761" s="9"/>
    </row>
    <row r="444782" spans="15:15" x14ac:dyDescent="0.25">
      <c r="O444782" s="9"/>
    </row>
    <row r="444803" spans="15:15" x14ac:dyDescent="0.25">
      <c r="O444803" s="9"/>
    </row>
    <row r="444824" spans="15:15" x14ac:dyDescent="0.25">
      <c r="O444824" s="9"/>
    </row>
    <row r="444845" spans="15:15" x14ac:dyDescent="0.25">
      <c r="O444845" s="9"/>
    </row>
    <row r="444866" spans="15:15" x14ac:dyDescent="0.25">
      <c r="O444866" s="9"/>
    </row>
    <row r="444887" spans="15:15" x14ac:dyDescent="0.25">
      <c r="O444887" s="9"/>
    </row>
    <row r="444908" spans="15:15" x14ac:dyDescent="0.25">
      <c r="O444908" s="9"/>
    </row>
    <row r="444929" spans="15:15" x14ac:dyDescent="0.25">
      <c r="O444929" s="9"/>
    </row>
    <row r="444950" spans="15:15" x14ac:dyDescent="0.25">
      <c r="O444950" s="9"/>
    </row>
    <row r="444971" spans="15:15" x14ac:dyDescent="0.25">
      <c r="O444971" s="9"/>
    </row>
    <row r="444992" spans="15:15" x14ac:dyDescent="0.25">
      <c r="O444992" s="9"/>
    </row>
    <row r="445013" spans="15:15" x14ac:dyDescent="0.25">
      <c r="O445013" s="9"/>
    </row>
    <row r="445034" spans="15:15" x14ac:dyDescent="0.25">
      <c r="O445034" s="9"/>
    </row>
    <row r="445055" spans="15:15" x14ac:dyDescent="0.25">
      <c r="O445055" s="9"/>
    </row>
    <row r="445076" spans="15:15" x14ac:dyDescent="0.25">
      <c r="O445076" s="9"/>
    </row>
    <row r="445097" spans="15:15" x14ac:dyDescent="0.25">
      <c r="O445097" s="9"/>
    </row>
    <row r="445118" spans="15:15" x14ac:dyDescent="0.25">
      <c r="O445118" s="9"/>
    </row>
    <row r="445139" spans="15:15" x14ac:dyDescent="0.25">
      <c r="O445139" s="9"/>
    </row>
    <row r="445160" spans="15:15" x14ac:dyDescent="0.25">
      <c r="O445160" s="9"/>
    </row>
    <row r="445181" spans="15:15" x14ac:dyDescent="0.25">
      <c r="O445181" s="9"/>
    </row>
    <row r="445202" spans="15:15" x14ac:dyDescent="0.25">
      <c r="O445202" s="9"/>
    </row>
    <row r="445223" spans="15:15" x14ac:dyDescent="0.25">
      <c r="O445223" s="9"/>
    </row>
    <row r="445244" spans="15:15" x14ac:dyDescent="0.25">
      <c r="O445244" s="9"/>
    </row>
    <row r="445265" spans="15:15" x14ac:dyDescent="0.25">
      <c r="O445265" s="9"/>
    </row>
    <row r="445286" spans="15:15" x14ac:dyDescent="0.25">
      <c r="O445286" s="9"/>
    </row>
    <row r="445307" spans="15:15" x14ac:dyDescent="0.25">
      <c r="O445307" s="9"/>
    </row>
    <row r="445328" spans="15:15" x14ac:dyDescent="0.25">
      <c r="O445328" s="9"/>
    </row>
    <row r="445349" spans="15:15" x14ac:dyDescent="0.25">
      <c r="O445349" s="9"/>
    </row>
    <row r="445370" spans="15:15" x14ac:dyDescent="0.25">
      <c r="O445370" s="9"/>
    </row>
    <row r="445391" spans="15:15" x14ac:dyDescent="0.25">
      <c r="O445391" s="9"/>
    </row>
    <row r="445412" spans="15:15" x14ac:dyDescent="0.25">
      <c r="O445412" s="9"/>
    </row>
    <row r="445433" spans="15:15" x14ac:dyDescent="0.25">
      <c r="O445433" s="9"/>
    </row>
    <row r="445454" spans="15:15" x14ac:dyDescent="0.25">
      <c r="O445454" s="9"/>
    </row>
    <row r="445475" spans="15:15" x14ac:dyDescent="0.25">
      <c r="O445475" s="9"/>
    </row>
    <row r="445496" spans="15:15" x14ac:dyDescent="0.25">
      <c r="O445496" s="9"/>
    </row>
    <row r="445517" spans="15:15" x14ac:dyDescent="0.25">
      <c r="O445517" s="9"/>
    </row>
    <row r="445538" spans="15:15" x14ac:dyDescent="0.25">
      <c r="O445538" s="9"/>
    </row>
    <row r="445559" spans="15:15" x14ac:dyDescent="0.25">
      <c r="O445559" s="9"/>
    </row>
    <row r="445580" spans="15:15" x14ac:dyDescent="0.25">
      <c r="O445580" s="9"/>
    </row>
    <row r="445601" spans="15:15" x14ac:dyDescent="0.25">
      <c r="O445601" s="9"/>
    </row>
    <row r="445622" spans="15:15" x14ac:dyDescent="0.25">
      <c r="O445622" s="9"/>
    </row>
    <row r="445643" spans="15:15" x14ac:dyDescent="0.25">
      <c r="O445643" s="9"/>
    </row>
    <row r="445664" spans="15:15" x14ac:dyDescent="0.25">
      <c r="O445664" s="9"/>
    </row>
    <row r="445685" spans="15:15" x14ac:dyDescent="0.25">
      <c r="O445685" s="9"/>
    </row>
    <row r="445706" spans="15:15" x14ac:dyDescent="0.25">
      <c r="O445706" s="9"/>
    </row>
    <row r="445727" spans="15:15" x14ac:dyDescent="0.25">
      <c r="O445727" s="9"/>
    </row>
    <row r="445748" spans="15:15" x14ac:dyDescent="0.25">
      <c r="O445748" s="9"/>
    </row>
    <row r="445769" spans="15:15" x14ac:dyDescent="0.25">
      <c r="O445769" s="9"/>
    </row>
    <row r="445790" spans="15:15" x14ac:dyDescent="0.25">
      <c r="O445790" s="9"/>
    </row>
    <row r="445811" spans="15:15" x14ac:dyDescent="0.25">
      <c r="O445811" s="9"/>
    </row>
    <row r="445832" spans="15:15" x14ac:dyDescent="0.25">
      <c r="O445832" s="9"/>
    </row>
    <row r="445853" spans="15:15" x14ac:dyDescent="0.25">
      <c r="O445853" s="9"/>
    </row>
    <row r="445874" spans="15:15" x14ac:dyDescent="0.25">
      <c r="O445874" s="9"/>
    </row>
    <row r="445895" spans="15:15" x14ac:dyDescent="0.25">
      <c r="O445895" s="9"/>
    </row>
    <row r="445916" spans="15:15" x14ac:dyDescent="0.25">
      <c r="O445916" s="9"/>
    </row>
    <row r="445937" spans="15:15" x14ac:dyDescent="0.25">
      <c r="O445937" s="9"/>
    </row>
    <row r="445958" spans="15:15" x14ac:dyDescent="0.25">
      <c r="O445958" s="9"/>
    </row>
    <row r="445979" spans="15:15" x14ac:dyDescent="0.25">
      <c r="O445979" s="9"/>
    </row>
    <row r="446000" spans="15:15" x14ac:dyDescent="0.25">
      <c r="O446000" s="9"/>
    </row>
    <row r="446021" spans="15:15" x14ac:dyDescent="0.25">
      <c r="O446021" s="9"/>
    </row>
    <row r="446042" spans="15:15" x14ac:dyDescent="0.25">
      <c r="O446042" s="9"/>
    </row>
    <row r="446063" spans="15:15" x14ac:dyDescent="0.25">
      <c r="O446063" s="9"/>
    </row>
    <row r="446084" spans="15:15" x14ac:dyDescent="0.25">
      <c r="O446084" s="9"/>
    </row>
    <row r="446105" spans="15:15" x14ac:dyDescent="0.25">
      <c r="O446105" s="9"/>
    </row>
    <row r="446126" spans="15:15" x14ac:dyDescent="0.25">
      <c r="O446126" s="9"/>
    </row>
    <row r="446147" spans="15:15" x14ac:dyDescent="0.25">
      <c r="O446147" s="9"/>
    </row>
    <row r="446168" spans="15:15" x14ac:dyDescent="0.25">
      <c r="O446168" s="9"/>
    </row>
    <row r="446189" spans="15:15" x14ac:dyDescent="0.25">
      <c r="O446189" s="9"/>
    </row>
    <row r="446210" spans="15:15" x14ac:dyDescent="0.25">
      <c r="O446210" s="9"/>
    </row>
    <row r="446231" spans="15:15" x14ac:dyDescent="0.25">
      <c r="O446231" s="9"/>
    </row>
    <row r="446252" spans="15:15" x14ac:dyDescent="0.25">
      <c r="O446252" s="9"/>
    </row>
    <row r="446273" spans="15:15" x14ac:dyDescent="0.25">
      <c r="O446273" s="9"/>
    </row>
    <row r="446294" spans="15:15" x14ac:dyDescent="0.25">
      <c r="O446294" s="9"/>
    </row>
    <row r="446315" spans="15:15" x14ac:dyDescent="0.25">
      <c r="O446315" s="9"/>
    </row>
    <row r="446336" spans="15:15" x14ac:dyDescent="0.25">
      <c r="O446336" s="9"/>
    </row>
    <row r="446357" spans="15:15" x14ac:dyDescent="0.25">
      <c r="O446357" s="9"/>
    </row>
    <row r="446378" spans="15:15" x14ac:dyDescent="0.25">
      <c r="O446378" s="9"/>
    </row>
    <row r="446399" spans="15:15" x14ac:dyDescent="0.25">
      <c r="O446399" s="9"/>
    </row>
    <row r="446420" spans="15:15" x14ac:dyDescent="0.25">
      <c r="O446420" s="9"/>
    </row>
    <row r="446441" spans="15:15" x14ac:dyDescent="0.25">
      <c r="O446441" s="9"/>
    </row>
    <row r="446462" spans="15:15" x14ac:dyDescent="0.25">
      <c r="O446462" s="9"/>
    </row>
    <row r="446483" spans="15:15" x14ac:dyDescent="0.25">
      <c r="O446483" s="9"/>
    </row>
    <row r="446504" spans="15:15" x14ac:dyDescent="0.25">
      <c r="O446504" s="9"/>
    </row>
    <row r="446525" spans="15:15" x14ac:dyDescent="0.25">
      <c r="O446525" s="9"/>
    </row>
    <row r="446546" spans="15:15" x14ac:dyDescent="0.25">
      <c r="O446546" s="9"/>
    </row>
    <row r="446567" spans="15:15" x14ac:dyDescent="0.25">
      <c r="O446567" s="9"/>
    </row>
    <row r="446588" spans="15:15" x14ac:dyDescent="0.25">
      <c r="O446588" s="9"/>
    </row>
    <row r="446609" spans="15:15" x14ac:dyDescent="0.25">
      <c r="O446609" s="9"/>
    </row>
    <row r="446630" spans="15:15" x14ac:dyDescent="0.25">
      <c r="O446630" s="9"/>
    </row>
    <row r="446651" spans="15:15" x14ac:dyDescent="0.25">
      <c r="O446651" s="9"/>
    </row>
    <row r="446672" spans="15:15" x14ac:dyDescent="0.25">
      <c r="O446672" s="9"/>
    </row>
    <row r="446693" spans="15:15" x14ac:dyDescent="0.25">
      <c r="O446693" s="9"/>
    </row>
    <row r="446714" spans="15:15" x14ac:dyDescent="0.25">
      <c r="O446714" s="9"/>
    </row>
    <row r="446735" spans="15:15" x14ac:dyDescent="0.25">
      <c r="O446735" s="9"/>
    </row>
    <row r="446756" spans="15:15" x14ac:dyDescent="0.25">
      <c r="O446756" s="9"/>
    </row>
    <row r="446777" spans="15:15" x14ac:dyDescent="0.25">
      <c r="O446777" s="9"/>
    </row>
    <row r="446798" spans="15:15" x14ac:dyDescent="0.25">
      <c r="O446798" s="9"/>
    </row>
    <row r="446819" spans="15:15" x14ac:dyDescent="0.25">
      <c r="O446819" s="9"/>
    </row>
    <row r="446840" spans="15:15" x14ac:dyDescent="0.25">
      <c r="O446840" s="9"/>
    </row>
    <row r="446861" spans="15:15" x14ac:dyDescent="0.25">
      <c r="O446861" s="9"/>
    </row>
    <row r="446882" spans="15:15" x14ac:dyDescent="0.25">
      <c r="O446882" s="9"/>
    </row>
    <row r="446903" spans="15:15" x14ac:dyDescent="0.25">
      <c r="O446903" s="9"/>
    </row>
    <row r="446924" spans="15:15" x14ac:dyDescent="0.25">
      <c r="O446924" s="9"/>
    </row>
    <row r="446945" spans="15:15" x14ac:dyDescent="0.25">
      <c r="O446945" s="9"/>
    </row>
    <row r="446966" spans="15:15" x14ac:dyDescent="0.25">
      <c r="O446966" s="9"/>
    </row>
    <row r="446987" spans="15:15" x14ac:dyDescent="0.25">
      <c r="O446987" s="9"/>
    </row>
    <row r="447008" spans="15:15" x14ac:dyDescent="0.25">
      <c r="O447008" s="9"/>
    </row>
    <row r="447029" spans="15:15" x14ac:dyDescent="0.25">
      <c r="O447029" s="9"/>
    </row>
    <row r="447050" spans="15:15" x14ac:dyDescent="0.25">
      <c r="O447050" s="9"/>
    </row>
    <row r="447071" spans="15:15" x14ac:dyDescent="0.25">
      <c r="O447071" s="9"/>
    </row>
    <row r="447092" spans="15:15" x14ac:dyDescent="0.25">
      <c r="O447092" s="9"/>
    </row>
    <row r="447113" spans="15:15" x14ac:dyDescent="0.25">
      <c r="O447113" s="9"/>
    </row>
    <row r="447134" spans="15:15" x14ac:dyDescent="0.25">
      <c r="O447134" s="9"/>
    </row>
    <row r="447155" spans="15:15" x14ac:dyDescent="0.25">
      <c r="O447155" s="9"/>
    </row>
    <row r="447176" spans="15:15" x14ac:dyDescent="0.25">
      <c r="O447176" s="9"/>
    </row>
    <row r="447197" spans="15:15" x14ac:dyDescent="0.25">
      <c r="O447197" s="9"/>
    </row>
    <row r="447218" spans="15:15" x14ac:dyDescent="0.25">
      <c r="O447218" s="9"/>
    </row>
    <row r="447239" spans="15:15" x14ac:dyDescent="0.25">
      <c r="O447239" s="9"/>
    </row>
    <row r="447260" spans="15:15" x14ac:dyDescent="0.25">
      <c r="O447260" s="9"/>
    </row>
    <row r="447281" spans="15:15" x14ac:dyDescent="0.25">
      <c r="O447281" s="9"/>
    </row>
    <row r="447302" spans="15:15" x14ac:dyDescent="0.25">
      <c r="O447302" s="9"/>
    </row>
    <row r="447323" spans="15:15" x14ac:dyDescent="0.25">
      <c r="O447323" s="9"/>
    </row>
    <row r="447344" spans="15:15" x14ac:dyDescent="0.25">
      <c r="O447344" s="9"/>
    </row>
    <row r="447365" spans="15:15" x14ac:dyDescent="0.25">
      <c r="O447365" s="9"/>
    </row>
    <row r="447386" spans="15:15" x14ac:dyDescent="0.25">
      <c r="O447386" s="9"/>
    </row>
    <row r="447407" spans="15:15" x14ac:dyDescent="0.25">
      <c r="O447407" s="9"/>
    </row>
    <row r="447428" spans="15:15" x14ac:dyDescent="0.25">
      <c r="O447428" s="9"/>
    </row>
    <row r="447449" spans="15:15" x14ac:dyDescent="0.25">
      <c r="O447449" s="9"/>
    </row>
    <row r="447470" spans="15:15" x14ac:dyDescent="0.25">
      <c r="O447470" s="9"/>
    </row>
    <row r="447491" spans="15:15" x14ac:dyDescent="0.25">
      <c r="O447491" s="9"/>
    </row>
    <row r="447512" spans="15:15" x14ac:dyDescent="0.25">
      <c r="O447512" s="9"/>
    </row>
    <row r="447533" spans="15:15" x14ac:dyDescent="0.25">
      <c r="O447533" s="9"/>
    </row>
    <row r="447554" spans="15:15" x14ac:dyDescent="0.25">
      <c r="O447554" s="9"/>
    </row>
    <row r="447575" spans="15:15" x14ac:dyDescent="0.25">
      <c r="O447575" s="9"/>
    </row>
    <row r="447596" spans="15:15" x14ac:dyDescent="0.25">
      <c r="O447596" s="9"/>
    </row>
    <row r="447617" spans="15:15" x14ac:dyDescent="0.25">
      <c r="O447617" s="9"/>
    </row>
    <row r="447638" spans="15:15" x14ac:dyDescent="0.25">
      <c r="O447638" s="9"/>
    </row>
    <row r="447659" spans="15:15" x14ac:dyDescent="0.25">
      <c r="O447659" s="9"/>
    </row>
    <row r="447680" spans="15:15" x14ac:dyDescent="0.25">
      <c r="O447680" s="9"/>
    </row>
    <row r="447701" spans="15:15" x14ac:dyDescent="0.25">
      <c r="O447701" s="9"/>
    </row>
    <row r="447722" spans="15:15" x14ac:dyDescent="0.25">
      <c r="O447722" s="9"/>
    </row>
    <row r="447743" spans="15:15" x14ac:dyDescent="0.25">
      <c r="O447743" s="9"/>
    </row>
    <row r="447764" spans="15:15" x14ac:dyDescent="0.25">
      <c r="O447764" s="9"/>
    </row>
    <row r="447785" spans="15:15" x14ac:dyDescent="0.25">
      <c r="O447785" s="9"/>
    </row>
    <row r="447806" spans="15:15" x14ac:dyDescent="0.25">
      <c r="O447806" s="9"/>
    </row>
    <row r="447827" spans="15:15" x14ac:dyDescent="0.25">
      <c r="O447827" s="9"/>
    </row>
    <row r="447848" spans="15:15" x14ac:dyDescent="0.25">
      <c r="O447848" s="9"/>
    </row>
    <row r="447869" spans="15:15" x14ac:dyDescent="0.25">
      <c r="O447869" s="9"/>
    </row>
    <row r="447890" spans="15:15" x14ac:dyDescent="0.25">
      <c r="O447890" s="9"/>
    </row>
    <row r="447911" spans="15:15" x14ac:dyDescent="0.25">
      <c r="O447911" s="9"/>
    </row>
    <row r="447932" spans="15:15" x14ac:dyDescent="0.25">
      <c r="O447932" s="9"/>
    </row>
    <row r="447953" spans="15:15" x14ac:dyDescent="0.25">
      <c r="O447953" s="9"/>
    </row>
    <row r="447974" spans="15:15" x14ac:dyDescent="0.25">
      <c r="O447974" s="9"/>
    </row>
    <row r="447995" spans="15:15" x14ac:dyDescent="0.25">
      <c r="O447995" s="9"/>
    </row>
    <row r="448016" spans="15:15" x14ac:dyDescent="0.25">
      <c r="O448016" s="9"/>
    </row>
    <row r="448037" spans="15:15" x14ac:dyDescent="0.25">
      <c r="O448037" s="9"/>
    </row>
    <row r="448058" spans="15:15" x14ac:dyDescent="0.25">
      <c r="O448058" s="9"/>
    </row>
    <row r="448079" spans="15:15" x14ac:dyDescent="0.25">
      <c r="O448079" s="9"/>
    </row>
    <row r="448100" spans="15:15" x14ac:dyDescent="0.25">
      <c r="O448100" s="9"/>
    </row>
    <row r="448121" spans="15:15" x14ac:dyDescent="0.25">
      <c r="O448121" s="9"/>
    </row>
    <row r="448142" spans="15:15" x14ac:dyDescent="0.25">
      <c r="O448142" s="9"/>
    </row>
    <row r="448163" spans="15:15" x14ac:dyDescent="0.25">
      <c r="O448163" s="9"/>
    </row>
    <row r="448184" spans="15:15" x14ac:dyDescent="0.25">
      <c r="O448184" s="9"/>
    </row>
    <row r="448205" spans="15:15" x14ac:dyDescent="0.25">
      <c r="O448205" s="9"/>
    </row>
    <row r="448226" spans="15:15" x14ac:dyDescent="0.25">
      <c r="O448226" s="9"/>
    </row>
    <row r="448247" spans="15:15" x14ac:dyDescent="0.25">
      <c r="O448247" s="9"/>
    </row>
    <row r="448268" spans="15:15" x14ac:dyDescent="0.25">
      <c r="O448268" s="9"/>
    </row>
    <row r="448289" spans="15:15" x14ac:dyDescent="0.25">
      <c r="O448289" s="9"/>
    </row>
    <row r="448310" spans="15:15" x14ac:dyDescent="0.25">
      <c r="O448310" s="9"/>
    </row>
    <row r="448331" spans="15:15" x14ac:dyDescent="0.25">
      <c r="O448331" s="9"/>
    </row>
    <row r="448352" spans="15:15" x14ac:dyDescent="0.25">
      <c r="O448352" s="9"/>
    </row>
    <row r="448373" spans="15:15" x14ac:dyDescent="0.25">
      <c r="O448373" s="9"/>
    </row>
    <row r="448394" spans="15:15" x14ac:dyDescent="0.25">
      <c r="O448394" s="9"/>
    </row>
    <row r="448415" spans="15:15" x14ac:dyDescent="0.25">
      <c r="O448415" s="9"/>
    </row>
    <row r="448436" spans="15:15" x14ac:dyDescent="0.25">
      <c r="O448436" s="9"/>
    </row>
    <row r="448457" spans="15:15" x14ac:dyDescent="0.25">
      <c r="O448457" s="9"/>
    </row>
    <row r="448478" spans="15:15" x14ac:dyDescent="0.25">
      <c r="O448478" s="9"/>
    </row>
    <row r="448499" spans="15:15" x14ac:dyDescent="0.25">
      <c r="O448499" s="9"/>
    </row>
    <row r="448520" spans="15:15" x14ac:dyDescent="0.25">
      <c r="O448520" s="9"/>
    </row>
    <row r="448541" spans="15:15" x14ac:dyDescent="0.25">
      <c r="O448541" s="9"/>
    </row>
    <row r="448562" spans="15:15" x14ac:dyDescent="0.25">
      <c r="O448562" s="9"/>
    </row>
    <row r="448583" spans="15:15" x14ac:dyDescent="0.25">
      <c r="O448583" s="9"/>
    </row>
    <row r="448604" spans="15:15" x14ac:dyDescent="0.25">
      <c r="O448604" s="9"/>
    </row>
    <row r="448625" spans="15:15" x14ac:dyDescent="0.25">
      <c r="O448625" s="9"/>
    </row>
    <row r="448646" spans="15:15" x14ac:dyDescent="0.25">
      <c r="O448646" s="9"/>
    </row>
    <row r="448667" spans="15:15" x14ac:dyDescent="0.25">
      <c r="O448667" s="9"/>
    </row>
    <row r="448688" spans="15:15" x14ac:dyDescent="0.25">
      <c r="O448688" s="9"/>
    </row>
    <row r="448709" spans="15:15" x14ac:dyDescent="0.25">
      <c r="O448709" s="9"/>
    </row>
    <row r="448730" spans="15:15" x14ac:dyDescent="0.25">
      <c r="O448730" s="9"/>
    </row>
    <row r="448751" spans="15:15" x14ac:dyDescent="0.25">
      <c r="O448751" s="9"/>
    </row>
    <row r="448772" spans="15:15" x14ac:dyDescent="0.25">
      <c r="O448772" s="9"/>
    </row>
    <row r="448793" spans="15:15" x14ac:dyDescent="0.25">
      <c r="O448793" s="9"/>
    </row>
    <row r="448814" spans="15:15" x14ac:dyDescent="0.25">
      <c r="O448814" s="9"/>
    </row>
    <row r="448835" spans="15:15" x14ac:dyDescent="0.25">
      <c r="O448835" s="9"/>
    </row>
    <row r="448856" spans="15:15" x14ac:dyDescent="0.25">
      <c r="O448856" s="9"/>
    </row>
    <row r="448877" spans="15:15" x14ac:dyDescent="0.25">
      <c r="O448877" s="9"/>
    </row>
    <row r="448898" spans="15:15" x14ac:dyDescent="0.25">
      <c r="O448898" s="9"/>
    </row>
    <row r="448919" spans="15:15" x14ac:dyDescent="0.25">
      <c r="O448919" s="9"/>
    </row>
    <row r="448940" spans="15:15" x14ac:dyDescent="0.25">
      <c r="O448940" s="9"/>
    </row>
    <row r="448961" spans="15:15" x14ac:dyDescent="0.25">
      <c r="O448961" s="9"/>
    </row>
    <row r="448982" spans="15:15" x14ac:dyDescent="0.25">
      <c r="O448982" s="9"/>
    </row>
    <row r="449003" spans="15:15" x14ac:dyDescent="0.25">
      <c r="O449003" s="9"/>
    </row>
    <row r="449024" spans="15:15" x14ac:dyDescent="0.25">
      <c r="O449024" s="9"/>
    </row>
    <row r="449045" spans="15:15" x14ac:dyDescent="0.25">
      <c r="O449045" s="9"/>
    </row>
    <row r="449066" spans="15:15" x14ac:dyDescent="0.25">
      <c r="O449066" s="9"/>
    </row>
    <row r="449087" spans="15:15" x14ac:dyDescent="0.25">
      <c r="O449087" s="9"/>
    </row>
    <row r="449108" spans="15:15" x14ac:dyDescent="0.25">
      <c r="O449108" s="9"/>
    </row>
    <row r="449129" spans="15:15" x14ac:dyDescent="0.25">
      <c r="O449129" s="9"/>
    </row>
    <row r="449150" spans="15:15" x14ac:dyDescent="0.25">
      <c r="O449150" s="9"/>
    </row>
    <row r="449171" spans="15:15" x14ac:dyDescent="0.25">
      <c r="O449171" s="9"/>
    </row>
    <row r="449192" spans="15:15" x14ac:dyDescent="0.25">
      <c r="O449192" s="9"/>
    </row>
    <row r="449213" spans="15:15" x14ac:dyDescent="0.25">
      <c r="O449213" s="9"/>
    </row>
    <row r="449234" spans="15:15" x14ac:dyDescent="0.25">
      <c r="O449234" s="9"/>
    </row>
    <row r="449255" spans="15:15" x14ac:dyDescent="0.25">
      <c r="O449255" s="9"/>
    </row>
    <row r="449276" spans="15:15" x14ac:dyDescent="0.25">
      <c r="O449276" s="9"/>
    </row>
    <row r="449297" spans="15:15" x14ac:dyDescent="0.25">
      <c r="O449297" s="9"/>
    </row>
    <row r="449318" spans="15:15" x14ac:dyDescent="0.25">
      <c r="O449318" s="9"/>
    </row>
    <row r="449339" spans="15:15" x14ac:dyDescent="0.25">
      <c r="O449339" s="9"/>
    </row>
    <row r="449360" spans="15:15" x14ac:dyDescent="0.25">
      <c r="O449360" s="9"/>
    </row>
    <row r="449381" spans="15:15" x14ac:dyDescent="0.25">
      <c r="O449381" s="9"/>
    </row>
    <row r="449402" spans="15:15" x14ac:dyDescent="0.25">
      <c r="O449402" s="9"/>
    </row>
    <row r="449423" spans="15:15" x14ac:dyDescent="0.25">
      <c r="O449423" s="9"/>
    </row>
    <row r="449444" spans="15:15" x14ac:dyDescent="0.25">
      <c r="O449444" s="9"/>
    </row>
    <row r="449465" spans="15:15" x14ac:dyDescent="0.25">
      <c r="O449465" s="9"/>
    </row>
    <row r="449486" spans="15:15" x14ac:dyDescent="0.25">
      <c r="O449486" s="9"/>
    </row>
    <row r="449507" spans="15:15" x14ac:dyDescent="0.25">
      <c r="O449507" s="9"/>
    </row>
    <row r="449528" spans="15:15" x14ac:dyDescent="0.25">
      <c r="O449528" s="9"/>
    </row>
    <row r="449549" spans="15:15" x14ac:dyDescent="0.25">
      <c r="O449549" s="9"/>
    </row>
    <row r="449570" spans="15:15" x14ac:dyDescent="0.25">
      <c r="O449570" s="9"/>
    </row>
    <row r="449591" spans="15:15" x14ac:dyDescent="0.25">
      <c r="O449591" s="9"/>
    </row>
    <row r="449612" spans="15:15" x14ac:dyDescent="0.25">
      <c r="O449612" s="9"/>
    </row>
    <row r="449633" spans="15:15" x14ac:dyDescent="0.25">
      <c r="O449633" s="9"/>
    </row>
    <row r="449654" spans="15:15" x14ac:dyDescent="0.25">
      <c r="O449654" s="9"/>
    </row>
    <row r="449675" spans="15:15" x14ac:dyDescent="0.25">
      <c r="O449675" s="9"/>
    </row>
    <row r="449696" spans="15:15" x14ac:dyDescent="0.25">
      <c r="O449696" s="9"/>
    </row>
    <row r="449717" spans="15:15" x14ac:dyDescent="0.25">
      <c r="O449717" s="9"/>
    </row>
    <row r="449738" spans="15:15" x14ac:dyDescent="0.25">
      <c r="O449738" s="9"/>
    </row>
    <row r="449759" spans="15:15" x14ac:dyDescent="0.25">
      <c r="O449759" s="9"/>
    </row>
    <row r="449780" spans="15:15" x14ac:dyDescent="0.25">
      <c r="O449780" s="9"/>
    </row>
    <row r="449801" spans="15:15" x14ac:dyDescent="0.25">
      <c r="O449801" s="9"/>
    </row>
    <row r="449822" spans="15:15" x14ac:dyDescent="0.25">
      <c r="O449822" s="9"/>
    </row>
    <row r="449843" spans="15:15" x14ac:dyDescent="0.25">
      <c r="O449843" s="9"/>
    </row>
    <row r="449864" spans="15:15" x14ac:dyDescent="0.25">
      <c r="O449864" s="9"/>
    </row>
    <row r="449885" spans="15:15" x14ac:dyDescent="0.25">
      <c r="O449885" s="9"/>
    </row>
    <row r="449906" spans="15:15" x14ac:dyDescent="0.25">
      <c r="O449906" s="9"/>
    </row>
    <row r="449927" spans="15:15" x14ac:dyDescent="0.25">
      <c r="O449927" s="9"/>
    </row>
    <row r="449948" spans="15:15" x14ac:dyDescent="0.25">
      <c r="O449948" s="9"/>
    </row>
    <row r="449969" spans="15:15" x14ac:dyDescent="0.25">
      <c r="O449969" s="9"/>
    </row>
    <row r="449990" spans="15:15" x14ac:dyDescent="0.25">
      <c r="O449990" s="9"/>
    </row>
    <row r="450011" spans="15:15" x14ac:dyDescent="0.25">
      <c r="O450011" s="9"/>
    </row>
    <row r="450032" spans="15:15" x14ac:dyDescent="0.25">
      <c r="O450032" s="9"/>
    </row>
    <row r="450053" spans="15:15" x14ac:dyDescent="0.25">
      <c r="O450053" s="9"/>
    </row>
    <row r="450074" spans="15:15" x14ac:dyDescent="0.25">
      <c r="O450074" s="9"/>
    </row>
    <row r="450095" spans="15:15" x14ac:dyDescent="0.25">
      <c r="O450095" s="9"/>
    </row>
    <row r="450116" spans="15:15" x14ac:dyDescent="0.25">
      <c r="O450116" s="9"/>
    </row>
    <row r="450137" spans="15:15" x14ac:dyDescent="0.25">
      <c r="O450137" s="9"/>
    </row>
    <row r="450158" spans="15:15" x14ac:dyDescent="0.25">
      <c r="O450158" s="9"/>
    </row>
    <row r="450179" spans="15:15" x14ac:dyDescent="0.25">
      <c r="O450179" s="9"/>
    </row>
    <row r="450200" spans="15:15" x14ac:dyDescent="0.25">
      <c r="O450200" s="9"/>
    </row>
    <row r="450221" spans="15:15" x14ac:dyDescent="0.25">
      <c r="O450221" s="9"/>
    </row>
    <row r="450242" spans="15:15" x14ac:dyDescent="0.25">
      <c r="O450242" s="9"/>
    </row>
    <row r="450263" spans="15:15" x14ac:dyDescent="0.25">
      <c r="O450263" s="9"/>
    </row>
    <row r="450284" spans="15:15" x14ac:dyDescent="0.25">
      <c r="O450284" s="9"/>
    </row>
    <row r="450305" spans="15:15" x14ac:dyDescent="0.25">
      <c r="O450305" s="9"/>
    </row>
    <row r="450326" spans="15:15" x14ac:dyDescent="0.25">
      <c r="O450326" s="9"/>
    </row>
    <row r="450347" spans="15:15" x14ac:dyDescent="0.25">
      <c r="O450347" s="9"/>
    </row>
    <row r="450368" spans="15:15" x14ac:dyDescent="0.25">
      <c r="O450368" s="9"/>
    </row>
    <row r="450389" spans="15:15" x14ac:dyDescent="0.25">
      <c r="O450389" s="9"/>
    </row>
    <row r="450410" spans="15:15" x14ac:dyDescent="0.25">
      <c r="O450410" s="9"/>
    </row>
    <row r="450431" spans="15:15" x14ac:dyDescent="0.25">
      <c r="O450431" s="9"/>
    </row>
    <row r="450452" spans="15:15" x14ac:dyDescent="0.25">
      <c r="O450452" s="9"/>
    </row>
    <row r="450473" spans="15:15" x14ac:dyDescent="0.25">
      <c r="O450473" s="9"/>
    </row>
    <row r="450494" spans="15:15" x14ac:dyDescent="0.25">
      <c r="O450494" s="9"/>
    </row>
    <row r="450515" spans="15:15" x14ac:dyDescent="0.25">
      <c r="O450515" s="9"/>
    </row>
    <row r="450536" spans="15:15" x14ac:dyDescent="0.25">
      <c r="O450536" s="9"/>
    </row>
    <row r="450557" spans="15:15" x14ac:dyDescent="0.25">
      <c r="O450557" s="9"/>
    </row>
    <row r="450578" spans="15:15" x14ac:dyDescent="0.25">
      <c r="O450578" s="9"/>
    </row>
    <row r="450599" spans="15:15" x14ac:dyDescent="0.25">
      <c r="O450599" s="9"/>
    </row>
    <row r="450620" spans="15:15" x14ac:dyDescent="0.25">
      <c r="O450620" s="9"/>
    </row>
    <row r="450641" spans="15:15" x14ac:dyDescent="0.25">
      <c r="O450641" s="9"/>
    </row>
    <row r="450662" spans="15:15" x14ac:dyDescent="0.25">
      <c r="O450662" s="9"/>
    </row>
    <row r="450683" spans="15:15" x14ac:dyDescent="0.25">
      <c r="O450683" s="9"/>
    </row>
    <row r="450704" spans="15:15" x14ac:dyDescent="0.25">
      <c r="O450704" s="9"/>
    </row>
    <row r="450725" spans="15:15" x14ac:dyDescent="0.25">
      <c r="O450725" s="9"/>
    </row>
    <row r="450746" spans="15:15" x14ac:dyDescent="0.25">
      <c r="O450746" s="9"/>
    </row>
    <row r="450767" spans="15:15" x14ac:dyDescent="0.25">
      <c r="O450767" s="9"/>
    </row>
    <row r="450788" spans="15:15" x14ac:dyDescent="0.25">
      <c r="O450788" s="9"/>
    </row>
    <row r="450809" spans="15:15" x14ac:dyDescent="0.25">
      <c r="O450809" s="9"/>
    </row>
    <row r="450830" spans="15:15" x14ac:dyDescent="0.25">
      <c r="O450830" s="9"/>
    </row>
    <row r="450851" spans="15:15" x14ac:dyDescent="0.25">
      <c r="O450851" s="9"/>
    </row>
    <row r="450872" spans="15:15" x14ac:dyDescent="0.25">
      <c r="O450872" s="9"/>
    </row>
    <row r="450893" spans="15:15" x14ac:dyDescent="0.25">
      <c r="O450893" s="9"/>
    </row>
    <row r="450914" spans="15:15" x14ac:dyDescent="0.25">
      <c r="O450914" s="9"/>
    </row>
    <row r="450935" spans="15:15" x14ac:dyDescent="0.25">
      <c r="O450935" s="9"/>
    </row>
    <row r="450956" spans="15:15" x14ac:dyDescent="0.25">
      <c r="O450956" s="9"/>
    </row>
    <row r="450977" spans="15:15" x14ac:dyDescent="0.25">
      <c r="O450977" s="9"/>
    </row>
    <row r="450998" spans="15:15" x14ac:dyDescent="0.25">
      <c r="O450998" s="9"/>
    </row>
    <row r="451019" spans="15:15" x14ac:dyDescent="0.25">
      <c r="O451019" s="9"/>
    </row>
    <row r="451040" spans="15:15" x14ac:dyDescent="0.25">
      <c r="O451040" s="9"/>
    </row>
    <row r="451061" spans="15:15" x14ac:dyDescent="0.25">
      <c r="O451061" s="9"/>
    </row>
    <row r="451082" spans="15:15" x14ac:dyDescent="0.25">
      <c r="O451082" s="9"/>
    </row>
    <row r="451103" spans="15:15" x14ac:dyDescent="0.25">
      <c r="O451103" s="9"/>
    </row>
    <row r="451124" spans="15:15" x14ac:dyDescent="0.25">
      <c r="O451124" s="9"/>
    </row>
    <row r="451145" spans="15:15" x14ac:dyDescent="0.25">
      <c r="O451145" s="9"/>
    </row>
    <row r="451166" spans="15:15" x14ac:dyDescent="0.25">
      <c r="O451166" s="9"/>
    </row>
    <row r="451187" spans="15:15" x14ac:dyDescent="0.25">
      <c r="O451187" s="9"/>
    </row>
    <row r="451208" spans="15:15" x14ac:dyDescent="0.25">
      <c r="O451208" s="9"/>
    </row>
    <row r="451229" spans="15:15" x14ac:dyDescent="0.25">
      <c r="O451229" s="9"/>
    </row>
    <row r="451250" spans="15:15" x14ac:dyDescent="0.25">
      <c r="O451250" s="9"/>
    </row>
    <row r="451271" spans="15:15" x14ac:dyDescent="0.25">
      <c r="O451271" s="9"/>
    </row>
    <row r="451292" spans="15:15" x14ac:dyDescent="0.25">
      <c r="O451292" s="9"/>
    </row>
    <row r="451313" spans="15:15" x14ac:dyDescent="0.25">
      <c r="O451313" s="9"/>
    </row>
    <row r="451334" spans="15:15" x14ac:dyDescent="0.25">
      <c r="O451334" s="9"/>
    </row>
    <row r="451355" spans="15:15" x14ac:dyDescent="0.25">
      <c r="O451355" s="9"/>
    </row>
    <row r="451376" spans="15:15" x14ac:dyDescent="0.25">
      <c r="O451376" s="9"/>
    </row>
    <row r="451397" spans="15:15" x14ac:dyDescent="0.25">
      <c r="O451397" s="9"/>
    </row>
    <row r="451418" spans="15:15" x14ac:dyDescent="0.25">
      <c r="O451418" s="9"/>
    </row>
    <row r="451439" spans="15:15" x14ac:dyDescent="0.25">
      <c r="O451439" s="9"/>
    </row>
    <row r="451460" spans="15:15" x14ac:dyDescent="0.25">
      <c r="O451460" s="9"/>
    </row>
    <row r="451481" spans="15:15" x14ac:dyDescent="0.25">
      <c r="O451481" s="9"/>
    </row>
    <row r="451502" spans="15:15" x14ac:dyDescent="0.25">
      <c r="O451502" s="9"/>
    </row>
    <row r="451523" spans="15:15" x14ac:dyDescent="0.25">
      <c r="O451523" s="9"/>
    </row>
    <row r="451544" spans="15:15" x14ac:dyDescent="0.25">
      <c r="O451544" s="9"/>
    </row>
    <row r="451565" spans="15:15" x14ac:dyDescent="0.25">
      <c r="O451565" s="9"/>
    </row>
    <row r="451586" spans="15:15" x14ac:dyDescent="0.25">
      <c r="O451586" s="9"/>
    </row>
    <row r="451607" spans="15:15" x14ac:dyDescent="0.25">
      <c r="O451607" s="9"/>
    </row>
    <row r="451628" spans="15:15" x14ac:dyDescent="0.25">
      <c r="O451628" s="9"/>
    </row>
    <row r="451649" spans="15:15" x14ac:dyDescent="0.25">
      <c r="O451649" s="9"/>
    </row>
    <row r="451670" spans="15:15" x14ac:dyDescent="0.25">
      <c r="O451670" s="9"/>
    </row>
    <row r="451691" spans="15:15" x14ac:dyDescent="0.25">
      <c r="O451691" s="9"/>
    </row>
    <row r="451712" spans="15:15" x14ac:dyDescent="0.25">
      <c r="O451712" s="9"/>
    </row>
    <row r="451733" spans="15:15" x14ac:dyDescent="0.25">
      <c r="O451733" s="9"/>
    </row>
    <row r="451754" spans="15:15" x14ac:dyDescent="0.25">
      <c r="O451754" s="9"/>
    </row>
    <row r="451775" spans="15:15" x14ac:dyDescent="0.25">
      <c r="O451775" s="9"/>
    </row>
    <row r="451796" spans="15:15" x14ac:dyDescent="0.25">
      <c r="O451796" s="9"/>
    </row>
    <row r="451817" spans="15:15" x14ac:dyDescent="0.25">
      <c r="O451817" s="9"/>
    </row>
    <row r="451838" spans="15:15" x14ac:dyDescent="0.25">
      <c r="O451838" s="9"/>
    </row>
    <row r="451859" spans="15:15" x14ac:dyDescent="0.25">
      <c r="O451859" s="9"/>
    </row>
    <row r="451880" spans="15:15" x14ac:dyDescent="0.25">
      <c r="O451880" s="9"/>
    </row>
    <row r="451901" spans="15:15" x14ac:dyDescent="0.25">
      <c r="O451901" s="9"/>
    </row>
    <row r="451922" spans="15:15" x14ac:dyDescent="0.25">
      <c r="O451922" s="9"/>
    </row>
    <row r="451943" spans="15:15" x14ac:dyDescent="0.25">
      <c r="O451943" s="9"/>
    </row>
    <row r="451964" spans="15:15" x14ac:dyDescent="0.25">
      <c r="O451964" s="9"/>
    </row>
    <row r="451985" spans="15:15" x14ac:dyDescent="0.25">
      <c r="O451985" s="9"/>
    </row>
    <row r="452006" spans="15:15" x14ac:dyDescent="0.25">
      <c r="O452006" s="9"/>
    </row>
    <row r="452027" spans="15:15" x14ac:dyDescent="0.25">
      <c r="O452027" s="9"/>
    </row>
    <row r="452048" spans="15:15" x14ac:dyDescent="0.25">
      <c r="O452048" s="9"/>
    </row>
    <row r="452069" spans="15:15" x14ac:dyDescent="0.25">
      <c r="O452069" s="9"/>
    </row>
    <row r="452090" spans="15:15" x14ac:dyDescent="0.25">
      <c r="O452090" s="9"/>
    </row>
    <row r="452111" spans="15:15" x14ac:dyDescent="0.25">
      <c r="O452111" s="9"/>
    </row>
    <row r="452132" spans="15:15" x14ac:dyDescent="0.25">
      <c r="O452132" s="9"/>
    </row>
    <row r="452153" spans="15:15" x14ac:dyDescent="0.25">
      <c r="O452153" s="9"/>
    </row>
    <row r="452174" spans="15:15" x14ac:dyDescent="0.25">
      <c r="O452174" s="9"/>
    </row>
    <row r="452195" spans="15:15" x14ac:dyDescent="0.25">
      <c r="O452195" s="9"/>
    </row>
    <row r="452216" spans="15:15" x14ac:dyDescent="0.25">
      <c r="O452216" s="9"/>
    </row>
    <row r="452237" spans="15:15" x14ac:dyDescent="0.25">
      <c r="O452237" s="9"/>
    </row>
    <row r="452258" spans="15:15" x14ac:dyDescent="0.25">
      <c r="O452258" s="9"/>
    </row>
    <row r="452279" spans="15:15" x14ac:dyDescent="0.25">
      <c r="O452279" s="9"/>
    </row>
    <row r="452300" spans="15:15" x14ac:dyDescent="0.25">
      <c r="O452300" s="9"/>
    </row>
    <row r="452321" spans="15:15" x14ac:dyDescent="0.25">
      <c r="O452321" s="9"/>
    </row>
    <row r="452342" spans="15:15" x14ac:dyDescent="0.25">
      <c r="O452342" s="9"/>
    </row>
    <row r="452363" spans="15:15" x14ac:dyDescent="0.25">
      <c r="O452363" s="9"/>
    </row>
    <row r="452384" spans="15:15" x14ac:dyDescent="0.25">
      <c r="O452384" s="9"/>
    </row>
    <row r="452405" spans="15:15" x14ac:dyDescent="0.25">
      <c r="O452405" s="9"/>
    </row>
    <row r="452426" spans="15:15" x14ac:dyDescent="0.25">
      <c r="O452426" s="9"/>
    </row>
    <row r="452447" spans="15:15" x14ac:dyDescent="0.25">
      <c r="O452447" s="9"/>
    </row>
    <row r="452468" spans="15:15" x14ac:dyDescent="0.25">
      <c r="O452468" s="9"/>
    </row>
    <row r="452489" spans="15:15" x14ac:dyDescent="0.25">
      <c r="O452489" s="9"/>
    </row>
    <row r="452510" spans="15:15" x14ac:dyDescent="0.25">
      <c r="O452510" s="9"/>
    </row>
    <row r="452531" spans="15:15" x14ac:dyDescent="0.25">
      <c r="O452531" s="9"/>
    </row>
    <row r="452552" spans="15:15" x14ac:dyDescent="0.25">
      <c r="O452552" s="9"/>
    </row>
    <row r="452573" spans="15:15" x14ac:dyDescent="0.25">
      <c r="O452573" s="9"/>
    </row>
    <row r="452594" spans="15:15" x14ac:dyDescent="0.25">
      <c r="O452594" s="9"/>
    </row>
    <row r="452615" spans="15:15" x14ac:dyDescent="0.25">
      <c r="O452615" s="9"/>
    </row>
    <row r="452636" spans="15:15" x14ac:dyDescent="0.25">
      <c r="O452636" s="9"/>
    </row>
    <row r="452657" spans="15:15" x14ac:dyDescent="0.25">
      <c r="O452657" s="9"/>
    </row>
    <row r="452678" spans="15:15" x14ac:dyDescent="0.25">
      <c r="O452678" s="9"/>
    </row>
    <row r="452699" spans="15:15" x14ac:dyDescent="0.25">
      <c r="O452699" s="9"/>
    </row>
    <row r="452720" spans="15:15" x14ac:dyDescent="0.25">
      <c r="O452720" s="9"/>
    </row>
    <row r="452741" spans="15:15" x14ac:dyDescent="0.25">
      <c r="O452741" s="9"/>
    </row>
    <row r="452762" spans="15:15" x14ac:dyDescent="0.25">
      <c r="O452762" s="9"/>
    </row>
    <row r="452783" spans="15:15" x14ac:dyDescent="0.25">
      <c r="O452783" s="9"/>
    </row>
    <row r="452804" spans="15:15" x14ac:dyDescent="0.25">
      <c r="O452804" s="9"/>
    </row>
    <row r="452825" spans="15:15" x14ac:dyDescent="0.25">
      <c r="O452825" s="9"/>
    </row>
    <row r="452846" spans="15:15" x14ac:dyDescent="0.25">
      <c r="O452846" s="9"/>
    </row>
    <row r="452867" spans="15:15" x14ac:dyDescent="0.25">
      <c r="O452867" s="9"/>
    </row>
    <row r="452888" spans="15:15" x14ac:dyDescent="0.25">
      <c r="O452888" s="9"/>
    </row>
    <row r="452909" spans="15:15" x14ac:dyDescent="0.25">
      <c r="O452909" s="9"/>
    </row>
    <row r="452930" spans="15:15" x14ac:dyDescent="0.25">
      <c r="O452930" s="9"/>
    </row>
    <row r="452951" spans="15:15" x14ac:dyDescent="0.25">
      <c r="O452951" s="9"/>
    </row>
    <row r="452972" spans="15:15" x14ac:dyDescent="0.25">
      <c r="O452972" s="9"/>
    </row>
    <row r="452993" spans="15:15" x14ac:dyDescent="0.25">
      <c r="O452993" s="9"/>
    </row>
    <row r="453014" spans="15:15" x14ac:dyDescent="0.25">
      <c r="O453014" s="9"/>
    </row>
    <row r="453035" spans="15:15" x14ac:dyDescent="0.25">
      <c r="O453035" s="9"/>
    </row>
    <row r="453056" spans="15:15" x14ac:dyDescent="0.25">
      <c r="O453056" s="9"/>
    </row>
    <row r="453077" spans="15:15" x14ac:dyDescent="0.25">
      <c r="O453077" s="9"/>
    </row>
    <row r="453098" spans="15:15" x14ac:dyDescent="0.25">
      <c r="O453098" s="9"/>
    </row>
    <row r="453119" spans="15:15" x14ac:dyDescent="0.25">
      <c r="O453119" s="9"/>
    </row>
    <row r="453140" spans="15:15" x14ac:dyDescent="0.25">
      <c r="O453140" s="9"/>
    </row>
    <row r="453161" spans="15:15" x14ac:dyDescent="0.25">
      <c r="O453161" s="9"/>
    </row>
    <row r="453182" spans="15:15" x14ac:dyDescent="0.25">
      <c r="O453182" s="9"/>
    </row>
    <row r="453203" spans="15:15" x14ac:dyDescent="0.25">
      <c r="O453203" s="9"/>
    </row>
    <row r="453224" spans="15:15" x14ac:dyDescent="0.25">
      <c r="O453224" s="9"/>
    </row>
    <row r="453245" spans="15:15" x14ac:dyDescent="0.25">
      <c r="O453245" s="9"/>
    </row>
    <row r="453266" spans="15:15" x14ac:dyDescent="0.25">
      <c r="O453266" s="9"/>
    </row>
    <row r="453287" spans="15:15" x14ac:dyDescent="0.25">
      <c r="O453287" s="9"/>
    </row>
    <row r="453308" spans="15:15" x14ac:dyDescent="0.25">
      <c r="O453308" s="9"/>
    </row>
    <row r="453329" spans="15:15" x14ac:dyDescent="0.25">
      <c r="O453329" s="9"/>
    </row>
    <row r="453350" spans="15:15" x14ac:dyDescent="0.25">
      <c r="O453350" s="9"/>
    </row>
    <row r="453371" spans="15:15" x14ac:dyDescent="0.25">
      <c r="O453371" s="9"/>
    </row>
    <row r="453392" spans="15:15" x14ac:dyDescent="0.25">
      <c r="O453392" s="9"/>
    </row>
    <row r="453413" spans="15:15" x14ac:dyDescent="0.25">
      <c r="O453413" s="9"/>
    </row>
    <row r="453434" spans="15:15" x14ac:dyDescent="0.25">
      <c r="O453434" s="9"/>
    </row>
    <row r="453455" spans="15:15" x14ac:dyDescent="0.25">
      <c r="O453455" s="9"/>
    </row>
    <row r="453476" spans="15:15" x14ac:dyDescent="0.25">
      <c r="O453476" s="9"/>
    </row>
    <row r="453497" spans="15:15" x14ac:dyDescent="0.25">
      <c r="O453497" s="9"/>
    </row>
    <row r="453518" spans="15:15" x14ac:dyDescent="0.25">
      <c r="O453518" s="9"/>
    </row>
    <row r="453539" spans="15:15" x14ac:dyDescent="0.25">
      <c r="O453539" s="9"/>
    </row>
    <row r="453560" spans="15:15" x14ac:dyDescent="0.25">
      <c r="O453560" s="9"/>
    </row>
    <row r="453581" spans="15:15" x14ac:dyDescent="0.25">
      <c r="O453581" s="9"/>
    </row>
    <row r="453602" spans="15:15" x14ac:dyDescent="0.25">
      <c r="O453602" s="9"/>
    </row>
    <row r="453623" spans="15:15" x14ac:dyDescent="0.25">
      <c r="O453623" s="9"/>
    </row>
    <row r="453644" spans="15:15" x14ac:dyDescent="0.25">
      <c r="O453644" s="9"/>
    </row>
    <row r="453665" spans="15:15" x14ac:dyDescent="0.25">
      <c r="O453665" s="9"/>
    </row>
    <row r="453686" spans="15:15" x14ac:dyDescent="0.25">
      <c r="O453686" s="9"/>
    </row>
    <row r="453707" spans="15:15" x14ac:dyDescent="0.25">
      <c r="O453707" s="9"/>
    </row>
    <row r="453728" spans="15:15" x14ac:dyDescent="0.25">
      <c r="O453728" s="9"/>
    </row>
    <row r="453749" spans="15:15" x14ac:dyDescent="0.25">
      <c r="O453749" s="9"/>
    </row>
    <row r="453770" spans="15:15" x14ac:dyDescent="0.25">
      <c r="O453770" s="9"/>
    </row>
    <row r="453791" spans="15:15" x14ac:dyDescent="0.25">
      <c r="O453791" s="9"/>
    </row>
    <row r="453812" spans="15:15" x14ac:dyDescent="0.25">
      <c r="O453812" s="9"/>
    </row>
    <row r="453833" spans="15:15" x14ac:dyDescent="0.25">
      <c r="O453833" s="9"/>
    </row>
    <row r="453854" spans="15:15" x14ac:dyDescent="0.25">
      <c r="O453854" s="9"/>
    </row>
    <row r="453875" spans="15:15" x14ac:dyDescent="0.25">
      <c r="O453875" s="9"/>
    </row>
    <row r="453896" spans="15:15" x14ac:dyDescent="0.25">
      <c r="O453896" s="9"/>
    </row>
    <row r="453917" spans="15:15" x14ac:dyDescent="0.25">
      <c r="O453917" s="9"/>
    </row>
    <row r="453938" spans="15:15" x14ac:dyDescent="0.25">
      <c r="O453938" s="9"/>
    </row>
    <row r="453959" spans="15:15" x14ac:dyDescent="0.25">
      <c r="O453959" s="9"/>
    </row>
    <row r="453980" spans="15:15" x14ac:dyDescent="0.25">
      <c r="O453980" s="9"/>
    </row>
    <row r="454001" spans="15:15" x14ac:dyDescent="0.25">
      <c r="O454001" s="9"/>
    </row>
    <row r="454022" spans="15:15" x14ac:dyDescent="0.25">
      <c r="O454022" s="9"/>
    </row>
    <row r="454043" spans="15:15" x14ac:dyDescent="0.25">
      <c r="O454043" s="9"/>
    </row>
    <row r="454064" spans="15:15" x14ac:dyDescent="0.25">
      <c r="O454064" s="9"/>
    </row>
    <row r="454085" spans="15:15" x14ac:dyDescent="0.25">
      <c r="O454085" s="9"/>
    </row>
    <row r="454106" spans="15:15" x14ac:dyDescent="0.25">
      <c r="O454106" s="9"/>
    </row>
    <row r="454127" spans="15:15" x14ac:dyDescent="0.25">
      <c r="O454127" s="9"/>
    </row>
    <row r="454148" spans="15:15" x14ac:dyDescent="0.25">
      <c r="O454148" s="9"/>
    </row>
    <row r="454169" spans="15:15" x14ac:dyDescent="0.25">
      <c r="O454169" s="9"/>
    </row>
    <row r="454190" spans="15:15" x14ac:dyDescent="0.25">
      <c r="O454190" s="9"/>
    </row>
    <row r="454211" spans="15:15" x14ac:dyDescent="0.25">
      <c r="O454211" s="9"/>
    </row>
    <row r="454232" spans="15:15" x14ac:dyDescent="0.25">
      <c r="O454232" s="9"/>
    </row>
    <row r="454253" spans="15:15" x14ac:dyDescent="0.25">
      <c r="O454253" s="9"/>
    </row>
    <row r="454274" spans="15:15" x14ac:dyDescent="0.25">
      <c r="O454274" s="9"/>
    </row>
    <row r="454295" spans="15:15" x14ac:dyDescent="0.25">
      <c r="O454295" s="9"/>
    </row>
    <row r="454316" spans="15:15" x14ac:dyDescent="0.25">
      <c r="O454316" s="9"/>
    </row>
    <row r="454337" spans="15:15" x14ac:dyDescent="0.25">
      <c r="O454337" s="9"/>
    </row>
    <row r="454358" spans="15:15" x14ac:dyDescent="0.25">
      <c r="O454358" s="9"/>
    </row>
    <row r="454379" spans="15:15" x14ac:dyDescent="0.25">
      <c r="O454379" s="9"/>
    </row>
    <row r="454400" spans="15:15" x14ac:dyDescent="0.25">
      <c r="O454400" s="9"/>
    </row>
    <row r="454421" spans="15:15" x14ac:dyDescent="0.25">
      <c r="O454421" s="9"/>
    </row>
    <row r="454442" spans="15:15" x14ac:dyDescent="0.25">
      <c r="O454442" s="9"/>
    </row>
    <row r="454463" spans="15:15" x14ac:dyDescent="0.25">
      <c r="O454463" s="9"/>
    </row>
    <row r="454484" spans="15:15" x14ac:dyDescent="0.25">
      <c r="O454484" s="9"/>
    </row>
    <row r="454505" spans="15:15" x14ac:dyDescent="0.25">
      <c r="O454505" s="9"/>
    </row>
    <row r="454526" spans="15:15" x14ac:dyDescent="0.25">
      <c r="O454526" s="9"/>
    </row>
    <row r="454547" spans="15:15" x14ac:dyDescent="0.25">
      <c r="O454547" s="9"/>
    </row>
    <row r="454568" spans="15:15" x14ac:dyDescent="0.25">
      <c r="O454568" s="9"/>
    </row>
    <row r="454589" spans="15:15" x14ac:dyDescent="0.25">
      <c r="O454589" s="9"/>
    </row>
    <row r="454610" spans="15:15" x14ac:dyDescent="0.25">
      <c r="O454610" s="9"/>
    </row>
    <row r="454631" spans="15:15" x14ac:dyDescent="0.25">
      <c r="O454631" s="9"/>
    </row>
    <row r="454652" spans="15:15" x14ac:dyDescent="0.25">
      <c r="O454652" s="9"/>
    </row>
    <row r="454673" spans="15:15" x14ac:dyDescent="0.25">
      <c r="O454673" s="9"/>
    </row>
    <row r="454694" spans="15:15" x14ac:dyDescent="0.25">
      <c r="O454694" s="9"/>
    </row>
    <row r="454715" spans="15:15" x14ac:dyDescent="0.25">
      <c r="O454715" s="9"/>
    </row>
    <row r="454736" spans="15:15" x14ac:dyDescent="0.25">
      <c r="O454736" s="9"/>
    </row>
    <row r="454757" spans="15:15" x14ac:dyDescent="0.25">
      <c r="O454757" s="9"/>
    </row>
    <row r="454778" spans="15:15" x14ac:dyDescent="0.25">
      <c r="O454778" s="9"/>
    </row>
    <row r="454799" spans="15:15" x14ac:dyDescent="0.25">
      <c r="O454799" s="9"/>
    </row>
    <row r="454820" spans="15:15" x14ac:dyDescent="0.25">
      <c r="O454820" s="9"/>
    </row>
    <row r="454841" spans="15:15" x14ac:dyDescent="0.25">
      <c r="O454841" s="9"/>
    </row>
    <row r="454862" spans="15:15" x14ac:dyDescent="0.25">
      <c r="O454862" s="9"/>
    </row>
    <row r="454883" spans="15:15" x14ac:dyDescent="0.25">
      <c r="O454883" s="9"/>
    </row>
    <row r="454904" spans="15:15" x14ac:dyDescent="0.25">
      <c r="O454904" s="9"/>
    </row>
    <row r="454925" spans="15:15" x14ac:dyDescent="0.25">
      <c r="O454925" s="9"/>
    </row>
    <row r="454946" spans="15:15" x14ac:dyDescent="0.25">
      <c r="O454946" s="9"/>
    </row>
    <row r="454967" spans="15:15" x14ac:dyDescent="0.25">
      <c r="O454967" s="9"/>
    </row>
    <row r="454988" spans="15:15" x14ac:dyDescent="0.25">
      <c r="O454988" s="9"/>
    </row>
    <row r="455009" spans="15:15" x14ac:dyDescent="0.25">
      <c r="O455009" s="9"/>
    </row>
    <row r="455030" spans="15:15" x14ac:dyDescent="0.25">
      <c r="O455030" s="9"/>
    </row>
    <row r="455051" spans="15:15" x14ac:dyDescent="0.25">
      <c r="O455051" s="9"/>
    </row>
    <row r="455072" spans="15:15" x14ac:dyDescent="0.25">
      <c r="O455072" s="9"/>
    </row>
    <row r="455093" spans="15:15" x14ac:dyDescent="0.25">
      <c r="O455093" s="9"/>
    </row>
    <row r="455114" spans="15:15" x14ac:dyDescent="0.25">
      <c r="O455114" s="9"/>
    </row>
    <row r="455135" spans="15:15" x14ac:dyDescent="0.25">
      <c r="O455135" s="9"/>
    </row>
    <row r="455156" spans="15:15" x14ac:dyDescent="0.25">
      <c r="O455156" s="9"/>
    </row>
    <row r="455177" spans="15:15" x14ac:dyDescent="0.25">
      <c r="O455177" s="9"/>
    </row>
    <row r="455198" spans="15:15" x14ac:dyDescent="0.25">
      <c r="O455198" s="9"/>
    </row>
    <row r="455219" spans="15:15" x14ac:dyDescent="0.25">
      <c r="O455219" s="9"/>
    </row>
    <row r="455240" spans="15:15" x14ac:dyDescent="0.25">
      <c r="O455240" s="9"/>
    </row>
    <row r="455261" spans="15:15" x14ac:dyDescent="0.25">
      <c r="O455261" s="9"/>
    </row>
    <row r="455282" spans="15:15" x14ac:dyDescent="0.25">
      <c r="O455282" s="9"/>
    </row>
    <row r="455303" spans="15:15" x14ac:dyDescent="0.25">
      <c r="O455303" s="9"/>
    </row>
    <row r="455324" spans="15:15" x14ac:dyDescent="0.25">
      <c r="O455324" s="9"/>
    </row>
    <row r="455345" spans="15:15" x14ac:dyDescent="0.25">
      <c r="O455345" s="9"/>
    </row>
    <row r="455366" spans="15:15" x14ac:dyDescent="0.25">
      <c r="O455366" s="9"/>
    </row>
    <row r="455387" spans="15:15" x14ac:dyDescent="0.25">
      <c r="O455387" s="9"/>
    </row>
    <row r="455408" spans="15:15" x14ac:dyDescent="0.25">
      <c r="O455408" s="9"/>
    </row>
    <row r="455429" spans="15:15" x14ac:dyDescent="0.25">
      <c r="O455429" s="9"/>
    </row>
    <row r="455450" spans="15:15" x14ac:dyDescent="0.25">
      <c r="O455450" s="9"/>
    </row>
    <row r="455471" spans="15:15" x14ac:dyDescent="0.25">
      <c r="O455471" s="9"/>
    </row>
    <row r="455492" spans="15:15" x14ac:dyDescent="0.25">
      <c r="O455492" s="9"/>
    </row>
    <row r="455513" spans="15:15" x14ac:dyDescent="0.25">
      <c r="O455513" s="9"/>
    </row>
    <row r="455534" spans="15:15" x14ac:dyDescent="0.25">
      <c r="O455534" s="9"/>
    </row>
    <row r="455555" spans="15:15" x14ac:dyDescent="0.25">
      <c r="O455555" s="9"/>
    </row>
    <row r="455576" spans="15:15" x14ac:dyDescent="0.25">
      <c r="O455576" s="9"/>
    </row>
    <row r="455597" spans="15:15" x14ac:dyDescent="0.25">
      <c r="O455597" s="9"/>
    </row>
    <row r="455618" spans="15:15" x14ac:dyDescent="0.25">
      <c r="O455618" s="9"/>
    </row>
    <row r="455639" spans="15:15" x14ac:dyDescent="0.25">
      <c r="O455639" s="9"/>
    </row>
    <row r="455660" spans="15:15" x14ac:dyDescent="0.25">
      <c r="O455660" s="9"/>
    </row>
    <row r="455681" spans="15:15" x14ac:dyDescent="0.25">
      <c r="O455681" s="9"/>
    </row>
    <row r="455702" spans="15:15" x14ac:dyDescent="0.25">
      <c r="O455702" s="9"/>
    </row>
    <row r="455723" spans="15:15" x14ac:dyDescent="0.25">
      <c r="O455723" s="9"/>
    </row>
    <row r="455744" spans="15:15" x14ac:dyDescent="0.25">
      <c r="O455744" s="9"/>
    </row>
    <row r="455765" spans="15:15" x14ac:dyDescent="0.25">
      <c r="O455765" s="9"/>
    </row>
    <row r="455786" spans="15:15" x14ac:dyDescent="0.25">
      <c r="O455786" s="9"/>
    </row>
    <row r="455807" spans="15:15" x14ac:dyDescent="0.25">
      <c r="O455807" s="9"/>
    </row>
    <row r="455828" spans="15:15" x14ac:dyDescent="0.25">
      <c r="O455828" s="9"/>
    </row>
    <row r="455849" spans="15:15" x14ac:dyDescent="0.25">
      <c r="O455849" s="9"/>
    </row>
    <row r="455870" spans="15:15" x14ac:dyDescent="0.25">
      <c r="O455870" s="9"/>
    </row>
    <row r="455891" spans="15:15" x14ac:dyDescent="0.25">
      <c r="O455891" s="9"/>
    </row>
    <row r="455912" spans="15:15" x14ac:dyDescent="0.25">
      <c r="O455912" s="9"/>
    </row>
    <row r="455933" spans="15:15" x14ac:dyDescent="0.25">
      <c r="O455933" s="9"/>
    </row>
    <row r="455954" spans="15:15" x14ac:dyDescent="0.25">
      <c r="O455954" s="9"/>
    </row>
    <row r="455975" spans="15:15" x14ac:dyDescent="0.25">
      <c r="O455975" s="9"/>
    </row>
    <row r="455996" spans="15:15" x14ac:dyDescent="0.25">
      <c r="O455996" s="9"/>
    </row>
    <row r="456017" spans="15:15" x14ac:dyDescent="0.25">
      <c r="O456017" s="9"/>
    </row>
    <row r="456038" spans="15:15" x14ac:dyDescent="0.25">
      <c r="O456038" s="9"/>
    </row>
    <row r="456059" spans="15:15" x14ac:dyDescent="0.25">
      <c r="O456059" s="9"/>
    </row>
    <row r="456080" spans="15:15" x14ac:dyDescent="0.25">
      <c r="O456080" s="9"/>
    </row>
    <row r="456101" spans="15:15" x14ac:dyDescent="0.25">
      <c r="O456101" s="9"/>
    </row>
    <row r="456122" spans="15:15" x14ac:dyDescent="0.25">
      <c r="O456122" s="9"/>
    </row>
    <row r="456143" spans="15:15" x14ac:dyDescent="0.25">
      <c r="O456143" s="9"/>
    </row>
    <row r="456164" spans="15:15" x14ac:dyDescent="0.25">
      <c r="O456164" s="9"/>
    </row>
    <row r="456185" spans="15:15" x14ac:dyDescent="0.25">
      <c r="O456185" s="9"/>
    </row>
    <row r="456206" spans="15:15" x14ac:dyDescent="0.25">
      <c r="O456206" s="9"/>
    </row>
    <row r="456227" spans="15:15" x14ac:dyDescent="0.25">
      <c r="O456227" s="9"/>
    </row>
    <row r="456248" spans="15:15" x14ac:dyDescent="0.25">
      <c r="O456248" s="9"/>
    </row>
    <row r="456269" spans="15:15" x14ac:dyDescent="0.25">
      <c r="O456269" s="9"/>
    </row>
    <row r="456290" spans="15:15" x14ac:dyDescent="0.25">
      <c r="O456290" s="9"/>
    </row>
    <row r="456311" spans="15:15" x14ac:dyDescent="0.25">
      <c r="O456311" s="9"/>
    </row>
    <row r="456332" spans="15:15" x14ac:dyDescent="0.25">
      <c r="O456332" s="9"/>
    </row>
    <row r="456353" spans="15:15" x14ac:dyDescent="0.25">
      <c r="O456353" s="9"/>
    </row>
    <row r="456374" spans="15:15" x14ac:dyDescent="0.25">
      <c r="O456374" s="9"/>
    </row>
    <row r="456395" spans="15:15" x14ac:dyDescent="0.25">
      <c r="O456395" s="9"/>
    </row>
    <row r="456416" spans="15:15" x14ac:dyDescent="0.25">
      <c r="O456416" s="9"/>
    </row>
    <row r="456437" spans="15:15" x14ac:dyDescent="0.25">
      <c r="O456437" s="9"/>
    </row>
    <row r="456458" spans="15:15" x14ac:dyDescent="0.25">
      <c r="O456458" s="9"/>
    </row>
    <row r="456479" spans="15:15" x14ac:dyDescent="0.25">
      <c r="O456479" s="9"/>
    </row>
    <row r="456500" spans="15:15" x14ac:dyDescent="0.25">
      <c r="O456500" s="9"/>
    </row>
    <row r="456521" spans="15:15" x14ac:dyDescent="0.25">
      <c r="O456521" s="9"/>
    </row>
    <row r="456542" spans="15:15" x14ac:dyDescent="0.25">
      <c r="O456542" s="9"/>
    </row>
    <row r="456563" spans="15:15" x14ac:dyDescent="0.25">
      <c r="O456563" s="9"/>
    </row>
    <row r="456584" spans="15:15" x14ac:dyDescent="0.25">
      <c r="O456584" s="9"/>
    </row>
    <row r="456605" spans="15:15" x14ac:dyDescent="0.25">
      <c r="O456605" s="9"/>
    </row>
    <row r="456626" spans="15:15" x14ac:dyDescent="0.25">
      <c r="O456626" s="9"/>
    </row>
    <row r="456647" spans="15:15" x14ac:dyDescent="0.25">
      <c r="O456647" s="9"/>
    </row>
    <row r="456668" spans="15:15" x14ac:dyDescent="0.25">
      <c r="O456668" s="9"/>
    </row>
    <row r="456689" spans="15:15" x14ac:dyDescent="0.25">
      <c r="O456689" s="9"/>
    </row>
    <row r="456710" spans="15:15" x14ac:dyDescent="0.25">
      <c r="O456710" s="9"/>
    </row>
    <row r="456731" spans="15:15" x14ac:dyDescent="0.25">
      <c r="O456731" s="9"/>
    </row>
    <row r="456752" spans="15:15" x14ac:dyDescent="0.25">
      <c r="O456752" s="9"/>
    </row>
    <row r="456773" spans="15:15" x14ac:dyDescent="0.25">
      <c r="O456773" s="9"/>
    </row>
    <row r="456794" spans="15:15" x14ac:dyDescent="0.25">
      <c r="O456794" s="9"/>
    </row>
    <row r="456815" spans="15:15" x14ac:dyDescent="0.25">
      <c r="O456815" s="9"/>
    </row>
    <row r="456836" spans="15:15" x14ac:dyDescent="0.25">
      <c r="O456836" s="9"/>
    </row>
    <row r="456857" spans="15:15" x14ac:dyDescent="0.25">
      <c r="O456857" s="9"/>
    </row>
    <row r="456878" spans="15:15" x14ac:dyDescent="0.25">
      <c r="O456878" s="9"/>
    </row>
    <row r="456899" spans="15:15" x14ac:dyDescent="0.25">
      <c r="O456899" s="9"/>
    </row>
    <row r="456920" spans="15:15" x14ac:dyDescent="0.25">
      <c r="O456920" s="9"/>
    </row>
    <row r="456941" spans="15:15" x14ac:dyDescent="0.25">
      <c r="O456941" s="9"/>
    </row>
    <row r="456962" spans="15:15" x14ac:dyDescent="0.25">
      <c r="O456962" s="9"/>
    </row>
    <row r="456983" spans="15:15" x14ac:dyDescent="0.25">
      <c r="O456983" s="9"/>
    </row>
    <row r="457004" spans="15:15" x14ac:dyDescent="0.25">
      <c r="O457004" s="9"/>
    </row>
    <row r="457025" spans="15:15" x14ac:dyDescent="0.25">
      <c r="O457025" s="9"/>
    </row>
    <row r="457046" spans="15:15" x14ac:dyDescent="0.25">
      <c r="O457046" s="9"/>
    </row>
    <row r="457067" spans="15:15" x14ac:dyDescent="0.25">
      <c r="O457067" s="9"/>
    </row>
    <row r="457088" spans="15:15" x14ac:dyDescent="0.25">
      <c r="O457088" s="9"/>
    </row>
    <row r="457109" spans="15:15" x14ac:dyDescent="0.25">
      <c r="O457109" s="9"/>
    </row>
    <row r="457130" spans="15:15" x14ac:dyDescent="0.25">
      <c r="O457130" s="9"/>
    </row>
    <row r="457151" spans="15:15" x14ac:dyDescent="0.25">
      <c r="O457151" s="9"/>
    </row>
    <row r="457172" spans="15:15" x14ac:dyDescent="0.25">
      <c r="O457172" s="9"/>
    </row>
    <row r="457193" spans="15:15" x14ac:dyDescent="0.25">
      <c r="O457193" s="9"/>
    </row>
    <row r="457214" spans="15:15" x14ac:dyDescent="0.25">
      <c r="O457214" s="9"/>
    </row>
    <row r="457235" spans="15:15" x14ac:dyDescent="0.25">
      <c r="O457235" s="9"/>
    </row>
    <row r="457256" spans="15:15" x14ac:dyDescent="0.25">
      <c r="O457256" s="9"/>
    </row>
    <row r="457277" spans="15:15" x14ac:dyDescent="0.25">
      <c r="O457277" s="9"/>
    </row>
    <row r="457298" spans="15:15" x14ac:dyDescent="0.25">
      <c r="O457298" s="9"/>
    </row>
    <row r="457319" spans="15:15" x14ac:dyDescent="0.25">
      <c r="O457319" s="9"/>
    </row>
    <row r="457340" spans="15:15" x14ac:dyDescent="0.25">
      <c r="O457340" s="9"/>
    </row>
    <row r="457361" spans="15:15" x14ac:dyDescent="0.25">
      <c r="O457361" s="9"/>
    </row>
    <row r="457382" spans="15:15" x14ac:dyDescent="0.25">
      <c r="O457382" s="9"/>
    </row>
    <row r="457403" spans="15:15" x14ac:dyDescent="0.25">
      <c r="O457403" s="9"/>
    </row>
    <row r="457424" spans="15:15" x14ac:dyDescent="0.25">
      <c r="O457424" s="9"/>
    </row>
    <row r="457445" spans="15:15" x14ac:dyDescent="0.25">
      <c r="O457445" s="9"/>
    </row>
    <row r="457466" spans="15:15" x14ac:dyDescent="0.25">
      <c r="O457466" s="9"/>
    </row>
    <row r="457487" spans="15:15" x14ac:dyDescent="0.25">
      <c r="O457487" s="9"/>
    </row>
    <row r="457508" spans="15:15" x14ac:dyDescent="0.25">
      <c r="O457508" s="9"/>
    </row>
    <row r="457529" spans="15:15" x14ac:dyDescent="0.25">
      <c r="O457529" s="9"/>
    </row>
    <row r="457550" spans="15:15" x14ac:dyDescent="0.25">
      <c r="O457550" s="9"/>
    </row>
    <row r="457571" spans="15:15" x14ac:dyDescent="0.25">
      <c r="O457571" s="9"/>
    </row>
    <row r="457592" spans="15:15" x14ac:dyDescent="0.25">
      <c r="O457592" s="9"/>
    </row>
    <row r="457613" spans="15:15" x14ac:dyDescent="0.25">
      <c r="O457613" s="9"/>
    </row>
    <row r="457634" spans="15:15" x14ac:dyDescent="0.25">
      <c r="O457634" s="9"/>
    </row>
    <row r="457655" spans="15:15" x14ac:dyDescent="0.25">
      <c r="O457655" s="9"/>
    </row>
    <row r="457676" spans="15:15" x14ac:dyDescent="0.25">
      <c r="O457676" s="9"/>
    </row>
    <row r="457697" spans="15:15" x14ac:dyDescent="0.25">
      <c r="O457697" s="9"/>
    </row>
    <row r="457718" spans="15:15" x14ac:dyDescent="0.25">
      <c r="O457718" s="9"/>
    </row>
    <row r="457739" spans="15:15" x14ac:dyDescent="0.25">
      <c r="O457739" s="9"/>
    </row>
    <row r="457760" spans="15:15" x14ac:dyDescent="0.25">
      <c r="O457760" s="9"/>
    </row>
    <row r="457781" spans="15:15" x14ac:dyDescent="0.25">
      <c r="O457781" s="9"/>
    </row>
    <row r="457802" spans="15:15" x14ac:dyDescent="0.25">
      <c r="O457802" s="9"/>
    </row>
    <row r="457823" spans="15:15" x14ac:dyDescent="0.25">
      <c r="O457823" s="9"/>
    </row>
    <row r="457844" spans="15:15" x14ac:dyDescent="0.25">
      <c r="O457844" s="9"/>
    </row>
    <row r="457865" spans="15:15" x14ac:dyDescent="0.25">
      <c r="O457865" s="9"/>
    </row>
    <row r="457886" spans="15:15" x14ac:dyDescent="0.25">
      <c r="O457886" s="9"/>
    </row>
    <row r="457907" spans="15:15" x14ac:dyDescent="0.25">
      <c r="O457907" s="9"/>
    </row>
    <row r="457928" spans="15:15" x14ac:dyDescent="0.25">
      <c r="O457928" s="9"/>
    </row>
    <row r="457949" spans="15:15" x14ac:dyDescent="0.25">
      <c r="O457949" s="9"/>
    </row>
    <row r="457970" spans="15:15" x14ac:dyDescent="0.25">
      <c r="O457970" s="9"/>
    </row>
    <row r="457991" spans="15:15" x14ac:dyDescent="0.25">
      <c r="O457991" s="9"/>
    </row>
    <row r="458012" spans="15:15" x14ac:dyDescent="0.25">
      <c r="O458012" s="9"/>
    </row>
    <row r="458033" spans="15:15" x14ac:dyDescent="0.25">
      <c r="O458033" s="9"/>
    </row>
    <row r="458054" spans="15:15" x14ac:dyDescent="0.25">
      <c r="O458054" s="9"/>
    </row>
    <row r="458075" spans="15:15" x14ac:dyDescent="0.25">
      <c r="O458075" s="9"/>
    </row>
    <row r="458096" spans="15:15" x14ac:dyDescent="0.25">
      <c r="O458096" s="9"/>
    </row>
    <row r="458117" spans="15:15" x14ac:dyDescent="0.25">
      <c r="O458117" s="9"/>
    </row>
    <row r="458138" spans="15:15" x14ac:dyDescent="0.25">
      <c r="O458138" s="9"/>
    </row>
    <row r="458159" spans="15:15" x14ac:dyDescent="0.25">
      <c r="O458159" s="9"/>
    </row>
    <row r="458180" spans="15:15" x14ac:dyDescent="0.25">
      <c r="O458180" s="9"/>
    </row>
    <row r="458201" spans="15:15" x14ac:dyDescent="0.25">
      <c r="O458201" s="9"/>
    </row>
    <row r="458222" spans="15:15" x14ac:dyDescent="0.25">
      <c r="O458222" s="9"/>
    </row>
    <row r="458243" spans="15:15" x14ac:dyDescent="0.25">
      <c r="O458243" s="9"/>
    </row>
    <row r="458264" spans="15:15" x14ac:dyDescent="0.25">
      <c r="O458264" s="9"/>
    </row>
    <row r="458285" spans="15:15" x14ac:dyDescent="0.25">
      <c r="O458285" s="9"/>
    </row>
    <row r="458306" spans="15:15" x14ac:dyDescent="0.25">
      <c r="O458306" s="9"/>
    </row>
    <row r="458327" spans="15:15" x14ac:dyDescent="0.25">
      <c r="O458327" s="9"/>
    </row>
    <row r="458348" spans="15:15" x14ac:dyDescent="0.25">
      <c r="O458348" s="9"/>
    </row>
    <row r="458369" spans="15:15" x14ac:dyDescent="0.25">
      <c r="O458369" s="9"/>
    </row>
    <row r="458390" spans="15:15" x14ac:dyDescent="0.25">
      <c r="O458390" s="9"/>
    </row>
    <row r="458411" spans="15:15" x14ac:dyDescent="0.25">
      <c r="O458411" s="9"/>
    </row>
    <row r="458432" spans="15:15" x14ac:dyDescent="0.25">
      <c r="O458432" s="9"/>
    </row>
    <row r="458453" spans="15:15" x14ac:dyDescent="0.25">
      <c r="O458453" s="9"/>
    </row>
    <row r="458474" spans="15:15" x14ac:dyDescent="0.25">
      <c r="O458474" s="9"/>
    </row>
    <row r="458495" spans="15:15" x14ac:dyDescent="0.25">
      <c r="O458495" s="9"/>
    </row>
    <row r="458516" spans="15:15" x14ac:dyDescent="0.25">
      <c r="O458516" s="9"/>
    </row>
    <row r="458537" spans="15:15" x14ac:dyDescent="0.25">
      <c r="O458537" s="9"/>
    </row>
    <row r="458558" spans="15:15" x14ac:dyDescent="0.25">
      <c r="O458558" s="9"/>
    </row>
    <row r="458579" spans="15:15" x14ac:dyDescent="0.25">
      <c r="O458579" s="9"/>
    </row>
    <row r="458600" spans="15:15" x14ac:dyDescent="0.25">
      <c r="O458600" s="9"/>
    </row>
    <row r="458621" spans="15:15" x14ac:dyDescent="0.25">
      <c r="O458621" s="9"/>
    </row>
    <row r="458642" spans="15:15" x14ac:dyDescent="0.25">
      <c r="O458642" s="9"/>
    </row>
    <row r="458663" spans="15:15" x14ac:dyDescent="0.25">
      <c r="O458663" s="9"/>
    </row>
    <row r="458684" spans="15:15" x14ac:dyDescent="0.25">
      <c r="O458684" s="9"/>
    </row>
    <row r="458705" spans="15:15" x14ac:dyDescent="0.25">
      <c r="O458705" s="9"/>
    </row>
    <row r="458726" spans="15:15" x14ac:dyDescent="0.25">
      <c r="O458726" s="9"/>
    </row>
    <row r="458747" spans="15:15" x14ac:dyDescent="0.25">
      <c r="O458747" s="9"/>
    </row>
    <row r="458768" spans="15:15" x14ac:dyDescent="0.25">
      <c r="O458768" s="9"/>
    </row>
    <row r="458789" spans="15:15" x14ac:dyDescent="0.25">
      <c r="O458789" s="9"/>
    </row>
    <row r="458810" spans="15:15" x14ac:dyDescent="0.25">
      <c r="O458810" s="9"/>
    </row>
    <row r="458831" spans="15:15" x14ac:dyDescent="0.25">
      <c r="O458831" s="9"/>
    </row>
    <row r="458852" spans="15:15" x14ac:dyDescent="0.25">
      <c r="O458852" s="9"/>
    </row>
    <row r="458873" spans="15:15" x14ac:dyDescent="0.25">
      <c r="O458873" s="9"/>
    </row>
    <row r="458894" spans="15:15" x14ac:dyDescent="0.25">
      <c r="O458894" s="9"/>
    </row>
    <row r="458915" spans="15:15" x14ac:dyDescent="0.25">
      <c r="O458915" s="9"/>
    </row>
    <row r="458936" spans="15:15" x14ac:dyDescent="0.25">
      <c r="O458936" s="9"/>
    </row>
    <row r="458957" spans="15:15" x14ac:dyDescent="0.25">
      <c r="O458957" s="9"/>
    </row>
    <row r="458978" spans="15:15" x14ac:dyDescent="0.25">
      <c r="O458978" s="9"/>
    </row>
    <row r="458999" spans="15:15" x14ac:dyDescent="0.25">
      <c r="O458999" s="9"/>
    </row>
    <row r="459020" spans="15:15" x14ac:dyDescent="0.25">
      <c r="O459020" s="9"/>
    </row>
    <row r="459041" spans="15:15" x14ac:dyDescent="0.25">
      <c r="O459041" s="9"/>
    </row>
    <row r="459062" spans="15:15" x14ac:dyDescent="0.25">
      <c r="O459062" s="9"/>
    </row>
    <row r="459083" spans="15:15" x14ac:dyDescent="0.25">
      <c r="O459083" s="9"/>
    </row>
    <row r="459104" spans="15:15" x14ac:dyDescent="0.25">
      <c r="O459104" s="9"/>
    </row>
    <row r="459125" spans="15:15" x14ac:dyDescent="0.25">
      <c r="O459125" s="9"/>
    </row>
    <row r="459146" spans="15:15" x14ac:dyDescent="0.25">
      <c r="O459146" s="9"/>
    </row>
    <row r="459167" spans="15:15" x14ac:dyDescent="0.25">
      <c r="O459167" s="9"/>
    </row>
    <row r="459188" spans="15:15" x14ac:dyDescent="0.25">
      <c r="O459188" s="9"/>
    </row>
    <row r="459209" spans="15:15" x14ac:dyDescent="0.25">
      <c r="O459209" s="9"/>
    </row>
    <row r="459230" spans="15:15" x14ac:dyDescent="0.25">
      <c r="O459230" s="9"/>
    </row>
    <row r="459251" spans="15:15" x14ac:dyDescent="0.25">
      <c r="O459251" s="9"/>
    </row>
    <row r="459272" spans="15:15" x14ac:dyDescent="0.25">
      <c r="O459272" s="9"/>
    </row>
    <row r="459293" spans="15:15" x14ac:dyDescent="0.25">
      <c r="O459293" s="9"/>
    </row>
    <row r="459314" spans="15:15" x14ac:dyDescent="0.25">
      <c r="O459314" s="9"/>
    </row>
    <row r="459335" spans="15:15" x14ac:dyDescent="0.25">
      <c r="O459335" s="9"/>
    </row>
    <row r="459356" spans="15:15" x14ac:dyDescent="0.25">
      <c r="O459356" s="9"/>
    </row>
    <row r="459377" spans="15:15" x14ac:dyDescent="0.25">
      <c r="O459377" s="9"/>
    </row>
    <row r="459398" spans="15:15" x14ac:dyDescent="0.25">
      <c r="O459398" s="9"/>
    </row>
    <row r="459419" spans="15:15" x14ac:dyDescent="0.25">
      <c r="O459419" s="9"/>
    </row>
    <row r="459440" spans="15:15" x14ac:dyDescent="0.25">
      <c r="O459440" s="9"/>
    </row>
    <row r="459461" spans="15:15" x14ac:dyDescent="0.25">
      <c r="O459461" s="9"/>
    </row>
    <row r="459482" spans="15:15" x14ac:dyDescent="0.25">
      <c r="O459482" s="9"/>
    </row>
    <row r="459503" spans="15:15" x14ac:dyDescent="0.25">
      <c r="O459503" s="9"/>
    </row>
    <row r="459524" spans="15:15" x14ac:dyDescent="0.25">
      <c r="O459524" s="9"/>
    </row>
    <row r="459545" spans="15:15" x14ac:dyDescent="0.25">
      <c r="O459545" s="9"/>
    </row>
    <row r="459566" spans="15:15" x14ac:dyDescent="0.25">
      <c r="O459566" s="9"/>
    </row>
    <row r="459587" spans="15:15" x14ac:dyDescent="0.25">
      <c r="O459587" s="9"/>
    </row>
    <row r="459608" spans="15:15" x14ac:dyDescent="0.25">
      <c r="O459608" s="9"/>
    </row>
    <row r="459629" spans="15:15" x14ac:dyDescent="0.25">
      <c r="O459629" s="9"/>
    </row>
    <row r="459650" spans="15:15" x14ac:dyDescent="0.25">
      <c r="O459650" s="9"/>
    </row>
    <row r="459671" spans="15:15" x14ac:dyDescent="0.25">
      <c r="O459671" s="9"/>
    </row>
    <row r="459692" spans="15:15" x14ac:dyDescent="0.25">
      <c r="O459692" s="9"/>
    </row>
    <row r="459713" spans="15:15" x14ac:dyDescent="0.25">
      <c r="O459713" s="9"/>
    </row>
    <row r="459734" spans="15:15" x14ac:dyDescent="0.25">
      <c r="O459734" s="9"/>
    </row>
    <row r="459755" spans="15:15" x14ac:dyDescent="0.25">
      <c r="O459755" s="9"/>
    </row>
    <row r="459776" spans="15:15" x14ac:dyDescent="0.25">
      <c r="O459776" s="9"/>
    </row>
    <row r="459797" spans="15:15" x14ac:dyDescent="0.25">
      <c r="O459797" s="9"/>
    </row>
    <row r="459818" spans="15:15" x14ac:dyDescent="0.25">
      <c r="O459818" s="9"/>
    </row>
    <row r="459839" spans="15:15" x14ac:dyDescent="0.25">
      <c r="O459839" s="9"/>
    </row>
    <row r="459860" spans="15:15" x14ac:dyDescent="0.25">
      <c r="O459860" s="9"/>
    </row>
    <row r="459881" spans="15:15" x14ac:dyDescent="0.25">
      <c r="O459881" s="9"/>
    </row>
    <row r="459902" spans="15:15" x14ac:dyDescent="0.25">
      <c r="O459902" s="9"/>
    </row>
    <row r="459923" spans="15:15" x14ac:dyDescent="0.25">
      <c r="O459923" s="9"/>
    </row>
    <row r="459944" spans="15:15" x14ac:dyDescent="0.25">
      <c r="O459944" s="9"/>
    </row>
    <row r="459965" spans="15:15" x14ac:dyDescent="0.25">
      <c r="O459965" s="9"/>
    </row>
    <row r="459986" spans="15:15" x14ac:dyDescent="0.25">
      <c r="O459986" s="9"/>
    </row>
    <row r="460007" spans="15:15" x14ac:dyDescent="0.25">
      <c r="O460007" s="9"/>
    </row>
    <row r="460028" spans="15:15" x14ac:dyDescent="0.25">
      <c r="O460028" s="9"/>
    </row>
    <row r="460049" spans="15:15" x14ac:dyDescent="0.25">
      <c r="O460049" s="9"/>
    </row>
    <row r="460070" spans="15:15" x14ac:dyDescent="0.25">
      <c r="O460070" s="9"/>
    </row>
    <row r="460091" spans="15:15" x14ac:dyDescent="0.25">
      <c r="O460091" s="9"/>
    </row>
    <row r="460112" spans="15:15" x14ac:dyDescent="0.25">
      <c r="O460112" s="9"/>
    </row>
    <row r="460133" spans="15:15" x14ac:dyDescent="0.25">
      <c r="O460133" s="9"/>
    </row>
    <row r="460154" spans="15:15" x14ac:dyDescent="0.25">
      <c r="O460154" s="9"/>
    </row>
    <row r="460175" spans="15:15" x14ac:dyDescent="0.25">
      <c r="O460175" s="9"/>
    </row>
    <row r="460196" spans="15:15" x14ac:dyDescent="0.25">
      <c r="O460196" s="9"/>
    </row>
    <row r="460217" spans="15:15" x14ac:dyDescent="0.25">
      <c r="O460217" s="9"/>
    </row>
    <row r="460238" spans="15:15" x14ac:dyDescent="0.25">
      <c r="O460238" s="9"/>
    </row>
    <row r="460259" spans="15:15" x14ac:dyDescent="0.25">
      <c r="O460259" s="9"/>
    </row>
    <row r="460280" spans="15:15" x14ac:dyDescent="0.25">
      <c r="O460280" s="9"/>
    </row>
    <row r="460301" spans="15:15" x14ac:dyDescent="0.25">
      <c r="O460301" s="9"/>
    </row>
    <row r="460322" spans="15:15" x14ac:dyDescent="0.25">
      <c r="O460322" s="9"/>
    </row>
    <row r="460343" spans="15:15" x14ac:dyDescent="0.25">
      <c r="O460343" s="9"/>
    </row>
    <row r="460364" spans="15:15" x14ac:dyDescent="0.25">
      <c r="O460364" s="9"/>
    </row>
    <row r="460385" spans="15:15" x14ac:dyDescent="0.25">
      <c r="O460385" s="9"/>
    </row>
    <row r="460406" spans="15:15" x14ac:dyDescent="0.25">
      <c r="O460406" s="9"/>
    </row>
    <row r="460427" spans="15:15" x14ac:dyDescent="0.25">
      <c r="O460427" s="9"/>
    </row>
    <row r="460448" spans="15:15" x14ac:dyDescent="0.25">
      <c r="O460448" s="9"/>
    </row>
    <row r="460469" spans="15:15" x14ac:dyDescent="0.25">
      <c r="O460469" s="9"/>
    </row>
    <row r="460490" spans="15:15" x14ac:dyDescent="0.25">
      <c r="O460490" s="9"/>
    </row>
    <row r="460511" spans="15:15" x14ac:dyDescent="0.25">
      <c r="O460511" s="9"/>
    </row>
    <row r="460532" spans="15:15" x14ac:dyDescent="0.25">
      <c r="O460532" s="9"/>
    </row>
    <row r="460553" spans="15:15" x14ac:dyDescent="0.25">
      <c r="O460553" s="9"/>
    </row>
    <row r="460574" spans="15:15" x14ac:dyDescent="0.25">
      <c r="O460574" s="9"/>
    </row>
    <row r="460595" spans="15:15" x14ac:dyDescent="0.25">
      <c r="O460595" s="9"/>
    </row>
    <row r="460616" spans="15:15" x14ac:dyDescent="0.25">
      <c r="O460616" s="9"/>
    </row>
    <row r="460637" spans="15:15" x14ac:dyDescent="0.25">
      <c r="O460637" s="9"/>
    </row>
    <row r="460658" spans="15:15" x14ac:dyDescent="0.25">
      <c r="O460658" s="9"/>
    </row>
    <row r="460679" spans="15:15" x14ac:dyDescent="0.25">
      <c r="O460679" s="9"/>
    </row>
    <row r="460700" spans="15:15" x14ac:dyDescent="0.25">
      <c r="O460700" s="9"/>
    </row>
    <row r="460721" spans="15:15" x14ac:dyDescent="0.25">
      <c r="O460721" s="9"/>
    </row>
    <row r="460742" spans="15:15" x14ac:dyDescent="0.25">
      <c r="O460742" s="9"/>
    </row>
    <row r="460763" spans="15:15" x14ac:dyDescent="0.25">
      <c r="O460763" s="9"/>
    </row>
    <row r="460784" spans="15:15" x14ac:dyDescent="0.25">
      <c r="O460784" s="9"/>
    </row>
    <row r="460805" spans="15:15" x14ac:dyDescent="0.25">
      <c r="O460805" s="9"/>
    </row>
    <row r="460826" spans="15:15" x14ac:dyDescent="0.25">
      <c r="O460826" s="9"/>
    </row>
    <row r="460847" spans="15:15" x14ac:dyDescent="0.25">
      <c r="O460847" s="9"/>
    </row>
    <row r="460868" spans="15:15" x14ac:dyDescent="0.25">
      <c r="O460868" s="9"/>
    </row>
    <row r="460889" spans="15:15" x14ac:dyDescent="0.25">
      <c r="O460889" s="9"/>
    </row>
    <row r="460910" spans="15:15" x14ac:dyDescent="0.25">
      <c r="O460910" s="9"/>
    </row>
    <row r="460931" spans="15:15" x14ac:dyDescent="0.25">
      <c r="O460931" s="9"/>
    </row>
    <row r="460952" spans="15:15" x14ac:dyDescent="0.25">
      <c r="O460952" s="9"/>
    </row>
    <row r="460973" spans="15:15" x14ac:dyDescent="0.25">
      <c r="O460973" s="9"/>
    </row>
    <row r="460994" spans="15:15" x14ac:dyDescent="0.25">
      <c r="O460994" s="9"/>
    </row>
    <row r="461015" spans="15:15" x14ac:dyDescent="0.25">
      <c r="O461015" s="9"/>
    </row>
    <row r="461036" spans="15:15" x14ac:dyDescent="0.25">
      <c r="O461036" s="9"/>
    </row>
    <row r="461057" spans="15:15" x14ac:dyDescent="0.25">
      <c r="O461057" s="9"/>
    </row>
    <row r="461078" spans="15:15" x14ac:dyDescent="0.25">
      <c r="O461078" s="9"/>
    </row>
    <row r="461099" spans="15:15" x14ac:dyDescent="0.25">
      <c r="O461099" s="9"/>
    </row>
    <row r="461120" spans="15:15" x14ac:dyDescent="0.25">
      <c r="O461120" s="9"/>
    </row>
    <row r="461141" spans="15:15" x14ac:dyDescent="0.25">
      <c r="O461141" s="9"/>
    </row>
    <row r="461162" spans="15:15" x14ac:dyDescent="0.25">
      <c r="O461162" s="9"/>
    </row>
    <row r="461183" spans="15:15" x14ac:dyDescent="0.25">
      <c r="O461183" s="9"/>
    </row>
    <row r="461204" spans="15:15" x14ac:dyDescent="0.25">
      <c r="O461204" s="9"/>
    </row>
    <row r="461225" spans="15:15" x14ac:dyDescent="0.25">
      <c r="O461225" s="9"/>
    </row>
    <row r="461246" spans="15:15" x14ac:dyDescent="0.25">
      <c r="O461246" s="9"/>
    </row>
    <row r="461267" spans="15:15" x14ac:dyDescent="0.25">
      <c r="O461267" s="9"/>
    </row>
    <row r="461288" spans="15:15" x14ac:dyDescent="0.25">
      <c r="O461288" s="9"/>
    </row>
    <row r="461309" spans="15:15" x14ac:dyDescent="0.25">
      <c r="O461309" s="9"/>
    </row>
    <row r="461330" spans="15:15" x14ac:dyDescent="0.25">
      <c r="O461330" s="9"/>
    </row>
    <row r="461351" spans="15:15" x14ac:dyDescent="0.25">
      <c r="O461351" s="9"/>
    </row>
    <row r="461372" spans="15:15" x14ac:dyDescent="0.25">
      <c r="O461372" s="9"/>
    </row>
    <row r="461393" spans="15:15" x14ac:dyDescent="0.25">
      <c r="O461393" s="9"/>
    </row>
    <row r="461414" spans="15:15" x14ac:dyDescent="0.25">
      <c r="O461414" s="9"/>
    </row>
    <row r="461435" spans="15:15" x14ac:dyDescent="0.25">
      <c r="O461435" s="9"/>
    </row>
    <row r="461456" spans="15:15" x14ac:dyDescent="0.25">
      <c r="O461456" s="9"/>
    </row>
    <row r="461477" spans="15:15" x14ac:dyDescent="0.25">
      <c r="O461477" s="9"/>
    </row>
    <row r="461498" spans="15:15" x14ac:dyDescent="0.25">
      <c r="O461498" s="9"/>
    </row>
    <row r="461519" spans="15:15" x14ac:dyDescent="0.25">
      <c r="O461519" s="9"/>
    </row>
    <row r="461540" spans="15:15" x14ac:dyDescent="0.25">
      <c r="O461540" s="9"/>
    </row>
    <row r="461561" spans="15:15" x14ac:dyDescent="0.25">
      <c r="O461561" s="9"/>
    </row>
    <row r="461582" spans="15:15" x14ac:dyDescent="0.25">
      <c r="O461582" s="9"/>
    </row>
    <row r="461603" spans="15:15" x14ac:dyDescent="0.25">
      <c r="O461603" s="9"/>
    </row>
    <row r="461624" spans="15:15" x14ac:dyDescent="0.25">
      <c r="O461624" s="9"/>
    </row>
    <row r="461645" spans="15:15" x14ac:dyDescent="0.25">
      <c r="O461645" s="9"/>
    </row>
    <row r="461666" spans="15:15" x14ac:dyDescent="0.25">
      <c r="O461666" s="9"/>
    </row>
    <row r="461687" spans="15:15" x14ac:dyDescent="0.25">
      <c r="O461687" s="9"/>
    </row>
    <row r="461708" spans="15:15" x14ac:dyDescent="0.25">
      <c r="O461708" s="9"/>
    </row>
    <row r="461729" spans="15:15" x14ac:dyDescent="0.25">
      <c r="O461729" s="9"/>
    </row>
    <row r="461750" spans="15:15" x14ac:dyDescent="0.25">
      <c r="O461750" s="9"/>
    </row>
    <row r="461771" spans="15:15" x14ac:dyDescent="0.25">
      <c r="O461771" s="9"/>
    </row>
    <row r="461792" spans="15:15" x14ac:dyDescent="0.25">
      <c r="O461792" s="9"/>
    </row>
    <row r="461813" spans="15:15" x14ac:dyDescent="0.25">
      <c r="O461813" s="9"/>
    </row>
    <row r="461834" spans="15:15" x14ac:dyDescent="0.25">
      <c r="O461834" s="9"/>
    </row>
    <row r="461855" spans="15:15" x14ac:dyDescent="0.25">
      <c r="O461855" s="9"/>
    </row>
    <row r="461876" spans="15:15" x14ac:dyDescent="0.25">
      <c r="O461876" s="9"/>
    </row>
    <row r="461897" spans="15:15" x14ac:dyDescent="0.25">
      <c r="O461897" s="9"/>
    </row>
    <row r="461918" spans="15:15" x14ac:dyDescent="0.25">
      <c r="O461918" s="9"/>
    </row>
    <row r="461939" spans="15:15" x14ac:dyDescent="0.25">
      <c r="O461939" s="9"/>
    </row>
    <row r="461960" spans="15:15" x14ac:dyDescent="0.25">
      <c r="O461960" s="9"/>
    </row>
    <row r="461981" spans="15:15" x14ac:dyDescent="0.25">
      <c r="O461981" s="9"/>
    </row>
    <row r="462002" spans="15:15" x14ac:dyDescent="0.25">
      <c r="O462002" s="9"/>
    </row>
    <row r="462023" spans="15:15" x14ac:dyDescent="0.25">
      <c r="O462023" s="9"/>
    </row>
    <row r="462044" spans="15:15" x14ac:dyDescent="0.25">
      <c r="O462044" s="9"/>
    </row>
    <row r="462065" spans="15:15" x14ac:dyDescent="0.25">
      <c r="O462065" s="9"/>
    </row>
    <row r="462086" spans="15:15" x14ac:dyDescent="0.25">
      <c r="O462086" s="9"/>
    </row>
    <row r="462107" spans="15:15" x14ac:dyDescent="0.25">
      <c r="O462107" s="9"/>
    </row>
    <row r="462128" spans="15:15" x14ac:dyDescent="0.25">
      <c r="O462128" s="9"/>
    </row>
    <row r="462149" spans="15:15" x14ac:dyDescent="0.25">
      <c r="O462149" s="9"/>
    </row>
    <row r="462170" spans="15:15" x14ac:dyDescent="0.25">
      <c r="O462170" s="9"/>
    </row>
    <row r="462191" spans="15:15" x14ac:dyDescent="0.25">
      <c r="O462191" s="9"/>
    </row>
    <row r="462212" spans="15:15" x14ac:dyDescent="0.25">
      <c r="O462212" s="9"/>
    </row>
    <row r="462233" spans="15:15" x14ac:dyDescent="0.25">
      <c r="O462233" s="9"/>
    </row>
    <row r="462254" spans="15:15" x14ac:dyDescent="0.25">
      <c r="O462254" s="9"/>
    </row>
    <row r="462275" spans="15:15" x14ac:dyDescent="0.25">
      <c r="O462275" s="9"/>
    </row>
    <row r="462296" spans="15:15" x14ac:dyDescent="0.25">
      <c r="O462296" s="9"/>
    </row>
    <row r="462317" spans="15:15" x14ac:dyDescent="0.25">
      <c r="O462317" s="9"/>
    </row>
    <row r="462338" spans="15:15" x14ac:dyDescent="0.25">
      <c r="O462338" s="9"/>
    </row>
    <row r="462359" spans="15:15" x14ac:dyDescent="0.25">
      <c r="O462359" s="9"/>
    </row>
    <row r="462380" spans="15:15" x14ac:dyDescent="0.25">
      <c r="O462380" s="9"/>
    </row>
    <row r="462401" spans="15:15" x14ac:dyDescent="0.25">
      <c r="O462401" s="9"/>
    </row>
    <row r="462422" spans="15:15" x14ac:dyDescent="0.25">
      <c r="O462422" s="9"/>
    </row>
    <row r="462443" spans="15:15" x14ac:dyDescent="0.25">
      <c r="O462443" s="9"/>
    </row>
    <row r="462464" spans="15:15" x14ac:dyDescent="0.25">
      <c r="O462464" s="9"/>
    </row>
    <row r="462485" spans="15:15" x14ac:dyDescent="0.25">
      <c r="O462485" s="9"/>
    </row>
    <row r="462506" spans="15:15" x14ac:dyDescent="0.25">
      <c r="O462506" s="9"/>
    </row>
    <row r="462527" spans="15:15" x14ac:dyDescent="0.25">
      <c r="O462527" s="9"/>
    </row>
    <row r="462548" spans="15:15" x14ac:dyDescent="0.25">
      <c r="O462548" s="9"/>
    </row>
    <row r="462569" spans="15:15" x14ac:dyDescent="0.25">
      <c r="O462569" s="9"/>
    </row>
    <row r="462590" spans="15:15" x14ac:dyDescent="0.25">
      <c r="O462590" s="9"/>
    </row>
    <row r="462611" spans="15:15" x14ac:dyDescent="0.25">
      <c r="O462611" s="9"/>
    </row>
    <row r="462632" spans="15:15" x14ac:dyDescent="0.25">
      <c r="O462632" s="9"/>
    </row>
    <row r="462653" spans="15:15" x14ac:dyDescent="0.25">
      <c r="O462653" s="9"/>
    </row>
    <row r="462674" spans="15:15" x14ac:dyDescent="0.25">
      <c r="O462674" s="9"/>
    </row>
    <row r="462695" spans="15:15" x14ac:dyDescent="0.25">
      <c r="O462695" s="9"/>
    </row>
    <row r="462716" spans="15:15" x14ac:dyDescent="0.25">
      <c r="O462716" s="9"/>
    </row>
    <row r="462737" spans="15:15" x14ac:dyDescent="0.25">
      <c r="O462737" s="9"/>
    </row>
    <row r="462758" spans="15:15" x14ac:dyDescent="0.25">
      <c r="O462758" s="9"/>
    </row>
    <row r="462779" spans="15:15" x14ac:dyDescent="0.25">
      <c r="O462779" s="9"/>
    </row>
    <row r="462800" spans="15:15" x14ac:dyDescent="0.25">
      <c r="O462800" s="9"/>
    </row>
    <row r="462821" spans="15:15" x14ac:dyDescent="0.25">
      <c r="O462821" s="9"/>
    </row>
    <row r="462842" spans="15:15" x14ac:dyDescent="0.25">
      <c r="O462842" s="9"/>
    </row>
    <row r="462863" spans="15:15" x14ac:dyDescent="0.25">
      <c r="O462863" s="9"/>
    </row>
    <row r="462884" spans="15:15" x14ac:dyDescent="0.25">
      <c r="O462884" s="9"/>
    </row>
    <row r="462905" spans="15:15" x14ac:dyDescent="0.25">
      <c r="O462905" s="9"/>
    </row>
    <row r="462926" spans="15:15" x14ac:dyDescent="0.25">
      <c r="O462926" s="9"/>
    </row>
    <row r="462947" spans="15:15" x14ac:dyDescent="0.25">
      <c r="O462947" s="9"/>
    </row>
    <row r="462968" spans="15:15" x14ac:dyDescent="0.25">
      <c r="O462968" s="9"/>
    </row>
    <row r="462989" spans="15:15" x14ac:dyDescent="0.25">
      <c r="O462989" s="9"/>
    </row>
    <row r="463010" spans="15:15" x14ac:dyDescent="0.25">
      <c r="O463010" s="9"/>
    </row>
    <row r="463031" spans="15:15" x14ac:dyDescent="0.25">
      <c r="O463031" s="9"/>
    </row>
    <row r="463052" spans="15:15" x14ac:dyDescent="0.25">
      <c r="O463052" s="9"/>
    </row>
    <row r="463073" spans="15:15" x14ac:dyDescent="0.25">
      <c r="O463073" s="9"/>
    </row>
    <row r="463094" spans="15:15" x14ac:dyDescent="0.25">
      <c r="O463094" s="9"/>
    </row>
    <row r="463115" spans="15:15" x14ac:dyDescent="0.25">
      <c r="O463115" s="9"/>
    </row>
    <row r="463136" spans="15:15" x14ac:dyDescent="0.25">
      <c r="O463136" s="9"/>
    </row>
    <row r="463157" spans="15:15" x14ac:dyDescent="0.25">
      <c r="O463157" s="9"/>
    </row>
    <row r="463178" spans="15:15" x14ac:dyDescent="0.25">
      <c r="O463178" s="9"/>
    </row>
    <row r="463199" spans="15:15" x14ac:dyDescent="0.25">
      <c r="O463199" s="9"/>
    </row>
    <row r="463220" spans="15:15" x14ac:dyDescent="0.25">
      <c r="O463220" s="9"/>
    </row>
    <row r="463241" spans="15:15" x14ac:dyDescent="0.25">
      <c r="O463241" s="9"/>
    </row>
    <row r="463262" spans="15:15" x14ac:dyDescent="0.25">
      <c r="O463262" s="9"/>
    </row>
    <row r="463283" spans="15:15" x14ac:dyDescent="0.25">
      <c r="O463283" s="9"/>
    </row>
    <row r="463304" spans="15:15" x14ac:dyDescent="0.25">
      <c r="O463304" s="9"/>
    </row>
    <row r="463325" spans="15:15" x14ac:dyDescent="0.25">
      <c r="O463325" s="9"/>
    </row>
    <row r="463346" spans="15:15" x14ac:dyDescent="0.25">
      <c r="O463346" s="9"/>
    </row>
    <row r="463367" spans="15:15" x14ac:dyDescent="0.25">
      <c r="O463367" s="9"/>
    </row>
    <row r="463388" spans="15:15" x14ac:dyDescent="0.25">
      <c r="O463388" s="9"/>
    </row>
    <row r="463409" spans="15:15" x14ac:dyDescent="0.25">
      <c r="O463409" s="9"/>
    </row>
    <row r="463430" spans="15:15" x14ac:dyDescent="0.25">
      <c r="O463430" s="9"/>
    </row>
    <row r="463451" spans="15:15" x14ac:dyDescent="0.25">
      <c r="O463451" s="9"/>
    </row>
    <row r="463472" spans="15:15" x14ac:dyDescent="0.25">
      <c r="O463472" s="9"/>
    </row>
    <row r="463493" spans="15:15" x14ac:dyDescent="0.25">
      <c r="O463493" s="9"/>
    </row>
    <row r="463514" spans="15:15" x14ac:dyDescent="0.25">
      <c r="O463514" s="9"/>
    </row>
    <row r="463535" spans="15:15" x14ac:dyDescent="0.25">
      <c r="O463535" s="9"/>
    </row>
    <row r="463556" spans="15:15" x14ac:dyDescent="0.25">
      <c r="O463556" s="9"/>
    </row>
    <row r="463577" spans="15:15" x14ac:dyDescent="0.25">
      <c r="O463577" s="9"/>
    </row>
    <row r="463598" spans="15:15" x14ac:dyDescent="0.25">
      <c r="O463598" s="9"/>
    </row>
    <row r="463619" spans="15:15" x14ac:dyDescent="0.25">
      <c r="O463619" s="9"/>
    </row>
    <row r="463640" spans="15:15" x14ac:dyDescent="0.25">
      <c r="O463640" s="9"/>
    </row>
    <row r="463661" spans="15:15" x14ac:dyDescent="0.25">
      <c r="O463661" s="9"/>
    </row>
    <row r="463682" spans="15:15" x14ac:dyDescent="0.25">
      <c r="O463682" s="9"/>
    </row>
    <row r="463703" spans="15:15" x14ac:dyDescent="0.25">
      <c r="O463703" s="9"/>
    </row>
    <row r="463724" spans="15:15" x14ac:dyDescent="0.25">
      <c r="O463724" s="9"/>
    </row>
    <row r="463745" spans="15:15" x14ac:dyDescent="0.25">
      <c r="O463745" s="9"/>
    </row>
    <row r="463766" spans="15:15" x14ac:dyDescent="0.25">
      <c r="O463766" s="9"/>
    </row>
    <row r="463787" spans="15:15" x14ac:dyDescent="0.25">
      <c r="O463787" s="9"/>
    </row>
    <row r="463808" spans="15:15" x14ac:dyDescent="0.25">
      <c r="O463808" s="9"/>
    </row>
    <row r="463829" spans="15:15" x14ac:dyDescent="0.25">
      <c r="O463829" s="9"/>
    </row>
    <row r="463850" spans="15:15" x14ac:dyDescent="0.25">
      <c r="O463850" s="9"/>
    </row>
    <row r="463871" spans="15:15" x14ac:dyDescent="0.25">
      <c r="O463871" s="9"/>
    </row>
    <row r="463892" spans="15:15" x14ac:dyDescent="0.25">
      <c r="O463892" s="9"/>
    </row>
    <row r="463913" spans="15:15" x14ac:dyDescent="0.25">
      <c r="O463913" s="9"/>
    </row>
    <row r="463934" spans="15:15" x14ac:dyDescent="0.25">
      <c r="O463934" s="9"/>
    </row>
    <row r="463955" spans="15:15" x14ac:dyDescent="0.25">
      <c r="O463955" s="9"/>
    </row>
    <row r="463976" spans="15:15" x14ac:dyDescent="0.25">
      <c r="O463976" s="9"/>
    </row>
    <row r="463997" spans="15:15" x14ac:dyDescent="0.25">
      <c r="O463997" s="9"/>
    </row>
    <row r="464018" spans="15:15" x14ac:dyDescent="0.25">
      <c r="O464018" s="9"/>
    </row>
    <row r="464039" spans="15:15" x14ac:dyDescent="0.25">
      <c r="O464039" s="9"/>
    </row>
    <row r="464060" spans="15:15" x14ac:dyDescent="0.25">
      <c r="O464060" s="9"/>
    </row>
    <row r="464081" spans="15:15" x14ac:dyDescent="0.25">
      <c r="O464081" s="9"/>
    </row>
    <row r="464102" spans="15:15" x14ac:dyDescent="0.25">
      <c r="O464102" s="9"/>
    </row>
    <row r="464123" spans="15:15" x14ac:dyDescent="0.25">
      <c r="O464123" s="9"/>
    </row>
    <row r="464144" spans="15:15" x14ac:dyDescent="0.25">
      <c r="O464144" s="9"/>
    </row>
    <row r="464165" spans="15:15" x14ac:dyDescent="0.25">
      <c r="O464165" s="9"/>
    </row>
    <row r="464186" spans="15:15" x14ac:dyDescent="0.25">
      <c r="O464186" s="9"/>
    </row>
    <row r="464207" spans="15:15" x14ac:dyDescent="0.25">
      <c r="O464207" s="9"/>
    </row>
    <row r="464228" spans="15:15" x14ac:dyDescent="0.25">
      <c r="O464228" s="9"/>
    </row>
    <row r="464249" spans="15:15" x14ac:dyDescent="0.25">
      <c r="O464249" s="9"/>
    </row>
    <row r="464270" spans="15:15" x14ac:dyDescent="0.25">
      <c r="O464270" s="9"/>
    </row>
    <row r="464291" spans="15:15" x14ac:dyDescent="0.25">
      <c r="O464291" s="9"/>
    </row>
    <row r="464312" spans="15:15" x14ac:dyDescent="0.25">
      <c r="O464312" s="9"/>
    </row>
    <row r="464333" spans="15:15" x14ac:dyDescent="0.25">
      <c r="O464333" s="9"/>
    </row>
    <row r="464354" spans="15:15" x14ac:dyDescent="0.25">
      <c r="O464354" s="9"/>
    </row>
    <row r="464375" spans="15:15" x14ac:dyDescent="0.25">
      <c r="O464375" s="9"/>
    </row>
    <row r="464396" spans="15:15" x14ac:dyDescent="0.25">
      <c r="O464396" s="9"/>
    </row>
    <row r="464417" spans="15:15" x14ac:dyDescent="0.25">
      <c r="O464417" s="9"/>
    </row>
    <row r="464438" spans="15:15" x14ac:dyDescent="0.25">
      <c r="O464438" s="9"/>
    </row>
    <row r="464459" spans="15:15" x14ac:dyDescent="0.25">
      <c r="O464459" s="9"/>
    </row>
    <row r="464480" spans="15:15" x14ac:dyDescent="0.25">
      <c r="O464480" s="9"/>
    </row>
    <row r="464501" spans="15:15" x14ac:dyDescent="0.25">
      <c r="O464501" s="9"/>
    </row>
    <row r="464522" spans="15:15" x14ac:dyDescent="0.25">
      <c r="O464522" s="9"/>
    </row>
    <row r="464543" spans="15:15" x14ac:dyDescent="0.25">
      <c r="O464543" s="9"/>
    </row>
    <row r="464564" spans="15:15" x14ac:dyDescent="0.25">
      <c r="O464564" s="9"/>
    </row>
    <row r="464585" spans="15:15" x14ac:dyDescent="0.25">
      <c r="O464585" s="9"/>
    </row>
    <row r="464606" spans="15:15" x14ac:dyDescent="0.25">
      <c r="O464606" s="9"/>
    </row>
    <row r="464627" spans="15:15" x14ac:dyDescent="0.25">
      <c r="O464627" s="9"/>
    </row>
    <row r="464648" spans="15:15" x14ac:dyDescent="0.25">
      <c r="O464648" s="9"/>
    </row>
    <row r="464669" spans="15:15" x14ac:dyDescent="0.25">
      <c r="O464669" s="9"/>
    </row>
    <row r="464690" spans="15:15" x14ac:dyDescent="0.25">
      <c r="O464690" s="9"/>
    </row>
    <row r="464711" spans="15:15" x14ac:dyDescent="0.25">
      <c r="O464711" s="9"/>
    </row>
    <row r="464732" spans="15:15" x14ac:dyDescent="0.25">
      <c r="O464732" s="9"/>
    </row>
    <row r="464753" spans="15:15" x14ac:dyDescent="0.25">
      <c r="O464753" s="9"/>
    </row>
    <row r="464774" spans="15:15" x14ac:dyDescent="0.25">
      <c r="O464774" s="9"/>
    </row>
    <row r="464795" spans="15:15" x14ac:dyDescent="0.25">
      <c r="O464795" s="9"/>
    </row>
    <row r="464816" spans="15:15" x14ac:dyDescent="0.25">
      <c r="O464816" s="9"/>
    </row>
    <row r="464837" spans="15:15" x14ac:dyDescent="0.25">
      <c r="O464837" s="9"/>
    </row>
    <row r="464858" spans="15:15" x14ac:dyDescent="0.25">
      <c r="O464858" s="9"/>
    </row>
    <row r="464879" spans="15:15" x14ac:dyDescent="0.25">
      <c r="O464879" s="9"/>
    </row>
    <row r="464900" spans="15:15" x14ac:dyDescent="0.25">
      <c r="O464900" s="9"/>
    </row>
    <row r="464921" spans="15:15" x14ac:dyDescent="0.25">
      <c r="O464921" s="9"/>
    </row>
    <row r="464942" spans="15:15" x14ac:dyDescent="0.25">
      <c r="O464942" s="9"/>
    </row>
    <row r="464963" spans="15:15" x14ac:dyDescent="0.25">
      <c r="O464963" s="9"/>
    </row>
    <row r="464984" spans="15:15" x14ac:dyDescent="0.25">
      <c r="O464984" s="9"/>
    </row>
    <row r="465005" spans="15:15" x14ac:dyDescent="0.25">
      <c r="O465005" s="9"/>
    </row>
    <row r="465026" spans="15:15" x14ac:dyDescent="0.25">
      <c r="O465026" s="9"/>
    </row>
    <row r="465047" spans="15:15" x14ac:dyDescent="0.25">
      <c r="O465047" s="9"/>
    </row>
    <row r="465068" spans="15:15" x14ac:dyDescent="0.25">
      <c r="O465068" s="9"/>
    </row>
    <row r="465089" spans="15:15" x14ac:dyDescent="0.25">
      <c r="O465089" s="9"/>
    </row>
    <row r="465110" spans="15:15" x14ac:dyDescent="0.25">
      <c r="O465110" s="9"/>
    </row>
    <row r="465131" spans="15:15" x14ac:dyDescent="0.25">
      <c r="O465131" s="9"/>
    </row>
    <row r="465152" spans="15:15" x14ac:dyDescent="0.25">
      <c r="O465152" s="9"/>
    </row>
    <row r="465173" spans="15:15" x14ac:dyDescent="0.25">
      <c r="O465173" s="9"/>
    </row>
    <row r="465194" spans="15:15" x14ac:dyDescent="0.25">
      <c r="O465194" s="9"/>
    </row>
    <row r="465215" spans="15:15" x14ac:dyDescent="0.25">
      <c r="O465215" s="9"/>
    </row>
    <row r="465236" spans="15:15" x14ac:dyDescent="0.25">
      <c r="O465236" s="9"/>
    </row>
    <row r="465257" spans="15:15" x14ac:dyDescent="0.25">
      <c r="O465257" s="9"/>
    </row>
    <row r="465278" spans="15:15" x14ac:dyDescent="0.25">
      <c r="O465278" s="9"/>
    </row>
    <row r="465299" spans="15:15" x14ac:dyDescent="0.25">
      <c r="O465299" s="9"/>
    </row>
    <row r="465320" spans="15:15" x14ac:dyDescent="0.25">
      <c r="O465320" s="9"/>
    </row>
    <row r="465341" spans="15:15" x14ac:dyDescent="0.25">
      <c r="O465341" s="9"/>
    </row>
    <row r="465362" spans="15:15" x14ac:dyDescent="0.25">
      <c r="O465362" s="9"/>
    </row>
    <row r="465383" spans="15:15" x14ac:dyDescent="0.25">
      <c r="O465383" s="9"/>
    </row>
    <row r="465404" spans="15:15" x14ac:dyDescent="0.25">
      <c r="O465404" s="9"/>
    </row>
    <row r="465425" spans="15:15" x14ac:dyDescent="0.25">
      <c r="O465425" s="9"/>
    </row>
    <row r="465446" spans="15:15" x14ac:dyDescent="0.25">
      <c r="O465446" s="9"/>
    </row>
    <row r="465467" spans="15:15" x14ac:dyDescent="0.25">
      <c r="O465467" s="9"/>
    </row>
    <row r="465488" spans="15:15" x14ac:dyDescent="0.25">
      <c r="O465488" s="9"/>
    </row>
    <row r="465509" spans="15:15" x14ac:dyDescent="0.25">
      <c r="O465509" s="9"/>
    </row>
    <row r="465530" spans="15:15" x14ac:dyDescent="0.25">
      <c r="O465530" s="9"/>
    </row>
    <row r="465551" spans="15:15" x14ac:dyDescent="0.25">
      <c r="O465551" s="9"/>
    </row>
    <row r="465572" spans="15:15" x14ac:dyDescent="0.25">
      <c r="O465572" s="9"/>
    </row>
    <row r="465593" spans="15:15" x14ac:dyDescent="0.25">
      <c r="O465593" s="9"/>
    </row>
    <row r="465614" spans="15:15" x14ac:dyDescent="0.25">
      <c r="O465614" s="9"/>
    </row>
    <row r="465635" spans="15:15" x14ac:dyDescent="0.25">
      <c r="O465635" s="9"/>
    </row>
    <row r="465656" spans="15:15" x14ac:dyDescent="0.25">
      <c r="O465656" s="9"/>
    </row>
    <row r="465677" spans="15:15" x14ac:dyDescent="0.25">
      <c r="O465677" s="9"/>
    </row>
    <row r="465698" spans="15:15" x14ac:dyDescent="0.25">
      <c r="O465698" s="9"/>
    </row>
    <row r="465719" spans="15:15" x14ac:dyDescent="0.25">
      <c r="O465719" s="9"/>
    </row>
    <row r="465740" spans="15:15" x14ac:dyDescent="0.25">
      <c r="O465740" s="9"/>
    </row>
    <row r="465761" spans="15:15" x14ac:dyDescent="0.25">
      <c r="O465761" s="9"/>
    </row>
    <row r="465782" spans="15:15" x14ac:dyDescent="0.25">
      <c r="O465782" s="9"/>
    </row>
    <row r="465803" spans="15:15" x14ac:dyDescent="0.25">
      <c r="O465803" s="9"/>
    </row>
    <row r="465824" spans="15:15" x14ac:dyDescent="0.25">
      <c r="O465824" s="9"/>
    </row>
    <row r="465845" spans="15:15" x14ac:dyDescent="0.25">
      <c r="O465845" s="9"/>
    </row>
    <row r="465866" spans="15:15" x14ac:dyDescent="0.25">
      <c r="O465866" s="9"/>
    </row>
    <row r="465887" spans="15:15" x14ac:dyDescent="0.25">
      <c r="O465887" s="9"/>
    </row>
    <row r="465908" spans="15:15" x14ac:dyDescent="0.25">
      <c r="O465908" s="9"/>
    </row>
    <row r="465929" spans="15:15" x14ac:dyDescent="0.25">
      <c r="O465929" s="9"/>
    </row>
    <row r="465950" spans="15:15" x14ac:dyDescent="0.25">
      <c r="O465950" s="9"/>
    </row>
    <row r="465971" spans="15:15" x14ac:dyDescent="0.25">
      <c r="O465971" s="9"/>
    </row>
    <row r="465992" spans="15:15" x14ac:dyDescent="0.25">
      <c r="O465992" s="9"/>
    </row>
    <row r="466013" spans="15:15" x14ac:dyDescent="0.25">
      <c r="O466013" s="9"/>
    </row>
    <row r="466034" spans="15:15" x14ac:dyDescent="0.25">
      <c r="O466034" s="9"/>
    </row>
    <row r="466055" spans="15:15" x14ac:dyDescent="0.25">
      <c r="O466055" s="9"/>
    </row>
    <row r="466076" spans="15:15" x14ac:dyDescent="0.25">
      <c r="O466076" s="9"/>
    </row>
    <row r="466097" spans="15:15" x14ac:dyDescent="0.25">
      <c r="O466097" s="9"/>
    </row>
    <row r="466118" spans="15:15" x14ac:dyDescent="0.25">
      <c r="O466118" s="9"/>
    </row>
    <row r="466139" spans="15:15" x14ac:dyDescent="0.25">
      <c r="O466139" s="9"/>
    </row>
    <row r="466160" spans="15:15" x14ac:dyDescent="0.25">
      <c r="O466160" s="9"/>
    </row>
    <row r="466181" spans="15:15" x14ac:dyDescent="0.25">
      <c r="O466181" s="9"/>
    </row>
    <row r="466202" spans="15:15" x14ac:dyDescent="0.25">
      <c r="O466202" s="9"/>
    </row>
    <row r="466223" spans="15:15" x14ac:dyDescent="0.25">
      <c r="O466223" s="9"/>
    </row>
    <row r="466244" spans="15:15" x14ac:dyDescent="0.25">
      <c r="O466244" s="9"/>
    </row>
    <row r="466265" spans="15:15" x14ac:dyDescent="0.25">
      <c r="O466265" s="9"/>
    </row>
    <row r="466286" spans="15:15" x14ac:dyDescent="0.25">
      <c r="O466286" s="9"/>
    </row>
    <row r="466307" spans="15:15" x14ac:dyDescent="0.25">
      <c r="O466307" s="9"/>
    </row>
    <row r="466328" spans="15:15" x14ac:dyDescent="0.25">
      <c r="O466328" s="9"/>
    </row>
    <row r="466349" spans="15:15" x14ac:dyDescent="0.25">
      <c r="O466349" s="9"/>
    </row>
    <row r="466370" spans="15:15" x14ac:dyDescent="0.25">
      <c r="O466370" s="9"/>
    </row>
    <row r="466391" spans="15:15" x14ac:dyDescent="0.25">
      <c r="O466391" s="9"/>
    </row>
    <row r="466412" spans="15:15" x14ac:dyDescent="0.25">
      <c r="O466412" s="9"/>
    </row>
    <row r="466433" spans="15:15" x14ac:dyDescent="0.25">
      <c r="O466433" s="9"/>
    </row>
    <row r="466454" spans="15:15" x14ac:dyDescent="0.25">
      <c r="O466454" s="9"/>
    </row>
    <row r="466475" spans="15:15" x14ac:dyDescent="0.25">
      <c r="O466475" s="9"/>
    </row>
    <row r="466496" spans="15:15" x14ac:dyDescent="0.25">
      <c r="O466496" s="9"/>
    </row>
    <row r="466517" spans="15:15" x14ac:dyDescent="0.25">
      <c r="O466517" s="9"/>
    </row>
    <row r="466538" spans="15:15" x14ac:dyDescent="0.25">
      <c r="O466538" s="9"/>
    </row>
    <row r="466559" spans="15:15" x14ac:dyDescent="0.25">
      <c r="O466559" s="9"/>
    </row>
    <row r="466580" spans="15:15" x14ac:dyDescent="0.25">
      <c r="O466580" s="9"/>
    </row>
    <row r="466601" spans="15:15" x14ac:dyDescent="0.25">
      <c r="O466601" s="9"/>
    </row>
    <row r="466622" spans="15:15" x14ac:dyDescent="0.25">
      <c r="O466622" s="9"/>
    </row>
    <row r="466643" spans="15:15" x14ac:dyDescent="0.25">
      <c r="O466643" s="9"/>
    </row>
    <row r="466664" spans="15:15" x14ac:dyDescent="0.25">
      <c r="O466664" s="9"/>
    </row>
    <row r="466685" spans="15:15" x14ac:dyDescent="0.25">
      <c r="O466685" s="9"/>
    </row>
    <row r="466706" spans="15:15" x14ac:dyDescent="0.25">
      <c r="O466706" s="9"/>
    </row>
    <row r="466727" spans="15:15" x14ac:dyDescent="0.25">
      <c r="O466727" s="9"/>
    </row>
    <row r="466748" spans="15:15" x14ac:dyDescent="0.25">
      <c r="O466748" s="9"/>
    </row>
    <row r="466769" spans="15:15" x14ac:dyDescent="0.25">
      <c r="O466769" s="9"/>
    </row>
    <row r="466790" spans="15:15" x14ac:dyDescent="0.25">
      <c r="O466790" s="9"/>
    </row>
    <row r="466811" spans="15:15" x14ac:dyDescent="0.25">
      <c r="O466811" s="9"/>
    </row>
    <row r="466832" spans="15:15" x14ac:dyDescent="0.25">
      <c r="O466832" s="9"/>
    </row>
    <row r="466853" spans="15:15" x14ac:dyDescent="0.25">
      <c r="O466853" s="9"/>
    </row>
    <row r="466874" spans="15:15" x14ac:dyDescent="0.25">
      <c r="O466874" s="9"/>
    </row>
    <row r="466895" spans="15:15" x14ac:dyDescent="0.25">
      <c r="O466895" s="9"/>
    </row>
    <row r="466916" spans="15:15" x14ac:dyDescent="0.25">
      <c r="O466916" s="9"/>
    </row>
    <row r="466937" spans="15:15" x14ac:dyDescent="0.25">
      <c r="O466937" s="9"/>
    </row>
    <row r="466958" spans="15:15" x14ac:dyDescent="0.25">
      <c r="O466958" s="9"/>
    </row>
    <row r="466979" spans="15:15" x14ac:dyDescent="0.25">
      <c r="O466979" s="9"/>
    </row>
    <row r="467000" spans="15:15" x14ac:dyDescent="0.25">
      <c r="O467000" s="9"/>
    </row>
    <row r="467021" spans="15:15" x14ac:dyDescent="0.25">
      <c r="O467021" s="9"/>
    </row>
    <row r="467042" spans="15:15" x14ac:dyDescent="0.25">
      <c r="O467042" s="9"/>
    </row>
    <row r="467063" spans="15:15" x14ac:dyDescent="0.25">
      <c r="O467063" s="9"/>
    </row>
    <row r="467084" spans="15:15" x14ac:dyDescent="0.25">
      <c r="O467084" s="9"/>
    </row>
    <row r="467105" spans="15:15" x14ac:dyDescent="0.25">
      <c r="O467105" s="9"/>
    </row>
    <row r="467126" spans="15:15" x14ac:dyDescent="0.25">
      <c r="O467126" s="9"/>
    </row>
    <row r="467147" spans="15:15" x14ac:dyDescent="0.25">
      <c r="O467147" s="9"/>
    </row>
    <row r="467168" spans="15:15" x14ac:dyDescent="0.25">
      <c r="O467168" s="9"/>
    </row>
    <row r="467189" spans="15:15" x14ac:dyDescent="0.25">
      <c r="O467189" s="9"/>
    </row>
    <row r="467210" spans="15:15" x14ac:dyDescent="0.25">
      <c r="O467210" s="9"/>
    </row>
    <row r="467231" spans="15:15" x14ac:dyDescent="0.25">
      <c r="O467231" s="9"/>
    </row>
    <row r="467252" spans="15:15" x14ac:dyDescent="0.25">
      <c r="O467252" s="9"/>
    </row>
    <row r="467273" spans="15:15" x14ac:dyDescent="0.25">
      <c r="O467273" s="9"/>
    </row>
    <row r="467294" spans="15:15" x14ac:dyDescent="0.25">
      <c r="O467294" s="9"/>
    </row>
    <row r="467315" spans="15:15" x14ac:dyDescent="0.25">
      <c r="O467315" s="9"/>
    </row>
    <row r="467336" spans="15:15" x14ac:dyDescent="0.25">
      <c r="O467336" s="9"/>
    </row>
    <row r="467357" spans="15:15" x14ac:dyDescent="0.25">
      <c r="O467357" s="9"/>
    </row>
    <row r="467378" spans="15:15" x14ac:dyDescent="0.25">
      <c r="O467378" s="9"/>
    </row>
    <row r="467399" spans="15:15" x14ac:dyDescent="0.25">
      <c r="O467399" s="9"/>
    </row>
    <row r="467420" spans="15:15" x14ac:dyDescent="0.25">
      <c r="O467420" s="9"/>
    </row>
    <row r="467441" spans="15:15" x14ac:dyDescent="0.25">
      <c r="O467441" s="9"/>
    </row>
    <row r="467462" spans="15:15" x14ac:dyDescent="0.25">
      <c r="O467462" s="9"/>
    </row>
    <row r="467483" spans="15:15" x14ac:dyDescent="0.25">
      <c r="O467483" s="9"/>
    </row>
    <row r="467504" spans="15:15" x14ac:dyDescent="0.25">
      <c r="O467504" s="9"/>
    </row>
    <row r="467525" spans="15:15" x14ac:dyDescent="0.25">
      <c r="O467525" s="9"/>
    </row>
    <row r="467546" spans="15:15" x14ac:dyDescent="0.25">
      <c r="O467546" s="9"/>
    </row>
    <row r="467567" spans="15:15" x14ac:dyDescent="0.25">
      <c r="O467567" s="9"/>
    </row>
    <row r="467588" spans="15:15" x14ac:dyDescent="0.25">
      <c r="O467588" s="9"/>
    </row>
    <row r="467609" spans="15:15" x14ac:dyDescent="0.25">
      <c r="O467609" s="9"/>
    </row>
    <row r="467630" spans="15:15" x14ac:dyDescent="0.25">
      <c r="O467630" s="9"/>
    </row>
    <row r="467651" spans="15:15" x14ac:dyDescent="0.25">
      <c r="O467651" s="9"/>
    </row>
    <row r="467672" spans="15:15" x14ac:dyDescent="0.25">
      <c r="O467672" s="9"/>
    </row>
    <row r="467693" spans="15:15" x14ac:dyDescent="0.25">
      <c r="O467693" s="9"/>
    </row>
    <row r="467714" spans="15:15" x14ac:dyDescent="0.25">
      <c r="O467714" s="9"/>
    </row>
    <row r="467735" spans="15:15" x14ac:dyDescent="0.25">
      <c r="O467735" s="9"/>
    </row>
    <row r="467756" spans="15:15" x14ac:dyDescent="0.25">
      <c r="O467756" s="9"/>
    </row>
    <row r="467777" spans="15:15" x14ac:dyDescent="0.25">
      <c r="O467777" s="9"/>
    </row>
    <row r="467798" spans="15:15" x14ac:dyDescent="0.25">
      <c r="O467798" s="9"/>
    </row>
    <row r="467819" spans="15:15" x14ac:dyDescent="0.25">
      <c r="O467819" s="9"/>
    </row>
    <row r="467840" spans="15:15" x14ac:dyDescent="0.25">
      <c r="O467840" s="9"/>
    </row>
    <row r="467861" spans="15:15" x14ac:dyDescent="0.25">
      <c r="O467861" s="9"/>
    </row>
    <row r="467882" spans="15:15" x14ac:dyDescent="0.25">
      <c r="O467882" s="9"/>
    </row>
    <row r="467903" spans="15:15" x14ac:dyDescent="0.25">
      <c r="O467903" s="9"/>
    </row>
    <row r="467924" spans="15:15" x14ac:dyDescent="0.25">
      <c r="O467924" s="9"/>
    </row>
    <row r="467945" spans="15:15" x14ac:dyDescent="0.25">
      <c r="O467945" s="9"/>
    </row>
    <row r="467966" spans="15:15" x14ac:dyDescent="0.25">
      <c r="O467966" s="9"/>
    </row>
    <row r="467987" spans="15:15" x14ac:dyDescent="0.25">
      <c r="O467987" s="9"/>
    </row>
    <row r="468008" spans="15:15" x14ac:dyDescent="0.25">
      <c r="O468008" s="9"/>
    </row>
    <row r="468029" spans="15:15" x14ac:dyDescent="0.25">
      <c r="O468029" s="9"/>
    </row>
    <row r="468050" spans="15:15" x14ac:dyDescent="0.25">
      <c r="O468050" s="9"/>
    </row>
    <row r="468071" spans="15:15" x14ac:dyDescent="0.25">
      <c r="O468071" s="9"/>
    </row>
    <row r="468092" spans="15:15" x14ac:dyDescent="0.25">
      <c r="O468092" s="9"/>
    </row>
    <row r="468113" spans="15:15" x14ac:dyDescent="0.25">
      <c r="O468113" s="9"/>
    </row>
    <row r="468134" spans="15:15" x14ac:dyDescent="0.25">
      <c r="O468134" s="9"/>
    </row>
    <row r="468155" spans="15:15" x14ac:dyDescent="0.25">
      <c r="O468155" s="9"/>
    </row>
    <row r="468176" spans="15:15" x14ac:dyDescent="0.25">
      <c r="O468176" s="9"/>
    </row>
    <row r="468197" spans="15:15" x14ac:dyDescent="0.25">
      <c r="O468197" s="9"/>
    </row>
    <row r="468218" spans="15:15" x14ac:dyDescent="0.25">
      <c r="O468218" s="9"/>
    </row>
    <row r="468239" spans="15:15" x14ac:dyDescent="0.25">
      <c r="O468239" s="9"/>
    </row>
    <row r="468260" spans="15:15" x14ac:dyDescent="0.25">
      <c r="O468260" s="9"/>
    </row>
    <row r="468281" spans="15:15" x14ac:dyDescent="0.25">
      <c r="O468281" s="9"/>
    </row>
    <row r="468302" spans="15:15" x14ac:dyDescent="0.25">
      <c r="O468302" s="9"/>
    </row>
    <row r="468323" spans="15:15" x14ac:dyDescent="0.25">
      <c r="O468323" s="9"/>
    </row>
    <row r="468344" spans="15:15" x14ac:dyDescent="0.25">
      <c r="O468344" s="9"/>
    </row>
    <row r="468365" spans="15:15" x14ac:dyDescent="0.25">
      <c r="O468365" s="9"/>
    </row>
    <row r="468386" spans="15:15" x14ac:dyDescent="0.25">
      <c r="O468386" s="9"/>
    </row>
    <row r="468407" spans="15:15" x14ac:dyDescent="0.25">
      <c r="O468407" s="9"/>
    </row>
    <row r="468428" spans="15:15" x14ac:dyDescent="0.25">
      <c r="O468428" s="9"/>
    </row>
    <row r="468449" spans="15:15" x14ac:dyDescent="0.25">
      <c r="O468449" s="9"/>
    </row>
    <row r="468470" spans="15:15" x14ac:dyDescent="0.25">
      <c r="O468470" s="9"/>
    </row>
    <row r="468491" spans="15:15" x14ac:dyDescent="0.25">
      <c r="O468491" s="9"/>
    </row>
    <row r="468512" spans="15:15" x14ac:dyDescent="0.25">
      <c r="O468512" s="9"/>
    </row>
    <row r="468533" spans="15:15" x14ac:dyDescent="0.25">
      <c r="O468533" s="9"/>
    </row>
    <row r="468554" spans="15:15" x14ac:dyDescent="0.25">
      <c r="O468554" s="9"/>
    </row>
    <row r="468575" spans="15:15" x14ac:dyDescent="0.25">
      <c r="O468575" s="9"/>
    </row>
    <row r="468596" spans="15:15" x14ac:dyDescent="0.25">
      <c r="O468596" s="9"/>
    </row>
    <row r="468617" spans="15:15" x14ac:dyDescent="0.25">
      <c r="O468617" s="9"/>
    </row>
    <row r="468638" spans="15:15" x14ac:dyDescent="0.25">
      <c r="O468638" s="9"/>
    </row>
    <row r="468659" spans="15:15" x14ac:dyDescent="0.25">
      <c r="O468659" s="9"/>
    </row>
    <row r="468680" spans="15:15" x14ac:dyDescent="0.25">
      <c r="O468680" s="9"/>
    </row>
    <row r="468701" spans="15:15" x14ac:dyDescent="0.25">
      <c r="O468701" s="9"/>
    </row>
    <row r="468722" spans="15:15" x14ac:dyDescent="0.25">
      <c r="O468722" s="9"/>
    </row>
    <row r="468743" spans="15:15" x14ac:dyDescent="0.25">
      <c r="O468743" s="9"/>
    </row>
    <row r="468764" spans="15:15" x14ac:dyDescent="0.25">
      <c r="O468764" s="9"/>
    </row>
    <row r="468785" spans="15:15" x14ac:dyDescent="0.25">
      <c r="O468785" s="9"/>
    </row>
    <row r="468806" spans="15:15" x14ac:dyDescent="0.25">
      <c r="O468806" s="9"/>
    </row>
    <row r="468827" spans="15:15" x14ac:dyDescent="0.25">
      <c r="O468827" s="9"/>
    </row>
    <row r="468848" spans="15:15" x14ac:dyDescent="0.25">
      <c r="O468848" s="9"/>
    </row>
    <row r="468869" spans="15:15" x14ac:dyDescent="0.25">
      <c r="O468869" s="9"/>
    </row>
    <row r="468890" spans="15:15" x14ac:dyDescent="0.25">
      <c r="O468890" s="9"/>
    </row>
    <row r="468911" spans="15:15" x14ac:dyDescent="0.25">
      <c r="O468911" s="9"/>
    </row>
    <row r="468932" spans="15:15" x14ac:dyDescent="0.25">
      <c r="O468932" s="9"/>
    </row>
    <row r="468953" spans="15:15" x14ac:dyDescent="0.25">
      <c r="O468953" s="9"/>
    </row>
    <row r="468974" spans="15:15" x14ac:dyDescent="0.25">
      <c r="O468974" s="9"/>
    </row>
    <row r="468995" spans="15:15" x14ac:dyDescent="0.25">
      <c r="O468995" s="9"/>
    </row>
    <row r="469016" spans="15:15" x14ac:dyDescent="0.25">
      <c r="O469016" s="9"/>
    </row>
    <row r="469037" spans="15:15" x14ac:dyDescent="0.25">
      <c r="O469037" s="9"/>
    </row>
    <row r="469058" spans="15:15" x14ac:dyDescent="0.25">
      <c r="O469058" s="9"/>
    </row>
    <row r="469079" spans="15:15" x14ac:dyDescent="0.25">
      <c r="O469079" s="9"/>
    </row>
    <row r="469100" spans="15:15" x14ac:dyDescent="0.25">
      <c r="O469100" s="9"/>
    </row>
    <row r="469121" spans="15:15" x14ac:dyDescent="0.25">
      <c r="O469121" s="9"/>
    </row>
    <row r="469142" spans="15:15" x14ac:dyDescent="0.25">
      <c r="O469142" s="9"/>
    </row>
    <row r="469163" spans="15:15" x14ac:dyDescent="0.25">
      <c r="O469163" s="9"/>
    </row>
    <row r="469184" spans="15:15" x14ac:dyDescent="0.25">
      <c r="O469184" s="9"/>
    </row>
    <row r="469205" spans="15:15" x14ac:dyDescent="0.25">
      <c r="O469205" s="9"/>
    </row>
    <row r="469226" spans="15:15" x14ac:dyDescent="0.25">
      <c r="O469226" s="9"/>
    </row>
    <row r="469247" spans="15:15" x14ac:dyDescent="0.25">
      <c r="O469247" s="9"/>
    </row>
    <row r="469268" spans="15:15" x14ac:dyDescent="0.25">
      <c r="O469268" s="9"/>
    </row>
    <row r="469289" spans="15:15" x14ac:dyDescent="0.25">
      <c r="O469289" s="9"/>
    </row>
    <row r="469310" spans="15:15" x14ac:dyDescent="0.25">
      <c r="O469310" s="9"/>
    </row>
    <row r="469331" spans="15:15" x14ac:dyDescent="0.25">
      <c r="O469331" s="9"/>
    </row>
    <row r="469352" spans="15:15" x14ac:dyDescent="0.25">
      <c r="O469352" s="9"/>
    </row>
    <row r="469373" spans="15:15" x14ac:dyDescent="0.25">
      <c r="O469373" s="9"/>
    </row>
    <row r="469394" spans="15:15" x14ac:dyDescent="0.25">
      <c r="O469394" s="9"/>
    </row>
    <row r="469415" spans="15:15" x14ac:dyDescent="0.25">
      <c r="O469415" s="9"/>
    </row>
    <row r="469436" spans="15:15" x14ac:dyDescent="0.25">
      <c r="O469436" s="9"/>
    </row>
    <row r="469457" spans="15:15" x14ac:dyDescent="0.25">
      <c r="O469457" s="9"/>
    </row>
    <row r="469478" spans="15:15" x14ac:dyDescent="0.25">
      <c r="O469478" s="9"/>
    </row>
    <row r="469499" spans="15:15" x14ac:dyDescent="0.25">
      <c r="O469499" s="9"/>
    </row>
    <row r="469520" spans="15:15" x14ac:dyDescent="0.25">
      <c r="O469520" s="9"/>
    </row>
    <row r="469541" spans="15:15" x14ac:dyDescent="0.25">
      <c r="O469541" s="9"/>
    </row>
    <row r="469562" spans="15:15" x14ac:dyDescent="0.25">
      <c r="O469562" s="9"/>
    </row>
    <row r="469583" spans="15:15" x14ac:dyDescent="0.25">
      <c r="O469583" s="9"/>
    </row>
    <row r="469604" spans="15:15" x14ac:dyDescent="0.25">
      <c r="O469604" s="9"/>
    </row>
    <row r="469625" spans="15:15" x14ac:dyDescent="0.25">
      <c r="O469625" s="9"/>
    </row>
    <row r="469646" spans="15:15" x14ac:dyDescent="0.25">
      <c r="O469646" s="9"/>
    </row>
    <row r="469667" spans="15:15" x14ac:dyDescent="0.25">
      <c r="O469667" s="9"/>
    </row>
    <row r="469688" spans="15:15" x14ac:dyDescent="0.25">
      <c r="O469688" s="9"/>
    </row>
    <row r="469709" spans="15:15" x14ac:dyDescent="0.25">
      <c r="O469709" s="9"/>
    </row>
    <row r="469730" spans="15:15" x14ac:dyDescent="0.25">
      <c r="O469730" s="9"/>
    </row>
    <row r="469751" spans="15:15" x14ac:dyDescent="0.25">
      <c r="O469751" s="9"/>
    </row>
    <row r="469772" spans="15:15" x14ac:dyDescent="0.25">
      <c r="O469772" s="9"/>
    </row>
    <row r="469793" spans="15:15" x14ac:dyDescent="0.25">
      <c r="O469793" s="9"/>
    </row>
    <row r="469814" spans="15:15" x14ac:dyDescent="0.25">
      <c r="O469814" s="9"/>
    </row>
    <row r="469835" spans="15:15" x14ac:dyDescent="0.25">
      <c r="O469835" s="9"/>
    </row>
    <row r="469856" spans="15:15" x14ac:dyDescent="0.25">
      <c r="O469856" s="9"/>
    </row>
    <row r="469877" spans="15:15" x14ac:dyDescent="0.25">
      <c r="O469877" s="9"/>
    </row>
    <row r="469898" spans="15:15" x14ac:dyDescent="0.25">
      <c r="O469898" s="9"/>
    </row>
    <row r="469919" spans="15:15" x14ac:dyDescent="0.25">
      <c r="O469919" s="9"/>
    </row>
    <row r="469940" spans="15:15" x14ac:dyDescent="0.25">
      <c r="O469940" s="9"/>
    </row>
    <row r="469961" spans="15:15" x14ac:dyDescent="0.25">
      <c r="O469961" s="9"/>
    </row>
    <row r="469982" spans="15:15" x14ac:dyDescent="0.25">
      <c r="O469982" s="9"/>
    </row>
    <row r="470003" spans="15:15" x14ac:dyDescent="0.25">
      <c r="O470003" s="9"/>
    </row>
    <row r="470024" spans="15:15" x14ac:dyDescent="0.25">
      <c r="O470024" s="9"/>
    </row>
    <row r="470045" spans="15:15" x14ac:dyDescent="0.25">
      <c r="O470045" s="9"/>
    </row>
    <row r="470066" spans="15:15" x14ac:dyDescent="0.25">
      <c r="O470066" s="9"/>
    </row>
    <row r="470087" spans="15:15" x14ac:dyDescent="0.25">
      <c r="O470087" s="9"/>
    </row>
    <row r="470108" spans="15:15" x14ac:dyDescent="0.25">
      <c r="O470108" s="9"/>
    </row>
    <row r="470129" spans="15:15" x14ac:dyDescent="0.25">
      <c r="O470129" s="9"/>
    </row>
    <row r="470150" spans="15:15" x14ac:dyDescent="0.25">
      <c r="O470150" s="9"/>
    </row>
    <row r="470171" spans="15:15" x14ac:dyDescent="0.25">
      <c r="O470171" s="9"/>
    </row>
    <row r="470192" spans="15:15" x14ac:dyDescent="0.25">
      <c r="O470192" s="9"/>
    </row>
    <row r="470213" spans="15:15" x14ac:dyDescent="0.25">
      <c r="O470213" s="9"/>
    </row>
    <row r="470234" spans="15:15" x14ac:dyDescent="0.25">
      <c r="O470234" s="9"/>
    </row>
    <row r="470255" spans="15:15" x14ac:dyDescent="0.25">
      <c r="O470255" s="9"/>
    </row>
    <row r="470276" spans="15:15" x14ac:dyDescent="0.25">
      <c r="O470276" s="9"/>
    </row>
    <row r="470297" spans="15:15" x14ac:dyDescent="0.25">
      <c r="O470297" s="9"/>
    </row>
    <row r="470318" spans="15:15" x14ac:dyDescent="0.25">
      <c r="O470318" s="9"/>
    </row>
    <row r="470339" spans="15:15" x14ac:dyDescent="0.25">
      <c r="O470339" s="9"/>
    </row>
    <row r="470360" spans="15:15" x14ac:dyDescent="0.25">
      <c r="O470360" s="9"/>
    </row>
    <row r="470381" spans="15:15" x14ac:dyDescent="0.25">
      <c r="O470381" s="9"/>
    </row>
    <row r="470402" spans="15:15" x14ac:dyDescent="0.25">
      <c r="O470402" s="9"/>
    </row>
    <row r="470423" spans="15:15" x14ac:dyDescent="0.25">
      <c r="O470423" s="9"/>
    </row>
    <row r="470444" spans="15:15" x14ac:dyDescent="0.25">
      <c r="O470444" s="9"/>
    </row>
    <row r="470465" spans="15:15" x14ac:dyDescent="0.25">
      <c r="O470465" s="9"/>
    </row>
    <row r="470486" spans="15:15" x14ac:dyDescent="0.25">
      <c r="O470486" s="9"/>
    </row>
    <row r="470507" spans="15:15" x14ac:dyDescent="0.25">
      <c r="O470507" s="9"/>
    </row>
    <row r="470528" spans="15:15" x14ac:dyDescent="0.25">
      <c r="O470528" s="9"/>
    </row>
    <row r="470549" spans="15:15" x14ac:dyDescent="0.25">
      <c r="O470549" s="9"/>
    </row>
    <row r="470570" spans="15:15" x14ac:dyDescent="0.25">
      <c r="O470570" s="9"/>
    </row>
    <row r="470591" spans="15:15" x14ac:dyDescent="0.25">
      <c r="O470591" s="9"/>
    </row>
    <row r="470612" spans="15:15" x14ac:dyDescent="0.25">
      <c r="O470612" s="9"/>
    </row>
    <row r="470633" spans="15:15" x14ac:dyDescent="0.25">
      <c r="O470633" s="9"/>
    </row>
    <row r="470654" spans="15:15" x14ac:dyDescent="0.25">
      <c r="O470654" s="9"/>
    </row>
    <row r="470675" spans="15:15" x14ac:dyDescent="0.25">
      <c r="O470675" s="9"/>
    </row>
    <row r="470696" spans="15:15" x14ac:dyDescent="0.25">
      <c r="O470696" s="9"/>
    </row>
    <row r="470717" spans="15:15" x14ac:dyDescent="0.25">
      <c r="O470717" s="9"/>
    </row>
    <row r="470738" spans="15:15" x14ac:dyDescent="0.25">
      <c r="O470738" s="9"/>
    </row>
    <row r="470759" spans="15:15" x14ac:dyDescent="0.25">
      <c r="O470759" s="9"/>
    </row>
    <row r="470780" spans="15:15" x14ac:dyDescent="0.25">
      <c r="O470780" s="9"/>
    </row>
    <row r="470801" spans="15:15" x14ac:dyDescent="0.25">
      <c r="O470801" s="9"/>
    </row>
    <row r="470822" spans="15:15" x14ac:dyDescent="0.25">
      <c r="O470822" s="9"/>
    </row>
    <row r="470843" spans="15:15" x14ac:dyDescent="0.25">
      <c r="O470843" s="9"/>
    </row>
    <row r="470864" spans="15:15" x14ac:dyDescent="0.25">
      <c r="O470864" s="9"/>
    </row>
    <row r="470885" spans="15:15" x14ac:dyDescent="0.25">
      <c r="O470885" s="9"/>
    </row>
    <row r="470906" spans="15:15" x14ac:dyDescent="0.25">
      <c r="O470906" s="9"/>
    </row>
    <row r="470927" spans="15:15" x14ac:dyDescent="0.25">
      <c r="O470927" s="9"/>
    </row>
    <row r="470948" spans="15:15" x14ac:dyDescent="0.25">
      <c r="O470948" s="9"/>
    </row>
    <row r="470969" spans="15:15" x14ac:dyDescent="0.25">
      <c r="O470969" s="9"/>
    </row>
    <row r="470990" spans="15:15" x14ac:dyDescent="0.25">
      <c r="O470990" s="9"/>
    </row>
    <row r="471011" spans="15:15" x14ac:dyDescent="0.25">
      <c r="O471011" s="9"/>
    </row>
    <row r="471032" spans="15:15" x14ac:dyDescent="0.25">
      <c r="O471032" s="9"/>
    </row>
    <row r="471053" spans="15:15" x14ac:dyDescent="0.25">
      <c r="O471053" s="9"/>
    </row>
    <row r="471074" spans="15:15" x14ac:dyDescent="0.25">
      <c r="O471074" s="9"/>
    </row>
    <row r="471095" spans="15:15" x14ac:dyDescent="0.25">
      <c r="O471095" s="9"/>
    </row>
    <row r="471116" spans="15:15" x14ac:dyDescent="0.25">
      <c r="O471116" s="9"/>
    </row>
    <row r="471137" spans="15:15" x14ac:dyDescent="0.25">
      <c r="O471137" s="9"/>
    </row>
    <row r="471158" spans="15:15" x14ac:dyDescent="0.25">
      <c r="O471158" s="9"/>
    </row>
    <row r="471179" spans="15:15" x14ac:dyDescent="0.25">
      <c r="O471179" s="9"/>
    </row>
    <row r="471200" spans="15:15" x14ac:dyDescent="0.25">
      <c r="O471200" s="9"/>
    </row>
    <row r="471221" spans="15:15" x14ac:dyDescent="0.25">
      <c r="O471221" s="9"/>
    </row>
    <row r="471242" spans="15:15" x14ac:dyDescent="0.25">
      <c r="O471242" s="9"/>
    </row>
    <row r="471263" spans="15:15" x14ac:dyDescent="0.25">
      <c r="O471263" s="9"/>
    </row>
    <row r="471284" spans="15:15" x14ac:dyDescent="0.25">
      <c r="O471284" s="9"/>
    </row>
    <row r="471305" spans="15:15" x14ac:dyDescent="0.25">
      <c r="O471305" s="9"/>
    </row>
    <row r="471326" spans="15:15" x14ac:dyDescent="0.25">
      <c r="O471326" s="9"/>
    </row>
    <row r="471347" spans="15:15" x14ac:dyDescent="0.25">
      <c r="O471347" s="9"/>
    </row>
    <row r="471368" spans="15:15" x14ac:dyDescent="0.25">
      <c r="O471368" s="9"/>
    </row>
    <row r="471389" spans="15:15" x14ac:dyDescent="0.25">
      <c r="O471389" s="9"/>
    </row>
    <row r="471410" spans="15:15" x14ac:dyDescent="0.25">
      <c r="O471410" s="9"/>
    </row>
    <row r="471431" spans="15:15" x14ac:dyDescent="0.25">
      <c r="O471431" s="9"/>
    </row>
    <row r="471452" spans="15:15" x14ac:dyDescent="0.25">
      <c r="O471452" s="9"/>
    </row>
    <row r="471473" spans="15:15" x14ac:dyDescent="0.25">
      <c r="O471473" s="9"/>
    </row>
    <row r="471494" spans="15:15" x14ac:dyDescent="0.25">
      <c r="O471494" s="9"/>
    </row>
    <row r="471515" spans="15:15" x14ac:dyDescent="0.25">
      <c r="O471515" s="9"/>
    </row>
    <row r="471536" spans="15:15" x14ac:dyDescent="0.25">
      <c r="O471536" s="9"/>
    </row>
    <row r="471557" spans="15:15" x14ac:dyDescent="0.25">
      <c r="O471557" s="9"/>
    </row>
    <row r="471578" spans="15:15" x14ac:dyDescent="0.25">
      <c r="O471578" s="9"/>
    </row>
    <row r="471599" spans="15:15" x14ac:dyDescent="0.25">
      <c r="O471599" s="9"/>
    </row>
    <row r="471620" spans="15:15" x14ac:dyDescent="0.25">
      <c r="O471620" s="9"/>
    </row>
    <row r="471641" spans="15:15" x14ac:dyDescent="0.25">
      <c r="O471641" s="9"/>
    </row>
    <row r="471662" spans="15:15" x14ac:dyDescent="0.25">
      <c r="O471662" s="9"/>
    </row>
    <row r="471683" spans="15:15" x14ac:dyDescent="0.25">
      <c r="O471683" s="9"/>
    </row>
    <row r="471704" spans="15:15" x14ac:dyDescent="0.25">
      <c r="O471704" s="9"/>
    </row>
    <row r="471725" spans="15:15" x14ac:dyDescent="0.25">
      <c r="O471725" s="9"/>
    </row>
    <row r="471746" spans="15:15" x14ac:dyDescent="0.25">
      <c r="O471746" s="9"/>
    </row>
    <row r="471767" spans="15:15" x14ac:dyDescent="0.25">
      <c r="O471767" s="9"/>
    </row>
    <row r="471788" spans="15:15" x14ac:dyDescent="0.25">
      <c r="O471788" s="9"/>
    </row>
    <row r="471809" spans="15:15" x14ac:dyDescent="0.25">
      <c r="O471809" s="9"/>
    </row>
    <row r="471830" spans="15:15" x14ac:dyDescent="0.25">
      <c r="O471830" s="9"/>
    </row>
    <row r="471851" spans="15:15" x14ac:dyDescent="0.25">
      <c r="O471851" s="9"/>
    </row>
    <row r="471872" spans="15:15" x14ac:dyDescent="0.25">
      <c r="O471872" s="9"/>
    </row>
    <row r="471893" spans="15:15" x14ac:dyDescent="0.25">
      <c r="O471893" s="9"/>
    </row>
    <row r="471914" spans="15:15" x14ac:dyDescent="0.25">
      <c r="O471914" s="9"/>
    </row>
    <row r="471935" spans="15:15" x14ac:dyDescent="0.25">
      <c r="O471935" s="9"/>
    </row>
    <row r="471956" spans="15:15" x14ac:dyDescent="0.25">
      <c r="O471956" s="9"/>
    </row>
    <row r="471977" spans="15:15" x14ac:dyDescent="0.25">
      <c r="O471977" s="9"/>
    </row>
    <row r="471998" spans="15:15" x14ac:dyDescent="0.25">
      <c r="O471998" s="9"/>
    </row>
    <row r="472019" spans="15:15" x14ac:dyDescent="0.25">
      <c r="O472019" s="9"/>
    </row>
    <row r="472040" spans="15:15" x14ac:dyDescent="0.25">
      <c r="O472040" s="9"/>
    </row>
    <row r="472061" spans="15:15" x14ac:dyDescent="0.25">
      <c r="O472061" s="9"/>
    </row>
    <row r="472082" spans="15:15" x14ac:dyDescent="0.25">
      <c r="O472082" s="9"/>
    </row>
    <row r="472103" spans="15:15" x14ac:dyDescent="0.25">
      <c r="O472103" s="9"/>
    </row>
    <row r="472124" spans="15:15" x14ac:dyDescent="0.25">
      <c r="O472124" s="9"/>
    </row>
    <row r="472145" spans="15:15" x14ac:dyDescent="0.25">
      <c r="O472145" s="9"/>
    </row>
    <row r="472166" spans="15:15" x14ac:dyDescent="0.25">
      <c r="O472166" s="9"/>
    </row>
    <row r="472187" spans="15:15" x14ac:dyDescent="0.25">
      <c r="O472187" s="9"/>
    </row>
    <row r="472208" spans="15:15" x14ac:dyDescent="0.25">
      <c r="O472208" s="9"/>
    </row>
    <row r="472229" spans="15:15" x14ac:dyDescent="0.25">
      <c r="O472229" s="9"/>
    </row>
    <row r="472250" spans="15:15" x14ac:dyDescent="0.25">
      <c r="O472250" s="9"/>
    </row>
    <row r="472271" spans="15:15" x14ac:dyDescent="0.25">
      <c r="O472271" s="9"/>
    </row>
    <row r="472292" spans="15:15" x14ac:dyDescent="0.25">
      <c r="O472292" s="9"/>
    </row>
    <row r="472313" spans="15:15" x14ac:dyDescent="0.25">
      <c r="O472313" s="9"/>
    </row>
    <row r="472334" spans="15:15" x14ac:dyDescent="0.25">
      <c r="O472334" s="9"/>
    </row>
    <row r="472355" spans="15:15" x14ac:dyDescent="0.25">
      <c r="O472355" s="9"/>
    </row>
    <row r="472376" spans="15:15" x14ac:dyDescent="0.25">
      <c r="O472376" s="9"/>
    </row>
    <row r="472397" spans="15:15" x14ac:dyDescent="0.25">
      <c r="O472397" s="9"/>
    </row>
    <row r="472418" spans="15:15" x14ac:dyDescent="0.25">
      <c r="O472418" s="9"/>
    </row>
    <row r="472439" spans="15:15" x14ac:dyDescent="0.25">
      <c r="O472439" s="9"/>
    </row>
    <row r="472460" spans="15:15" x14ac:dyDescent="0.25">
      <c r="O472460" s="9"/>
    </row>
    <row r="472481" spans="15:15" x14ac:dyDescent="0.25">
      <c r="O472481" s="9"/>
    </row>
    <row r="472502" spans="15:15" x14ac:dyDescent="0.25">
      <c r="O472502" s="9"/>
    </row>
    <row r="472523" spans="15:15" x14ac:dyDescent="0.25">
      <c r="O472523" s="9"/>
    </row>
    <row r="472544" spans="15:15" x14ac:dyDescent="0.25">
      <c r="O472544" s="9"/>
    </row>
    <row r="472565" spans="15:15" x14ac:dyDescent="0.25">
      <c r="O472565" s="9"/>
    </row>
    <row r="472586" spans="15:15" x14ac:dyDescent="0.25">
      <c r="O472586" s="9"/>
    </row>
    <row r="472607" spans="15:15" x14ac:dyDescent="0.25">
      <c r="O472607" s="9"/>
    </row>
    <row r="472628" spans="15:15" x14ac:dyDescent="0.25">
      <c r="O472628" s="9"/>
    </row>
    <row r="472649" spans="15:15" x14ac:dyDescent="0.25">
      <c r="O472649" s="9"/>
    </row>
    <row r="472670" spans="15:15" x14ac:dyDescent="0.25">
      <c r="O472670" s="9"/>
    </row>
    <row r="472691" spans="15:15" x14ac:dyDescent="0.25">
      <c r="O472691" s="9"/>
    </row>
    <row r="472712" spans="15:15" x14ac:dyDescent="0.25">
      <c r="O472712" s="9"/>
    </row>
    <row r="472733" spans="15:15" x14ac:dyDescent="0.25">
      <c r="O472733" s="9"/>
    </row>
    <row r="472754" spans="15:15" x14ac:dyDescent="0.25">
      <c r="O472754" s="9"/>
    </row>
    <row r="472775" spans="15:15" x14ac:dyDescent="0.25">
      <c r="O472775" s="9"/>
    </row>
    <row r="472796" spans="15:15" x14ac:dyDescent="0.25">
      <c r="O472796" s="9"/>
    </row>
    <row r="472817" spans="15:15" x14ac:dyDescent="0.25">
      <c r="O472817" s="9"/>
    </row>
    <row r="472838" spans="15:15" x14ac:dyDescent="0.25">
      <c r="O472838" s="9"/>
    </row>
    <row r="472859" spans="15:15" x14ac:dyDescent="0.25">
      <c r="O472859" s="9"/>
    </row>
    <row r="472880" spans="15:15" x14ac:dyDescent="0.25">
      <c r="O472880" s="9"/>
    </row>
    <row r="472901" spans="15:15" x14ac:dyDescent="0.25">
      <c r="O472901" s="9"/>
    </row>
    <row r="472922" spans="15:15" x14ac:dyDescent="0.25">
      <c r="O472922" s="9"/>
    </row>
    <row r="472943" spans="15:15" x14ac:dyDescent="0.25">
      <c r="O472943" s="9"/>
    </row>
    <row r="472964" spans="15:15" x14ac:dyDescent="0.25">
      <c r="O472964" s="9"/>
    </row>
    <row r="472985" spans="15:15" x14ac:dyDescent="0.25">
      <c r="O472985" s="9"/>
    </row>
    <row r="473006" spans="15:15" x14ac:dyDescent="0.25">
      <c r="O473006" s="9"/>
    </row>
    <row r="473027" spans="15:15" x14ac:dyDescent="0.25">
      <c r="O473027" s="9"/>
    </row>
    <row r="473048" spans="15:15" x14ac:dyDescent="0.25">
      <c r="O473048" s="9"/>
    </row>
    <row r="473069" spans="15:15" x14ac:dyDescent="0.25">
      <c r="O473069" s="9"/>
    </row>
    <row r="473090" spans="15:15" x14ac:dyDescent="0.25">
      <c r="O473090" s="9"/>
    </row>
    <row r="473111" spans="15:15" x14ac:dyDescent="0.25">
      <c r="O473111" s="9"/>
    </row>
    <row r="473132" spans="15:15" x14ac:dyDescent="0.25">
      <c r="O473132" s="9"/>
    </row>
    <row r="473153" spans="15:15" x14ac:dyDescent="0.25">
      <c r="O473153" s="9"/>
    </row>
    <row r="473174" spans="15:15" x14ac:dyDescent="0.25">
      <c r="O473174" s="9"/>
    </row>
    <row r="473195" spans="15:15" x14ac:dyDescent="0.25">
      <c r="O473195" s="9"/>
    </row>
    <row r="473216" spans="15:15" x14ac:dyDescent="0.25">
      <c r="O473216" s="9"/>
    </row>
    <row r="473237" spans="15:15" x14ac:dyDescent="0.25">
      <c r="O473237" s="9"/>
    </row>
    <row r="473258" spans="15:15" x14ac:dyDescent="0.25">
      <c r="O473258" s="9"/>
    </row>
    <row r="473279" spans="15:15" x14ac:dyDescent="0.25">
      <c r="O473279" s="9"/>
    </row>
    <row r="473300" spans="15:15" x14ac:dyDescent="0.25">
      <c r="O473300" s="9"/>
    </row>
    <row r="473321" spans="15:15" x14ac:dyDescent="0.25">
      <c r="O473321" s="9"/>
    </row>
    <row r="473342" spans="15:15" x14ac:dyDescent="0.25">
      <c r="O473342" s="9"/>
    </row>
    <row r="473363" spans="15:15" x14ac:dyDescent="0.25">
      <c r="O473363" s="9"/>
    </row>
    <row r="473384" spans="15:15" x14ac:dyDescent="0.25">
      <c r="O473384" s="9"/>
    </row>
    <row r="473405" spans="15:15" x14ac:dyDescent="0.25">
      <c r="O473405" s="9"/>
    </row>
    <row r="473426" spans="15:15" x14ac:dyDescent="0.25">
      <c r="O473426" s="9"/>
    </row>
    <row r="473447" spans="15:15" x14ac:dyDescent="0.25">
      <c r="O473447" s="9"/>
    </row>
    <row r="473468" spans="15:15" x14ac:dyDescent="0.25">
      <c r="O473468" s="9"/>
    </row>
    <row r="473489" spans="15:15" x14ac:dyDescent="0.25">
      <c r="O473489" s="9"/>
    </row>
    <row r="473510" spans="15:15" x14ac:dyDescent="0.25">
      <c r="O473510" s="9"/>
    </row>
    <row r="473531" spans="15:15" x14ac:dyDescent="0.25">
      <c r="O473531" s="9"/>
    </row>
    <row r="473552" spans="15:15" x14ac:dyDescent="0.25">
      <c r="O473552" s="9"/>
    </row>
    <row r="473573" spans="15:15" x14ac:dyDescent="0.25">
      <c r="O473573" s="9"/>
    </row>
    <row r="473594" spans="15:15" x14ac:dyDescent="0.25">
      <c r="O473594" s="9"/>
    </row>
    <row r="473615" spans="15:15" x14ac:dyDescent="0.25">
      <c r="O473615" s="9"/>
    </row>
    <row r="473636" spans="15:15" x14ac:dyDescent="0.25">
      <c r="O473636" s="9"/>
    </row>
    <row r="473657" spans="15:15" x14ac:dyDescent="0.25">
      <c r="O473657" s="9"/>
    </row>
    <row r="473678" spans="15:15" x14ac:dyDescent="0.25">
      <c r="O473678" s="9"/>
    </row>
    <row r="473699" spans="15:15" x14ac:dyDescent="0.25">
      <c r="O473699" s="9"/>
    </row>
    <row r="473720" spans="15:15" x14ac:dyDescent="0.25">
      <c r="O473720" s="9"/>
    </row>
    <row r="473741" spans="15:15" x14ac:dyDescent="0.25">
      <c r="O473741" s="9"/>
    </row>
    <row r="473762" spans="15:15" x14ac:dyDescent="0.25">
      <c r="O473762" s="9"/>
    </row>
    <row r="473783" spans="15:15" x14ac:dyDescent="0.25">
      <c r="O473783" s="9"/>
    </row>
    <row r="473804" spans="15:15" x14ac:dyDescent="0.25">
      <c r="O473804" s="9"/>
    </row>
    <row r="473825" spans="15:15" x14ac:dyDescent="0.25">
      <c r="O473825" s="9"/>
    </row>
    <row r="473846" spans="15:15" x14ac:dyDescent="0.25">
      <c r="O473846" s="9"/>
    </row>
    <row r="473867" spans="15:15" x14ac:dyDescent="0.25">
      <c r="O473867" s="9"/>
    </row>
    <row r="473888" spans="15:15" x14ac:dyDescent="0.25">
      <c r="O473888" s="9"/>
    </row>
    <row r="473909" spans="15:15" x14ac:dyDescent="0.25">
      <c r="O473909" s="9"/>
    </row>
    <row r="473930" spans="15:15" x14ac:dyDescent="0.25">
      <c r="O473930" s="9"/>
    </row>
    <row r="473951" spans="15:15" x14ac:dyDescent="0.25">
      <c r="O473951" s="9"/>
    </row>
    <row r="473972" spans="15:15" x14ac:dyDescent="0.25">
      <c r="O473972" s="9"/>
    </row>
    <row r="473993" spans="15:15" x14ac:dyDescent="0.25">
      <c r="O473993" s="9"/>
    </row>
    <row r="474014" spans="15:15" x14ac:dyDescent="0.25">
      <c r="O474014" s="9"/>
    </row>
    <row r="474035" spans="15:15" x14ac:dyDescent="0.25">
      <c r="O474035" s="9"/>
    </row>
    <row r="474056" spans="15:15" x14ac:dyDescent="0.25">
      <c r="O474056" s="9"/>
    </row>
    <row r="474077" spans="15:15" x14ac:dyDescent="0.25">
      <c r="O474077" s="9"/>
    </row>
    <row r="474098" spans="15:15" x14ac:dyDescent="0.25">
      <c r="O474098" s="9"/>
    </row>
    <row r="474119" spans="15:15" x14ac:dyDescent="0.25">
      <c r="O474119" s="9"/>
    </row>
    <row r="474140" spans="15:15" x14ac:dyDescent="0.25">
      <c r="O474140" s="9"/>
    </row>
    <row r="474161" spans="15:15" x14ac:dyDescent="0.25">
      <c r="O474161" s="9"/>
    </row>
    <row r="474182" spans="15:15" x14ac:dyDescent="0.25">
      <c r="O474182" s="9"/>
    </row>
    <row r="474203" spans="15:15" x14ac:dyDescent="0.25">
      <c r="O474203" s="9"/>
    </row>
    <row r="474224" spans="15:15" x14ac:dyDescent="0.25">
      <c r="O474224" s="9"/>
    </row>
    <row r="474245" spans="15:15" x14ac:dyDescent="0.25">
      <c r="O474245" s="9"/>
    </row>
    <row r="474266" spans="15:15" x14ac:dyDescent="0.25">
      <c r="O474266" s="9"/>
    </row>
    <row r="474287" spans="15:15" x14ac:dyDescent="0.25">
      <c r="O474287" s="9"/>
    </row>
    <row r="474308" spans="15:15" x14ac:dyDescent="0.25">
      <c r="O474308" s="9"/>
    </row>
    <row r="474329" spans="15:15" x14ac:dyDescent="0.25">
      <c r="O474329" s="9"/>
    </row>
    <row r="474350" spans="15:15" x14ac:dyDescent="0.25">
      <c r="O474350" s="9"/>
    </row>
    <row r="474371" spans="15:15" x14ac:dyDescent="0.25">
      <c r="O474371" s="9"/>
    </row>
    <row r="474392" spans="15:15" x14ac:dyDescent="0.25">
      <c r="O474392" s="9"/>
    </row>
    <row r="474413" spans="15:15" x14ac:dyDescent="0.25">
      <c r="O474413" s="9"/>
    </row>
    <row r="474434" spans="15:15" x14ac:dyDescent="0.25">
      <c r="O474434" s="9"/>
    </row>
    <row r="474455" spans="15:15" x14ac:dyDescent="0.25">
      <c r="O474455" s="9"/>
    </row>
    <row r="474476" spans="15:15" x14ac:dyDescent="0.25">
      <c r="O474476" s="9"/>
    </row>
    <row r="474497" spans="15:15" x14ac:dyDescent="0.25">
      <c r="O474497" s="9"/>
    </row>
    <row r="474518" spans="15:15" x14ac:dyDescent="0.25">
      <c r="O474518" s="9"/>
    </row>
    <row r="474539" spans="15:15" x14ac:dyDescent="0.25">
      <c r="O474539" s="9"/>
    </row>
    <row r="474560" spans="15:15" x14ac:dyDescent="0.25">
      <c r="O474560" s="9"/>
    </row>
    <row r="474581" spans="15:15" x14ac:dyDescent="0.25">
      <c r="O474581" s="9"/>
    </row>
    <row r="474602" spans="15:15" x14ac:dyDescent="0.25">
      <c r="O474602" s="9"/>
    </row>
    <row r="474623" spans="15:15" x14ac:dyDescent="0.25">
      <c r="O474623" s="9"/>
    </row>
    <row r="474644" spans="15:15" x14ac:dyDescent="0.25">
      <c r="O474644" s="9"/>
    </row>
    <row r="474665" spans="15:15" x14ac:dyDescent="0.25">
      <c r="O474665" s="9"/>
    </row>
    <row r="474686" spans="15:15" x14ac:dyDescent="0.25">
      <c r="O474686" s="9"/>
    </row>
    <row r="474707" spans="15:15" x14ac:dyDescent="0.25">
      <c r="O474707" s="9"/>
    </row>
    <row r="474728" spans="15:15" x14ac:dyDescent="0.25">
      <c r="O474728" s="9"/>
    </row>
    <row r="474749" spans="15:15" x14ac:dyDescent="0.25">
      <c r="O474749" s="9"/>
    </row>
    <row r="474770" spans="15:15" x14ac:dyDescent="0.25">
      <c r="O474770" s="9"/>
    </row>
    <row r="474791" spans="15:15" x14ac:dyDescent="0.25">
      <c r="O474791" s="9"/>
    </row>
    <row r="474812" spans="15:15" x14ac:dyDescent="0.25">
      <c r="O474812" s="9"/>
    </row>
    <row r="474833" spans="15:15" x14ac:dyDescent="0.25">
      <c r="O474833" s="9"/>
    </row>
    <row r="474854" spans="15:15" x14ac:dyDescent="0.25">
      <c r="O474854" s="9"/>
    </row>
    <row r="474875" spans="15:15" x14ac:dyDescent="0.25">
      <c r="O474875" s="9"/>
    </row>
    <row r="474896" spans="15:15" x14ac:dyDescent="0.25">
      <c r="O474896" s="9"/>
    </row>
    <row r="474917" spans="15:15" x14ac:dyDescent="0.25">
      <c r="O474917" s="9"/>
    </row>
    <row r="474938" spans="15:15" x14ac:dyDescent="0.25">
      <c r="O474938" s="9"/>
    </row>
    <row r="474959" spans="15:15" x14ac:dyDescent="0.25">
      <c r="O474959" s="9"/>
    </row>
    <row r="474980" spans="15:15" x14ac:dyDescent="0.25">
      <c r="O474980" s="9"/>
    </row>
    <row r="475001" spans="15:15" x14ac:dyDescent="0.25">
      <c r="O475001" s="9"/>
    </row>
    <row r="475022" spans="15:15" x14ac:dyDescent="0.25">
      <c r="O475022" s="9"/>
    </row>
    <row r="475043" spans="15:15" x14ac:dyDescent="0.25">
      <c r="O475043" s="9"/>
    </row>
    <row r="475064" spans="15:15" x14ac:dyDescent="0.25">
      <c r="O475064" s="9"/>
    </row>
    <row r="475085" spans="15:15" x14ac:dyDescent="0.25">
      <c r="O475085" s="9"/>
    </row>
    <row r="475106" spans="15:15" x14ac:dyDescent="0.25">
      <c r="O475106" s="9"/>
    </row>
    <row r="475127" spans="15:15" x14ac:dyDescent="0.25">
      <c r="O475127" s="9"/>
    </row>
    <row r="475148" spans="15:15" x14ac:dyDescent="0.25">
      <c r="O475148" s="9"/>
    </row>
    <row r="475169" spans="15:15" x14ac:dyDescent="0.25">
      <c r="O475169" s="9"/>
    </row>
    <row r="475190" spans="15:15" x14ac:dyDescent="0.25">
      <c r="O475190" s="9"/>
    </row>
    <row r="475211" spans="15:15" x14ac:dyDescent="0.25">
      <c r="O475211" s="9"/>
    </row>
    <row r="475232" spans="15:15" x14ac:dyDescent="0.25">
      <c r="O475232" s="9"/>
    </row>
    <row r="475253" spans="15:15" x14ac:dyDescent="0.25">
      <c r="O475253" s="9"/>
    </row>
    <row r="475274" spans="15:15" x14ac:dyDescent="0.25">
      <c r="O475274" s="9"/>
    </row>
    <row r="475295" spans="15:15" x14ac:dyDescent="0.25">
      <c r="O475295" s="9"/>
    </row>
    <row r="475316" spans="15:15" x14ac:dyDescent="0.25">
      <c r="O475316" s="9"/>
    </row>
    <row r="475337" spans="15:15" x14ac:dyDescent="0.25">
      <c r="O475337" s="9"/>
    </row>
    <row r="475358" spans="15:15" x14ac:dyDescent="0.25">
      <c r="O475358" s="9"/>
    </row>
    <row r="475379" spans="15:15" x14ac:dyDescent="0.25">
      <c r="O475379" s="9"/>
    </row>
    <row r="475400" spans="15:15" x14ac:dyDescent="0.25">
      <c r="O475400" s="9"/>
    </row>
    <row r="475421" spans="15:15" x14ac:dyDescent="0.25">
      <c r="O475421" s="9"/>
    </row>
    <row r="475442" spans="15:15" x14ac:dyDescent="0.25">
      <c r="O475442" s="9"/>
    </row>
    <row r="475463" spans="15:15" x14ac:dyDescent="0.25">
      <c r="O475463" s="9"/>
    </row>
    <row r="475484" spans="15:15" x14ac:dyDescent="0.25">
      <c r="O475484" s="9"/>
    </row>
    <row r="475505" spans="15:15" x14ac:dyDescent="0.25">
      <c r="O475505" s="9"/>
    </row>
    <row r="475526" spans="15:15" x14ac:dyDescent="0.25">
      <c r="O475526" s="9"/>
    </row>
    <row r="475547" spans="15:15" x14ac:dyDescent="0.25">
      <c r="O475547" s="9"/>
    </row>
    <row r="475568" spans="15:15" x14ac:dyDescent="0.25">
      <c r="O475568" s="9"/>
    </row>
    <row r="475589" spans="15:15" x14ac:dyDescent="0.25">
      <c r="O475589" s="9"/>
    </row>
    <row r="475610" spans="15:15" x14ac:dyDescent="0.25">
      <c r="O475610" s="9"/>
    </row>
    <row r="475631" spans="15:15" x14ac:dyDescent="0.25">
      <c r="O475631" s="9"/>
    </row>
    <row r="475652" spans="15:15" x14ac:dyDescent="0.25">
      <c r="O475652" s="9"/>
    </row>
    <row r="475673" spans="15:15" x14ac:dyDescent="0.25">
      <c r="O475673" s="9"/>
    </row>
    <row r="475694" spans="15:15" x14ac:dyDescent="0.25">
      <c r="O475694" s="9"/>
    </row>
    <row r="475715" spans="15:15" x14ac:dyDescent="0.25">
      <c r="O475715" s="9"/>
    </row>
    <row r="475736" spans="15:15" x14ac:dyDescent="0.25">
      <c r="O475736" s="9"/>
    </row>
    <row r="475757" spans="15:15" x14ac:dyDescent="0.25">
      <c r="O475757" s="9"/>
    </row>
    <row r="475778" spans="15:15" x14ac:dyDescent="0.25">
      <c r="O475778" s="9"/>
    </row>
    <row r="475799" spans="15:15" x14ac:dyDescent="0.25">
      <c r="O475799" s="9"/>
    </row>
    <row r="475820" spans="15:15" x14ac:dyDescent="0.25">
      <c r="O475820" s="9"/>
    </row>
    <row r="475841" spans="15:15" x14ac:dyDescent="0.25">
      <c r="O475841" s="9"/>
    </row>
    <row r="475862" spans="15:15" x14ac:dyDescent="0.25">
      <c r="O475862" s="9"/>
    </row>
    <row r="475883" spans="15:15" x14ac:dyDescent="0.25">
      <c r="O475883" s="9"/>
    </row>
    <row r="475904" spans="15:15" x14ac:dyDescent="0.25">
      <c r="O475904" s="9"/>
    </row>
    <row r="475925" spans="15:15" x14ac:dyDescent="0.25">
      <c r="O475925" s="9"/>
    </row>
    <row r="475946" spans="15:15" x14ac:dyDescent="0.25">
      <c r="O475946" s="9"/>
    </row>
    <row r="475967" spans="15:15" x14ac:dyDescent="0.25">
      <c r="O475967" s="9"/>
    </row>
    <row r="475988" spans="15:15" x14ac:dyDescent="0.25">
      <c r="O475988" s="9"/>
    </row>
    <row r="476009" spans="15:15" x14ac:dyDescent="0.25">
      <c r="O476009" s="9"/>
    </row>
    <row r="476030" spans="15:15" x14ac:dyDescent="0.25">
      <c r="O476030" s="9"/>
    </row>
    <row r="476051" spans="15:15" x14ac:dyDescent="0.25">
      <c r="O476051" s="9"/>
    </row>
    <row r="476072" spans="15:15" x14ac:dyDescent="0.25">
      <c r="O476072" s="9"/>
    </row>
    <row r="476093" spans="15:15" x14ac:dyDescent="0.25">
      <c r="O476093" s="9"/>
    </row>
    <row r="476114" spans="15:15" x14ac:dyDescent="0.25">
      <c r="O476114" s="9"/>
    </row>
    <row r="476135" spans="15:15" x14ac:dyDescent="0.25">
      <c r="O476135" s="9"/>
    </row>
    <row r="476156" spans="15:15" x14ac:dyDescent="0.25">
      <c r="O476156" s="9"/>
    </row>
    <row r="476177" spans="15:15" x14ac:dyDescent="0.25">
      <c r="O476177" s="9"/>
    </row>
    <row r="476198" spans="15:15" x14ac:dyDescent="0.25">
      <c r="O476198" s="9"/>
    </row>
    <row r="476219" spans="15:15" x14ac:dyDescent="0.25">
      <c r="O476219" s="9"/>
    </row>
    <row r="476240" spans="15:15" x14ac:dyDescent="0.25">
      <c r="O476240" s="9"/>
    </row>
    <row r="476261" spans="15:15" x14ac:dyDescent="0.25">
      <c r="O476261" s="9"/>
    </row>
    <row r="476282" spans="15:15" x14ac:dyDescent="0.25">
      <c r="O476282" s="9"/>
    </row>
    <row r="476303" spans="15:15" x14ac:dyDescent="0.25">
      <c r="O476303" s="9"/>
    </row>
    <row r="476324" spans="15:15" x14ac:dyDescent="0.25">
      <c r="O476324" s="9"/>
    </row>
    <row r="476345" spans="15:15" x14ac:dyDescent="0.25">
      <c r="O476345" s="9"/>
    </row>
    <row r="476366" spans="15:15" x14ac:dyDescent="0.25">
      <c r="O476366" s="9"/>
    </row>
    <row r="476387" spans="15:15" x14ac:dyDescent="0.25">
      <c r="O476387" s="9"/>
    </row>
    <row r="476408" spans="15:15" x14ac:dyDescent="0.25">
      <c r="O476408" s="9"/>
    </row>
    <row r="476429" spans="15:15" x14ac:dyDescent="0.25">
      <c r="O476429" s="9"/>
    </row>
    <row r="476450" spans="15:15" x14ac:dyDescent="0.25">
      <c r="O476450" s="9"/>
    </row>
    <row r="476471" spans="15:15" x14ac:dyDescent="0.25">
      <c r="O476471" s="9"/>
    </row>
    <row r="476492" spans="15:15" x14ac:dyDescent="0.25">
      <c r="O476492" s="9"/>
    </row>
    <row r="476513" spans="15:15" x14ac:dyDescent="0.25">
      <c r="O476513" s="9"/>
    </row>
    <row r="476534" spans="15:15" x14ac:dyDescent="0.25">
      <c r="O476534" s="9"/>
    </row>
    <row r="476555" spans="15:15" x14ac:dyDescent="0.25">
      <c r="O476555" s="9"/>
    </row>
    <row r="476576" spans="15:15" x14ac:dyDescent="0.25">
      <c r="O476576" s="9"/>
    </row>
    <row r="476597" spans="15:15" x14ac:dyDescent="0.25">
      <c r="O476597" s="9"/>
    </row>
    <row r="476618" spans="15:15" x14ac:dyDescent="0.25">
      <c r="O476618" s="9"/>
    </row>
    <row r="476639" spans="15:15" x14ac:dyDescent="0.25">
      <c r="O476639" s="9"/>
    </row>
    <row r="476660" spans="15:15" x14ac:dyDescent="0.25">
      <c r="O476660" s="9"/>
    </row>
    <row r="476681" spans="15:15" x14ac:dyDescent="0.25">
      <c r="O476681" s="9"/>
    </row>
    <row r="476702" spans="15:15" x14ac:dyDescent="0.25">
      <c r="O476702" s="9"/>
    </row>
    <row r="476723" spans="15:15" x14ac:dyDescent="0.25">
      <c r="O476723" s="9"/>
    </row>
    <row r="476744" spans="15:15" x14ac:dyDescent="0.25">
      <c r="O476744" s="9"/>
    </row>
    <row r="476765" spans="15:15" x14ac:dyDescent="0.25">
      <c r="O476765" s="9"/>
    </row>
    <row r="476786" spans="15:15" x14ac:dyDescent="0.25">
      <c r="O476786" s="9"/>
    </row>
    <row r="476807" spans="15:15" x14ac:dyDescent="0.25">
      <c r="O476807" s="9"/>
    </row>
    <row r="476828" spans="15:15" x14ac:dyDescent="0.25">
      <c r="O476828" s="9"/>
    </row>
    <row r="476849" spans="15:15" x14ac:dyDescent="0.25">
      <c r="O476849" s="9"/>
    </row>
    <row r="476870" spans="15:15" x14ac:dyDescent="0.25">
      <c r="O476870" s="9"/>
    </row>
    <row r="476891" spans="15:15" x14ac:dyDescent="0.25">
      <c r="O476891" s="9"/>
    </row>
    <row r="476912" spans="15:15" x14ac:dyDescent="0.25">
      <c r="O476912" s="9"/>
    </row>
    <row r="476933" spans="15:15" x14ac:dyDescent="0.25">
      <c r="O476933" s="9"/>
    </row>
    <row r="476954" spans="15:15" x14ac:dyDescent="0.25">
      <c r="O476954" s="9"/>
    </row>
    <row r="476975" spans="15:15" x14ac:dyDescent="0.25">
      <c r="O476975" s="9"/>
    </row>
    <row r="476996" spans="15:15" x14ac:dyDescent="0.25">
      <c r="O476996" s="9"/>
    </row>
    <row r="477017" spans="15:15" x14ac:dyDescent="0.25">
      <c r="O477017" s="9"/>
    </row>
    <row r="477038" spans="15:15" x14ac:dyDescent="0.25">
      <c r="O477038" s="9"/>
    </row>
    <row r="477059" spans="15:15" x14ac:dyDescent="0.25">
      <c r="O477059" s="9"/>
    </row>
    <row r="477080" spans="15:15" x14ac:dyDescent="0.25">
      <c r="O477080" s="9"/>
    </row>
    <row r="477101" spans="15:15" x14ac:dyDescent="0.25">
      <c r="O477101" s="9"/>
    </row>
    <row r="477122" spans="15:15" x14ac:dyDescent="0.25">
      <c r="O477122" s="9"/>
    </row>
    <row r="477143" spans="15:15" x14ac:dyDescent="0.25">
      <c r="O477143" s="9"/>
    </row>
    <row r="477164" spans="15:15" x14ac:dyDescent="0.25">
      <c r="O477164" s="9"/>
    </row>
    <row r="477185" spans="15:15" x14ac:dyDescent="0.25">
      <c r="O477185" s="9"/>
    </row>
    <row r="477206" spans="15:15" x14ac:dyDescent="0.25">
      <c r="O477206" s="9"/>
    </row>
    <row r="477227" spans="15:15" x14ac:dyDescent="0.25">
      <c r="O477227" s="9"/>
    </row>
    <row r="477248" spans="15:15" x14ac:dyDescent="0.25">
      <c r="O477248" s="9"/>
    </row>
    <row r="477269" spans="15:15" x14ac:dyDescent="0.25">
      <c r="O477269" s="9"/>
    </row>
    <row r="477290" spans="15:15" x14ac:dyDescent="0.25">
      <c r="O477290" s="9"/>
    </row>
    <row r="477311" spans="15:15" x14ac:dyDescent="0.25">
      <c r="O477311" s="9"/>
    </row>
    <row r="477332" spans="15:15" x14ac:dyDescent="0.25">
      <c r="O477332" s="9"/>
    </row>
    <row r="477353" spans="15:15" x14ac:dyDescent="0.25">
      <c r="O477353" s="9"/>
    </row>
    <row r="477374" spans="15:15" x14ac:dyDescent="0.25">
      <c r="O477374" s="9"/>
    </row>
    <row r="477395" spans="15:15" x14ac:dyDescent="0.25">
      <c r="O477395" s="9"/>
    </row>
    <row r="477416" spans="15:15" x14ac:dyDescent="0.25">
      <c r="O477416" s="9"/>
    </row>
    <row r="477437" spans="15:15" x14ac:dyDescent="0.25">
      <c r="O477437" s="9"/>
    </row>
    <row r="477458" spans="15:15" x14ac:dyDescent="0.25">
      <c r="O477458" s="9"/>
    </row>
    <row r="477479" spans="15:15" x14ac:dyDescent="0.25">
      <c r="O477479" s="9"/>
    </row>
    <row r="477500" spans="15:15" x14ac:dyDescent="0.25">
      <c r="O477500" s="9"/>
    </row>
    <row r="477521" spans="15:15" x14ac:dyDescent="0.25">
      <c r="O477521" s="9"/>
    </row>
    <row r="477542" spans="15:15" x14ac:dyDescent="0.25">
      <c r="O477542" s="9"/>
    </row>
    <row r="477563" spans="15:15" x14ac:dyDescent="0.25">
      <c r="O477563" s="9"/>
    </row>
    <row r="477584" spans="15:15" x14ac:dyDescent="0.25">
      <c r="O477584" s="9"/>
    </row>
    <row r="477605" spans="15:15" x14ac:dyDescent="0.25">
      <c r="O477605" s="9"/>
    </row>
    <row r="477626" spans="15:15" x14ac:dyDescent="0.25">
      <c r="O477626" s="9"/>
    </row>
    <row r="477647" spans="15:15" x14ac:dyDescent="0.25">
      <c r="O477647" s="9"/>
    </row>
    <row r="477668" spans="15:15" x14ac:dyDescent="0.25">
      <c r="O477668" s="9"/>
    </row>
    <row r="477689" spans="15:15" x14ac:dyDescent="0.25">
      <c r="O477689" s="9"/>
    </row>
    <row r="477710" spans="15:15" x14ac:dyDescent="0.25">
      <c r="O477710" s="9"/>
    </row>
    <row r="477731" spans="15:15" x14ac:dyDescent="0.25">
      <c r="O477731" s="9"/>
    </row>
    <row r="477752" spans="15:15" x14ac:dyDescent="0.25">
      <c r="O477752" s="9"/>
    </row>
    <row r="477773" spans="15:15" x14ac:dyDescent="0.25">
      <c r="O477773" s="9"/>
    </row>
    <row r="477794" spans="15:15" x14ac:dyDescent="0.25">
      <c r="O477794" s="9"/>
    </row>
    <row r="477815" spans="15:15" x14ac:dyDescent="0.25">
      <c r="O477815" s="9"/>
    </row>
    <row r="477836" spans="15:15" x14ac:dyDescent="0.25">
      <c r="O477836" s="9"/>
    </row>
    <row r="477857" spans="15:15" x14ac:dyDescent="0.25">
      <c r="O477857" s="9"/>
    </row>
    <row r="477878" spans="15:15" x14ac:dyDescent="0.25">
      <c r="O477878" s="9"/>
    </row>
    <row r="477899" spans="15:15" x14ac:dyDescent="0.25">
      <c r="O477899" s="9"/>
    </row>
    <row r="477920" spans="15:15" x14ac:dyDescent="0.25">
      <c r="O477920" s="9"/>
    </row>
    <row r="477941" spans="15:15" x14ac:dyDescent="0.25">
      <c r="O477941" s="9"/>
    </row>
    <row r="477962" spans="15:15" x14ac:dyDescent="0.25">
      <c r="O477962" s="9"/>
    </row>
    <row r="477983" spans="15:15" x14ac:dyDescent="0.25">
      <c r="O477983" s="9"/>
    </row>
    <row r="478004" spans="15:15" x14ac:dyDescent="0.25">
      <c r="O478004" s="9"/>
    </row>
    <row r="478025" spans="15:15" x14ac:dyDescent="0.25">
      <c r="O478025" s="9"/>
    </row>
    <row r="478046" spans="15:15" x14ac:dyDescent="0.25">
      <c r="O478046" s="9"/>
    </row>
    <row r="478067" spans="15:15" x14ac:dyDescent="0.25">
      <c r="O478067" s="9"/>
    </row>
    <row r="478088" spans="15:15" x14ac:dyDescent="0.25">
      <c r="O478088" s="9"/>
    </row>
    <row r="478109" spans="15:15" x14ac:dyDescent="0.25">
      <c r="O478109" s="9"/>
    </row>
    <row r="478130" spans="15:15" x14ac:dyDescent="0.25">
      <c r="O478130" s="9"/>
    </row>
    <row r="478151" spans="15:15" x14ac:dyDescent="0.25">
      <c r="O478151" s="9"/>
    </row>
    <row r="478172" spans="15:15" x14ac:dyDescent="0.25">
      <c r="O478172" s="9"/>
    </row>
    <row r="478193" spans="15:15" x14ac:dyDescent="0.25">
      <c r="O478193" s="9"/>
    </row>
    <row r="478214" spans="15:15" x14ac:dyDescent="0.25">
      <c r="O478214" s="9"/>
    </row>
    <row r="478235" spans="15:15" x14ac:dyDescent="0.25">
      <c r="O478235" s="9"/>
    </row>
    <row r="478256" spans="15:15" x14ac:dyDescent="0.25">
      <c r="O478256" s="9"/>
    </row>
    <row r="478277" spans="15:15" x14ac:dyDescent="0.25">
      <c r="O478277" s="9"/>
    </row>
    <row r="478298" spans="15:15" x14ac:dyDescent="0.25">
      <c r="O478298" s="9"/>
    </row>
    <row r="478319" spans="15:15" x14ac:dyDescent="0.25">
      <c r="O478319" s="9"/>
    </row>
    <row r="478340" spans="15:15" x14ac:dyDescent="0.25">
      <c r="O478340" s="9"/>
    </row>
    <row r="478361" spans="15:15" x14ac:dyDescent="0.25">
      <c r="O478361" s="9"/>
    </row>
    <row r="478382" spans="15:15" x14ac:dyDescent="0.25">
      <c r="O478382" s="9"/>
    </row>
    <row r="478403" spans="15:15" x14ac:dyDescent="0.25">
      <c r="O478403" s="9"/>
    </row>
    <row r="478424" spans="15:15" x14ac:dyDescent="0.25">
      <c r="O478424" s="9"/>
    </row>
    <row r="478445" spans="15:15" x14ac:dyDescent="0.25">
      <c r="O478445" s="9"/>
    </row>
    <row r="478466" spans="15:15" x14ac:dyDescent="0.25">
      <c r="O478466" s="9"/>
    </row>
    <row r="478487" spans="15:15" x14ac:dyDescent="0.25">
      <c r="O478487" s="9"/>
    </row>
    <row r="478508" spans="15:15" x14ac:dyDescent="0.25">
      <c r="O478508" s="9"/>
    </row>
    <row r="478529" spans="15:15" x14ac:dyDescent="0.25">
      <c r="O478529" s="9"/>
    </row>
    <row r="478550" spans="15:15" x14ac:dyDescent="0.25">
      <c r="O478550" s="9"/>
    </row>
    <row r="478571" spans="15:15" x14ac:dyDescent="0.25">
      <c r="O478571" s="9"/>
    </row>
    <row r="478592" spans="15:15" x14ac:dyDescent="0.25">
      <c r="O478592" s="9"/>
    </row>
    <row r="478613" spans="15:15" x14ac:dyDescent="0.25">
      <c r="O478613" s="9"/>
    </row>
    <row r="478634" spans="15:15" x14ac:dyDescent="0.25">
      <c r="O478634" s="9"/>
    </row>
    <row r="478655" spans="15:15" x14ac:dyDescent="0.25">
      <c r="O478655" s="9"/>
    </row>
    <row r="478676" spans="15:15" x14ac:dyDescent="0.25">
      <c r="O478676" s="9"/>
    </row>
    <row r="478697" spans="15:15" x14ac:dyDescent="0.25">
      <c r="O478697" s="9"/>
    </row>
    <row r="478718" spans="15:15" x14ac:dyDescent="0.25">
      <c r="O478718" s="9"/>
    </row>
    <row r="478739" spans="15:15" x14ac:dyDescent="0.25">
      <c r="O478739" s="9"/>
    </row>
    <row r="478760" spans="15:15" x14ac:dyDescent="0.25">
      <c r="O478760" s="9"/>
    </row>
    <row r="478781" spans="15:15" x14ac:dyDescent="0.25">
      <c r="O478781" s="9"/>
    </row>
    <row r="478802" spans="15:15" x14ac:dyDescent="0.25">
      <c r="O478802" s="9"/>
    </row>
    <row r="478823" spans="15:15" x14ac:dyDescent="0.25">
      <c r="O478823" s="9"/>
    </row>
    <row r="478844" spans="15:15" x14ac:dyDescent="0.25">
      <c r="O478844" s="9"/>
    </row>
    <row r="478865" spans="15:15" x14ac:dyDescent="0.25">
      <c r="O478865" s="9"/>
    </row>
    <row r="478886" spans="15:15" x14ac:dyDescent="0.25">
      <c r="O478886" s="9"/>
    </row>
    <row r="478907" spans="15:15" x14ac:dyDescent="0.25">
      <c r="O478907" s="9"/>
    </row>
    <row r="478928" spans="15:15" x14ac:dyDescent="0.25">
      <c r="O478928" s="9"/>
    </row>
    <row r="478949" spans="15:15" x14ac:dyDescent="0.25">
      <c r="O478949" s="9"/>
    </row>
    <row r="478970" spans="15:15" x14ac:dyDescent="0.25">
      <c r="O478970" s="9"/>
    </row>
    <row r="478991" spans="15:15" x14ac:dyDescent="0.25">
      <c r="O478991" s="9"/>
    </row>
    <row r="479012" spans="15:15" x14ac:dyDescent="0.25">
      <c r="O479012" s="9"/>
    </row>
    <row r="479033" spans="15:15" x14ac:dyDescent="0.25">
      <c r="O479033" s="9"/>
    </row>
    <row r="479054" spans="15:15" x14ac:dyDescent="0.25">
      <c r="O479054" s="9"/>
    </row>
    <row r="479075" spans="15:15" x14ac:dyDescent="0.25">
      <c r="O479075" s="9"/>
    </row>
    <row r="479096" spans="15:15" x14ac:dyDescent="0.25">
      <c r="O479096" s="9"/>
    </row>
    <row r="479117" spans="15:15" x14ac:dyDescent="0.25">
      <c r="O479117" s="9"/>
    </row>
    <row r="479138" spans="15:15" x14ac:dyDescent="0.25">
      <c r="O479138" s="9"/>
    </row>
    <row r="479159" spans="15:15" x14ac:dyDescent="0.25">
      <c r="O479159" s="9"/>
    </row>
    <row r="479180" spans="15:15" x14ac:dyDescent="0.25">
      <c r="O479180" s="9"/>
    </row>
    <row r="479201" spans="15:15" x14ac:dyDescent="0.25">
      <c r="O479201" s="9"/>
    </row>
    <row r="479222" spans="15:15" x14ac:dyDescent="0.25">
      <c r="O479222" s="9"/>
    </row>
    <row r="479243" spans="15:15" x14ac:dyDescent="0.25">
      <c r="O479243" s="9"/>
    </row>
    <row r="479264" spans="15:15" x14ac:dyDescent="0.25">
      <c r="O479264" s="9"/>
    </row>
    <row r="479285" spans="15:15" x14ac:dyDescent="0.25">
      <c r="O479285" s="9"/>
    </row>
    <row r="479306" spans="15:15" x14ac:dyDescent="0.25">
      <c r="O479306" s="9"/>
    </row>
    <row r="479327" spans="15:15" x14ac:dyDescent="0.25">
      <c r="O479327" s="9"/>
    </row>
    <row r="479348" spans="15:15" x14ac:dyDescent="0.25">
      <c r="O479348" s="9"/>
    </row>
    <row r="479369" spans="15:15" x14ac:dyDescent="0.25">
      <c r="O479369" s="9"/>
    </row>
    <row r="479390" spans="15:15" x14ac:dyDescent="0.25">
      <c r="O479390" s="9"/>
    </row>
    <row r="479411" spans="15:15" x14ac:dyDescent="0.25">
      <c r="O479411" s="9"/>
    </row>
    <row r="479432" spans="15:15" x14ac:dyDescent="0.25">
      <c r="O479432" s="9"/>
    </row>
    <row r="479453" spans="15:15" x14ac:dyDescent="0.25">
      <c r="O479453" s="9"/>
    </row>
    <row r="479474" spans="15:15" x14ac:dyDescent="0.25">
      <c r="O479474" s="9"/>
    </row>
    <row r="479495" spans="15:15" x14ac:dyDescent="0.25">
      <c r="O479495" s="9"/>
    </row>
    <row r="479516" spans="15:15" x14ac:dyDescent="0.25">
      <c r="O479516" s="9"/>
    </row>
    <row r="479537" spans="15:15" x14ac:dyDescent="0.25">
      <c r="O479537" s="9"/>
    </row>
    <row r="479558" spans="15:15" x14ac:dyDescent="0.25">
      <c r="O479558" s="9"/>
    </row>
    <row r="479579" spans="15:15" x14ac:dyDescent="0.25">
      <c r="O479579" s="9"/>
    </row>
    <row r="479600" spans="15:15" x14ac:dyDescent="0.25">
      <c r="O479600" s="9"/>
    </row>
    <row r="479621" spans="15:15" x14ac:dyDescent="0.25">
      <c r="O479621" s="9"/>
    </row>
    <row r="479642" spans="15:15" x14ac:dyDescent="0.25">
      <c r="O479642" s="9"/>
    </row>
    <row r="479663" spans="15:15" x14ac:dyDescent="0.25">
      <c r="O479663" s="9"/>
    </row>
    <row r="479684" spans="15:15" x14ac:dyDescent="0.25">
      <c r="O479684" s="9"/>
    </row>
    <row r="479705" spans="15:15" x14ac:dyDescent="0.25">
      <c r="O479705" s="9"/>
    </row>
    <row r="479726" spans="15:15" x14ac:dyDescent="0.25">
      <c r="O479726" s="9"/>
    </row>
    <row r="479747" spans="15:15" x14ac:dyDescent="0.25">
      <c r="O479747" s="9"/>
    </row>
    <row r="479768" spans="15:15" x14ac:dyDescent="0.25">
      <c r="O479768" s="9"/>
    </row>
    <row r="479789" spans="15:15" x14ac:dyDescent="0.25">
      <c r="O479789" s="9"/>
    </row>
    <row r="479810" spans="15:15" x14ac:dyDescent="0.25">
      <c r="O479810" s="9"/>
    </row>
    <row r="479831" spans="15:15" x14ac:dyDescent="0.25">
      <c r="O479831" s="9"/>
    </row>
    <row r="479852" spans="15:15" x14ac:dyDescent="0.25">
      <c r="O479852" s="9"/>
    </row>
    <row r="479873" spans="15:15" x14ac:dyDescent="0.25">
      <c r="O479873" s="9"/>
    </row>
    <row r="479894" spans="15:15" x14ac:dyDescent="0.25">
      <c r="O479894" s="9"/>
    </row>
    <row r="479915" spans="15:15" x14ac:dyDescent="0.25">
      <c r="O479915" s="9"/>
    </row>
    <row r="479936" spans="15:15" x14ac:dyDescent="0.25">
      <c r="O479936" s="9"/>
    </row>
    <row r="479957" spans="15:15" x14ac:dyDescent="0.25">
      <c r="O479957" s="9"/>
    </row>
    <row r="479978" spans="15:15" x14ac:dyDescent="0.25">
      <c r="O479978" s="9"/>
    </row>
    <row r="479999" spans="15:15" x14ac:dyDescent="0.25">
      <c r="O479999" s="9"/>
    </row>
    <row r="480020" spans="15:15" x14ac:dyDescent="0.25">
      <c r="O480020" s="9"/>
    </row>
    <row r="480041" spans="15:15" x14ac:dyDescent="0.25">
      <c r="O480041" s="9"/>
    </row>
    <row r="480062" spans="15:15" x14ac:dyDescent="0.25">
      <c r="O480062" s="9"/>
    </row>
    <row r="480083" spans="15:15" x14ac:dyDescent="0.25">
      <c r="O480083" s="9"/>
    </row>
    <row r="480104" spans="15:15" x14ac:dyDescent="0.25">
      <c r="O480104" s="9"/>
    </row>
    <row r="480125" spans="15:15" x14ac:dyDescent="0.25">
      <c r="O480125" s="9"/>
    </row>
    <row r="480146" spans="15:15" x14ac:dyDescent="0.25">
      <c r="O480146" s="9"/>
    </row>
    <row r="480167" spans="15:15" x14ac:dyDescent="0.25">
      <c r="O480167" s="9"/>
    </row>
    <row r="480188" spans="15:15" x14ac:dyDescent="0.25">
      <c r="O480188" s="9"/>
    </row>
    <row r="480209" spans="15:15" x14ac:dyDescent="0.25">
      <c r="O480209" s="9"/>
    </row>
    <row r="480230" spans="15:15" x14ac:dyDescent="0.25">
      <c r="O480230" s="9"/>
    </row>
    <row r="480251" spans="15:15" x14ac:dyDescent="0.25">
      <c r="O480251" s="9"/>
    </row>
    <row r="480272" spans="15:15" x14ac:dyDescent="0.25">
      <c r="O480272" s="9"/>
    </row>
    <row r="480293" spans="15:15" x14ac:dyDescent="0.25">
      <c r="O480293" s="9"/>
    </row>
    <row r="480314" spans="15:15" x14ac:dyDescent="0.25">
      <c r="O480314" s="9"/>
    </row>
    <row r="480335" spans="15:15" x14ac:dyDescent="0.25">
      <c r="O480335" s="9"/>
    </row>
    <row r="480356" spans="15:15" x14ac:dyDescent="0.25">
      <c r="O480356" s="9"/>
    </row>
    <row r="480377" spans="15:15" x14ac:dyDescent="0.25">
      <c r="O480377" s="9"/>
    </row>
    <row r="480398" spans="15:15" x14ac:dyDescent="0.25">
      <c r="O480398" s="9"/>
    </row>
    <row r="480419" spans="15:15" x14ac:dyDescent="0.25">
      <c r="O480419" s="9"/>
    </row>
    <row r="480440" spans="15:15" x14ac:dyDescent="0.25">
      <c r="O480440" s="9"/>
    </row>
    <row r="480461" spans="15:15" x14ac:dyDescent="0.25">
      <c r="O480461" s="9"/>
    </row>
    <row r="480482" spans="15:15" x14ac:dyDescent="0.25">
      <c r="O480482" s="9"/>
    </row>
    <row r="480503" spans="15:15" x14ac:dyDescent="0.25">
      <c r="O480503" s="9"/>
    </row>
    <row r="480524" spans="15:15" x14ac:dyDescent="0.25">
      <c r="O480524" s="9"/>
    </row>
    <row r="480545" spans="15:15" x14ac:dyDescent="0.25">
      <c r="O480545" s="9"/>
    </row>
    <row r="480566" spans="15:15" x14ac:dyDescent="0.25">
      <c r="O480566" s="9"/>
    </row>
    <row r="480587" spans="15:15" x14ac:dyDescent="0.25">
      <c r="O480587" s="9"/>
    </row>
    <row r="480608" spans="15:15" x14ac:dyDescent="0.25">
      <c r="O480608" s="9"/>
    </row>
    <row r="480629" spans="15:15" x14ac:dyDescent="0.25">
      <c r="O480629" s="9"/>
    </row>
    <row r="480650" spans="15:15" x14ac:dyDescent="0.25">
      <c r="O480650" s="9"/>
    </row>
    <row r="480671" spans="15:15" x14ac:dyDescent="0.25">
      <c r="O480671" s="9"/>
    </row>
    <row r="480692" spans="15:15" x14ac:dyDescent="0.25">
      <c r="O480692" s="9"/>
    </row>
    <row r="480713" spans="15:15" x14ac:dyDescent="0.25">
      <c r="O480713" s="9"/>
    </row>
    <row r="480734" spans="15:15" x14ac:dyDescent="0.25">
      <c r="O480734" s="9"/>
    </row>
    <row r="480755" spans="15:15" x14ac:dyDescent="0.25">
      <c r="O480755" s="9"/>
    </row>
    <row r="480776" spans="15:15" x14ac:dyDescent="0.25">
      <c r="O480776" s="9"/>
    </row>
    <row r="480797" spans="15:15" x14ac:dyDescent="0.25">
      <c r="O480797" s="9"/>
    </row>
    <row r="480818" spans="15:15" x14ac:dyDescent="0.25">
      <c r="O480818" s="9"/>
    </row>
    <row r="480839" spans="15:15" x14ac:dyDescent="0.25">
      <c r="O480839" s="9"/>
    </row>
    <row r="480860" spans="15:15" x14ac:dyDescent="0.25">
      <c r="O480860" s="9"/>
    </row>
    <row r="480881" spans="15:15" x14ac:dyDescent="0.25">
      <c r="O480881" s="9"/>
    </row>
    <row r="480902" spans="15:15" x14ac:dyDescent="0.25">
      <c r="O480902" s="9"/>
    </row>
    <row r="480923" spans="15:15" x14ac:dyDescent="0.25">
      <c r="O480923" s="9"/>
    </row>
    <row r="480944" spans="15:15" x14ac:dyDescent="0.25">
      <c r="O480944" s="9"/>
    </row>
    <row r="480965" spans="15:15" x14ac:dyDescent="0.25">
      <c r="O480965" s="9"/>
    </row>
    <row r="480986" spans="15:15" x14ac:dyDescent="0.25">
      <c r="O480986" s="9"/>
    </row>
    <row r="481007" spans="15:15" x14ac:dyDescent="0.25">
      <c r="O481007" s="9"/>
    </row>
    <row r="481028" spans="15:15" x14ac:dyDescent="0.25">
      <c r="O481028" s="9"/>
    </row>
    <row r="481049" spans="15:15" x14ac:dyDescent="0.25">
      <c r="O481049" s="9"/>
    </row>
    <row r="481070" spans="15:15" x14ac:dyDescent="0.25">
      <c r="O481070" s="9"/>
    </row>
    <row r="481091" spans="15:15" x14ac:dyDescent="0.25">
      <c r="O481091" s="9"/>
    </row>
    <row r="481112" spans="15:15" x14ac:dyDescent="0.25">
      <c r="O481112" s="9"/>
    </row>
    <row r="481133" spans="15:15" x14ac:dyDescent="0.25">
      <c r="O481133" s="9"/>
    </row>
    <row r="481154" spans="15:15" x14ac:dyDescent="0.25">
      <c r="O481154" s="9"/>
    </row>
    <row r="481175" spans="15:15" x14ac:dyDescent="0.25">
      <c r="O481175" s="9"/>
    </row>
    <row r="481196" spans="15:15" x14ac:dyDescent="0.25">
      <c r="O481196" s="9"/>
    </row>
    <row r="481217" spans="15:15" x14ac:dyDescent="0.25">
      <c r="O481217" s="9"/>
    </row>
    <row r="481238" spans="15:15" x14ac:dyDescent="0.25">
      <c r="O481238" s="9"/>
    </row>
    <row r="481259" spans="15:15" x14ac:dyDescent="0.25">
      <c r="O481259" s="9"/>
    </row>
    <row r="481280" spans="15:15" x14ac:dyDescent="0.25">
      <c r="O481280" s="9"/>
    </row>
    <row r="481301" spans="15:15" x14ac:dyDescent="0.25">
      <c r="O481301" s="9"/>
    </row>
    <row r="481322" spans="15:15" x14ac:dyDescent="0.25">
      <c r="O481322" s="9"/>
    </row>
    <row r="481343" spans="15:15" x14ac:dyDescent="0.25">
      <c r="O481343" s="9"/>
    </row>
    <row r="481364" spans="15:15" x14ac:dyDescent="0.25">
      <c r="O481364" s="9"/>
    </row>
    <row r="481385" spans="15:15" x14ac:dyDescent="0.25">
      <c r="O481385" s="9"/>
    </row>
    <row r="481406" spans="15:15" x14ac:dyDescent="0.25">
      <c r="O481406" s="9"/>
    </row>
    <row r="481427" spans="15:15" x14ac:dyDescent="0.25">
      <c r="O481427" s="9"/>
    </row>
    <row r="481448" spans="15:15" x14ac:dyDescent="0.25">
      <c r="O481448" s="9"/>
    </row>
    <row r="481469" spans="15:15" x14ac:dyDescent="0.25">
      <c r="O481469" s="9"/>
    </row>
    <row r="481490" spans="15:15" x14ac:dyDescent="0.25">
      <c r="O481490" s="9"/>
    </row>
    <row r="481511" spans="15:15" x14ac:dyDescent="0.25">
      <c r="O481511" s="9"/>
    </row>
    <row r="481532" spans="15:15" x14ac:dyDescent="0.25">
      <c r="O481532" s="9"/>
    </row>
    <row r="481553" spans="15:15" x14ac:dyDescent="0.25">
      <c r="O481553" s="9"/>
    </row>
    <row r="481574" spans="15:15" x14ac:dyDescent="0.25">
      <c r="O481574" s="9"/>
    </row>
    <row r="481595" spans="15:15" x14ac:dyDescent="0.25">
      <c r="O481595" s="9"/>
    </row>
    <row r="481616" spans="15:15" x14ac:dyDescent="0.25">
      <c r="O481616" s="9"/>
    </row>
    <row r="481637" spans="15:15" x14ac:dyDescent="0.25">
      <c r="O481637" s="9"/>
    </row>
    <row r="481658" spans="15:15" x14ac:dyDescent="0.25">
      <c r="O481658" s="9"/>
    </row>
    <row r="481679" spans="15:15" x14ac:dyDescent="0.25">
      <c r="O481679" s="9"/>
    </row>
    <row r="481700" spans="15:15" x14ac:dyDescent="0.25">
      <c r="O481700" s="9"/>
    </row>
    <row r="481721" spans="15:15" x14ac:dyDescent="0.25">
      <c r="O481721" s="9"/>
    </row>
    <row r="481742" spans="15:15" x14ac:dyDescent="0.25">
      <c r="O481742" s="9"/>
    </row>
    <row r="481763" spans="15:15" x14ac:dyDescent="0.25">
      <c r="O481763" s="9"/>
    </row>
    <row r="481784" spans="15:15" x14ac:dyDescent="0.25">
      <c r="O481784" s="9"/>
    </row>
    <row r="481805" spans="15:15" x14ac:dyDescent="0.25">
      <c r="O481805" s="9"/>
    </row>
    <row r="481826" spans="15:15" x14ac:dyDescent="0.25">
      <c r="O481826" s="9"/>
    </row>
    <row r="481847" spans="15:15" x14ac:dyDescent="0.25">
      <c r="O481847" s="9"/>
    </row>
    <row r="481868" spans="15:15" x14ac:dyDescent="0.25">
      <c r="O481868" s="9"/>
    </row>
    <row r="481889" spans="15:15" x14ac:dyDescent="0.25">
      <c r="O481889" s="9"/>
    </row>
    <row r="481910" spans="15:15" x14ac:dyDescent="0.25">
      <c r="O481910" s="9"/>
    </row>
    <row r="481931" spans="15:15" x14ac:dyDescent="0.25">
      <c r="O481931" s="9"/>
    </row>
    <row r="481952" spans="15:15" x14ac:dyDescent="0.25">
      <c r="O481952" s="9"/>
    </row>
    <row r="481973" spans="15:15" x14ac:dyDescent="0.25">
      <c r="O481973" s="9"/>
    </row>
    <row r="481994" spans="15:15" x14ac:dyDescent="0.25">
      <c r="O481994" s="9"/>
    </row>
    <row r="482015" spans="15:15" x14ac:dyDescent="0.25">
      <c r="O482015" s="9"/>
    </row>
    <row r="482036" spans="15:15" x14ac:dyDescent="0.25">
      <c r="O482036" s="9"/>
    </row>
    <row r="482057" spans="15:15" x14ac:dyDescent="0.25">
      <c r="O482057" s="9"/>
    </row>
    <row r="482078" spans="15:15" x14ac:dyDescent="0.25">
      <c r="O482078" s="9"/>
    </row>
    <row r="482099" spans="15:15" x14ac:dyDescent="0.25">
      <c r="O482099" s="9"/>
    </row>
    <row r="482120" spans="15:15" x14ac:dyDescent="0.25">
      <c r="O482120" s="9"/>
    </row>
    <row r="482141" spans="15:15" x14ac:dyDescent="0.25">
      <c r="O482141" s="9"/>
    </row>
    <row r="482162" spans="15:15" x14ac:dyDescent="0.25">
      <c r="O482162" s="9"/>
    </row>
    <row r="482183" spans="15:15" x14ac:dyDescent="0.25">
      <c r="O482183" s="9"/>
    </row>
    <row r="482204" spans="15:15" x14ac:dyDescent="0.25">
      <c r="O482204" s="9"/>
    </row>
    <row r="482225" spans="15:15" x14ac:dyDescent="0.25">
      <c r="O482225" s="9"/>
    </row>
    <row r="482246" spans="15:15" x14ac:dyDescent="0.25">
      <c r="O482246" s="9"/>
    </row>
    <row r="482267" spans="15:15" x14ac:dyDescent="0.25">
      <c r="O482267" s="9"/>
    </row>
    <row r="482288" spans="15:15" x14ac:dyDescent="0.25">
      <c r="O482288" s="9"/>
    </row>
    <row r="482309" spans="15:15" x14ac:dyDescent="0.25">
      <c r="O482309" s="9"/>
    </row>
    <row r="482330" spans="15:15" x14ac:dyDescent="0.25">
      <c r="O482330" s="9"/>
    </row>
    <row r="482351" spans="15:15" x14ac:dyDescent="0.25">
      <c r="O482351" s="9"/>
    </row>
    <row r="482372" spans="15:15" x14ac:dyDescent="0.25">
      <c r="O482372" s="9"/>
    </row>
    <row r="482393" spans="15:15" x14ac:dyDescent="0.25">
      <c r="O482393" s="9"/>
    </row>
    <row r="482414" spans="15:15" x14ac:dyDescent="0.25">
      <c r="O482414" s="9"/>
    </row>
    <row r="482435" spans="15:15" x14ac:dyDescent="0.25">
      <c r="O482435" s="9"/>
    </row>
    <row r="482456" spans="15:15" x14ac:dyDescent="0.25">
      <c r="O482456" s="9"/>
    </row>
    <row r="482477" spans="15:15" x14ac:dyDescent="0.25">
      <c r="O482477" s="9"/>
    </row>
    <row r="482498" spans="15:15" x14ac:dyDescent="0.25">
      <c r="O482498" s="9"/>
    </row>
    <row r="482519" spans="15:15" x14ac:dyDescent="0.25">
      <c r="O482519" s="9"/>
    </row>
    <row r="482540" spans="15:15" x14ac:dyDescent="0.25">
      <c r="O482540" s="9"/>
    </row>
    <row r="482561" spans="15:15" x14ac:dyDescent="0.25">
      <c r="O482561" s="9"/>
    </row>
    <row r="482582" spans="15:15" x14ac:dyDescent="0.25">
      <c r="O482582" s="9"/>
    </row>
    <row r="482603" spans="15:15" x14ac:dyDescent="0.25">
      <c r="O482603" s="9"/>
    </row>
    <row r="482624" spans="15:15" x14ac:dyDescent="0.25">
      <c r="O482624" s="9"/>
    </row>
    <row r="482645" spans="15:15" x14ac:dyDescent="0.25">
      <c r="O482645" s="9"/>
    </row>
    <row r="482666" spans="15:15" x14ac:dyDescent="0.25">
      <c r="O482666" s="9"/>
    </row>
    <row r="482687" spans="15:15" x14ac:dyDescent="0.25">
      <c r="O482687" s="9"/>
    </row>
    <row r="482708" spans="15:15" x14ac:dyDescent="0.25">
      <c r="O482708" s="9"/>
    </row>
    <row r="482729" spans="15:15" x14ac:dyDescent="0.25">
      <c r="O482729" s="9"/>
    </row>
    <row r="482750" spans="15:15" x14ac:dyDescent="0.25">
      <c r="O482750" s="9"/>
    </row>
    <row r="482771" spans="15:15" x14ac:dyDescent="0.25">
      <c r="O482771" s="9"/>
    </row>
    <row r="482792" spans="15:15" x14ac:dyDescent="0.25">
      <c r="O482792" s="9"/>
    </row>
    <row r="482813" spans="15:15" x14ac:dyDescent="0.25">
      <c r="O482813" s="9"/>
    </row>
    <row r="482834" spans="15:15" x14ac:dyDescent="0.25">
      <c r="O482834" s="9"/>
    </row>
    <row r="482855" spans="15:15" x14ac:dyDescent="0.25">
      <c r="O482855" s="9"/>
    </row>
    <row r="482876" spans="15:15" x14ac:dyDescent="0.25">
      <c r="O482876" s="9"/>
    </row>
    <row r="482897" spans="15:15" x14ac:dyDescent="0.25">
      <c r="O482897" s="9"/>
    </row>
    <row r="482918" spans="15:15" x14ac:dyDescent="0.25">
      <c r="O482918" s="9"/>
    </row>
    <row r="482939" spans="15:15" x14ac:dyDescent="0.25">
      <c r="O482939" s="9"/>
    </row>
    <row r="482960" spans="15:15" x14ac:dyDescent="0.25">
      <c r="O482960" s="9"/>
    </row>
    <row r="482981" spans="15:15" x14ac:dyDescent="0.25">
      <c r="O482981" s="9"/>
    </row>
    <row r="483002" spans="15:15" x14ac:dyDescent="0.25">
      <c r="O483002" s="9"/>
    </row>
    <row r="483023" spans="15:15" x14ac:dyDescent="0.25">
      <c r="O483023" s="9"/>
    </row>
    <row r="483044" spans="15:15" x14ac:dyDescent="0.25">
      <c r="O483044" s="9"/>
    </row>
    <row r="483065" spans="15:15" x14ac:dyDescent="0.25">
      <c r="O483065" s="9"/>
    </row>
    <row r="483086" spans="15:15" x14ac:dyDescent="0.25">
      <c r="O483086" s="9"/>
    </row>
    <row r="483107" spans="15:15" x14ac:dyDescent="0.25">
      <c r="O483107" s="9"/>
    </row>
    <row r="483128" spans="15:15" x14ac:dyDescent="0.25">
      <c r="O483128" s="9"/>
    </row>
    <row r="483149" spans="15:15" x14ac:dyDescent="0.25">
      <c r="O483149" s="9"/>
    </row>
    <row r="483170" spans="15:15" x14ac:dyDescent="0.25">
      <c r="O483170" s="9"/>
    </row>
    <row r="483191" spans="15:15" x14ac:dyDescent="0.25">
      <c r="O483191" s="9"/>
    </row>
    <row r="483212" spans="15:15" x14ac:dyDescent="0.25">
      <c r="O483212" s="9"/>
    </row>
    <row r="483233" spans="15:15" x14ac:dyDescent="0.25">
      <c r="O483233" s="9"/>
    </row>
    <row r="483254" spans="15:15" x14ac:dyDescent="0.25">
      <c r="O483254" s="9"/>
    </row>
    <row r="483275" spans="15:15" x14ac:dyDescent="0.25">
      <c r="O483275" s="9"/>
    </row>
    <row r="483296" spans="15:15" x14ac:dyDescent="0.25">
      <c r="O483296" s="9"/>
    </row>
    <row r="483317" spans="15:15" x14ac:dyDescent="0.25">
      <c r="O483317" s="9"/>
    </row>
    <row r="483338" spans="15:15" x14ac:dyDescent="0.25">
      <c r="O483338" s="9"/>
    </row>
    <row r="483359" spans="15:15" x14ac:dyDescent="0.25">
      <c r="O483359" s="9"/>
    </row>
    <row r="483380" spans="15:15" x14ac:dyDescent="0.25">
      <c r="O483380" s="9"/>
    </row>
    <row r="483401" spans="15:15" x14ac:dyDescent="0.25">
      <c r="O483401" s="9"/>
    </row>
    <row r="483422" spans="15:15" x14ac:dyDescent="0.25">
      <c r="O483422" s="9"/>
    </row>
    <row r="483443" spans="15:15" x14ac:dyDescent="0.25">
      <c r="O483443" s="9"/>
    </row>
    <row r="483464" spans="15:15" x14ac:dyDescent="0.25">
      <c r="O483464" s="9"/>
    </row>
    <row r="483485" spans="15:15" x14ac:dyDescent="0.25">
      <c r="O483485" s="9"/>
    </row>
    <row r="483506" spans="15:15" x14ac:dyDescent="0.25">
      <c r="O483506" s="9"/>
    </row>
    <row r="483527" spans="15:15" x14ac:dyDescent="0.25">
      <c r="O483527" s="9"/>
    </row>
    <row r="483548" spans="15:15" x14ac:dyDescent="0.25">
      <c r="O483548" s="9"/>
    </row>
    <row r="483569" spans="15:15" x14ac:dyDescent="0.25">
      <c r="O483569" s="9"/>
    </row>
    <row r="483590" spans="15:15" x14ac:dyDescent="0.25">
      <c r="O483590" s="9"/>
    </row>
    <row r="483611" spans="15:15" x14ac:dyDescent="0.25">
      <c r="O483611" s="9"/>
    </row>
    <row r="483632" spans="15:15" x14ac:dyDescent="0.25">
      <c r="O483632" s="9"/>
    </row>
    <row r="483653" spans="15:15" x14ac:dyDescent="0.25">
      <c r="O483653" s="9"/>
    </row>
    <row r="483674" spans="15:15" x14ac:dyDescent="0.25">
      <c r="O483674" s="9"/>
    </row>
    <row r="483695" spans="15:15" x14ac:dyDescent="0.25">
      <c r="O483695" s="9"/>
    </row>
    <row r="483716" spans="15:15" x14ac:dyDescent="0.25">
      <c r="O483716" s="9"/>
    </row>
    <row r="483737" spans="15:15" x14ac:dyDescent="0.25">
      <c r="O483737" s="9"/>
    </row>
    <row r="483758" spans="15:15" x14ac:dyDescent="0.25">
      <c r="O483758" s="9"/>
    </row>
    <row r="483779" spans="15:15" x14ac:dyDescent="0.25">
      <c r="O483779" s="9"/>
    </row>
    <row r="483800" spans="15:15" x14ac:dyDescent="0.25">
      <c r="O483800" s="9"/>
    </row>
    <row r="483821" spans="15:15" x14ac:dyDescent="0.25">
      <c r="O483821" s="9"/>
    </row>
    <row r="483842" spans="15:15" x14ac:dyDescent="0.25">
      <c r="O483842" s="9"/>
    </row>
    <row r="483863" spans="15:15" x14ac:dyDescent="0.25">
      <c r="O483863" s="9"/>
    </row>
    <row r="483884" spans="15:15" x14ac:dyDescent="0.25">
      <c r="O483884" s="9"/>
    </row>
    <row r="483905" spans="15:15" x14ac:dyDescent="0.25">
      <c r="O483905" s="9"/>
    </row>
    <row r="483926" spans="15:15" x14ac:dyDescent="0.25">
      <c r="O483926" s="9"/>
    </row>
    <row r="483947" spans="15:15" x14ac:dyDescent="0.25">
      <c r="O483947" s="9"/>
    </row>
    <row r="483968" spans="15:15" x14ac:dyDescent="0.25">
      <c r="O483968" s="9"/>
    </row>
    <row r="483989" spans="15:15" x14ac:dyDescent="0.25">
      <c r="O483989" s="9"/>
    </row>
    <row r="484010" spans="15:15" x14ac:dyDescent="0.25">
      <c r="O484010" s="9"/>
    </row>
    <row r="484031" spans="15:15" x14ac:dyDescent="0.25">
      <c r="O484031" s="9"/>
    </row>
    <row r="484052" spans="15:15" x14ac:dyDescent="0.25">
      <c r="O484052" s="9"/>
    </row>
    <row r="484073" spans="15:15" x14ac:dyDescent="0.25">
      <c r="O484073" s="9"/>
    </row>
    <row r="484094" spans="15:15" x14ac:dyDescent="0.25">
      <c r="O484094" s="9"/>
    </row>
    <row r="484115" spans="15:15" x14ac:dyDescent="0.25">
      <c r="O484115" s="9"/>
    </row>
    <row r="484136" spans="15:15" x14ac:dyDescent="0.25">
      <c r="O484136" s="9"/>
    </row>
    <row r="484157" spans="15:15" x14ac:dyDescent="0.25">
      <c r="O484157" s="9"/>
    </row>
    <row r="484178" spans="15:15" x14ac:dyDescent="0.25">
      <c r="O484178" s="9"/>
    </row>
    <row r="484199" spans="15:15" x14ac:dyDescent="0.25">
      <c r="O484199" s="9"/>
    </row>
    <row r="484220" spans="15:15" x14ac:dyDescent="0.25">
      <c r="O484220" s="9"/>
    </row>
    <row r="484241" spans="15:15" x14ac:dyDescent="0.25">
      <c r="O484241" s="9"/>
    </row>
    <row r="484262" spans="15:15" x14ac:dyDescent="0.25">
      <c r="O484262" s="9"/>
    </row>
    <row r="484283" spans="15:15" x14ac:dyDescent="0.25">
      <c r="O484283" s="9"/>
    </row>
    <row r="484304" spans="15:15" x14ac:dyDescent="0.25">
      <c r="O484304" s="9"/>
    </row>
    <row r="484325" spans="15:15" x14ac:dyDescent="0.25">
      <c r="O484325" s="9"/>
    </row>
    <row r="484346" spans="15:15" x14ac:dyDescent="0.25">
      <c r="O484346" s="9"/>
    </row>
    <row r="484367" spans="15:15" x14ac:dyDescent="0.25">
      <c r="O484367" s="9"/>
    </row>
    <row r="484388" spans="15:15" x14ac:dyDescent="0.25">
      <c r="O484388" s="9"/>
    </row>
    <row r="484409" spans="15:15" x14ac:dyDescent="0.25">
      <c r="O484409" s="9"/>
    </row>
    <row r="484430" spans="15:15" x14ac:dyDescent="0.25">
      <c r="O484430" s="9"/>
    </row>
    <row r="484451" spans="15:15" x14ac:dyDescent="0.25">
      <c r="O484451" s="9"/>
    </row>
    <row r="484472" spans="15:15" x14ac:dyDescent="0.25">
      <c r="O484472" s="9"/>
    </row>
    <row r="484493" spans="15:15" x14ac:dyDescent="0.25">
      <c r="O484493" s="9"/>
    </row>
    <row r="484514" spans="15:15" x14ac:dyDescent="0.25">
      <c r="O484514" s="9"/>
    </row>
    <row r="484535" spans="15:15" x14ac:dyDescent="0.25">
      <c r="O484535" s="9"/>
    </row>
    <row r="484556" spans="15:15" x14ac:dyDescent="0.25">
      <c r="O484556" s="9"/>
    </row>
    <row r="484577" spans="15:15" x14ac:dyDescent="0.25">
      <c r="O484577" s="9"/>
    </row>
    <row r="484598" spans="15:15" x14ac:dyDescent="0.25">
      <c r="O484598" s="9"/>
    </row>
    <row r="484619" spans="15:15" x14ac:dyDescent="0.25">
      <c r="O484619" s="9"/>
    </row>
    <row r="484640" spans="15:15" x14ac:dyDescent="0.25">
      <c r="O484640" s="9"/>
    </row>
    <row r="484661" spans="15:15" x14ac:dyDescent="0.25">
      <c r="O484661" s="9"/>
    </row>
    <row r="484682" spans="15:15" x14ac:dyDescent="0.25">
      <c r="O484682" s="9"/>
    </row>
    <row r="484703" spans="15:15" x14ac:dyDescent="0.25">
      <c r="O484703" s="9"/>
    </row>
    <row r="484724" spans="15:15" x14ac:dyDescent="0.25">
      <c r="O484724" s="9"/>
    </row>
    <row r="484745" spans="15:15" x14ac:dyDescent="0.25">
      <c r="O484745" s="9"/>
    </row>
    <row r="484766" spans="15:15" x14ac:dyDescent="0.25">
      <c r="O484766" s="9"/>
    </row>
    <row r="484787" spans="15:15" x14ac:dyDescent="0.25">
      <c r="O484787" s="9"/>
    </row>
    <row r="484808" spans="15:15" x14ac:dyDescent="0.25">
      <c r="O484808" s="9"/>
    </row>
    <row r="484829" spans="15:15" x14ac:dyDescent="0.25">
      <c r="O484829" s="9"/>
    </row>
    <row r="484850" spans="15:15" x14ac:dyDescent="0.25">
      <c r="O484850" s="9"/>
    </row>
    <row r="484871" spans="15:15" x14ac:dyDescent="0.25">
      <c r="O484871" s="9"/>
    </row>
    <row r="484892" spans="15:15" x14ac:dyDescent="0.25">
      <c r="O484892" s="9"/>
    </row>
    <row r="484913" spans="15:15" x14ac:dyDescent="0.25">
      <c r="O484913" s="9"/>
    </row>
    <row r="484934" spans="15:15" x14ac:dyDescent="0.25">
      <c r="O484934" s="9"/>
    </row>
    <row r="484955" spans="15:15" x14ac:dyDescent="0.25">
      <c r="O484955" s="9"/>
    </row>
    <row r="484976" spans="15:15" x14ac:dyDescent="0.25">
      <c r="O484976" s="9"/>
    </row>
    <row r="484997" spans="15:15" x14ac:dyDescent="0.25">
      <c r="O484997" s="9"/>
    </row>
    <row r="485018" spans="15:15" x14ac:dyDescent="0.25">
      <c r="O485018" s="9"/>
    </row>
    <row r="485039" spans="15:15" x14ac:dyDescent="0.25">
      <c r="O485039" s="9"/>
    </row>
    <row r="485060" spans="15:15" x14ac:dyDescent="0.25">
      <c r="O485060" s="9"/>
    </row>
    <row r="485081" spans="15:15" x14ac:dyDescent="0.25">
      <c r="O485081" s="9"/>
    </row>
    <row r="485102" spans="15:15" x14ac:dyDescent="0.25">
      <c r="O485102" s="9"/>
    </row>
    <row r="485123" spans="15:15" x14ac:dyDescent="0.25">
      <c r="O485123" s="9"/>
    </row>
    <row r="485144" spans="15:15" x14ac:dyDescent="0.25">
      <c r="O485144" s="9"/>
    </row>
    <row r="485165" spans="15:15" x14ac:dyDescent="0.25">
      <c r="O485165" s="9"/>
    </row>
    <row r="485186" spans="15:15" x14ac:dyDescent="0.25">
      <c r="O485186" s="9"/>
    </row>
    <row r="485207" spans="15:15" x14ac:dyDescent="0.25">
      <c r="O485207" s="9"/>
    </row>
    <row r="485228" spans="15:15" x14ac:dyDescent="0.25">
      <c r="O485228" s="9"/>
    </row>
    <row r="485249" spans="15:15" x14ac:dyDescent="0.25">
      <c r="O485249" s="9"/>
    </row>
    <row r="485270" spans="15:15" x14ac:dyDescent="0.25">
      <c r="O485270" s="9"/>
    </row>
    <row r="485291" spans="15:15" x14ac:dyDescent="0.25">
      <c r="O485291" s="9"/>
    </row>
    <row r="485312" spans="15:15" x14ac:dyDescent="0.25">
      <c r="O485312" s="9"/>
    </row>
    <row r="485333" spans="15:15" x14ac:dyDescent="0.25">
      <c r="O485333" s="9"/>
    </row>
    <row r="485354" spans="15:15" x14ac:dyDescent="0.25">
      <c r="O485354" s="9"/>
    </row>
    <row r="485375" spans="15:15" x14ac:dyDescent="0.25">
      <c r="O485375" s="9"/>
    </row>
    <row r="485396" spans="15:15" x14ac:dyDescent="0.25">
      <c r="O485396" s="9"/>
    </row>
    <row r="485417" spans="15:15" x14ac:dyDescent="0.25">
      <c r="O485417" s="9"/>
    </row>
    <row r="485438" spans="15:15" x14ac:dyDescent="0.25">
      <c r="O485438" s="9"/>
    </row>
    <row r="485459" spans="15:15" x14ac:dyDescent="0.25">
      <c r="O485459" s="9"/>
    </row>
    <row r="485480" spans="15:15" x14ac:dyDescent="0.25">
      <c r="O485480" s="9"/>
    </row>
    <row r="485501" spans="15:15" x14ac:dyDescent="0.25">
      <c r="O485501" s="9"/>
    </row>
    <row r="485522" spans="15:15" x14ac:dyDescent="0.25">
      <c r="O485522" s="9"/>
    </row>
    <row r="485543" spans="15:15" x14ac:dyDescent="0.25">
      <c r="O485543" s="9"/>
    </row>
    <row r="485564" spans="15:15" x14ac:dyDescent="0.25">
      <c r="O485564" s="9"/>
    </row>
    <row r="485585" spans="15:15" x14ac:dyDescent="0.25">
      <c r="O485585" s="9"/>
    </row>
    <row r="485606" spans="15:15" x14ac:dyDescent="0.25">
      <c r="O485606" s="9"/>
    </row>
    <row r="485627" spans="15:15" x14ac:dyDescent="0.25">
      <c r="O485627" s="9"/>
    </row>
    <row r="485648" spans="15:15" x14ac:dyDescent="0.25">
      <c r="O485648" s="9"/>
    </row>
    <row r="485669" spans="15:15" x14ac:dyDescent="0.25">
      <c r="O485669" s="9"/>
    </row>
    <row r="485690" spans="15:15" x14ac:dyDescent="0.25">
      <c r="O485690" s="9"/>
    </row>
    <row r="485711" spans="15:15" x14ac:dyDescent="0.25">
      <c r="O485711" s="9"/>
    </row>
    <row r="485732" spans="15:15" x14ac:dyDescent="0.25">
      <c r="O485732" s="9"/>
    </row>
    <row r="485753" spans="15:15" x14ac:dyDescent="0.25">
      <c r="O485753" s="9"/>
    </row>
    <row r="485774" spans="15:15" x14ac:dyDescent="0.25">
      <c r="O485774" s="9"/>
    </row>
    <row r="485795" spans="15:15" x14ac:dyDescent="0.25">
      <c r="O485795" s="9"/>
    </row>
    <row r="485816" spans="15:15" x14ac:dyDescent="0.25">
      <c r="O485816" s="9"/>
    </row>
    <row r="485837" spans="15:15" x14ac:dyDescent="0.25">
      <c r="O485837" s="9"/>
    </row>
    <row r="485858" spans="15:15" x14ac:dyDescent="0.25">
      <c r="O485858" s="9"/>
    </row>
    <row r="485879" spans="15:15" x14ac:dyDescent="0.25">
      <c r="O485879" s="9"/>
    </row>
    <row r="485900" spans="15:15" x14ac:dyDescent="0.25">
      <c r="O485900" s="9"/>
    </row>
    <row r="485921" spans="15:15" x14ac:dyDescent="0.25">
      <c r="O485921" s="9"/>
    </row>
    <row r="485942" spans="15:15" x14ac:dyDescent="0.25">
      <c r="O485942" s="9"/>
    </row>
    <row r="485963" spans="15:15" x14ac:dyDescent="0.25">
      <c r="O485963" s="9"/>
    </row>
    <row r="485984" spans="15:15" x14ac:dyDescent="0.25">
      <c r="O485984" s="9"/>
    </row>
    <row r="486005" spans="15:15" x14ac:dyDescent="0.25">
      <c r="O486005" s="9"/>
    </row>
    <row r="486026" spans="15:15" x14ac:dyDescent="0.25">
      <c r="O486026" s="9"/>
    </row>
    <row r="486047" spans="15:15" x14ac:dyDescent="0.25">
      <c r="O486047" s="9"/>
    </row>
    <row r="486068" spans="15:15" x14ac:dyDescent="0.25">
      <c r="O486068" s="9"/>
    </row>
    <row r="486089" spans="15:15" x14ac:dyDescent="0.25">
      <c r="O486089" s="9"/>
    </row>
    <row r="486110" spans="15:15" x14ac:dyDescent="0.25">
      <c r="O486110" s="9"/>
    </row>
    <row r="486131" spans="15:15" x14ac:dyDescent="0.25">
      <c r="O486131" s="9"/>
    </row>
    <row r="486152" spans="15:15" x14ac:dyDescent="0.25">
      <c r="O486152" s="9"/>
    </row>
    <row r="486173" spans="15:15" x14ac:dyDescent="0.25">
      <c r="O486173" s="9"/>
    </row>
    <row r="486194" spans="15:15" x14ac:dyDescent="0.25">
      <c r="O486194" s="9"/>
    </row>
    <row r="486215" spans="15:15" x14ac:dyDescent="0.25">
      <c r="O486215" s="9"/>
    </row>
    <row r="486236" spans="15:15" x14ac:dyDescent="0.25">
      <c r="O486236" s="9"/>
    </row>
    <row r="486257" spans="15:15" x14ac:dyDescent="0.25">
      <c r="O486257" s="9"/>
    </row>
    <row r="486278" spans="15:15" x14ac:dyDescent="0.25">
      <c r="O486278" s="9"/>
    </row>
    <row r="486299" spans="15:15" x14ac:dyDescent="0.25">
      <c r="O486299" s="9"/>
    </row>
    <row r="486320" spans="15:15" x14ac:dyDescent="0.25">
      <c r="O486320" s="9"/>
    </row>
    <row r="486341" spans="15:15" x14ac:dyDescent="0.25">
      <c r="O486341" s="9"/>
    </row>
    <row r="486362" spans="15:15" x14ac:dyDescent="0.25">
      <c r="O486362" s="9"/>
    </row>
    <row r="486383" spans="15:15" x14ac:dyDescent="0.25">
      <c r="O486383" s="9"/>
    </row>
    <row r="486404" spans="15:15" x14ac:dyDescent="0.25">
      <c r="O486404" s="9"/>
    </row>
    <row r="486425" spans="15:15" x14ac:dyDescent="0.25">
      <c r="O486425" s="9"/>
    </row>
    <row r="486446" spans="15:15" x14ac:dyDescent="0.25">
      <c r="O486446" s="9"/>
    </row>
    <row r="486467" spans="15:15" x14ac:dyDescent="0.25">
      <c r="O486467" s="9"/>
    </row>
    <row r="486488" spans="15:15" x14ac:dyDescent="0.25">
      <c r="O486488" s="9"/>
    </row>
    <row r="486509" spans="15:15" x14ac:dyDescent="0.25">
      <c r="O486509" s="9"/>
    </row>
    <row r="486530" spans="15:15" x14ac:dyDescent="0.25">
      <c r="O486530" s="9"/>
    </row>
    <row r="486551" spans="15:15" x14ac:dyDescent="0.25">
      <c r="O486551" s="9"/>
    </row>
    <row r="486572" spans="15:15" x14ac:dyDescent="0.25">
      <c r="O486572" s="9"/>
    </row>
    <row r="486593" spans="15:15" x14ac:dyDescent="0.25">
      <c r="O486593" s="9"/>
    </row>
    <row r="486614" spans="15:15" x14ac:dyDescent="0.25">
      <c r="O486614" s="9"/>
    </row>
    <row r="486635" spans="15:15" x14ac:dyDescent="0.25">
      <c r="O486635" s="9"/>
    </row>
    <row r="486656" spans="15:15" x14ac:dyDescent="0.25">
      <c r="O486656" s="9"/>
    </row>
    <row r="486677" spans="15:15" x14ac:dyDescent="0.25">
      <c r="O486677" s="9"/>
    </row>
    <row r="486698" spans="15:15" x14ac:dyDescent="0.25">
      <c r="O486698" s="9"/>
    </row>
    <row r="486719" spans="15:15" x14ac:dyDescent="0.25">
      <c r="O486719" s="9"/>
    </row>
    <row r="486740" spans="15:15" x14ac:dyDescent="0.25">
      <c r="O486740" s="9"/>
    </row>
    <row r="486761" spans="15:15" x14ac:dyDescent="0.25">
      <c r="O486761" s="9"/>
    </row>
    <row r="486782" spans="15:15" x14ac:dyDescent="0.25">
      <c r="O486782" s="9"/>
    </row>
    <row r="486803" spans="15:15" x14ac:dyDescent="0.25">
      <c r="O486803" s="9"/>
    </row>
    <row r="486824" spans="15:15" x14ac:dyDescent="0.25">
      <c r="O486824" s="9"/>
    </row>
    <row r="486845" spans="15:15" x14ac:dyDescent="0.25">
      <c r="O486845" s="9"/>
    </row>
    <row r="486866" spans="15:15" x14ac:dyDescent="0.25">
      <c r="O486866" s="9"/>
    </row>
    <row r="486887" spans="15:15" x14ac:dyDescent="0.25">
      <c r="O486887" s="9"/>
    </row>
    <row r="486908" spans="15:15" x14ac:dyDescent="0.25">
      <c r="O486908" s="9"/>
    </row>
    <row r="486929" spans="15:15" x14ac:dyDescent="0.25">
      <c r="O486929" s="9"/>
    </row>
    <row r="486950" spans="15:15" x14ac:dyDescent="0.25">
      <c r="O486950" s="9"/>
    </row>
    <row r="486971" spans="15:15" x14ac:dyDescent="0.25">
      <c r="O486971" s="9"/>
    </row>
    <row r="486992" spans="15:15" x14ac:dyDescent="0.25">
      <c r="O486992" s="9"/>
    </row>
    <row r="487013" spans="15:15" x14ac:dyDescent="0.25">
      <c r="O487013" s="9"/>
    </row>
    <row r="487034" spans="15:15" x14ac:dyDescent="0.25">
      <c r="O487034" s="9"/>
    </row>
    <row r="487055" spans="15:15" x14ac:dyDescent="0.25">
      <c r="O487055" s="9"/>
    </row>
    <row r="487076" spans="15:15" x14ac:dyDescent="0.25">
      <c r="O487076" s="9"/>
    </row>
    <row r="487097" spans="15:15" x14ac:dyDescent="0.25">
      <c r="O487097" s="9"/>
    </row>
    <row r="487118" spans="15:15" x14ac:dyDescent="0.25">
      <c r="O487118" s="9"/>
    </row>
    <row r="487139" spans="15:15" x14ac:dyDescent="0.25">
      <c r="O487139" s="9"/>
    </row>
    <row r="487160" spans="15:15" x14ac:dyDescent="0.25">
      <c r="O487160" s="9"/>
    </row>
    <row r="487181" spans="15:15" x14ac:dyDescent="0.25">
      <c r="O487181" s="9"/>
    </row>
    <row r="487202" spans="15:15" x14ac:dyDescent="0.25">
      <c r="O487202" s="9"/>
    </row>
    <row r="487223" spans="15:15" x14ac:dyDescent="0.25">
      <c r="O487223" s="9"/>
    </row>
    <row r="487244" spans="15:15" x14ac:dyDescent="0.25">
      <c r="O487244" s="9"/>
    </row>
    <row r="487265" spans="15:15" x14ac:dyDescent="0.25">
      <c r="O487265" s="9"/>
    </row>
    <row r="487286" spans="15:15" x14ac:dyDescent="0.25">
      <c r="O487286" s="9"/>
    </row>
    <row r="487307" spans="15:15" x14ac:dyDescent="0.25">
      <c r="O487307" s="9"/>
    </row>
    <row r="487328" spans="15:15" x14ac:dyDescent="0.25">
      <c r="O487328" s="9"/>
    </row>
    <row r="487349" spans="15:15" x14ac:dyDescent="0.25">
      <c r="O487349" s="9"/>
    </row>
    <row r="487370" spans="15:15" x14ac:dyDescent="0.25">
      <c r="O487370" s="9"/>
    </row>
    <row r="487391" spans="15:15" x14ac:dyDescent="0.25">
      <c r="O487391" s="9"/>
    </row>
    <row r="487412" spans="15:15" x14ac:dyDescent="0.25">
      <c r="O487412" s="9"/>
    </row>
    <row r="487433" spans="15:15" x14ac:dyDescent="0.25">
      <c r="O487433" s="9"/>
    </row>
    <row r="487454" spans="15:15" x14ac:dyDescent="0.25">
      <c r="O487454" s="9"/>
    </row>
    <row r="487475" spans="15:15" x14ac:dyDescent="0.25">
      <c r="O487475" s="9"/>
    </row>
    <row r="487496" spans="15:15" x14ac:dyDescent="0.25">
      <c r="O487496" s="9"/>
    </row>
    <row r="487517" spans="15:15" x14ac:dyDescent="0.25">
      <c r="O487517" s="9"/>
    </row>
    <row r="487538" spans="15:15" x14ac:dyDescent="0.25">
      <c r="O487538" s="9"/>
    </row>
    <row r="487559" spans="15:15" x14ac:dyDescent="0.25">
      <c r="O487559" s="9"/>
    </row>
    <row r="487580" spans="15:15" x14ac:dyDescent="0.25">
      <c r="O487580" s="9"/>
    </row>
    <row r="487601" spans="15:15" x14ac:dyDescent="0.25">
      <c r="O487601" s="9"/>
    </row>
    <row r="487622" spans="15:15" x14ac:dyDescent="0.25">
      <c r="O487622" s="9"/>
    </row>
    <row r="487643" spans="15:15" x14ac:dyDescent="0.25">
      <c r="O487643" s="9"/>
    </row>
    <row r="487664" spans="15:15" x14ac:dyDescent="0.25">
      <c r="O487664" s="9"/>
    </row>
    <row r="487685" spans="15:15" x14ac:dyDescent="0.25">
      <c r="O487685" s="9"/>
    </row>
    <row r="487706" spans="15:15" x14ac:dyDescent="0.25">
      <c r="O487706" s="9"/>
    </row>
    <row r="487727" spans="15:15" x14ac:dyDescent="0.25">
      <c r="O487727" s="9"/>
    </row>
    <row r="487748" spans="15:15" x14ac:dyDescent="0.25">
      <c r="O487748" s="9"/>
    </row>
    <row r="487769" spans="15:15" x14ac:dyDescent="0.25">
      <c r="O487769" s="9"/>
    </row>
    <row r="487790" spans="15:15" x14ac:dyDescent="0.25">
      <c r="O487790" s="9"/>
    </row>
    <row r="487811" spans="15:15" x14ac:dyDescent="0.25">
      <c r="O487811" s="9"/>
    </row>
    <row r="487832" spans="15:15" x14ac:dyDescent="0.25">
      <c r="O487832" s="9"/>
    </row>
    <row r="487853" spans="15:15" x14ac:dyDescent="0.25">
      <c r="O487853" s="9"/>
    </row>
    <row r="487874" spans="15:15" x14ac:dyDescent="0.25">
      <c r="O487874" s="9"/>
    </row>
    <row r="487895" spans="15:15" x14ac:dyDescent="0.25">
      <c r="O487895" s="9"/>
    </row>
    <row r="487916" spans="15:15" x14ac:dyDescent="0.25">
      <c r="O487916" s="9"/>
    </row>
    <row r="487937" spans="15:15" x14ac:dyDescent="0.25">
      <c r="O487937" s="9"/>
    </row>
    <row r="487958" spans="15:15" x14ac:dyDescent="0.25">
      <c r="O487958" s="9"/>
    </row>
    <row r="487979" spans="15:15" x14ac:dyDescent="0.25">
      <c r="O487979" s="9"/>
    </row>
    <row r="488000" spans="15:15" x14ac:dyDescent="0.25">
      <c r="O488000" s="9"/>
    </row>
    <row r="488021" spans="15:15" x14ac:dyDescent="0.25">
      <c r="O488021" s="9"/>
    </row>
    <row r="488042" spans="15:15" x14ac:dyDescent="0.25">
      <c r="O488042" s="9"/>
    </row>
    <row r="488063" spans="15:15" x14ac:dyDescent="0.25">
      <c r="O488063" s="9"/>
    </row>
    <row r="488084" spans="15:15" x14ac:dyDescent="0.25">
      <c r="O488084" s="9"/>
    </row>
    <row r="488105" spans="15:15" x14ac:dyDescent="0.25">
      <c r="O488105" s="9"/>
    </row>
    <row r="488126" spans="15:15" x14ac:dyDescent="0.25">
      <c r="O488126" s="9"/>
    </row>
    <row r="488147" spans="15:15" x14ac:dyDescent="0.25">
      <c r="O488147" s="9"/>
    </row>
    <row r="488168" spans="15:15" x14ac:dyDescent="0.25">
      <c r="O488168" s="9"/>
    </row>
    <row r="488189" spans="15:15" x14ac:dyDescent="0.25">
      <c r="O488189" s="9"/>
    </row>
    <row r="488210" spans="15:15" x14ac:dyDescent="0.25">
      <c r="O488210" s="9"/>
    </row>
    <row r="488231" spans="15:15" x14ac:dyDescent="0.25">
      <c r="O488231" s="9"/>
    </row>
    <row r="488252" spans="15:15" x14ac:dyDescent="0.25">
      <c r="O488252" s="9"/>
    </row>
    <row r="488273" spans="15:15" x14ac:dyDescent="0.25">
      <c r="O488273" s="9"/>
    </row>
    <row r="488294" spans="15:15" x14ac:dyDescent="0.25">
      <c r="O488294" s="9"/>
    </row>
    <row r="488315" spans="15:15" x14ac:dyDescent="0.25">
      <c r="O488315" s="9"/>
    </row>
    <row r="488336" spans="15:15" x14ac:dyDescent="0.25">
      <c r="O488336" s="9"/>
    </row>
    <row r="488357" spans="15:15" x14ac:dyDescent="0.25">
      <c r="O488357" s="9"/>
    </row>
    <row r="488378" spans="15:15" x14ac:dyDescent="0.25">
      <c r="O488378" s="9"/>
    </row>
    <row r="488399" spans="15:15" x14ac:dyDescent="0.25">
      <c r="O488399" s="9"/>
    </row>
    <row r="488420" spans="15:15" x14ac:dyDescent="0.25">
      <c r="O488420" s="9"/>
    </row>
    <row r="488441" spans="15:15" x14ac:dyDescent="0.25">
      <c r="O488441" s="9"/>
    </row>
    <row r="488462" spans="15:15" x14ac:dyDescent="0.25">
      <c r="O488462" s="9"/>
    </row>
    <row r="488483" spans="15:15" x14ac:dyDescent="0.25">
      <c r="O488483" s="9"/>
    </row>
    <row r="488504" spans="15:15" x14ac:dyDescent="0.25">
      <c r="O488504" s="9"/>
    </row>
    <row r="488525" spans="15:15" x14ac:dyDescent="0.25">
      <c r="O488525" s="9"/>
    </row>
    <row r="488546" spans="15:15" x14ac:dyDescent="0.25">
      <c r="O488546" s="9"/>
    </row>
    <row r="488567" spans="15:15" x14ac:dyDescent="0.25">
      <c r="O488567" s="9"/>
    </row>
    <row r="488588" spans="15:15" x14ac:dyDescent="0.25">
      <c r="O488588" s="9"/>
    </row>
    <row r="488609" spans="15:15" x14ac:dyDescent="0.25">
      <c r="O488609" s="9"/>
    </row>
    <row r="488630" spans="15:15" x14ac:dyDescent="0.25">
      <c r="O488630" s="9"/>
    </row>
    <row r="488651" spans="15:15" x14ac:dyDescent="0.25">
      <c r="O488651" s="9"/>
    </row>
    <row r="488672" spans="15:15" x14ac:dyDescent="0.25">
      <c r="O488672" s="9"/>
    </row>
    <row r="488693" spans="15:15" x14ac:dyDescent="0.25">
      <c r="O488693" s="9"/>
    </row>
    <row r="488714" spans="15:15" x14ac:dyDescent="0.25">
      <c r="O488714" s="9"/>
    </row>
    <row r="488735" spans="15:15" x14ac:dyDescent="0.25">
      <c r="O488735" s="9"/>
    </row>
    <row r="488756" spans="15:15" x14ac:dyDescent="0.25">
      <c r="O488756" s="9"/>
    </row>
    <row r="488777" spans="15:15" x14ac:dyDescent="0.25">
      <c r="O488777" s="9"/>
    </row>
    <row r="488798" spans="15:15" x14ac:dyDescent="0.25">
      <c r="O488798" s="9"/>
    </row>
    <row r="488819" spans="15:15" x14ac:dyDescent="0.25">
      <c r="O488819" s="9"/>
    </row>
    <row r="488840" spans="15:15" x14ac:dyDescent="0.25">
      <c r="O488840" s="9"/>
    </row>
    <row r="488861" spans="15:15" x14ac:dyDescent="0.25">
      <c r="O488861" s="9"/>
    </row>
    <row r="488882" spans="15:15" x14ac:dyDescent="0.25">
      <c r="O488882" s="9"/>
    </row>
    <row r="488903" spans="15:15" x14ac:dyDescent="0.25">
      <c r="O488903" s="9"/>
    </row>
    <row r="488924" spans="15:15" x14ac:dyDescent="0.25">
      <c r="O488924" s="9"/>
    </row>
    <row r="488945" spans="15:15" x14ac:dyDescent="0.25">
      <c r="O488945" s="9"/>
    </row>
    <row r="488966" spans="15:15" x14ac:dyDescent="0.25">
      <c r="O488966" s="9"/>
    </row>
    <row r="488987" spans="15:15" x14ac:dyDescent="0.25">
      <c r="O488987" s="9"/>
    </row>
    <row r="489008" spans="15:15" x14ac:dyDescent="0.25">
      <c r="O489008" s="9"/>
    </row>
    <row r="489029" spans="15:15" x14ac:dyDescent="0.25">
      <c r="O489029" s="9"/>
    </row>
    <row r="489050" spans="15:15" x14ac:dyDescent="0.25">
      <c r="O489050" s="9"/>
    </row>
    <row r="489071" spans="15:15" x14ac:dyDescent="0.25">
      <c r="O489071" s="9"/>
    </row>
    <row r="489092" spans="15:15" x14ac:dyDescent="0.25">
      <c r="O489092" s="9"/>
    </row>
    <row r="489113" spans="15:15" x14ac:dyDescent="0.25">
      <c r="O489113" s="9"/>
    </row>
    <row r="489134" spans="15:15" x14ac:dyDescent="0.25">
      <c r="O489134" s="9"/>
    </row>
    <row r="489155" spans="15:15" x14ac:dyDescent="0.25">
      <c r="O489155" s="9"/>
    </row>
    <row r="489176" spans="15:15" x14ac:dyDescent="0.25">
      <c r="O489176" s="9"/>
    </row>
    <row r="489197" spans="15:15" x14ac:dyDescent="0.25">
      <c r="O489197" s="9"/>
    </row>
    <row r="489218" spans="15:15" x14ac:dyDescent="0.25">
      <c r="O489218" s="9"/>
    </row>
    <row r="489239" spans="15:15" x14ac:dyDescent="0.25">
      <c r="O489239" s="9"/>
    </row>
    <row r="489260" spans="15:15" x14ac:dyDescent="0.25">
      <c r="O489260" s="9"/>
    </row>
    <row r="489281" spans="15:15" x14ac:dyDescent="0.25">
      <c r="O489281" s="9"/>
    </row>
    <row r="489302" spans="15:15" x14ac:dyDescent="0.25">
      <c r="O489302" s="9"/>
    </row>
    <row r="489323" spans="15:15" x14ac:dyDescent="0.25">
      <c r="O489323" s="9"/>
    </row>
    <row r="489344" spans="15:15" x14ac:dyDescent="0.25">
      <c r="O489344" s="9"/>
    </row>
    <row r="489365" spans="15:15" x14ac:dyDescent="0.25">
      <c r="O489365" s="9"/>
    </row>
    <row r="489386" spans="15:15" x14ac:dyDescent="0.25">
      <c r="O489386" s="9"/>
    </row>
    <row r="489407" spans="15:15" x14ac:dyDescent="0.25">
      <c r="O489407" s="9"/>
    </row>
    <row r="489428" spans="15:15" x14ac:dyDescent="0.25">
      <c r="O489428" s="9"/>
    </row>
    <row r="489449" spans="15:15" x14ac:dyDescent="0.25">
      <c r="O489449" s="9"/>
    </row>
    <row r="489470" spans="15:15" x14ac:dyDescent="0.25">
      <c r="O489470" s="9"/>
    </row>
    <row r="489491" spans="15:15" x14ac:dyDescent="0.25">
      <c r="O489491" s="9"/>
    </row>
    <row r="489512" spans="15:15" x14ac:dyDescent="0.25">
      <c r="O489512" s="9"/>
    </row>
    <row r="489533" spans="15:15" x14ac:dyDescent="0.25">
      <c r="O489533" s="9"/>
    </row>
    <row r="489554" spans="15:15" x14ac:dyDescent="0.25">
      <c r="O489554" s="9"/>
    </row>
    <row r="489575" spans="15:15" x14ac:dyDescent="0.25">
      <c r="O489575" s="9"/>
    </row>
    <row r="489596" spans="15:15" x14ac:dyDescent="0.25">
      <c r="O489596" s="9"/>
    </row>
    <row r="489617" spans="15:15" x14ac:dyDescent="0.25">
      <c r="O489617" s="9"/>
    </row>
    <row r="489638" spans="15:15" x14ac:dyDescent="0.25">
      <c r="O489638" s="9"/>
    </row>
    <row r="489659" spans="15:15" x14ac:dyDescent="0.25">
      <c r="O489659" s="9"/>
    </row>
    <row r="489680" spans="15:15" x14ac:dyDescent="0.25">
      <c r="O489680" s="9"/>
    </row>
    <row r="489701" spans="15:15" x14ac:dyDescent="0.25">
      <c r="O489701" s="9"/>
    </row>
    <row r="489722" spans="15:15" x14ac:dyDescent="0.25">
      <c r="O489722" s="9"/>
    </row>
    <row r="489743" spans="15:15" x14ac:dyDescent="0.25">
      <c r="O489743" s="9"/>
    </row>
    <row r="489764" spans="15:15" x14ac:dyDescent="0.25">
      <c r="O489764" s="9"/>
    </row>
    <row r="489785" spans="15:15" x14ac:dyDescent="0.25">
      <c r="O489785" s="9"/>
    </row>
    <row r="489806" spans="15:15" x14ac:dyDescent="0.25">
      <c r="O489806" s="9"/>
    </row>
    <row r="489827" spans="15:15" x14ac:dyDescent="0.25">
      <c r="O489827" s="9"/>
    </row>
    <row r="489848" spans="15:15" x14ac:dyDescent="0.25">
      <c r="O489848" s="9"/>
    </row>
    <row r="489869" spans="15:15" x14ac:dyDescent="0.25">
      <c r="O489869" s="9"/>
    </row>
    <row r="489890" spans="15:15" x14ac:dyDescent="0.25">
      <c r="O489890" s="9"/>
    </row>
    <row r="489911" spans="15:15" x14ac:dyDescent="0.25">
      <c r="O489911" s="9"/>
    </row>
    <row r="489932" spans="15:15" x14ac:dyDescent="0.25">
      <c r="O489932" s="9"/>
    </row>
    <row r="489953" spans="15:15" x14ac:dyDescent="0.25">
      <c r="O489953" s="9"/>
    </row>
    <row r="489974" spans="15:15" x14ac:dyDescent="0.25">
      <c r="O489974" s="9"/>
    </row>
    <row r="489995" spans="15:15" x14ac:dyDescent="0.25">
      <c r="O489995" s="9"/>
    </row>
    <row r="490016" spans="15:15" x14ac:dyDescent="0.25">
      <c r="O490016" s="9"/>
    </row>
    <row r="490037" spans="15:15" x14ac:dyDescent="0.25">
      <c r="O490037" s="9"/>
    </row>
    <row r="490058" spans="15:15" x14ac:dyDescent="0.25">
      <c r="O490058" s="9"/>
    </row>
    <row r="490079" spans="15:15" x14ac:dyDescent="0.25">
      <c r="O490079" s="9"/>
    </row>
    <row r="490100" spans="15:15" x14ac:dyDescent="0.25">
      <c r="O490100" s="9"/>
    </row>
    <row r="490121" spans="15:15" x14ac:dyDescent="0.25">
      <c r="O490121" s="9"/>
    </row>
    <row r="490142" spans="15:15" x14ac:dyDescent="0.25">
      <c r="O490142" s="9"/>
    </row>
    <row r="490163" spans="15:15" x14ac:dyDescent="0.25">
      <c r="O490163" s="9"/>
    </row>
    <row r="490184" spans="15:15" x14ac:dyDescent="0.25">
      <c r="O490184" s="9"/>
    </row>
    <row r="490205" spans="15:15" x14ac:dyDescent="0.25">
      <c r="O490205" s="9"/>
    </row>
    <row r="490226" spans="15:15" x14ac:dyDescent="0.25">
      <c r="O490226" s="9"/>
    </row>
    <row r="490247" spans="15:15" x14ac:dyDescent="0.25">
      <c r="O490247" s="9"/>
    </row>
    <row r="490268" spans="15:15" x14ac:dyDescent="0.25">
      <c r="O490268" s="9"/>
    </row>
    <row r="490289" spans="15:15" x14ac:dyDescent="0.25">
      <c r="O490289" s="9"/>
    </row>
    <row r="490310" spans="15:15" x14ac:dyDescent="0.25">
      <c r="O490310" s="9"/>
    </row>
    <row r="490331" spans="15:15" x14ac:dyDescent="0.25">
      <c r="O490331" s="9"/>
    </row>
    <row r="490352" spans="15:15" x14ac:dyDescent="0.25">
      <c r="O490352" s="9"/>
    </row>
    <row r="490373" spans="15:15" x14ac:dyDescent="0.25">
      <c r="O490373" s="9"/>
    </row>
    <row r="490394" spans="15:15" x14ac:dyDescent="0.25">
      <c r="O490394" s="9"/>
    </row>
    <row r="490415" spans="15:15" x14ac:dyDescent="0.25">
      <c r="O490415" s="9"/>
    </row>
    <row r="490436" spans="15:15" x14ac:dyDescent="0.25">
      <c r="O490436" s="9"/>
    </row>
    <row r="490457" spans="15:15" x14ac:dyDescent="0.25">
      <c r="O490457" s="9"/>
    </row>
    <row r="490478" spans="15:15" x14ac:dyDescent="0.25">
      <c r="O490478" s="9"/>
    </row>
    <row r="490499" spans="15:15" x14ac:dyDescent="0.25">
      <c r="O490499" s="9"/>
    </row>
    <row r="490520" spans="15:15" x14ac:dyDescent="0.25">
      <c r="O490520" s="9"/>
    </row>
    <row r="490541" spans="15:15" x14ac:dyDescent="0.25">
      <c r="O490541" s="9"/>
    </row>
    <row r="490562" spans="15:15" x14ac:dyDescent="0.25">
      <c r="O490562" s="9"/>
    </row>
    <row r="490583" spans="15:15" x14ac:dyDescent="0.25">
      <c r="O490583" s="9"/>
    </row>
    <row r="490604" spans="15:15" x14ac:dyDescent="0.25">
      <c r="O490604" s="9"/>
    </row>
    <row r="490625" spans="15:15" x14ac:dyDescent="0.25">
      <c r="O490625" s="9"/>
    </row>
    <row r="490646" spans="15:15" x14ac:dyDescent="0.25">
      <c r="O490646" s="9"/>
    </row>
    <row r="490667" spans="15:15" x14ac:dyDescent="0.25">
      <c r="O490667" s="9"/>
    </row>
    <row r="490688" spans="15:15" x14ac:dyDescent="0.25">
      <c r="O490688" s="9"/>
    </row>
    <row r="490709" spans="15:15" x14ac:dyDescent="0.25">
      <c r="O490709" s="9"/>
    </row>
    <row r="490730" spans="15:15" x14ac:dyDescent="0.25">
      <c r="O490730" s="9"/>
    </row>
    <row r="490751" spans="15:15" x14ac:dyDescent="0.25">
      <c r="O490751" s="9"/>
    </row>
    <row r="490772" spans="15:15" x14ac:dyDescent="0.25">
      <c r="O490772" s="9"/>
    </row>
    <row r="490793" spans="15:15" x14ac:dyDescent="0.25">
      <c r="O490793" s="9"/>
    </row>
    <row r="490814" spans="15:15" x14ac:dyDescent="0.25">
      <c r="O490814" s="9"/>
    </row>
    <row r="490835" spans="15:15" x14ac:dyDescent="0.25">
      <c r="O490835" s="9"/>
    </row>
    <row r="490856" spans="15:15" x14ac:dyDescent="0.25">
      <c r="O490856" s="9"/>
    </row>
    <row r="490877" spans="15:15" x14ac:dyDescent="0.25">
      <c r="O490877" s="9"/>
    </row>
    <row r="490898" spans="15:15" x14ac:dyDescent="0.25">
      <c r="O490898" s="9"/>
    </row>
    <row r="490919" spans="15:15" x14ac:dyDescent="0.25">
      <c r="O490919" s="9"/>
    </row>
    <row r="490940" spans="15:15" x14ac:dyDescent="0.25">
      <c r="O490940" s="9"/>
    </row>
    <row r="490961" spans="15:15" x14ac:dyDescent="0.25">
      <c r="O490961" s="9"/>
    </row>
    <row r="490982" spans="15:15" x14ac:dyDescent="0.25">
      <c r="O490982" s="9"/>
    </row>
    <row r="491003" spans="15:15" x14ac:dyDescent="0.25">
      <c r="O491003" s="9"/>
    </row>
    <row r="491024" spans="15:15" x14ac:dyDescent="0.25">
      <c r="O491024" s="9"/>
    </row>
    <row r="491045" spans="15:15" x14ac:dyDescent="0.25">
      <c r="O491045" s="9"/>
    </row>
    <row r="491066" spans="15:15" x14ac:dyDescent="0.25">
      <c r="O491066" s="9"/>
    </row>
    <row r="491087" spans="15:15" x14ac:dyDescent="0.25">
      <c r="O491087" s="9"/>
    </row>
    <row r="491108" spans="15:15" x14ac:dyDescent="0.25">
      <c r="O491108" s="9"/>
    </row>
    <row r="491129" spans="15:15" x14ac:dyDescent="0.25">
      <c r="O491129" s="9"/>
    </row>
    <row r="491150" spans="15:15" x14ac:dyDescent="0.25">
      <c r="O491150" s="9"/>
    </row>
    <row r="491171" spans="15:15" x14ac:dyDescent="0.25">
      <c r="O491171" s="9"/>
    </row>
    <row r="491192" spans="15:15" x14ac:dyDescent="0.25">
      <c r="O491192" s="9"/>
    </row>
    <row r="491213" spans="15:15" x14ac:dyDescent="0.25">
      <c r="O491213" s="9"/>
    </row>
    <row r="491234" spans="15:15" x14ac:dyDescent="0.25">
      <c r="O491234" s="9"/>
    </row>
    <row r="491255" spans="15:15" x14ac:dyDescent="0.25">
      <c r="O491255" s="9"/>
    </row>
    <row r="491276" spans="15:15" x14ac:dyDescent="0.25">
      <c r="O491276" s="9"/>
    </row>
    <row r="491297" spans="15:15" x14ac:dyDescent="0.25">
      <c r="O491297" s="9"/>
    </row>
    <row r="491318" spans="15:15" x14ac:dyDescent="0.25">
      <c r="O491318" s="9"/>
    </row>
    <row r="491339" spans="15:15" x14ac:dyDescent="0.25">
      <c r="O491339" s="9"/>
    </row>
    <row r="491360" spans="15:15" x14ac:dyDescent="0.25">
      <c r="O491360" s="9"/>
    </row>
    <row r="491381" spans="15:15" x14ac:dyDescent="0.25">
      <c r="O491381" s="9"/>
    </row>
    <row r="491402" spans="15:15" x14ac:dyDescent="0.25">
      <c r="O491402" s="9"/>
    </row>
    <row r="491423" spans="15:15" x14ac:dyDescent="0.25">
      <c r="O491423" s="9"/>
    </row>
    <row r="491444" spans="15:15" x14ac:dyDescent="0.25">
      <c r="O491444" s="9"/>
    </row>
    <row r="491465" spans="15:15" x14ac:dyDescent="0.25">
      <c r="O491465" s="9"/>
    </row>
    <row r="491486" spans="15:15" x14ac:dyDescent="0.25">
      <c r="O491486" s="9"/>
    </row>
    <row r="491507" spans="15:15" x14ac:dyDescent="0.25">
      <c r="O491507" s="9"/>
    </row>
    <row r="491528" spans="15:15" x14ac:dyDescent="0.25">
      <c r="O491528" s="9"/>
    </row>
    <row r="491549" spans="15:15" x14ac:dyDescent="0.25">
      <c r="O491549" s="9"/>
    </row>
    <row r="491570" spans="15:15" x14ac:dyDescent="0.25">
      <c r="O491570" s="9"/>
    </row>
    <row r="491591" spans="15:15" x14ac:dyDescent="0.25">
      <c r="O491591" s="9"/>
    </row>
    <row r="491612" spans="15:15" x14ac:dyDescent="0.25">
      <c r="O491612" s="9"/>
    </row>
    <row r="491633" spans="15:15" x14ac:dyDescent="0.25">
      <c r="O491633" s="9"/>
    </row>
    <row r="491654" spans="15:15" x14ac:dyDescent="0.25">
      <c r="O491654" s="9"/>
    </row>
    <row r="491675" spans="15:15" x14ac:dyDescent="0.25">
      <c r="O491675" s="9"/>
    </row>
    <row r="491696" spans="15:15" x14ac:dyDescent="0.25">
      <c r="O491696" s="9"/>
    </row>
    <row r="491717" spans="15:15" x14ac:dyDescent="0.25">
      <c r="O491717" s="9"/>
    </row>
    <row r="491738" spans="15:15" x14ac:dyDescent="0.25">
      <c r="O491738" s="9"/>
    </row>
    <row r="491759" spans="15:15" x14ac:dyDescent="0.25">
      <c r="O491759" s="9"/>
    </row>
    <row r="491780" spans="15:15" x14ac:dyDescent="0.25">
      <c r="O491780" s="9"/>
    </row>
    <row r="491801" spans="15:15" x14ac:dyDescent="0.25">
      <c r="O491801" s="9"/>
    </row>
    <row r="491822" spans="15:15" x14ac:dyDescent="0.25">
      <c r="O491822" s="9"/>
    </row>
    <row r="491843" spans="15:15" x14ac:dyDescent="0.25">
      <c r="O491843" s="9"/>
    </row>
    <row r="491864" spans="15:15" x14ac:dyDescent="0.25">
      <c r="O491864" s="9"/>
    </row>
    <row r="491885" spans="15:15" x14ac:dyDescent="0.25">
      <c r="O491885" s="9"/>
    </row>
    <row r="491906" spans="15:15" x14ac:dyDescent="0.25">
      <c r="O491906" s="9"/>
    </row>
    <row r="491927" spans="15:15" x14ac:dyDescent="0.25">
      <c r="O491927" s="9"/>
    </row>
    <row r="491948" spans="15:15" x14ac:dyDescent="0.25">
      <c r="O491948" s="9"/>
    </row>
    <row r="491969" spans="15:15" x14ac:dyDescent="0.25">
      <c r="O491969" s="9"/>
    </row>
    <row r="491990" spans="15:15" x14ac:dyDescent="0.25">
      <c r="O491990" s="9"/>
    </row>
    <row r="492011" spans="15:15" x14ac:dyDescent="0.25">
      <c r="O492011" s="9"/>
    </row>
    <row r="492032" spans="15:15" x14ac:dyDescent="0.25">
      <c r="O492032" s="9"/>
    </row>
    <row r="492053" spans="15:15" x14ac:dyDescent="0.25">
      <c r="O492053" s="9"/>
    </row>
    <row r="492074" spans="15:15" x14ac:dyDescent="0.25">
      <c r="O492074" s="9"/>
    </row>
    <row r="492095" spans="15:15" x14ac:dyDescent="0.25">
      <c r="O492095" s="9"/>
    </row>
    <row r="492116" spans="15:15" x14ac:dyDescent="0.25">
      <c r="O492116" s="9"/>
    </row>
    <row r="492137" spans="15:15" x14ac:dyDescent="0.25">
      <c r="O492137" s="9"/>
    </row>
    <row r="492158" spans="15:15" x14ac:dyDescent="0.25">
      <c r="O492158" s="9"/>
    </row>
    <row r="492179" spans="15:15" x14ac:dyDescent="0.25">
      <c r="O492179" s="9"/>
    </row>
    <row r="492200" spans="15:15" x14ac:dyDescent="0.25">
      <c r="O492200" s="9"/>
    </row>
    <row r="492221" spans="15:15" x14ac:dyDescent="0.25">
      <c r="O492221" s="9"/>
    </row>
    <row r="492242" spans="15:15" x14ac:dyDescent="0.25">
      <c r="O492242" s="9"/>
    </row>
    <row r="492263" spans="15:15" x14ac:dyDescent="0.25">
      <c r="O492263" s="9"/>
    </row>
    <row r="492284" spans="15:15" x14ac:dyDescent="0.25">
      <c r="O492284" s="9"/>
    </row>
    <row r="492305" spans="15:15" x14ac:dyDescent="0.25">
      <c r="O492305" s="9"/>
    </row>
    <row r="492326" spans="15:15" x14ac:dyDescent="0.25">
      <c r="O492326" s="9"/>
    </row>
    <row r="492347" spans="15:15" x14ac:dyDescent="0.25">
      <c r="O492347" s="9"/>
    </row>
    <row r="492368" spans="15:15" x14ac:dyDescent="0.25">
      <c r="O492368" s="9"/>
    </row>
    <row r="492389" spans="15:15" x14ac:dyDescent="0.25">
      <c r="O492389" s="9"/>
    </row>
    <row r="492410" spans="15:15" x14ac:dyDescent="0.25">
      <c r="O492410" s="9"/>
    </row>
    <row r="492431" spans="15:15" x14ac:dyDescent="0.25">
      <c r="O492431" s="9"/>
    </row>
    <row r="492452" spans="15:15" x14ac:dyDescent="0.25">
      <c r="O492452" s="9"/>
    </row>
    <row r="492473" spans="15:15" x14ac:dyDescent="0.25">
      <c r="O492473" s="9"/>
    </row>
    <row r="492494" spans="15:15" x14ac:dyDescent="0.25">
      <c r="O492494" s="9"/>
    </row>
    <row r="492515" spans="15:15" x14ac:dyDescent="0.25">
      <c r="O492515" s="9"/>
    </row>
    <row r="492536" spans="15:15" x14ac:dyDescent="0.25">
      <c r="O492536" s="9"/>
    </row>
    <row r="492557" spans="15:15" x14ac:dyDescent="0.25">
      <c r="O492557" s="9"/>
    </row>
    <row r="492578" spans="15:15" x14ac:dyDescent="0.25">
      <c r="O492578" s="9"/>
    </row>
    <row r="492599" spans="15:15" x14ac:dyDescent="0.25">
      <c r="O492599" s="9"/>
    </row>
    <row r="492620" spans="15:15" x14ac:dyDescent="0.25">
      <c r="O492620" s="9"/>
    </row>
    <row r="492641" spans="15:15" x14ac:dyDescent="0.25">
      <c r="O492641" s="9"/>
    </row>
    <row r="492662" spans="15:15" x14ac:dyDescent="0.25">
      <c r="O492662" s="9"/>
    </row>
    <row r="492683" spans="15:15" x14ac:dyDescent="0.25">
      <c r="O492683" s="9"/>
    </row>
    <row r="492704" spans="15:15" x14ac:dyDescent="0.25">
      <c r="O492704" s="9"/>
    </row>
    <row r="492725" spans="15:15" x14ac:dyDescent="0.25">
      <c r="O492725" s="9"/>
    </row>
    <row r="492746" spans="15:15" x14ac:dyDescent="0.25">
      <c r="O492746" s="9"/>
    </row>
    <row r="492767" spans="15:15" x14ac:dyDescent="0.25">
      <c r="O492767" s="9"/>
    </row>
    <row r="492788" spans="15:15" x14ac:dyDescent="0.25">
      <c r="O492788" s="9"/>
    </row>
    <row r="492809" spans="15:15" x14ac:dyDescent="0.25">
      <c r="O492809" s="9"/>
    </row>
    <row r="492830" spans="15:15" x14ac:dyDescent="0.25">
      <c r="O492830" s="9"/>
    </row>
    <row r="492851" spans="15:15" x14ac:dyDescent="0.25">
      <c r="O492851" s="9"/>
    </row>
    <row r="492872" spans="15:15" x14ac:dyDescent="0.25">
      <c r="O492872" s="9"/>
    </row>
    <row r="492893" spans="15:15" x14ac:dyDescent="0.25">
      <c r="O492893" s="9"/>
    </row>
    <row r="492914" spans="15:15" x14ac:dyDescent="0.25">
      <c r="O492914" s="9"/>
    </row>
    <row r="492935" spans="15:15" x14ac:dyDescent="0.25">
      <c r="O492935" s="9"/>
    </row>
    <row r="492956" spans="15:15" x14ac:dyDescent="0.25">
      <c r="O492956" s="9"/>
    </row>
    <row r="492977" spans="15:15" x14ac:dyDescent="0.25">
      <c r="O492977" s="9"/>
    </row>
    <row r="492998" spans="15:15" x14ac:dyDescent="0.25">
      <c r="O492998" s="9"/>
    </row>
    <row r="493019" spans="15:15" x14ac:dyDescent="0.25">
      <c r="O493019" s="9"/>
    </row>
    <row r="493040" spans="15:15" x14ac:dyDescent="0.25">
      <c r="O493040" s="9"/>
    </row>
    <row r="493061" spans="15:15" x14ac:dyDescent="0.25">
      <c r="O493061" s="9"/>
    </row>
    <row r="493082" spans="15:15" x14ac:dyDescent="0.25">
      <c r="O493082" s="9"/>
    </row>
    <row r="493103" spans="15:15" x14ac:dyDescent="0.25">
      <c r="O493103" s="9"/>
    </row>
    <row r="493124" spans="15:15" x14ac:dyDescent="0.25">
      <c r="O493124" s="9"/>
    </row>
    <row r="493145" spans="15:15" x14ac:dyDescent="0.25">
      <c r="O493145" s="9"/>
    </row>
    <row r="493166" spans="15:15" x14ac:dyDescent="0.25">
      <c r="O493166" s="9"/>
    </row>
    <row r="493187" spans="15:15" x14ac:dyDescent="0.25">
      <c r="O493187" s="9"/>
    </row>
    <row r="493208" spans="15:15" x14ac:dyDescent="0.25">
      <c r="O493208" s="9"/>
    </row>
    <row r="493229" spans="15:15" x14ac:dyDescent="0.25">
      <c r="O493229" s="9"/>
    </row>
    <row r="493250" spans="15:15" x14ac:dyDescent="0.25">
      <c r="O493250" s="9"/>
    </row>
    <row r="493271" spans="15:15" x14ac:dyDescent="0.25">
      <c r="O493271" s="9"/>
    </row>
    <row r="493292" spans="15:15" x14ac:dyDescent="0.25">
      <c r="O493292" s="9"/>
    </row>
    <row r="493313" spans="15:15" x14ac:dyDescent="0.25">
      <c r="O493313" s="9"/>
    </row>
    <row r="493334" spans="15:15" x14ac:dyDescent="0.25">
      <c r="O493334" s="9"/>
    </row>
    <row r="493355" spans="15:15" x14ac:dyDescent="0.25">
      <c r="O493355" s="9"/>
    </row>
    <row r="493376" spans="15:15" x14ac:dyDescent="0.25">
      <c r="O493376" s="9"/>
    </row>
    <row r="493397" spans="15:15" x14ac:dyDescent="0.25">
      <c r="O493397" s="9"/>
    </row>
    <row r="493418" spans="15:15" x14ac:dyDescent="0.25">
      <c r="O493418" s="9"/>
    </row>
    <row r="493439" spans="15:15" x14ac:dyDescent="0.25">
      <c r="O493439" s="9"/>
    </row>
    <row r="493460" spans="15:15" x14ac:dyDescent="0.25">
      <c r="O493460" s="9"/>
    </row>
    <row r="493481" spans="15:15" x14ac:dyDescent="0.25">
      <c r="O493481" s="9"/>
    </row>
    <row r="493502" spans="15:15" x14ac:dyDescent="0.25">
      <c r="O493502" s="9"/>
    </row>
    <row r="493523" spans="15:15" x14ac:dyDescent="0.25">
      <c r="O493523" s="9"/>
    </row>
    <row r="493544" spans="15:15" x14ac:dyDescent="0.25">
      <c r="O493544" s="9"/>
    </row>
    <row r="493565" spans="15:15" x14ac:dyDescent="0.25">
      <c r="O493565" s="9"/>
    </row>
    <row r="493586" spans="15:15" x14ac:dyDescent="0.25">
      <c r="O493586" s="9"/>
    </row>
    <row r="493607" spans="15:15" x14ac:dyDescent="0.25">
      <c r="O493607" s="9"/>
    </row>
    <row r="493628" spans="15:15" x14ac:dyDescent="0.25">
      <c r="O493628" s="9"/>
    </row>
    <row r="493649" spans="15:15" x14ac:dyDescent="0.25">
      <c r="O493649" s="9"/>
    </row>
    <row r="493670" spans="15:15" x14ac:dyDescent="0.25">
      <c r="O493670" s="9"/>
    </row>
    <row r="493691" spans="15:15" x14ac:dyDescent="0.25">
      <c r="O493691" s="9"/>
    </row>
    <row r="493712" spans="15:15" x14ac:dyDescent="0.25">
      <c r="O493712" s="9"/>
    </row>
    <row r="493733" spans="15:15" x14ac:dyDescent="0.25">
      <c r="O493733" s="9"/>
    </row>
    <row r="493754" spans="15:15" x14ac:dyDescent="0.25">
      <c r="O493754" s="9"/>
    </row>
    <row r="493775" spans="15:15" x14ac:dyDescent="0.25">
      <c r="O493775" s="9"/>
    </row>
    <row r="493796" spans="15:15" x14ac:dyDescent="0.25">
      <c r="O493796" s="9"/>
    </row>
    <row r="493817" spans="15:15" x14ac:dyDescent="0.25">
      <c r="O493817" s="9"/>
    </row>
    <row r="493838" spans="15:15" x14ac:dyDescent="0.25">
      <c r="O493838" s="9"/>
    </row>
    <row r="493859" spans="15:15" x14ac:dyDescent="0.25">
      <c r="O493859" s="9"/>
    </row>
    <row r="493880" spans="15:15" x14ac:dyDescent="0.25">
      <c r="O493880" s="9"/>
    </row>
    <row r="493901" spans="15:15" x14ac:dyDescent="0.25">
      <c r="O493901" s="9"/>
    </row>
    <row r="493922" spans="15:15" x14ac:dyDescent="0.25">
      <c r="O493922" s="9"/>
    </row>
    <row r="493943" spans="15:15" x14ac:dyDescent="0.25">
      <c r="O493943" s="9"/>
    </row>
    <row r="493964" spans="15:15" x14ac:dyDescent="0.25">
      <c r="O493964" s="9"/>
    </row>
    <row r="493985" spans="15:15" x14ac:dyDescent="0.25">
      <c r="O493985" s="9"/>
    </row>
    <row r="494006" spans="15:15" x14ac:dyDescent="0.25">
      <c r="O494006" s="9"/>
    </row>
    <row r="494027" spans="15:15" x14ac:dyDescent="0.25">
      <c r="O494027" s="9"/>
    </row>
    <row r="494048" spans="15:15" x14ac:dyDescent="0.25">
      <c r="O494048" s="9"/>
    </row>
    <row r="494069" spans="15:15" x14ac:dyDescent="0.25">
      <c r="O494069" s="9"/>
    </row>
    <row r="494090" spans="15:15" x14ac:dyDescent="0.25">
      <c r="O494090" s="9"/>
    </row>
    <row r="494111" spans="15:15" x14ac:dyDescent="0.25">
      <c r="O494111" s="9"/>
    </row>
    <row r="494132" spans="15:15" x14ac:dyDescent="0.25">
      <c r="O494132" s="9"/>
    </row>
    <row r="494153" spans="15:15" x14ac:dyDescent="0.25">
      <c r="O494153" s="9"/>
    </row>
    <row r="494174" spans="15:15" x14ac:dyDescent="0.25">
      <c r="O494174" s="9"/>
    </row>
    <row r="494195" spans="15:15" x14ac:dyDescent="0.25">
      <c r="O494195" s="9"/>
    </row>
    <row r="494216" spans="15:15" x14ac:dyDescent="0.25">
      <c r="O494216" s="9"/>
    </row>
    <row r="494237" spans="15:15" x14ac:dyDescent="0.25">
      <c r="O494237" s="9"/>
    </row>
    <row r="494258" spans="15:15" x14ac:dyDescent="0.25">
      <c r="O494258" s="9"/>
    </row>
    <row r="494279" spans="15:15" x14ac:dyDescent="0.25">
      <c r="O494279" s="9"/>
    </row>
    <row r="494300" spans="15:15" x14ac:dyDescent="0.25">
      <c r="O494300" s="9"/>
    </row>
    <row r="494321" spans="15:15" x14ac:dyDescent="0.25">
      <c r="O494321" s="9"/>
    </row>
    <row r="494342" spans="15:15" x14ac:dyDescent="0.25">
      <c r="O494342" s="9"/>
    </row>
    <row r="494363" spans="15:15" x14ac:dyDescent="0.25">
      <c r="O494363" s="9"/>
    </row>
    <row r="494384" spans="15:15" x14ac:dyDescent="0.25">
      <c r="O494384" s="9"/>
    </row>
    <row r="494405" spans="15:15" x14ac:dyDescent="0.25">
      <c r="O494405" s="9"/>
    </row>
    <row r="494426" spans="15:15" x14ac:dyDescent="0.25">
      <c r="O494426" s="9"/>
    </row>
    <row r="494447" spans="15:15" x14ac:dyDescent="0.25">
      <c r="O494447" s="9"/>
    </row>
    <row r="494468" spans="15:15" x14ac:dyDescent="0.25">
      <c r="O494468" s="9"/>
    </row>
    <row r="494489" spans="15:15" x14ac:dyDescent="0.25">
      <c r="O494489" s="9"/>
    </row>
    <row r="494510" spans="15:15" x14ac:dyDescent="0.25">
      <c r="O494510" s="9"/>
    </row>
    <row r="494531" spans="15:15" x14ac:dyDescent="0.25">
      <c r="O494531" s="9"/>
    </row>
    <row r="494552" spans="15:15" x14ac:dyDescent="0.25">
      <c r="O494552" s="9"/>
    </row>
    <row r="494573" spans="15:15" x14ac:dyDescent="0.25">
      <c r="O494573" s="9"/>
    </row>
    <row r="494594" spans="15:15" x14ac:dyDescent="0.25">
      <c r="O494594" s="9"/>
    </row>
    <row r="494615" spans="15:15" x14ac:dyDescent="0.25">
      <c r="O494615" s="9"/>
    </row>
    <row r="494636" spans="15:15" x14ac:dyDescent="0.25">
      <c r="O494636" s="9"/>
    </row>
    <row r="494657" spans="15:15" x14ac:dyDescent="0.25">
      <c r="O494657" s="9"/>
    </row>
    <row r="494678" spans="15:15" x14ac:dyDescent="0.25">
      <c r="O494678" s="9"/>
    </row>
    <row r="494699" spans="15:15" x14ac:dyDescent="0.25">
      <c r="O494699" s="9"/>
    </row>
    <row r="494720" spans="15:15" x14ac:dyDescent="0.25">
      <c r="O494720" s="9"/>
    </row>
    <row r="494741" spans="15:15" x14ac:dyDescent="0.25">
      <c r="O494741" s="9"/>
    </row>
    <row r="494762" spans="15:15" x14ac:dyDescent="0.25">
      <c r="O494762" s="9"/>
    </row>
    <row r="494783" spans="15:15" x14ac:dyDescent="0.25">
      <c r="O494783" s="9"/>
    </row>
    <row r="494804" spans="15:15" x14ac:dyDescent="0.25">
      <c r="O494804" s="9"/>
    </row>
    <row r="494825" spans="15:15" x14ac:dyDescent="0.25">
      <c r="O494825" s="9"/>
    </row>
    <row r="494846" spans="15:15" x14ac:dyDescent="0.25">
      <c r="O494846" s="9"/>
    </row>
    <row r="494867" spans="15:15" x14ac:dyDescent="0.25">
      <c r="O494867" s="9"/>
    </row>
    <row r="494888" spans="15:15" x14ac:dyDescent="0.25">
      <c r="O494888" s="9"/>
    </row>
    <row r="494909" spans="15:15" x14ac:dyDescent="0.25">
      <c r="O494909" s="9"/>
    </row>
    <row r="494930" spans="15:15" x14ac:dyDescent="0.25">
      <c r="O494930" s="9"/>
    </row>
    <row r="494951" spans="15:15" x14ac:dyDescent="0.25">
      <c r="O494951" s="9"/>
    </row>
    <row r="494972" spans="15:15" x14ac:dyDescent="0.25">
      <c r="O494972" s="9"/>
    </row>
    <row r="494993" spans="15:15" x14ac:dyDescent="0.25">
      <c r="O494993" s="9"/>
    </row>
    <row r="495014" spans="15:15" x14ac:dyDescent="0.25">
      <c r="O495014" s="9"/>
    </row>
    <row r="495035" spans="15:15" x14ac:dyDescent="0.25">
      <c r="O495035" s="9"/>
    </row>
    <row r="495056" spans="15:15" x14ac:dyDescent="0.25">
      <c r="O495056" s="9"/>
    </row>
    <row r="495077" spans="15:15" x14ac:dyDescent="0.25">
      <c r="O495077" s="9"/>
    </row>
    <row r="495098" spans="15:15" x14ac:dyDescent="0.25">
      <c r="O495098" s="9"/>
    </row>
    <row r="495119" spans="15:15" x14ac:dyDescent="0.25">
      <c r="O495119" s="9"/>
    </row>
    <row r="495140" spans="15:15" x14ac:dyDescent="0.25">
      <c r="O495140" s="9"/>
    </row>
    <row r="495161" spans="15:15" x14ac:dyDescent="0.25">
      <c r="O495161" s="9"/>
    </row>
    <row r="495182" spans="15:15" x14ac:dyDescent="0.25">
      <c r="O495182" s="9"/>
    </row>
    <row r="495203" spans="15:15" x14ac:dyDescent="0.25">
      <c r="O495203" s="9"/>
    </row>
    <row r="495224" spans="15:15" x14ac:dyDescent="0.25">
      <c r="O495224" s="9"/>
    </row>
    <row r="495245" spans="15:15" x14ac:dyDescent="0.25">
      <c r="O495245" s="9"/>
    </row>
    <row r="495266" spans="15:15" x14ac:dyDescent="0.25">
      <c r="O495266" s="9"/>
    </row>
    <row r="495287" spans="15:15" x14ac:dyDescent="0.25">
      <c r="O495287" s="9"/>
    </row>
    <row r="495308" spans="15:15" x14ac:dyDescent="0.25">
      <c r="O495308" s="9"/>
    </row>
    <row r="495329" spans="15:15" x14ac:dyDescent="0.25">
      <c r="O495329" s="9"/>
    </row>
    <row r="495350" spans="15:15" x14ac:dyDescent="0.25">
      <c r="O495350" s="9"/>
    </row>
    <row r="495371" spans="15:15" x14ac:dyDescent="0.25">
      <c r="O495371" s="9"/>
    </row>
    <row r="495392" spans="15:15" x14ac:dyDescent="0.25">
      <c r="O495392" s="9"/>
    </row>
    <row r="495413" spans="15:15" x14ac:dyDescent="0.25">
      <c r="O495413" s="9"/>
    </row>
    <row r="495434" spans="15:15" x14ac:dyDescent="0.25">
      <c r="O495434" s="9"/>
    </row>
    <row r="495455" spans="15:15" x14ac:dyDescent="0.25">
      <c r="O495455" s="9"/>
    </row>
    <row r="495476" spans="15:15" x14ac:dyDescent="0.25">
      <c r="O495476" s="9"/>
    </row>
    <row r="495497" spans="15:15" x14ac:dyDescent="0.25">
      <c r="O495497" s="9"/>
    </row>
    <row r="495518" spans="15:15" x14ac:dyDescent="0.25">
      <c r="O495518" s="9"/>
    </row>
    <row r="495539" spans="15:15" x14ac:dyDescent="0.25">
      <c r="O495539" s="9"/>
    </row>
    <row r="495560" spans="15:15" x14ac:dyDescent="0.25">
      <c r="O495560" s="9"/>
    </row>
    <row r="495581" spans="15:15" x14ac:dyDescent="0.25">
      <c r="O495581" s="9"/>
    </row>
    <row r="495602" spans="15:15" x14ac:dyDescent="0.25">
      <c r="O495602" s="9"/>
    </row>
    <row r="495623" spans="15:15" x14ac:dyDescent="0.25">
      <c r="O495623" s="9"/>
    </row>
    <row r="495644" spans="15:15" x14ac:dyDescent="0.25">
      <c r="O495644" s="9"/>
    </row>
    <row r="495665" spans="15:15" x14ac:dyDescent="0.25">
      <c r="O495665" s="9"/>
    </row>
    <row r="495686" spans="15:15" x14ac:dyDescent="0.25">
      <c r="O495686" s="9"/>
    </row>
    <row r="495707" spans="15:15" x14ac:dyDescent="0.25">
      <c r="O495707" s="9"/>
    </row>
    <row r="495728" spans="15:15" x14ac:dyDescent="0.25">
      <c r="O495728" s="9"/>
    </row>
    <row r="495749" spans="15:15" x14ac:dyDescent="0.25">
      <c r="O495749" s="9"/>
    </row>
    <row r="495770" spans="15:15" x14ac:dyDescent="0.25">
      <c r="O495770" s="9"/>
    </row>
    <row r="495791" spans="15:15" x14ac:dyDescent="0.25">
      <c r="O495791" s="9"/>
    </row>
    <row r="495812" spans="15:15" x14ac:dyDescent="0.25">
      <c r="O495812" s="9"/>
    </row>
    <row r="495833" spans="15:15" x14ac:dyDescent="0.25">
      <c r="O495833" s="9"/>
    </row>
    <row r="495854" spans="15:15" x14ac:dyDescent="0.25">
      <c r="O495854" s="9"/>
    </row>
    <row r="495875" spans="15:15" x14ac:dyDescent="0.25">
      <c r="O495875" s="9"/>
    </row>
    <row r="495896" spans="15:15" x14ac:dyDescent="0.25">
      <c r="O495896" s="9"/>
    </row>
    <row r="495917" spans="15:15" x14ac:dyDescent="0.25">
      <c r="O495917" s="9"/>
    </row>
    <row r="495938" spans="15:15" x14ac:dyDescent="0.25">
      <c r="O495938" s="9"/>
    </row>
    <row r="495959" spans="15:15" x14ac:dyDescent="0.25">
      <c r="O495959" s="9"/>
    </row>
    <row r="495980" spans="15:15" x14ac:dyDescent="0.25">
      <c r="O495980" s="9"/>
    </row>
    <row r="496001" spans="15:15" x14ac:dyDescent="0.25">
      <c r="O496001" s="9"/>
    </row>
    <row r="496022" spans="15:15" x14ac:dyDescent="0.25">
      <c r="O496022" s="9"/>
    </row>
    <row r="496043" spans="15:15" x14ac:dyDescent="0.25">
      <c r="O496043" s="9"/>
    </row>
    <row r="496064" spans="15:15" x14ac:dyDescent="0.25">
      <c r="O496064" s="9"/>
    </row>
    <row r="496085" spans="15:15" x14ac:dyDescent="0.25">
      <c r="O496085" s="9"/>
    </row>
    <row r="496106" spans="15:15" x14ac:dyDescent="0.25">
      <c r="O496106" s="9"/>
    </row>
    <row r="496127" spans="15:15" x14ac:dyDescent="0.25">
      <c r="O496127" s="9"/>
    </row>
    <row r="496148" spans="15:15" x14ac:dyDescent="0.25">
      <c r="O496148" s="9"/>
    </row>
    <row r="496169" spans="15:15" x14ac:dyDescent="0.25">
      <c r="O496169" s="9"/>
    </row>
    <row r="496190" spans="15:15" x14ac:dyDescent="0.25">
      <c r="O496190" s="9"/>
    </row>
    <row r="496211" spans="15:15" x14ac:dyDescent="0.25">
      <c r="O496211" s="9"/>
    </row>
    <row r="496232" spans="15:15" x14ac:dyDescent="0.25">
      <c r="O496232" s="9"/>
    </row>
    <row r="496253" spans="15:15" x14ac:dyDescent="0.25">
      <c r="O496253" s="9"/>
    </row>
    <row r="496274" spans="15:15" x14ac:dyDescent="0.25">
      <c r="O496274" s="9"/>
    </row>
    <row r="496295" spans="15:15" x14ac:dyDescent="0.25">
      <c r="O496295" s="9"/>
    </row>
    <row r="496316" spans="15:15" x14ac:dyDescent="0.25">
      <c r="O496316" s="9"/>
    </row>
    <row r="496337" spans="15:15" x14ac:dyDescent="0.25">
      <c r="O496337" s="9"/>
    </row>
    <row r="496358" spans="15:15" x14ac:dyDescent="0.25">
      <c r="O496358" s="9"/>
    </row>
    <row r="496379" spans="15:15" x14ac:dyDescent="0.25">
      <c r="O496379" s="9"/>
    </row>
    <row r="496400" spans="15:15" x14ac:dyDescent="0.25">
      <c r="O496400" s="9"/>
    </row>
    <row r="496421" spans="15:15" x14ac:dyDescent="0.25">
      <c r="O496421" s="9"/>
    </row>
    <row r="496442" spans="15:15" x14ac:dyDescent="0.25">
      <c r="O496442" s="9"/>
    </row>
    <row r="496463" spans="15:15" x14ac:dyDescent="0.25">
      <c r="O496463" s="9"/>
    </row>
    <row r="496484" spans="15:15" x14ac:dyDescent="0.25">
      <c r="O496484" s="9"/>
    </row>
    <row r="496505" spans="15:15" x14ac:dyDescent="0.25">
      <c r="O496505" s="9"/>
    </row>
    <row r="496526" spans="15:15" x14ac:dyDescent="0.25">
      <c r="O496526" s="9"/>
    </row>
    <row r="496547" spans="15:15" x14ac:dyDescent="0.25">
      <c r="O496547" s="9"/>
    </row>
    <row r="496568" spans="15:15" x14ac:dyDescent="0.25">
      <c r="O496568" s="9"/>
    </row>
    <row r="496589" spans="15:15" x14ac:dyDescent="0.25">
      <c r="O496589" s="9"/>
    </row>
    <row r="496610" spans="15:15" x14ac:dyDescent="0.25">
      <c r="O496610" s="9"/>
    </row>
    <row r="496631" spans="15:15" x14ac:dyDescent="0.25">
      <c r="O496631" s="9"/>
    </row>
    <row r="496652" spans="15:15" x14ac:dyDescent="0.25">
      <c r="O496652" s="9"/>
    </row>
    <row r="496673" spans="15:15" x14ac:dyDescent="0.25">
      <c r="O496673" s="9"/>
    </row>
    <row r="496694" spans="15:15" x14ac:dyDescent="0.25">
      <c r="O496694" s="9"/>
    </row>
    <row r="496715" spans="15:15" x14ac:dyDescent="0.25">
      <c r="O496715" s="9"/>
    </row>
    <row r="496736" spans="15:15" x14ac:dyDescent="0.25">
      <c r="O496736" s="9"/>
    </row>
    <row r="496757" spans="15:15" x14ac:dyDescent="0.25">
      <c r="O496757" s="9"/>
    </row>
    <row r="496778" spans="15:15" x14ac:dyDescent="0.25">
      <c r="O496778" s="9"/>
    </row>
    <row r="496799" spans="15:15" x14ac:dyDescent="0.25">
      <c r="O496799" s="9"/>
    </row>
    <row r="496820" spans="15:15" x14ac:dyDescent="0.25">
      <c r="O496820" s="9"/>
    </row>
    <row r="496841" spans="15:15" x14ac:dyDescent="0.25">
      <c r="O496841" s="9"/>
    </row>
    <row r="496862" spans="15:15" x14ac:dyDescent="0.25">
      <c r="O496862" s="9"/>
    </row>
    <row r="496883" spans="15:15" x14ac:dyDescent="0.25">
      <c r="O496883" s="9"/>
    </row>
    <row r="496904" spans="15:15" x14ac:dyDescent="0.25">
      <c r="O496904" s="9"/>
    </row>
    <row r="496925" spans="15:15" x14ac:dyDescent="0.25">
      <c r="O496925" s="9"/>
    </row>
    <row r="496946" spans="15:15" x14ac:dyDescent="0.25">
      <c r="O496946" s="9"/>
    </row>
    <row r="496967" spans="15:15" x14ac:dyDescent="0.25">
      <c r="O496967" s="9"/>
    </row>
    <row r="496988" spans="15:15" x14ac:dyDescent="0.25">
      <c r="O496988" s="9"/>
    </row>
    <row r="497009" spans="15:15" x14ac:dyDescent="0.25">
      <c r="O497009" s="9"/>
    </row>
    <row r="497030" spans="15:15" x14ac:dyDescent="0.25">
      <c r="O497030" s="9"/>
    </row>
    <row r="497051" spans="15:15" x14ac:dyDescent="0.25">
      <c r="O497051" s="9"/>
    </row>
    <row r="497072" spans="15:15" x14ac:dyDescent="0.25">
      <c r="O497072" s="9"/>
    </row>
    <row r="497093" spans="15:15" x14ac:dyDescent="0.25">
      <c r="O497093" s="9"/>
    </row>
    <row r="497114" spans="15:15" x14ac:dyDescent="0.25">
      <c r="O497114" s="9"/>
    </row>
    <row r="497135" spans="15:15" x14ac:dyDescent="0.25">
      <c r="O497135" s="9"/>
    </row>
    <row r="497156" spans="15:15" x14ac:dyDescent="0.25">
      <c r="O497156" s="9"/>
    </row>
    <row r="497177" spans="15:15" x14ac:dyDescent="0.25">
      <c r="O497177" s="9"/>
    </row>
    <row r="497198" spans="15:15" x14ac:dyDescent="0.25">
      <c r="O497198" s="9"/>
    </row>
    <row r="497219" spans="15:15" x14ac:dyDescent="0.25">
      <c r="O497219" s="9"/>
    </row>
    <row r="497240" spans="15:15" x14ac:dyDescent="0.25">
      <c r="O497240" s="9"/>
    </row>
    <row r="497261" spans="15:15" x14ac:dyDescent="0.25">
      <c r="O497261" s="9"/>
    </row>
    <row r="497282" spans="15:15" x14ac:dyDescent="0.25">
      <c r="O497282" s="9"/>
    </row>
    <row r="497303" spans="15:15" x14ac:dyDescent="0.25">
      <c r="O497303" s="9"/>
    </row>
    <row r="497324" spans="15:15" x14ac:dyDescent="0.25">
      <c r="O497324" s="9"/>
    </row>
    <row r="497345" spans="15:15" x14ac:dyDescent="0.25">
      <c r="O497345" s="9"/>
    </row>
    <row r="497366" spans="15:15" x14ac:dyDescent="0.25">
      <c r="O497366" s="9"/>
    </row>
    <row r="497387" spans="15:15" x14ac:dyDescent="0.25">
      <c r="O497387" s="9"/>
    </row>
    <row r="497408" spans="15:15" x14ac:dyDescent="0.25">
      <c r="O497408" s="9"/>
    </row>
    <row r="497429" spans="15:15" x14ac:dyDescent="0.25">
      <c r="O497429" s="9"/>
    </row>
    <row r="497450" spans="15:15" x14ac:dyDescent="0.25">
      <c r="O497450" s="9"/>
    </row>
    <row r="497471" spans="15:15" x14ac:dyDescent="0.25">
      <c r="O497471" s="9"/>
    </row>
    <row r="497492" spans="15:15" x14ac:dyDescent="0.25">
      <c r="O497492" s="9"/>
    </row>
    <row r="497513" spans="15:15" x14ac:dyDescent="0.25">
      <c r="O497513" s="9"/>
    </row>
    <row r="497534" spans="15:15" x14ac:dyDescent="0.25">
      <c r="O497534" s="9"/>
    </row>
    <row r="497555" spans="15:15" x14ac:dyDescent="0.25">
      <c r="O497555" s="9"/>
    </row>
    <row r="497576" spans="15:15" x14ac:dyDescent="0.25">
      <c r="O497576" s="9"/>
    </row>
    <row r="497597" spans="15:15" x14ac:dyDescent="0.25">
      <c r="O497597" s="9"/>
    </row>
    <row r="497618" spans="15:15" x14ac:dyDescent="0.25">
      <c r="O497618" s="9"/>
    </row>
    <row r="497639" spans="15:15" x14ac:dyDescent="0.25">
      <c r="O497639" s="9"/>
    </row>
    <row r="497660" spans="15:15" x14ac:dyDescent="0.25">
      <c r="O497660" s="9"/>
    </row>
    <row r="497681" spans="15:15" x14ac:dyDescent="0.25">
      <c r="O497681" s="9"/>
    </row>
    <row r="497702" spans="15:15" x14ac:dyDescent="0.25">
      <c r="O497702" s="9"/>
    </row>
    <row r="497723" spans="15:15" x14ac:dyDescent="0.25">
      <c r="O497723" s="9"/>
    </row>
    <row r="497744" spans="15:15" x14ac:dyDescent="0.25">
      <c r="O497744" s="9"/>
    </row>
    <row r="497765" spans="15:15" x14ac:dyDescent="0.25">
      <c r="O497765" s="9"/>
    </row>
    <row r="497786" spans="15:15" x14ac:dyDescent="0.25">
      <c r="O497786" s="9"/>
    </row>
    <row r="497807" spans="15:15" x14ac:dyDescent="0.25">
      <c r="O497807" s="9"/>
    </row>
    <row r="497828" spans="15:15" x14ac:dyDescent="0.25">
      <c r="O497828" s="9"/>
    </row>
    <row r="497849" spans="15:15" x14ac:dyDescent="0.25">
      <c r="O497849" s="9"/>
    </row>
    <row r="497870" spans="15:15" x14ac:dyDescent="0.25">
      <c r="O497870" s="9"/>
    </row>
    <row r="497891" spans="15:15" x14ac:dyDescent="0.25">
      <c r="O497891" s="9"/>
    </row>
    <row r="497912" spans="15:15" x14ac:dyDescent="0.25">
      <c r="O497912" s="9"/>
    </row>
    <row r="497933" spans="15:15" x14ac:dyDescent="0.25">
      <c r="O497933" s="9"/>
    </row>
    <row r="497954" spans="15:15" x14ac:dyDescent="0.25">
      <c r="O497954" s="9"/>
    </row>
    <row r="497975" spans="15:15" x14ac:dyDescent="0.25">
      <c r="O497975" s="9"/>
    </row>
    <row r="497996" spans="15:15" x14ac:dyDescent="0.25">
      <c r="O497996" s="9"/>
    </row>
    <row r="498017" spans="15:15" x14ac:dyDescent="0.25">
      <c r="O498017" s="9"/>
    </row>
    <row r="498038" spans="15:15" x14ac:dyDescent="0.25">
      <c r="O498038" s="9"/>
    </row>
    <row r="498059" spans="15:15" x14ac:dyDescent="0.25">
      <c r="O498059" s="9"/>
    </row>
    <row r="498080" spans="15:15" x14ac:dyDescent="0.25">
      <c r="O498080" s="9"/>
    </row>
    <row r="498101" spans="15:15" x14ac:dyDescent="0.25">
      <c r="O498101" s="9"/>
    </row>
    <row r="498122" spans="15:15" x14ac:dyDescent="0.25">
      <c r="O498122" s="9"/>
    </row>
    <row r="498143" spans="15:15" x14ac:dyDescent="0.25">
      <c r="O498143" s="9"/>
    </row>
    <row r="498164" spans="15:15" x14ac:dyDescent="0.25">
      <c r="O498164" s="9"/>
    </row>
    <row r="498185" spans="15:15" x14ac:dyDescent="0.25">
      <c r="O498185" s="9"/>
    </row>
    <row r="498206" spans="15:15" x14ac:dyDescent="0.25">
      <c r="O498206" s="9"/>
    </row>
    <row r="498227" spans="15:15" x14ac:dyDescent="0.25">
      <c r="O498227" s="9"/>
    </row>
    <row r="498248" spans="15:15" x14ac:dyDescent="0.25">
      <c r="O498248" s="9"/>
    </row>
    <row r="498269" spans="15:15" x14ac:dyDescent="0.25">
      <c r="O498269" s="9"/>
    </row>
    <row r="498290" spans="15:15" x14ac:dyDescent="0.25">
      <c r="O498290" s="9"/>
    </row>
    <row r="498311" spans="15:15" x14ac:dyDescent="0.25">
      <c r="O498311" s="9"/>
    </row>
    <row r="498332" spans="15:15" x14ac:dyDescent="0.25">
      <c r="O498332" s="9"/>
    </row>
    <row r="498353" spans="15:15" x14ac:dyDescent="0.25">
      <c r="O498353" s="9"/>
    </row>
    <row r="498374" spans="15:15" x14ac:dyDescent="0.25">
      <c r="O498374" s="9"/>
    </row>
    <row r="498395" spans="15:15" x14ac:dyDescent="0.25">
      <c r="O498395" s="9"/>
    </row>
    <row r="498416" spans="15:15" x14ac:dyDescent="0.25">
      <c r="O498416" s="9"/>
    </row>
    <row r="498437" spans="15:15" x14ac:dyDescent="0.25">
      <c r="O498437" s="9"/>
    </row>
    <row r="498458" spans="15:15" x14ac:dyDescent="0.25">
      <c r="O498458" s="9"/>
    </row>
    <row r="498479" spans="15:15" x14ac:dyDescent="0.25">
      <c r="O498479" s="9"/>
    </row>
    <row r="498500" spans="15:15" x14ac:dyDescent="0.25">
      <c r="O498500" s="9"/>
    </row>
    <row r="498521" spans="15:15" x14ac:dyDescent="0.25">
      <c r="O498521" s="9"/>
    </row>
    <row r="498542" spans="15:15" x14ac:dyDescent="0.25">
      <c r="O498542" s="9"/>
    </row>
    <row r="498563" spans="15:15" x14ac:dyDescent="0.25">
      <c r="O498563" s="9"/>
    </row>
    <row r="498584" spans="15:15" x14ac:dyDescent="0.25">
      <c r="O498584" s="9"/>
    </row>
    <row r="498605" spans="15:15" x14ac:dyDescent="0.25">
      <c r="O498605" s="9"/>
    </row>
    <row r="498626" spans="15:15" x14ac:dyDescent="0.25">
      <c r="O498626" s="9"/>
    </row>
    <row r="498647" spans="15:15" x14ac:dyDescent="0.25">
      <c r="O498647" s="9"/>
    </row>
    <row r="498668" spans="15:15" x14ac:dyDescent="0.25">
      <c r="O498668" s="9"/>
    </row>
    <row r="498689" spans="15:15" x14ac:dyDescent="0.25">
      <c r="O498689" s="9"/>
    </row>
    <row r="498710" spans="15:15" x14ac:dyDescent="0.25">
      <c r="O498710" s="9"/>
    </row>
    <row r="498731" spans="15:15" x14ac:dyDescent="0.25">
      <c r="O498731" s="9"/>
    </row>
    <row r="498752" spans="15:15" x14ac:dyDescent="0.25">
      <c r="O498752" s="9"/>
    </row>
    <row r="498773" spans="15:15" x14ac:dyDescent="0.25">
      <c r="O498773" s="9"/>
    </row>
    <row r="498794" spans="15:15" x14ac:dyDescent="0.25">
      <c r="O498794" s="9"/>
    </row>
    <row r="498815" spans="15:15" x14ac:dyDescent="0.25">
      <c r="O498815" s="9"/>
    </row>
    <row r="498836" spans="15:15" x14ac:dyDescent="0.25">
      <c r="O498836" s="9"/>
    </row>
    <row r="498857" spans="15:15" x14ac:dyDescent="0.25">
      <c r="O498857" s="9"/>
    </row>
    <row r="498878" spans="15:15" x14ac:dyDescent="0.25">
      <c r="O498878" s="9"/>
    </row>
    <row r="498899" spans="15:15" x14ac:dyDescent="0.25">
      <c r="O498899" s="9"/>
    </row>
    <row r="498920" spans="15:15" x14ac:dyDescent="0.25">
      <c r="O498920" s="9"/>
    </row>
    <row r="498941" spans="15:15" x14ac:dyDescent="0.25">
      <c r="O498941" s="9"/>
    </row>
    <row r="498962" spans="15:15" x14ac:dyDescent="0.25">
      <c r="O498962" s="9"/>
    </row>
    <row r="498983" spans="15:15" x14ac:dyDescent="0.25">
      <c r="O498983" s="9"/>
    </row>
    <row r="499004" spans="15:15" x14ac:dyDescent="0.25">
      <c r="O499004" s="9"/>
    </row>
    <row r="499025" spans="15:15" x14ac:dyDescent="0.25">
      <c r="O499025" s="9"/>
    </row>
    <row r="499046" spans="15:15" x14ac:dyDescent="0.25">
      <c r="O499046" s="9"/>
    </row>
    <row r="499067" spans="15:15" x14ac:dyDescent="0.25">
      <c r="O499067" s="9"/>
    </row>
    <row r="499088" spans="15:15" x14ac:dyDescent="0.25">
      <c r="O499088" s="9"/>
    </row>
    <row r="499109" spans="15:15" x14ac:dyDescent="0.25">
      <c r="O499109" s="9"/>
    </row>
    <row r="499130" spans="15:15" x14ac:dyDescent="0.25">
      <c r="O499130" s="9"/>
    </row>
    <row r="499151" spans="15:15" x14ac:dyDescent="0.25">
      <c r="O499151" s="9"/>
    </row>
    <row r="499172" spans="15:15" x14ac:dyDescent="0.25">
      <c r="O499172" s="9"/>
    </row>
    <row r="499193" spans="15:15" x14ac:dyDescent="0.25">
      <c r="O499193" s="9"/>
    </row>
    <row r="499214" spans="15:15" x14ac:dyDescent="0.25">
      <c r="O499214" s="9"/>
    </row>
    <row r="499235" spans="15:15" x14ac:dyDescent="0.25">
      <c r="O499235" s="9"/>
    </row>
    <row r="499256" spans="15:15" x14ac:dyDescent="0.25">
      <c r="O499256" s="9"/>
    </row>
    <row r="499277" spans="15:15" x14ac:dyDescent="0.25">
      <c r="O499277" s="9"/>
    </row>
    <row r="499298" spans="15:15" x14ac:dyDescent="0.25">
      <c r="O499298" s="9"/>
    </row>
    <row r="499319" spans="15:15" x14ac:dyDescent="0.25">
      <c r="O499319" s="9"/>
    </row>
    <row r="499340" spans="15:15" x14ac:dyDescent="0.25">
      <c r="O499340" s="9"/>
    </row>
    <row r="499361" spans="15:15" x14ac:dyDescent="0.25">
      <c r="O499361" s="9"/>
    </row>
    <row r="499382" spans="15:15" x14ac:dyDescent="0.25">
      <c r="O499382" s="9"/>
    </row>
    <row r="499403" spans="15:15" x14ac:dyDescent="0.25">
      <c r="O499403" s="9"/>
    </row>
    <row r="499424" spans="15:15" x14ac:dyDescent="0.25">
      <c r="O499424" s="9"/>
    </row>
    <row r="499445" spans="15:15" x14ac:dyDescent="0.25">
      <c r="O499445" s="9"/>
    </row>
    <row r="499466" spans="15:15" x14ac:dyDescent="0.25">
      <c r="O499466" s="9"/>
    </row>
    <row r="499487" spans="15:15" x14ac:dyDescent="0.25">
      <c r="O499487" s="9"/>
    </row>
    <row r="499508" spans="15:15" x14ac:dyDescent="0.25">
      <c r="O499508" s="9"/>
    </row>
    <row r="499529" spans="15:15" x14ac:dyDescent="0.25">
      <c r="O499529" s="9"/>
    </row>
    <row r="499550" spans="15:15" x14ac:dyDescent="0.25">
      <c r="O499550" s="9"/>
    </row>
    <row r="499571" spans="15:15" x14ac:dyDescent="0.25">
      <c r="O499571" s="9"/>
    </row>
    <row r="499592" spans="15:15" x14ac:dyDescent="0.25">
      <c r="O499592" s="9"/>
    </row>
    <row r="499613" spans="15:15" x14ac:dyDescent="0.25">
      <c r="O499613" s="9"/>
    </row>
    <row r="499634" spans="15:15" x14ac:dyDescent="0.25">
      <c r="O499634" s="9"/>
    </row>
    <row r="499655" spans="15:15" x14ac:dyDescent="0.25">
      <c r="O499655" s="9"/>
    </row>
    <row r="499676" spans="15:15" x14ac:dyDescent="0.25">
      <c r="O499676" s="9"/>
    </row>
    <row r="499697" spans="15:15" x14ac:dyDescent="0.25">
      <c r="O499697" s="9"/>
    </row>
    <row r="499718" spans="15:15" x14ac:dyDescent="0.25">
      <c r="O499718" s="9"/>
    </row>
    <row r="499739" spans="15:15" x14ac:dyDescent="0.25">
      <c r="O499739" s="9"/>
    </row>
    <row r="499760" spans="15:15" x14ac:dyDescent="0.25">
      <c r="O499760" s="9"/>
    </row>
    <row r="499781" spans="15:15" x14ac:dyDescent="0.25">
      <c r="O499781" s="9"/>
    </row>
    <row r="499802" spans="15:15" x14ac:dyDescent="0.25">
      <c r="O499802" s="9"/>
    </row>
    <row r="499823" spans="15:15" x14ac:dyDescent="0.25">
      <c r="O499823" s="9"/>
    </row>
    <row r="499844" spans="15:15" x14ac:dyDescent="0.25">
      <c r="O499844" s="9"/>
    </row>
    <row r="499865" spans="15:15" x14ac:dyDescent="0.25">
      <c r="O499865" s="9"/>
    </row>
    <row r="499886" spans="15:15" x14ac:dyDescent="0.25">
      <c r="O499886" s="9"/>
    </row>
    <row r="499907" spans="15:15" x14ac:dyDescent="0.25">
      <c r="O499907" s="9"/>
    </row>
    <row r="499928" spans="15:15" x14ac:dyDescent="0.25">
      <c r="O499928" s="9"/>
    </row>
    <row r="499949" spans="15:15" x14ac:dyDescent="0.25">
      <c r="O499949" s="9"/>
    </row>
    <row r="499970" spans="15:15" x14ac:dyDescent="0.25">
      <c r="O499970" s="9"/>
    </row>
    <row r="499991" spans="15:15" x14ac:dyDescent="0.25">
      <c r="O499991" s="9"/>
    </row>
    <row r="500012" spans="15:15" x14ac:dyDescent="0.25">
      <c r="O500012" s="9"/>
    </row>
    <row r="500033" spans="15:15" x14ac:dyDescent="0.25">
      <c r="O500033" s="9"/>
    </row>
    <row r="500054" spans="15:15" x14ac:dyDescent="0.25">
      <c r="O500054" s="9"/>
    </row>
    <row r="500075" spans="15:15" x14ac:dyDescent="0.25">
      <c r="O500075" s="9"/>
    </row>
    <row r="500096" spans="15:15" x14ac:dyDescent="0.25">
      <c r="O500096" s="9"/>
    </row>
    <row r="500117" spans="15:15" x14ac:dyDescent="0.25">
      <c r="O500117" s="9"/>
    </row>
    <row r="500138" spans="15:15" x14ac:dyDescent="0.25">
      <c r="O500138" s="9"/>
    </row>
    <row r="500159" spans="15:15" x14ac:dyDescent="0.25">
      <c r="O500159" s="9"/>
    </row>
    <row r="500180" spans="15:15" x14ac:dyDescent="0.25">
      <c r="O500180" s="9"/>
    </row>
    <row r="500201" spans="15:15" x14ac:dyDescent="0.25">
      <c r="O500201" s="9"/>
    </row>
    <row r="500222" spans="15:15" x14ac:dyDescent="0.25">
      <c r="O500222" s="9"/>
    </row>
    <row r="500243" spans="15:15" x14ac:dyDescent="0.25">
      <c r="O500243" s="9"/>
    </row>
    <row r="500264" spans="15:15" x14ac:dyDescent="0.25">
      <c r="O500264" s="9"/>
    </row>
    <row r="500285" spans="15:15" x14ac:dyDescent="0.25">
      <c r="O500285" s="9"/>
    </row>
    <row r="500306" spans="15:15" x14ac:dyDescent="0.25">
      <c r="O500306" s="9"/>
    </row>
    <row r="500327" spans="15:15" x14ac:dyDescent="0.25">
      <c r="O500327" s="9"/>
    </row>
    <row r="500348" spans="15:15" x14ac:dyDescent="0.25">
      <c r="O500348" s="9"/>
    </row>
    <row r="500369" spans="15:15" x14ac:dyDescent="0.25">
      <c r="O500369" s="9"/>
    </row>
    <row r="500390" spans="15:15" x14ac:dyDescent="0.25">
      <c r="O500390" s="9"/>
    </row>
    <row r="500411" spans="15:15" x14ac:dyDescent="0.25">
      <c r="O500411" s="9"/>
    </row>
    <row r="500432" spans="15:15" x14ac:dyDescent="0.25">
      <c r="O500432" s="9"/>
    </row>
    <row r="500453" spans="15:15" x14ac:dyDescent="0.25">
      <c r="O500453" s="9"/>
    </row>
    <row r="500474" spans="15:15" x14ac:dyDescent="0.25">
      <c r="O500474" s="9"/>
    </row>
    <row r="500495" spans="15:15" x14ac:dyDescent="0.25">
      <c r="O500495" s="9"/>
    </row>
    <row r="500516" spans="15:15" x14ac:dyDescent="0.25">
      <c r="O500516" s="9"/>
    </row>
    <row r="500537" spans="15:15" x14ac:dyDescent="0.25">
      <c r="O500537" s="9"/>
    </row>
    <row r="500558" spans="15:15" x14ac:dyDescent="0.25">
      <c r="O500558" s="9"/>
    </row>
    <row r="500579" spans="15:15" x14ac:dyDescent="0.25">
      <c r="O500579" s="9"/>
    </row>
    <row r="500600" spans="15:15" x14ac:dyDescent="0.25">
      <c r="O500600" s="9"/>
    </row>
    <row r="500621" spans="15:15" x14ac:dyDescent="0.25">
      <c r="O500621" s="9"/>
    </row>
    <row r="500642" spans="15:15" x14ac:dyDescent="0.25">
      <c r="O500642" s="9"/>
    </row>
    <row r="500663" spans="15:15" x14ac:dyDescent="0.25">
      <c r="O500663" s="9"/>
    </row>
    <row r="500684" spans="15:15" x14ac:dyDescent="0.25">
      <c r="O500684" s="9"/>
    </row>
    <row r="500705" spans="15:15" x14ac:dyDescent="0.25">
      <c r="O500705" s="9"/>
    </row>
    <row r="500726" spans="15:15" x14ac:dyDescent="0.25">
      <c r="O500726" s="9"/>
    </row>
    <row r="500747" spans="15:15" x14ac:dyDescent="0.25">
      <c r="O500747" s="9"/>
    </row>
    <row r="500768" spans="15:15" x14ac:dyDescent="0.25">
      <c r="O500768" s="9"/>
    </row>
    <row r="500789" spans="15:15" x14ac:dyDescent="0.25">
      <c r="O500789" s="9"/>
    </row>
    <row r="500810" spans="15:15" x14ac:dyDescent="0.25">
      <c r="O500810" s="9"/>
    </row>
    <row r="500831" spans="15:15" x14ac:dyDescent="0.25">
      <c r="O500831" s="9"/>
    </row>
    <row r="500852" spans="15:15" x14ac:dyDescent="0.25">
      <c r="O500852" s="9"/>
    </row>
    <row r="500873" spans="15:15" x14ac:dyDescent="0.25">
      <c r="O500873" s="9"/>
    </row>
    <row r="500894" spans="15:15" x14ac:dyDescent="0.25">
      <c r="O500894" s="9"/>
    </row>
    <row r="500915" spans="15:15" x14ac:dyDescent="0.25">
      <c r="O500915" s="9"/>
    </row>
    <row r="500936" spans="15:15" x14ac:dyDescent="0.25">
      <c r="O500936" s="9"/>
    </row>
    <row r="500957" spans="15:15" x14ac:dyDescent="0.25">
      <c r="O500957" s="9"/>
    </row>
    <row r="500978" spans="15:15" x14ac:dyDescent="0.25">
      <c r="O500978" s="9"/>
    </row>
    <row r="500999" spans="15:15" x14ac:dyDescent="0.25">
      <c r="O500999" s="9"/>
    </row>
    <row r="501020" spans="15:15" x14ac:dyDescent="0.25">
      <c r="O501020" s="9"/>
    </row>
    <row r="501041" spans="15:15" x14ac:dyDescent="0.25">
      <c r="O501041" s="9"/>
    </row>
    <row r="501062" spans="15:15" x14ac:dyDescent="0.25">
      <c r="O501062" s="9"/>
    </row>
    <row r="501083" spans="15:15" x14ac:dyDescent="0.25">
      <c r="O501083" s="9"/>
    </row>
    <row r="501104" spans="15:15" x14ac:dyDescent="0.25">
      <c r="O501104" s="9"/>
    </row>
    <row r="501125" spans="15:15" x14ac:dyDescent="0.25">
      <c r="O501125" s="9"/>
    </row>
    <row r="501146" spans="15:15" x14ac:dyDescent="0.25">
      <c r="O501146" s="9"/>
    </row>
    <row r="501167" spans="15:15" x14ac:dyDescent="0.25">
      <c r="O501167" s="9"/>
    </row>
    <row r="501188" spans="15:15" x14ac:dyDescent="0.25">
      <c r="O501188" s="9"/>
    </row>
    <row r="501209" spans="15:15" x14ac:dyDescent="0.25">
      <c r="O501209" s="9"/>
    </row>
    <row r="501230" spans="15:15" x14ac:dyDescent="0.25">
      <c r="O501230" s="9"/>
    </row>
    <row r="501251" spans="15:15" x14ac:dyDescent="0.25">
      <c r="O501251" s="9"/>
    </row>
    <row r="501272" spans="15:15" x14ac:dyDescent="0.25">
      <c r="O501272" s="9"/>
    </row>
    <row r="501293" spans="15:15" x14ac:dyDescent="0.25">
      <c r="O501293" s="9"/>
    </row>
    <row r="501314" spans="15:15" x14ac:dyDescent="0.25">
      <c r="O501314" s="9"/>
    </row>
    <row r="501335" spans="15:15" x14ac:dyDescent="0.25">
      <c r="O501335" s="9"/>
    </row>
    <row r="501356" spans="15:15" x14ac:dyDescent="0.25">
      <c r="O501356" s="9"/>
    </row>
    <row r="501377" spans="15:15" x14ac:dyDescent="0.25">
      <c r="O501377" s="9"/>
    </row>
    <row r="501398" spans="15:15" x14ac:dyDescent="0.25">
      <c r="O501398" s="9"/>
    </row>
    <row r="501419" spans="15:15" x14ac:dyDescent="0.25">
      <c r="O501419" s="9"/>
    </row>
    <row r="501440" spans="15:15" x14ac:dyDescent="0.25">
      <c r="O501440" s="9"/>
    </row>
    <row r="501461" spans="15:15" x14ac:dyDescent="0.25">
      <c r="O501461" s="9"/>
    </row>
    <row r="501482" spans="15:15" x14ac:dyDescent="0.25">
      <c r="O501482" s="9"/>
    </row>
    <row r="501503" spans="15:15" x14ac:dyDescent="0.25">
      <c r="O501503" s="9"/>
    </row>
    <row r="501524" spans="15:15" x14ac:dyDescent="0.25">
      <c r="O501524" s="9"/>
    </row>
    <row r="501545" spans="15:15" x14ac:dyDescent="0.25">
      <c r="O501545" s="9"/>
    </row>
    <row r="501566" spans="15:15" x14ac:dyDescent="0.25">
      <c r="O501566" s="9"/>
    </row>
    <row r="501587" spans="15:15" x14ac:dyDescent="0.25">
      <c r="O501587" s="9"/>
    </row>
    <row r="501608" spans="15:15" x14ac:dyDescent="0.25">
      <c r="O501608" s="9"/>
    </row>
    <row r="501629" spans="15:15" x14ac:dyDescent="0.25">
      <c r="O501629" s="9"/>
    </row>
    <row r="501650" spans="15:15" x14ac:dyDescent="0.25">
      <c r="O501650" s="9"/>
    </row>
    <row r="501671" spans="15:15" x14ac:dyDescent="0.25">
      <c r="O501671" s="9"/>
    </row>
    <row r="501692" spans="15:15" x14ac:dyDescent="0.25">
      <c r="O501692" s="9"/>
    </row>
    <row r="501713" spans="15:15" x14ac:dyDescent="0.25">
      <c r="O501713" s="9"/>
    </row>
    <row r="501734" spans="15:15" x14ac:dyDescent="0.25">
      <c r="O501734" s="9"/>
    </row>
    <row r="501755" spans="15:15" x14ac:dyDescent="0.25">
      <c r="O501755" s="9"/>
    </row>
    <row r="501776" spans="15:15" x14ac:dyDescent="0.25">
      <c r="O501776" s="9"/>
    </row>
    <row r="501797" spans="15:15" x14ac:dyDescent="0.25">
      <c r="O501797" s="9"/>
    </row>
    <row r="501818" spans="15:15" x14ac:dyDescent="0.25">
      <c r="O501818" s="9"/>
    </row>
    <row r="501839" spans="15:15" x14ac:dyDescent="0.25">
      <c r="O501839" s="9"/>
    </row>
    <row r="501860" spans="15:15" x14ac:dyDescent="0.25">
      <c r="O501860" s="9"/>
    </row>
    <row r="501881" spans="15:15" x14ac:dyDescent="0.25">
      <c r="O501881" s="9"/>
    </row>
    <row r="501902" spans="15:15" x14ac:dyDescent="0.25">
      <c r="O501902" s="9"/>
    </row>
    <row r="501923" spans="15:15" x14ac:dyDescent="0.25">
      <c r="O501923" s="9"/>
    </row>
    <row r="501944" spans="15:15" x14ac:dyDescent="0.25">
      <c r="O501944" s="9"/>
    </row>
    <row r="501965" spans="15:15" x14ac:dyDescent="0.25">
      <c r="O501965" s="9"/>
    </row>
    <row r="501986" spans="15:15" x14ac:dyDescent="0.25">
      <c r="O501986" s="9"/>
    </row>
    <row r="502007" spans="15:15" x14ac:dyDescent="0.25">
      <c r="O502007" s="9"/>
    </row>
    <row r="502028" spans="15:15" x14ac:dyDescent="0.25">
      <c r="O502028" s="9"/>
    </row>
    <row r="502049" spans="15:15" x14ac:dyDescent="0.25">
      <c r="O502049" s="9"/>
    </row>
    <row r="502070" spans="15:15" x14ac:dyDescent="0.25">
      <c r="O502070" s="9"/>
    </row>
    <row r="502091" spans="15:15" x14ac:dyDescent="0.25">
      <c r="O502091" s="9"/>
    </row>
    <row r="502112" spans="15:15" x14ac:dyDescent="0.25">
      <c r="O502112" s="9"/>
    </row>
    <row r="502133" spans="15:15" x14ac:dyDescent="0.25">
      <c r="O502133" s="9"/>
    </row>
    <row r="502154" spans="15:15" x14ac:dyDescent="0.25">
      <c r="O502154" s="9"/>
    </row>
    <row r="502175" spans="15:15" x14ac:dyDescent="0.25">
      <c r="O502175" s="9"/>
    </row>
    <row r="502196" spans="15:15" x14ac:dyDescent="0.25">
      <c r="O502196" s="9"/>
    </row>
    <row r="502217" spans="15:15" x14ac:dyDescent="0.25">
      <c r="O502217" s="9"/>
    </row>
    <row r="502238" spans="15:15" x14ac:dyDescent="0.25">
      <c r="O502238" s="9"/>
    </row>
    <row r="502259" spans="15:15" x14ac:dyDescent="0.25">
      <c r="O502259" s="9"/>
    </row>
    <row r="502280" spans="15:15" x14ac:dyDescent="0.25">
      <c r="O502280" s="9"/>
    </row>
    <row r="502301" spans="15:15" x14ac:dyDescent="0.25">
      <c r="O502301" s="9"/>
    </row>
    <row r="502322" spans="15:15" x14ac:dyDescent="0.25">
      <c r="O502322" s="9"/>
    </row>
    <row r="502343" spans="15:15" x14ac:dyDescent="0.25">
      <c r="O502343" s="9"/>
    </row>
    <row r="502364" spans="15:15" x14ac:dyDescent="0.25">
      <c r="O502364" s="9"/>
    </row>
    <row r="502385" spans="15:15" x14ac:dyDescent="0.25">
      <c r="O502385" s="9"/>
    </row>
    <row r="502406" spans="15:15" x14ac:dyDescent="0.25">
      <c r="O502406" s="9"/>
    </row>
    <row r="502427" spans="15:15" x14ac:dyDescent="0.25">
      <c r="O502427" s="9"/>
    </row>
    <row r="502448" spans="15:15" x14ac:dyDescent="0.25">
      <c r="O502448" s="9"/>
    </row>
    <row r="502469" spans="15:15" x14ac:dyDescent="0.25">
      <c r="O502469" s="9"/>
    </row>
    <row r="502490" spans="15:15" x14ac:dyDescent="0.25">
      <c r="O502490" s="9"/>
    </row>
    <row r="502511" spans="15:15" x14ac:dyDescent="0.25">
      <c r="O502511" s="9"/>
    </row>
    <row r="502532" spans="15:15" x14ac:dyDescent="0.25">
      <c r="O502532" s="9"/>
    </row>
    <row r="502553" spans="15:15" x14ac:dyDescent="0.25">
      <c r="O502553" s="9"/>
    </row>
    <row r="502574" spans="15:15" x14ac:dyDescent="0.25">
      <c r="O502574" s="9"/>
    </row>
    <row r="502595" spans="15:15" x14ac:dyDescent="0.25">
      <c r="O502595" s="9"/>
    </row>
    <row r="502616" spans="15:15" x14ac:dyDescent="0.25">
      <c r="O502616" s="9"/>
    </row>
    <row r="502637" spans="15:15" x14ac:dyDescent="0.25">
      <c r="O502637" s="9"/>
    </row>
    <row r="502658" spans="15:15" x14ac:dyDescent="0.25">
      <c r="O502658" s="9"/>
    </row>
    <row r="502679" spans="15:15" x14ac:dyDescent="0.25">
      <c r="O502679" s="9"/>
    </row>
    <row r="502700" spans="15:15" x14ac:dyDescent="0.25">
      <c r="O502700" s="9"/>
    </row>
    <row r="502721" spans="15:15" x14ac:dyDescent="0.25">
      <c r="O502721" s="9"/>
    </row>
    <row r="502742" spans="15:15" x14ac:dyDescent="0.25">
      <c r="O502742" s="9"/>
    </row>
    <row r="502763" spans="15:15" x14ac:dyDescent="0.25">
      <c r="O502763" s="9"/>
    </row>
    <row r="502784" spans="15:15" x14ac:dyDescent="0.25">
      <c r="O502784" s="9"/>
    </row>
    <row r="502805" spans="15:15" x14ac:dyDescent="0.25">
      <c r="O502805" s="9"/>
    </row>
    <row r="502826" spans="15:15" x14ac:dyDescent="0.25">
      <c r="O502826" s="9"/>
    </row>
    <row r="502847" spans="15:15" x14ac:dyDescent="0.25">
      <c r="O502847" s="9"/>
    </row>
    <row r="502868" spans="15:15" x14ac:dyDescent="0.25">
      <c r="O502868" s="9"/>
    </row>
    <row r="502889" spans="15:15" x14ac:dyDescent="0.25">
      <c r="O502889" s="9"/>
    </row>
    <row r="502910" spans="15:15" x14ac:dyDescent="0.25">
      <c r="O502910" s="9"/>
    </row>
    <row r="502931" spans="15:15" x14ac:dyDescent="0.25">
      <c r="O502931" s="9"/>
    </row>
    <row r="502952" spans="15:15" x14ac:dyDescent="0.25">
      <c r="O502952" s="9"/>
    </row>
    <row r="502973" spans="15:15" x14ac:dyDescent="0.25">
      <c r="O502973" s="9"/>
    </row>
    <row r="502994" spans="15:15" x14ac:dyDescent="0.25">
      <c r="O502994" s="9"/>
    </row>
    <row r="503015" spans="15:15" x14ac:dyDescent="0.25">
      <c r="O503015" s="9"/>
    </row>
    <row r="503036" spans="15:15" x14ac:dyDescent="0.25">
      <c r="O503036" s="9"/>
    </row>
    <row r="503057" spans="15:15" x14ac:dyDescent="0.25">
      <c r="O503057" s="9"/>
    </row>
    <row r="503078" spans="15:15" x14ac:dyDescent="0.25">
      <c r="O503078" s="9"/>
    </row>
    <row r="503099" spans="15:15" x14ac:dyDescent="0.25">
      <c r="O503099" s="9"/>
    </row>
    <row r="503120" spans="15:15" x14ac:dyDescent="0.25">
      <c r="O503120" s="9"/>
    </row>
    <row r="503141" spans="15:15" x14ac:dyDescent="0.25">
      <c r="O503141" s="9"/>
    </row>
    <row r="503162" spans="15:15" x14ac:dyDescent="0.25">
      <c r="O503162" s="9"/>
    </row>
    <row r="503183" spans="15:15" x14ac:dyDescent="0.25">
      <c r="O503183" s="9"/>
    </row>
    <row r="503204" spans="15:15" x14ac:dyDescent="0.25">
      <c r="O503204" s="9"/>
    </row>
    <row r="503225" spans="15:15" x14ac:dyDescent="0.25">
      <c r="O503225" s="9"/>
    </row>
    <row r="503246" spans="15:15" x14ac:dyDescent="0.25">
      <c r="O503246" s="9"/>
    </row>
    <row r="503267" spans="15:15" x14ac:dyDescent="0.25">
      <c r="O503267" s="9"/>
    </row>
    <row r="503288" spans="15:15" x14ac:dyDescent="0.25">
      <c r="O503288" s="9"/>
    </row>
    <row r="503309" spans="15:15" x14ac:dyDescent="0.25">
      <c r="O503309" s="9"/>
    </row>
    <row r="503330" spans="15:15" x14ac:dyDescent="0.25">
      <c r="O503330" s="9"/>
    </row>
    <row r="503351" spans="15:15" x14ac:dyDescent="0.25">
      <c r="O503351" s="9"/>
    </row>
    <row r="503372" spans="15:15" x14ac:dyDescent="0.25">
      <c r="O503372" s="9"/>
    </row>
    <row r="503393" spans="15:15" x14ac:dyDescent="0.25">
      <c r="O503393" s="9"/>
    </row>
    <row r="503414" spans="15:15" x14ac:dyDescent="0.25">
      <c r="O503414" s="9"/>
    </row>
    <row r="503435" spans="15:15" x14ac:dyDescent="0.25">
      <c r="O503435" s="9"/>
    </row>
    <row r="503456" spans="15:15" x14ac:dyDescent="0.25">
      <c r="O503456" s="9"/>
    </row>
    <row r="503477" spans="15:15" x14ac:dyDescent="0.25">
      <c r="O503477" s="9"/>
    </row>
    <row r="503498" spans="15:15" x14ac:dyDescent="0.25">
      <c r="O503498" s="9"/>
    </row>
    <row r="503519" spans="15:15" x14ac:dyDescent="0.25">
      <c r="O503519" s="9"/>
    </row>
    <row r="503540" spans="15:15" x14ac:dyDescent="0.25">
      <c r="O503540" s="9"/>
    </row>
    <row r="503561" spans="15:15" x14ac:dyDescent="0.25">
      <c r="O503561" s="9"/>
    </row>
    <row r="503582" spans="15:15" x14ac:dyDescent="0.25">
      <c r="O503582" s="9"/>
    </row>
    <row r="503603" spans="15:15" x14ac:dyDescent="0.25">
      <c r="O503603" s="9"/>
    </row>
    <row r="503624" spans="15:15" x14ac:dyDescent="0.25">
      <c r="O503624" s="9"/>
    </row>
    <row r="503645" spans="15:15" x14ac:dyDescent="0.25">
      <c r="O503645" s="9"/>
    </row>
    <row r="503666" spans="15:15" x14ac:dyDescent="0.25">
      <c r="O503666" s="9"/>
    </row>
    <row r="503687" spans="15:15" x14ac:dyDescent="0.25">
      <c r="O503687" s="9"/>
    </row>
    <row r="503708" spans="15:15" x14ac:dyDescent="0.25">
      <c r="O503708" s="9"/>
    </row>
    <row r="503729" spans="15:15" x14ac:dyDescent="0.25">
      <c r="O503729" s="9"/>
    </row>
    <row r="503750" spans="15:15" x14ac:dyDescent="0.25">
      <c r="O503750" s="9"/>
    </row>
    <row r="503771" spans="15:15" x14ac:dyDescent="0.25">
      <c r="O503771" s="9"/>
    </row>
    <row r="503792" spans="15:15" x14ac:dyDescent="0.25">
      <c r="O503792" s="9"/>
    </row>
    <row r="503813" spans="15:15" x14ac:dyDescent="0.25">
      <c r="O503813" s="9"/>
    </row>
    <row r="503834" spans="15:15" x14ac:dyDescent="0.25">
      <c r="O503834" s="9"/>
    </row>
    <row r="503855" spans="15:15" x14ac:dyDescent="0.25">
      <c r="O503855" s="9"/>
    </row>
    <row r="503876" spans="15:15" x14ac:dyDescent="0.25">
      <c r="O503876" s="9"/>
    </row>
    <row r="503897" spans="15:15" x14ac:dyDescent="0.25">
      <c r="O503897" s="9"/>
    </row>
    <row r="503918" spans="15:15" x14ac:dyDescent="0.25">
      <c r="O503918" s="9"/>
    </row>
    <row r="503939" spans="15:15" x14ac:dyDescent="0.25">
      <c r="O503939" s="9"/>
    </row>
    <row r="503960" spans="15:15" x14ac:dyDescent="0.25">
      <c r="O503960" s="9"/>
    </row>
    <row r="503981" spans="15:15" x14ac:dyDescent="0.25">
      <c r="O503981" s="9"/>
    </row>
    <row r="504002" spans="15:15" x14ac:dyDescent="0.25">
      <c r="O504002" s="9"/>
    </row>
    <row r="504023" spans="15:15" x14ac:dyDescent="0.25">
      <c r="O504023" s="9"/>
    </row>
    <row r="504044" spans="15:15" x14ac:dyDescent="0.25">
      <c r="O504044" s="9"/>
    </row>
    <row r="504065" spans="15:15" x14ac:dyDescent="0.25">
      <c r="O504065" s="9"/>
    </row>
    <row r="504086" spans="15:15" x14ac:dyDescent="0.25">
      <c r="O504086" s="9"/>
    </row>
    <row r="504107" spans="15:15" x14ac:dyDescent="0.25">
      <c r="O504107" s="9"/>
    </row>
    <row r="504128" spans="15:15" x14ac:dyDescent="0.25">
      <c r="O504128" s="9"/>
    </row>
    <row r="504149" spans="15:15" x14ac:dyDescent="0.25">
      <c r="O504149" s="9"/>
    </row>
    <row r="504170" spans="15:15" x14ac:dyDescent="0.25">
      <c r="O504170" s="9"/>
    </row>
    <row r="504191" spans="15:15" x14ac:dyDescent="0.25">
      <c r="O504191" s="9"/>
    </row>
    <row r="504212" spans="15:15" x14ac:dyDescent="0.25">
      <c r="O504212" s="9"/>
    </row>
    <row r="504233" spans="15:15" x14ac:dyDescent="0.25">
      <c r="O504233" s="9"/>
    </row>
    <row r="504254" spans="15:15" x14ac:dyDescent="0.25">
      <c r="O504254" s="9"/>
    </row>
    <row r="504275" spans="15:15" x14ac:dyDescent="0.25">
      <c r="O504275" s="9"/>
    </row>
    <row r="504296" spans="15:15" x14ac:dyDescent="0.25">
      <c r="O504296" s="9"/>
    </row>
    <row r="504317" spans="15:15" x14ac:dyDescent="0.25">
      <c r="O504317" s="9"/>
    </row>
    <row r="504338" spans="15:15" x14ac:dyDescent="0.25">
      <c r="O504338" s="9"/>
    </row>
    <row r="504359" spans="15:15" x14ac:dyDescent="0.25">
      <c r="O504359" s="9"/>
    </row>
    <row r="504380" spans="15:15" x14ac:dyDescent="0.25">
      <c r="O504380" s="9"/>
    </row>
    <row r="504401" spans="15:15" x14ac:dyDescent="0.25">
      <c r="O504401" s="9"/>
    </row>
    <row r="504422" spans="15:15" x14ac:dyDescent="0.25">
      <c r="O504422" s="9"/>
    </row>
    <row r="504443" spans="15:15" x14ac:dyDescent="0.25">
      <c r="O504443" s="9"/>
    </row>
    <row r="504464" spans="15:15" x14ac:dyDescent="0.25">
      <c r="O504464" s="9"/>
    </row>
    <row r="504485" spans="15:15" x14ac:dyDescent="0.25">
      <c r="O504485" s="9"/>
    </row>
    <row r="504506" spans="15:15" x14ac:dyDescent="0.25">
      <c r="O504506" s="9"/>
    </row>
    <row r="504527" spans="15:15" x14ac:dyDescent="0.25">
      <c r="O504527" s="9"/>
    </row>
    <row r="504548" spans="15:15" x14ac:dyDescent="0.25">
      <c r="O504548" s="9"/>
    </row>
    <row r="504569" spans="15:15" x14ac:dyDescent="0.25">
      <c r="O504569" s="9"/>
    </row>
    <row r="504590" spans="15:15" x14ac:dyDescent="0.25">
      <c r="O504590" s="9"/>
    </row>
    <row r="504611" spans="15:15" x14ac:dyDescent="0.25">
      <c r="O504611" s="9"/>
    </row>
    <row r="504632" spans="15:15" x14ac:dyDescent="0.25">
      <c r="O504632" s="9"/>
    </row>
    <row r="504653" spans="15:15" x14ac:dyDescent="0.25">
      <c r="O504653" s="9"/>
    </row>
    <row r="504674" spans="15:15" x14ac:dyDescent="0.25">
      <c r="O504674" s="9"/>
    </row>
    <row r="504695" spans="15:15" x14ac:dyDescent="0.25">
      <c r="O504695" s="9"/>
    </row>
    <row r="504716" spans="15:15" x14ac:dyDescent="0.25">
      <c r="O504716" s="9"/>
    </row>
    <row r="504737" spans="15:15" x14ac:dyDescent="0.25">
      <c r="O504737" s="9"/>
    </row>
    <row r="504758" spans="15:15" x14ac:dyDescent="0.25">
      <c r="O504758" s="9"/>
    </row>
    <row r="504779" spans="15:15" x14ac:dyDescent="0.25">
      <c r="O504779" s="9"/>
    </row>
    <row r="504800" spans="15:15" x14ac:dyDescent="0.25">
      <c r="O504800" s="9"/>
    </row>
    <row r="504821" spans="15:15" x14ac:dyDescent="0.25">
      <c r="O504821" s="9"/>
    </row>
    <row r="504842" spans="15:15" x14ac:dyDescent="0.25">
      <c r="O504842" s="9"/>
    </row>
    <row r="504863" spans="15:15" x14ac:dyDescent="0.25">
      <c r="O504863" s="9"/>
    </row>
    <row r="504884" spans="15:15" x14ac:dyDescent="0.25">
      <c r="O504884" s="9"/>
    </row>
    <row r="504905" spans="15:15" x14ac:dyDescent="0.25">
      <c r="O504905" s="9"/>
    </row>
    <row r="504926" spans="15:15" x14ac:dyDescent="0.25">
      <c r="O504926" s="9"/>
    </row>
    <row r="504947" spans="15:15" x14ac:dyDescent="0.25">
      <c r="O504947" s="9"/>
    </row>
    <row r="504968" spans="15:15" x14ac:dyDescent="0.25">
      <c r="O504968" s="9"/>
    </row>
    <row r="504989" spans="15:15" x14ac:dyDescent="0.25">
      <c r="O504989" s="9"/>
    </row>
    <row r="505010" spans="15:15" x14ac:dyDescent="0.25">
      <c r="O505010" s="9"/>
    </row>
    <row r="505031" spans="15:15" x14ac:dyDescent="0.25">
      <c r="O505031" s="9"/>
    </row>
    <row r="505052" spans="15:15" x14ac:dyDescent="0.25">
      <c r="O505052" s="9"/>
    </row>
    <row r="505073" spans="15:15" x14ac:dyDescent="0.25">
      <c r="O505073" s="9"/>
    </row>
    <row r="505094" spans="15:15" x14ac:dyDescent="0.25">
      <c r="O505094" s="9"/>
    </row>
    <row r="505115" spans="15:15" x14ac:dyDescent="0.25">
      <c r="O505115" s="9"/>
    </row>
    <row r="505136" spans="15:15" x14ac:dyDescent="0.25">
      <c r="O505136" s="9"/>
    </row>
    <row r="505157" spans="15:15" x14ac:dyDescent="0.25">
      <c r="O505157" s="9"/>
    </row>
    <row r="505178" spans="15:15" x14ac:dyDescent="0.25">
      <c r="O505178" s="9"/>
    </row>
    <row r="505199" spans="15:15" x14ac:dyDescent="0.25">
      <c r="O505199" s="9"/>
    </row>
    <row r="505220" spans="15:15" x14ac:dyDescent="0.25">
      <c r="O505220" s="9"/>
    </row>
    <row r="505241" spans="15:15" x14ac:dyDescent="0.25">
      <c r="O505241" s="9"/>
    </row>
    <row r="505262" spans="15:15" x14ac:dyDescent="0.25">
      <c r="O505262" s="9"/>
    </row>
    <row r="505283" spans="15:15" x14ac:dyDescent="0.25">
      <c r="O505283" s="9"/>
    </row>
    <row r="505304" spans="15:15" x14ac:dyDescent="0.25">
      <c r="O505304" s="9"/>
    </row>
    <row r="505325" spans="15:15" x14ac:dyDescent="0.25">
      <c r="O505325" s="9"/>
    </row>
    <row r="505346" spans="15:15" x14ac:dyDescent="0.25">
      <c r="O505346" s="9"/>
    </row>
    <row r="505367" spans="15:15" x14ac:dyDescent="0.25">
      <c r="O505367" s="9"/>
    </row>
    <row r="505388" spans="15:15" x14ac:dyDescent="0.25">
      <c r="O505388" s="9"/>
    </row>
    <row r="505409" spans="15:15" x14ac:dyDescent="0.25">
      <c r="O505409" s="9"/>
    </row>
    <row r="505430" spans="15:15" x14ac:dyDescent="0.25">
      <c r="O505430" s="9"/>
    </row>
    <row r="505451" spans="15:15" x14ac:dyDescent="0.25">
      <c r="O505451" s="9"/>
    </row>
    <row r="505472" spans="15:15" x14ac:dyDescent="0.25">
      <c r="O505472" s="9"/>
    </row>
    <row r="505493" spans="15:15" x14ac:dyDescent="0.25">
      <c r="O505493" s="9"/>
    </row>
    <row r="505514" spans="15:15" x14ac:dyDescent="0.25">
      <c r="O505514" s="9"/>
    </row>
    <row r="505535" spans="15:15" x14ac:dyDescent="0.25">
      <c r="O505535" s="9"/>
    </row>
    <row r="505556" spans="15:15" x14ac:dyDescent="0.25">
      <c r="O505556" s="9"/>
    </row>
    <row r="505577" spans="15:15" x14ac:dyDescent="0.25">
      <c r="O505577" s="9"/>
    </row>
    <row r="505598" spans="15:15" x14ac:dyDescent="0.25">
      <c r="O505598" s="9"/>
    </row>
    <row r="505619" spans="15:15" x14ac:dyDescent="0.25">
      <c r="O505619" s="9"/>
    </row>
    <row r="505640" spans="15:15" x14ac:dyDescent="0.25">
      <c r="O505640" s="9"/>
    </row>
    <row r="505661" spans="15:15" x14ac:dyDescent="0.25">
      <c r="O505661" s="9"/>
    </row>
    <row r="505682" spans="15:15" x14ac:dyDescent="0.25">
      <c r="O505682" s="9"/>
    </row>
    <row r="505703" spans="15:15" x14ac:dyDescent="0.25">
      <c r="O505703" s="9"/>
    </row>
    <row r="505724" spans="15:15" x14ac:dyDescent="0.25">
      <c r="O505724" s="9"/>
    </row>
    <row r="505745" spans="15:15" x14ac:dyDescent="0.25">
      <c r="O505745" s="9"/>
    </row>
    <row r="505766" spans="15:15" x14ac:dyDescent="0.25">
      <c r="O505766" s="9"/>
    </row>
    <row r="505787" spans="15:15" x14ac:dyDescent="0.25">
      <c r="O505787" s="9"/>
    </row>
    <row r="505808" spans="15:15" x14ac:dyDescent="0.25">
      <c r="O505808" s="9"/>
    </row>
    <row r="505829" spans="15:15" x14ac:dyDescent="0.25">
      <c r="O505829" s="9"/>
    </row>
    <row r="505850" spans="15:15" x14ac:dyDescent="0.25">
      <c r="O505850" s="9"/>
    </row>
    <row r="505871" spans="15:15" x14ac:dyDescent="0.25">
      <c r="O505871" s="9"/>
    </row>
    <row r="505892" spans="15:15" x14ac:dyDescent="0.25">
      <c r="O505892" s="9"/>
    </row>
    <row r="505913" spans="15:15" x14ac:dyDescent="0.25">
      <c r="O505913" s="9"/>
    </row>
    <row r="505934" spans="15:15" x14ac:dyDescent="0.25">
      <c r="O505934" s="9"/>
    </row>
    <row r="505955" spans="15:15" x14ac:dyDescent="0.25">
      <c r="O505955" s="9"/>
    </row>
    <row r="505976" spans="15:15" x14ac:dyDescent="0.25">
      <c r="O505976" s="9"/>
    </row>
    <row r="505997" spans="15:15" x14ac:dyDescent="0.25">
      <c r="O505997" s="9"/>
    </row>
    <row r="506018" spans="15:15" x14ac:dyDescent="0.25">
      <c r="O506018" s="9"/>
    </row>
    <row r="506039" spans="15:15" x14ac:dyDescent="0.25">
      <c r="O506039" s="9"/>
    </row>
    <row r="506060" spans="15:15" x14ac:dyDescent="0.25">
      <c r="O506060" s="9"/>
    </row>
    <row r="506081" spans="15:15" x14ac:dyDescent="0.25">
      <c r="O506081" s="9"/>
    </row>
    <row r="506102" spans="15:15" x14ac:dyDescent="0.25">
      <c r="O506102" s="9"/>
    </row>
    <row r="506123" spans="15:15" x14ac:dyDescent="0.25">
      <c r="O506123" s="9"/>
    </row>
    <row r="506144" spans="15:15" x14ac:dyDescent="0.25">
      <c r="O506144" s="9"/>
    </row>
    <row r="506165" spans="15:15" x14ac:dyDescent="0.25">
      <c r="O506165" s="9"/>
    </row>
    <row r="506186" spans="15:15" x14ac:dyDescent="0.25">
      <c r="O506186" s="9"/>
    </row>
    <row r="506207" spans="15:15" x14ac:dyDescent="0.25">
      <c r="O506207" s="9"/>
    </row>
    <row r="506228" spans="15:15" x14ac:dyDescent="0.25">
      <c r="O506228" s="9"/>
    </row>
    <row r="506249" spans="15:15" x14ac:dyDescent="0.25">
      <c r="O506249" s="9"/>
    </row>
    <row r="506270" spans="15:15" x14ac:dyDescent="0.25">
      <c r="O506270" s="9"/>
    </row>
    <row r="506291" spans="15:15" x14ac:dyDescent="0.25">
      <c r="O506291" s="9"/>
    </row>
    <row r="506312" spans="15:15" x14ac:dyDescent="0.25">
      <c r="O506312" s="9"/>
    </row>
    <row r="506333" spans="15:15" x14ac:dyDescent="0.25">
      <c r="O506333" s="9"/>
    </row>
    <row r="506354" spans="15:15" x14ac:dyDescent="0.25">
      <c r="O506354" s="9"/>
    </row>
    <row r="506375" spans="15:15" x14ac:dyDescent="0.25">
      <c r="O506375" s="9"/>
    </row>
    <row r="506396" spans="15:15" x14ac:dyDescent="0.25">
      <c r="O506396" s="9"/>
    </row>
    <row r="506417" spans="15:15" x14ac:dyDescent="0.25">
      <c r="O506417" s="9"/>
    </row>
    <row r="506438" spans="15:15" x14ac:dyDescent="0.25">
      <c r="O506438" s="9"/>
    </row>
    <row r="506459" spans="15:15" x14ac:dyDescent="0.25">
      <c r="O506459" s="9"/>
    </row>
    <row r="506480" spans="15:15" x14ac:dyDescent="0.25">
      <c r="O506480" s="9"/>
    </row>
    <row r="506501" spans="15:15" x14ac:dyDescent="0.25">
      <c r="O506501" s="9"/>
    </row>
    <row r="506522" spans="15:15" x14ac:dyDescent="0.25">
      <c r="O506522" s="9"/>
    </row>
    <row r="506543" spans="15:15" x14ac:dyDescent="0.25">
      <c r="O506543" s="9"/>
    </row>
    <row r="506564" spans="15:15" x14ac:dyDescent="0.25">
      <c r="O506564" s="9"/>
    </row>
    <row r="506585" spans="15:15" x14ac:dyDescent="0.25">
      <c r="O506585" s="9"/>
    </row>
    <row r="506606" spans="15:15" x14ac:dyDescent="0.25">
      <c r="O506606" s="9"/>
    </row>
    <row r="506627" spans="15:15" x14ac:dyDescent="0.25">
      <c r="O506627" s="9"/>
    </row>
    <row r="506648" spans="15:15" x14ac:dyDescent="0.25">
      <c r="O506648" s="9"/>
    </row>
    <row r="506669" spans="15:15" x14ac:dyDescent="0.25">
      <c r="O506669" s="9"/>
    </row>
    <row r="506690" spans="15:15" x14ac:dyDescent="0.25">
      <c r="O506690" s="9"/>
    </row>
    <row r="506711" spans="15:15" x14ac:dyDescent="0.25">
      <c r="O506711" s="9"/>
    </row>
    <row r="506732" spans="15:15" x14ac:dyDescent="0.25">
      <c r="O506732" s="9"/>
    </row>
    <row r="506753" spans="15:15" x14ac:dyDescent="0.25">
      <c r="O506753" s="9"/>
    </row>
    <row r="506774" spans="15:15" x14ac:dyDescent="0.25">
      <c r="O506774" s="9"/>
    </row>
    <row r="506795" spans="15:15" x14ac:dyDescent="0.25">
      <c r="O506795" s="9"/>
    </row>
    <row r="506816" spans="15:15" x14ac:dyDescent="0.25">
      <c r="O506816" s="9"/>
    </row>
    <row r="506837" spans="15:15" x14ac:dyDescent="0.25">
      <c r="O506837" s="9"/>
    </row>
    <row r="506858" spans="15:15" x14ac:dyDescent="0.25">
      <c r="O506858" s="9"/>
    </row>
    <row r="506879" spans="15:15" x14ac:dyDescent="0.25">
      <c r="O506879" s="9"/>
    </row>
    <row r="506900" spans="15:15" x14ac:dyDescent="0.25">
      <c r="O506900" s="9"/>
    </row>
    <row r="506921" spans="15:15" x14ac:dyDescent="0.25">
      <c r="O506921" s="9"/>
    </row>
    <row r="506942" spans="15:15" x14ac:dyDescent="0.25">
      <c r="O506942" s="9"/>
    </row>
    <row r="506963" spans="15:15" x14ac:dyDescent="0.25">
      <c r="O506963" s="9"/>
    </row>
    <row r="506984" spans="15:15" x14ac:dyDescent="0.25">
      <c r="O506984" s="9"/>
    </row>
    <row r="507005" spans="15:15" x14ac:dyDescent="0.25">
      <c r="O507005" s="9"/>
    </row>
    <row r="507026" spans="15:15" x14ac:dyDescent="0.25">
      <c r="O507026" s="9"/>
    </row>
    <row r="507047" spans="15:15" x14ac:dyDescent="0.25">
      <c r="O507047" s="9"/>
    </row>
    <row r="507068" spans="15:15" x14ac:dyDescent="0.25">
      <c r="O507068" s="9"/>
    </row>
    <row r="507089" spans="15:15" x14ac:dyDescent="0.25">
      <c r="O507089" s="9"/>
    </row>
    <row r="507110" spans="15:15" x14ac:dyDescent="0.25">
      <c r="O507110" s="9"/>
    </row>
    <row r="507131" spans="15:15" x14ac:dyDescent="0.25">
      <c r="O507131" s="9"/>
    </row>
    <row r="507152" spans="15:15" x14ac:dyDescent="0.25">
      <c r="O507152" s="9"/>
    </row>
    <row r="507173" spans="15:15" x14ac:dyDescent="0.25">
      <c r="O507173" s="9"/>
    </row>
    <row r="507194" spans="15:15" x14ac:dyDescent="0.25">
      <c r="O507194" s="9"/>
    </row>
    <row r="507215" spans="15:15" x14ac:dyDescent="0.25">
      <c r="O507215" s="9"/>
    </row>
    <row r="507236" spans="15:15" x14ac:dyDescent="0.25">
      <c r="O507236" s="9"/>
    </row>
    <row r="507257" spans="15:15" x14ac:dyDescent="0.25">
      <c r="O507257" s="9"/>
    </row>
    <row r="507278" spans="15:15" x14ac:dyDescent="0.25">
      <c r="O507278" s="9"/>
    </row>
    <row r="507299" spans="15:15" x14ac:dyDescent="0.25">
      <c r="O507299" s="9"/>
    </row>
    <row r="507320" spans="15:15" x14ac:dyDescent="0.25">
      <c r="O507320" s="9"/>
    </row>
    <row r="507341" spans="15:15" x14ac:dyDescent="0.25">
      <c r="O507341" s="9"/>
    </row>
    <row r="507362" spans="15:15" x14ac:dyDescent="0.25">
      <c r="O507362" s="9"/>
    </row>
    <row r="507383" spans="15:15" x14ac:dyDescent="0.25">
      <c r="O507383" s="9"/>
    </row>
    <row r="507404" spans="15:15" x14ac:dyDescent="0.25">
      <c r="O507404" s="9"/>
    </row>
    <row r="507425" spans="15:15" x14ac:dyDescent="0.25">
      <c r="O507425" s="9"/>
    </row>
    <row r="507446" spans="15:15" x14ac:dyDescent="0.25">
      <c r="O507446" s="9"/>
    </row>
    <row r="507467" spans="15:15" x14ac:dyDescent="0.25">
      <c r="O507467" s="9"/>
    </row>
    <row r="507488" spans="15:15" x14ac:dyDescent="0.25">
      <c r="O507488" s="9"/>
    </row>
    <row r="507509" spans="15:15" x14ac:dyDescent="0.25">
      <c r="O507509" s="9"/>
    </row>
    <row r="507530" spans="15:15" x14ac:dyDescent="0.25">
      <c r="O507530" s="9"/>
    </row>
    <row r="507551" spans="15:15" x14ac:dyDescent="0.25">
      <c r="O507551" s="9"/>
    </row>
    <row r="507572" spans="15:15" x14ac:dyDescent="0.25">
      <c r="O507572" s="9"/>
    </row>
    <row r="507593" spans="15:15" x14ac:dyDescent="0.25">
      <c r="O507593" s="9"/>
    </row>
    <row r="507614" spans="15:15" x14ac:dyDescent="0.25">
      <c r="O507614" s="9"/>
    </row>
    <row r="507635" spans="15:15" x14ac:dyDescent="0.25">
      <c r="O507635" s="9"/>
    </row>
    <row r="507656" spans="15:15" x14ac:dyDescent="0.25">
      <c r="O507656" s="9"/>
    </row>
    <row r="507677" spans="15:15" x14ac:dyDescent="0.25">
      <c r="O507677" s="9"/>
    </row>
    <row r="507698" spans="15:15" x14ac:dyDescent="0.25">
      <c r="O507698" s="9"/>
    </row>
    <row r="507719" spans="15:15" x14ac:dyDescent="0.25">
      <c r="O507719" s="9"/>
    </row>
    <row r="507740" spans="15:15" x14ac:dyDescent="0.25">
      <c r="O507740" s="9"/>
    </row>
    <row r="507761" spans="15:15" x14ac:dyDescent="0.25">
      <c r="O507761" s="9"/>
    </row>
    <row r="507782" spans="15:15" x14ac:dyDescent="0.25">
      <c r="O507782" s="9"/>
    </row>
    <row r="507803" spans="15:15" x14ac:dyDescent="0.25">
      <c r="O507803" s="9"/>
    </row>
    <row r="507824" spans="15:15" x14ac:dyDescent="0.25">
      <c r="O507824" s="9"/>
    </row>
    <row r="507845" spans="15:15" x14ac:dyDescent="0.25">
      <c r="O507845" s="9"/>
    </row>
    <row r="507866" spans="15:15" x14ac:dyDescent="0.25">
      <c r="O507866" s="9"/>
    </row>
    <row r="507887" spans="15:15" x14ac:dyDescent="0.25">
      <c r="O507887" s="9"/>
    </row>
    <row r="507908" spans="15:15" x14ac:dyDescent="0.25">
      <c r="O507908" s="9"/>
    </row>
    <row r="507929" spans="15:15" x14ac:dyDescent="0.25">
      <c r="O507929" s="9"/>
    </row>
    <row r="507950" spans="15:15" x14ac:dyDescent="0.25">
      <c r="O507950" s="9"/>
    </row>
    <row r="507971" spans="15:15" x14ac:dyDescent="0.25">
      <c r="O507971" s="9"/>
    </row>
    <row r="507992" spans="15:15" x14ac:dyDescent="0.25">
      <c r="O507992" s="9"/>
    </row>
    <row r="508013" spans="15:15" x14ac:dyDescent="0.25">
      <c r="O508013" s="9"/>
    </row>
    <row r="508034" spans="15:15" x14ac:dyDescent="0.25">
      <c r="O508034" s="9"/>
    </row>
    <row r="508055" spans="15:15" x14ac:dyDescent="0.25">
      <c r="O508055" s="9"/>
    </row>
    <row r="508076" spans="15:15" x14ac:dyDescent="0.25">
      <c r="O508076" s="9"/>
    </row>
    <row r="508097" spans="15:15" x14ac:dyDescent="0.25">
      <c r="O508097" s="9"/>
    </row>
    <row r="508118" spans="15:15" x14ac:dyDescent="0.25">
      <c r="O508118" s="9"/>
    </row>
    <row r="508139" spans="15:15" x14ac:dyDescent="0.25">
      <c r="O508139" s="9"/>
    </row>
    <row r="508160" spans="15:15" x14ac:dyDescent="0.25">
      <c r="O508160" s="9"/>
    </row>
    <row r="508181" spans="15:15" x14ac:dyDescent="0.25">
      <c r="O508181" s="9"/>
    </row>
    <row r="508202" spans="15:15" x14ac:dyDescent="0.25">
      <c r="O508202" s="9"/>
    </row>
    <row r="508223" spans="15:15" x14ac:dyDescent="0.25">
      <c r="O508223" s="9"/>
    </row>
    <row r="508244" spans="15:15" x14ac:dyDescent="0.25">
      <c r="O508244" s="9"/>
    </row>
    <row r="508265" spans="15:15" x14ac:dyDescent="0.25">
      <c r="O508265" s="9"/>
    </row>
    <row r="508286" spans="15:15" x14ac:dyDescent="0.25">
      <c r="O508286" s="9"/>
    </row>
    <row r="508307" spans="15:15" x14ac:dyDescent="0.25">
      <c r="O508307" s="9"/>
    </row>
    <row r="508328" spans="15:15" x14ac:dyDescent="0.25">
      <c r="O508328" s="9"/>
    </row>
    <row r="508349" spans="15:15" x14ac:dyDescent="0.25">
      <c r="O508349" s="9"/>
    </row>
    <row r="508370" spans="15:15" x14ac:dyDescent="0.25">
      <c r="O508370" s="9"/>
    </row>
    <row r="508391" spans="15:15" x14ac:dyDescent="0.25">
      <c r="O508391" s="9"/>
    </row>
    <row r="508412" spans="15:15" x14ac:dyDescent="0.25">
      <c r="O508412" s="9"/>
    </row>
    <row r="508433" spans="15:15" x14ac:dyDescent="0.25">
      <c r="O508433" s="9"/>
    </row>
    <row r="508454" spans="15:15" x14ac:dyDescent="0.25">
      <c r="O508454" s="9"/>
    </row>
    <row r="508475" spans="15:15" x14ac:dyDescent="0.25">
      <c r="O508475" s="9"/>
    </row>
    <row r="508496" spans="15:15" x14ac:dyDescent="0.25">
      <c r="O508496" s="9"/>
    </row>
    <row r="508517" spans="15:15" x14ac:dyDescent="0.25">
      <c r="O508517" s="9"/>
    </row>
    <row r="508538" spans="15:15" x14ac:dyDescent="0.25">
      <c r="O508538" s="9"/>
    </row>
    <row r="508559" spans="15:15" x14ac:dyDescent="0.25">
      <c r="O508559" s="9"/>
    </row>
    <row r="508580" spans="15:15" x14ac:dyDescent="0.25">
      <c r="O508580" s="9"/>
    </row>
    <row r="508601" spans="15:15" x14ac:dyDescent="0.25">
      <c r="O508601" s="9"/>
    </row>
    <row r="508622" spans="15:15" x14ac:dyDescent="0.25">
      <c r="O508622" s="9"/>
    </row>
    <row r="508643" spans="15:15" x14ac:dyDescent="0.25">
      <c r="O508643" s="9"/>
    </row>
    <row r="508664" spans="15:15" x14ac:dyDescent="0.25">
      <c r="O508664" s="9"/>
    </row>
    <row r="508685" spans="15:15" x14ac:dyDescent="0.25">
      <c r="O508685" s="9"/>
    </row>
    <row r="508706" spans="15:15" x14ac:dyDescent="0.25">
      <c r="O508706" s="9"/>
    </row>
    <row r="508727" spans="15:15" x14ac:dyDescent="0.25">
      <c r="O508727" s="9"/>
    </row>
    <row r="508748" spans="15:15" x14ac:dyDescent="0.25">
      <c r="O508748" s="9"/>
    </row>
    <row r="508769" spans="15:15" x14ac:dyDescent="0.25">
      <c r="O508769" s="9"/>
    </row>
    <row r="508790" spans="15:15" x14ac:dyDescent="0.25">
      <c r="O508790" s="9"/>
    </row>
    <row r="508811" spans="15:15" x14ac:dyDescent="0.25">
      <c r="O508811" s="9"/>
    </row>
    <row r="508832" spans="15:15" x14ac:dyDescent="0.25">
      <c r="O508832" s="9"/>
    </row>
    <row r="508853" spans="15:15" x14ac:dyDescent="0.25">
      <c r="O508853" s="9"/>
    </row>
    <row r="508874" spans="15:15" x14ac:dyDescent="0.25">
      <c r="O508874" s="9"/>
    </row>
    <row r="508895" spans="15:15" x14ac:dyDescent="0.25">
      <c r="O508895" s="9"/>
    </row>
    <row r="508916" spans="15:15" x14ac:dyDescent="0.25">
      <c r="O508916" s="9"/>
    </row>
    <row r="508937" spans="15:15" x14ac:dyDescent="0.25">
      <c r="O508937" s="9"/>
    </row>
    <row r="508958" spans="15:15" x14ac:dyDescent="0.25">
      <c r="O508958" s="9"/>
    </row>
    <row r="508979" spans="15:15" x14ac:dyDescent="0.25">
      <c r="O508979" s="9"/>
    </row>
    <row r="509000" spans="15:15" x14ac:dyDescent="0.25">
      <c r="O509000" s="9"/>
    </row>
    <row r="509021" spans="15:15" x14ac:dyDescent="0.25">
      <c r="O509021" s="9"/>
    </row>
    <row r="509042" spans="15:15" x14ac:dyDescent="0.25">
      <c r="O509042" s="9"/>
    </row>
    <row r="509063" spans="15:15" x14ac:dyDescent="0.25">
      <c r="O509063" s="9"/>
    </row>
    <row r="509084" spans="15:15" x14ac:dyDescent="0.25">
      <c r="O509084" s="9"/>
    </row>
    <row r="509105" spans="15:15" x14ac:dyDescent="0.25">
      <c r="O509105" s="9"/>
    </row>
    <row r="509126" spans="15:15" x14ac:dyDescent="0.25">
      <c r="O509126" s="9"/>
    </row>
    <row r="509147" spans="15:15" x14ac:dyDescent="0.25">
      <c r="O509147" s="9"/>
    </row>
    <row r="509168" spans="15:15" x14ac:dyDescent="0.25">
      <c r="O509168" s="9"/>
    </row>
    <row r="509189" spans="15:15" x14ac:dyDescent="0.25">
      <c r="O509189" s="9"/>
    </row>
    <row r="509210" spans="15:15" x14ac:dyDescent="0.25">
      <c r="O509210" s="9"/>
    </row>
    <row r="509231" spans="15:15" x14ac:dyDescent="0.25">
      <c r="O509231" s="9"/>
    </row>
    <row r="509252" spans="15:15" x14ac:dyDescent="0.25">
      <c r="O509252" s="9"/>
    </row>
    <row r="509273" spans="15:15" x14ac:dyDescent="0.25">
      <c r="O509273" s="9"/>
    </row>
    <row r="509294" spans="15:15" x14ac:dyDescent="0.25">
      <c r="O509294" s="9"/>
    </row>
    <row r="509315" spans="15:15" x14ac:dyDescent="0.25">
      <c r="O509315" s="9"/>
    </row>
    <row r="509336" spans="15:15" x14ac:dyDescent="0.25">
      <c r="O509336" s="9"/>
    </row>
    <row r="509357" spans="15:15" x14ac:dyDescent="0.25">
      <c r="O509357" s="9"/>
    </row>
    <row r="509378" spans="15:15" x14ac:dyDescent="0.25">
      <c r="O509378" s="9"/>
    </row>
    <row r="509399" spans="15:15" x14ac:dyDescent="0.25">
      <c r="O509399" s="9"/>
    </row>
    <row r="509420" spans="15:15" x14ac:dyDescent="0.25">
      <c r="O509420" s="9"/>
    </row>
    <row r="509441" spans="15:15" x14ac:dyDescent="0.25">
      <c r="O509441" s="9"/>
    </row>
    <row r="509462" spans="15:15" x14ac:dyDescent="0.25">
      <c r="O509462" s="9"/>
    </row>
    <row r="509483" spans="15:15" x14ac:dyDescent="0.25">
      <c r="O509483" s="9"/>
    </row>
    <row r="509504" spans="15:15" x14ac:dyDescent="0.25">
      <c r="O509504" s="9"/>
    </row>
    <row r="509525" spans="15:15" x14ac:dyDescent="0.25">
      <c r="O509525" s="9"/>
    </row>
    <row r="509546" spans="15:15" x14ac:dyDescent="0.25">
      <c r="O509546" s="9"/>
    </row>
    <row r="509567" spans="15:15" x14ac:dyDescent="0.25">
      <c r="O509567" s="9"/>
    </row>
    <row r="509588" spans="15:15" x14ac:dyDescent="0.25">
      <c r="O509588" s="9"/>
    </row>
    <row r="509609" spans="15:15" x14ac:dyDescent="0.25">
      <c r="O509609" s="9"/>
    </row>
    <row r="509630" spans="15:15" x14ac:dyDescent="0.25">
      <c r="O509630" s="9"/>
    </row>
    <row r="509651" spans="15:15" x14ac:dyDescent="0.25">
      <c r="O509651" s="9"/>
    </row>
    <row r="509672" spans="15:15" x14ac:dyDescent="0.25">
      <c r="O509672" s="9"/>
    </row>
    <row r="509693" spans="15:15" x14ac:dyDescent="0.25">
      <c r="O509693" s="9"/>
    </row>
    <row r="509714" spans="15:15" x14ac:dyDescent="0.25">
      <c r="O509714" s="9"/>
    </row>
    <row r="509735" spans="15:15" x14ac:dyDescent="0.25">
      <c r="O509735" s="9"/>
    </row>
    <row r="509756" spans="15:15" x14ac:dyDescent="0.25">
      <c r="O509756" s="9"/>
    </row>
    <row r="509777" spans="15:15" x14ac:dyDescent="0.25">
      <c r="O509777" s="9"/>
    </row>
    <row r="509798" spans="15:15" x14ac:dyDescent="0.25">
      <c r="O509798" s="9"/>
    </row>
    <row r="509819" spans="15:15" x14ac:dyDescent="0.25">
      <c r="O509819" s="9"/>
    </row>
    <row r="509840" spans="15:15" x14ac:dyDescent="0.25">
      <c r="O509840" s="9"/>
    </row>
    <row r="509861" spans="15:15" x14ac:dyDescent="0.25">
      <c r="O509861" s="9"/>
    </row>
    <row r="509882" spans="15:15" x14ac:dyDescent="0.25">
      <c r="O509882" s="9"/>
    </row>
    <row r="509903" spans="15:15" x14ac:dyDescent="0.25">
      <c r="O509903" s="9"/>
    </row>
    <row r="509924" spans="15:15" x14ac:dyDescent="0.25">
      <c r="O509924" s="9"/>
    </row>
    <row r="509945" spans="15:15" x14ac:dyDescent="0.25">
      <c r="O509945" s="9"/>
    </row>
    <row r="509966" spans="15:15" x14ac:dyDescent="0.25">
      <c r="O509966" s="9"/>
    </row>
    <row r="509987" spans="15:15" x14ac:dyDescent="0.25">
      <c r="O509987" s="9"/>
    </row>
    <row r="510008" spans="15:15" x14ac:dyDescent="0.25">
      <c r="O510008" s="9"/>
    </row>
    <row r="510029" spans="15:15" x14ac:dyDescent="0.25">
      <c r="O510029" s="9"/>
    </row>
    <row r="510050" spans="15:15" x14ac:dyDescent="0.25">
      <c r="O510050" s="9"/>
    </row>
    <row r="510071" spans="15:15" x14ac:dyDescent="0.25">
      <c r="O510071" s="9"/>
    </row>
    <row r="510092" spans="15:15" x14ac:dyDescent="0.25">
      <c r="O510092" s="9"/>
    </row>
    <row r="510113" spans="15:15" x14ac:dyDescent="0.25">
      <c r="O510113" s="9"/>
    </row>
    <row r="510134" spans="15:15" x14ac:dyDescent="0.25">
      <c r="O510134" s="9"/>
    </row>
    <row r="510155" spans="15:15" x14ac:dyDescent="0.25">
      <c r="O510155" s="9"/>
    </row>
    <row r="510176" spans="15:15" x14ac:dyDescent="0.25">
      <c r="O510176" s="9"/>
    </row>
    <row r="510197" spans="15:15" x14ac:dyDescent="0.25">
      <c r="O510197" s="9"/>
    </row>
    <row r="510218" spans="15:15" x14ac:dyDescent="0.25">
      <c r="O510218" s="9"/>
    </row>
    <row r="510239" spans="15:15" x14ac:dyDescent="0.25">
      <c r="O510239" s="9"/>
    </row>
    <row r="510260" spans="15:15" x14ac:dyDescent="0.25">
      <c r="O510260" s="9"/>
    </row>
    <row r="510281" spans="15:15" x14ac:dyDescent="0.25">
      <c r="O510281" s="9"/>
    </row>
    <row r="510302" spans="15:15" x14ac:dyDescent="0.25">
      <c r="O510302" s="9"/>
    </row>
    <row r="510323" spans="15:15" x14ac:dyDescent="0.25">
      <c r="O510323" s="9"/>
    </row>
    <row r="510344" spans="15:15" x14ac:dyDescent="0.25">
      <c r="O510344" s="9"/>
    </row>
    <row r="510365" spans="15:15" x14ac:dyDescent="0.25">
      <c r="O510365" s="9"/>
    </row>
    <row r="510386" spans="15:15" x14ac:dyDescent="0.25">
      <c r="O510386" s="9"/>
    </row>
    <row r="510407" spans="15:15" x14ac:dyDescent="0.25">
      <c r="O510407" s="9"/>
    </row>
    <row r="510428" spans="15:15" x14ac:dyDescent="0.25">
      <c r="O510428" s="9"/>
    </row>
    <row r="510449" spans="15:15" x14ac:dyDescent="0.25">
      <c r="O510449" s="9"/>
    </row>
    <row r="510470" spans="15:15" x14ac:dyDescent="0.25">
      <c r="O510470" s="9"/>
    </row>
    <row r="510491" spans="15:15" x14ac:dyDescent="0.25">
      <c r="O510491" s="9"/>
    </row>
    <row r="510512" spans="15:15" x14ac:dyDescent="0.25">
      <c r="O510512" s="9"/>
    </row>
    <row r="510533" spans="15:15" x14ac:dyDescent="0.25">
      <c r="O510533" s="9"/>
    </row>
    <row r="510554" spans="15:15" x14ac:dyDescent="0.25">
      <c r="O510554" s="9"/>
    </row>
    <row r="510575" spans="15:15" x14ac:dyDescent="0.25">
      <c r="O510575" s="9"/>
    </row>
    <row r="510596" spans="15:15" x14ac:dyDescent="0.25">
      <c r="O510596" s="9"/>
    </row>
    <row r="510617" spans="15:15" x14ac:dyDescent="0.25">
      <c r="O510617" s="9"/>
    </row>
    <row r="510638" spans="15:15" x14ac:dyDescent="0.25">
      <c r="O510638" s="9"/>
    </row>
    <row r="510659" spans="15:15" x14ac:dyDescent="0.25">
      <c r="O510659" s="9"/>
    </row>
    <row r="510680" spans="15:15" x14ac:dyDescent="0.25">
      <c r="O510680" s="9"/>
    </row>
    <row r="510701" spans="15:15" x14ac:dyDescent="0.25">
      <c r="O510701" s="9"/>
    </row>
    <row r="510722" spans="15:15" x14ac:dyDescent="0.25">
      <c r="O510722" s="9"/>
    </row>
    <row r="510743" spans="15:15" x14ac:dyDescent="0.25">
      <c r="O510743" s="9"/>
    </row>
    <row r="510764" spans="15:15" x14ac:dyDescent="0.25">
      <c r="O510764" s="9"/>
    </row>
    <row r="510785" spans="15:15" x14ac:dyDescent="0.25">
      <c r="O510785" s="9"/>
    </row>
    <row r="510806" spans="15:15" x14ac:dyDescent="0.25">
      <c r="O510806" s="9"/>
    </row>
    <row r="510827" spans="15:15" x14ac:dyDescent="0.25">
      <c r="O510827" s="9"/>
    </row>
    <row r="510848" spans="15:15" x14ac:dyDescent="0.25">
      <c r="O510848" s="9"/>
    </row>
    <row r="510869" spans="15:15" x14ac:dyDescent="0.25">
      <c r="O510869" s="9"/>
    </row>
    <row r="510890" spans="15:15" x14ac:dyDescent="0.25">
      <c r="O510890" s="9"/>
    </row>
    <row r="510911" spans="15:15" x14ac:dyDescent="0.25">
      <c r="O510911" s="9"/>
    </row>
    <row r="510932" spans="15:15" x14ac:dyDescent="0.25">
      <c r="O510932" s="9"/>
    </row>
    <row r="510953" spans="15:15" x14ac:dyDescent="0.25">
      <c r="O510953" s="9"/>
    </row>
    <row r="510974" spans="15:15" x14ac:dyDescent="0.25">
      <c r="O510974" s="9"/>
    </row>
    <row r="510995" spans="15:15" x14ac:dyDescent="0.25">
      <c r="O510995" s="9"/>
    </row>
    <row r="511016" spans="15:15" x14ac:dyDescent="0.25">
      <c r="O511016" s="9"/>
    </row>
    <row r="511037" spans="15:15" x14ac:dyDescent="0.25">
      <c r="O511037" s="9"/>
    </row>
    <row r="511058" spans="15:15" x14ac:dyDescent="0.25">
      <c r="O511058" s="9"/>
    </row>
    <row r="511079" spans="15:15" x14ac:dyDescent="0.25">
      <c r="O511079" s="9"/>
    </row>
    <row r="511100" spans="15:15" x14ac:dyDescent="0.25">
      <c r="O511100" s="9"/>
    </row>
    <row r="511121" spans="15:15" x14ac:dyDescent="0.25">
      <c r="O511121" s="9"/>
    </row>
    <row r="511142" spans="15:15" x14ac:dyDescent="0.25">
      <c r="O511142" s="9"/>
    </row>
    <row r="511163" spans="15:15" x14ac:dyDescent="0.25">
      <c r="O511163" s="9"/>
    </row>
    <row r="511184" spans="15:15" x14ac:dyDescent="0.25">
      <c r="O511184" s="9"/>
    </row>
    <row r="511205" spans="15:15" x14ac:dyDescent="0.25">
      <c r="O511205" s="9"/>
    </row>
    <row r="511226" spans="15:15" x14ac:dyDescent="0.25">
      <c r="O511226" s="9"/>
    </row>
    <row r="511247" spans="15:15" x14ac:dyDescent="0.25">
      <c r="O511247" s="9"/>
    </row>
    <row r="511268" spans="15:15" x14ac:dyDescent="0.25">
      <c r="O511268" s="9"/>
    </row>
    <row r="511289" spans="15:15" x14ac:dyDescent="0.25">
      <c r="O511289" s="9"/>
    </row>
    <row r="511310" spans="15:15" x14ac:dyDescent="0.25">
      <c r="O511310" s="9"/>
    </row>
    <row r="511331" spans="15:15" x14ac:dyDescent="0.25">
      <c r="O511331" s="9"/>
    </row>
    <row r="511352" spans="15:15" x14ac:dyDescent="0.25">
      <c r="O511352" s="9"/>
    </row>
    <row r="511373" spans="15:15" x14ac:dyDescent="0.25">
      <c r="O511373" s="9"/>
    </row>
    <row r="511394" spans="15:15" x14ac:dyDescent="0.25">
      <c r="O511394" s="9"/>
    </row>
    <row r="511415" spans="15:15" x14ac:dyDescent="0.25">
      <c r="O511415" s="9"/>
    </row>
    <row r="511436" spans="15:15" x14ac:dyDescent="0.25">
      <c r="O511436" s="9"/>
    </row>
    <row r="511457" spans="15:15" x14ac:dyDescent="0.25">
      <c r="O511457" s="9"/>
    </row>
    <row r="511478" spans="15:15" x14ac:dyDescent="0.25">
      <c r="O511478" s="9"/>
    </row>
    <row r="511499" spans="15:15" x14ac:dyDescent="0.25">
      <c r="O511499" s="9"/>
    </row>
    <row r="511520" spans="15:15" x14ac:dyDescent="0.25">
      <c r="O511520" s="9"/>
    </row>
    <row r="511541" spans="15:15" x14ac:dyDescent="0.25">
      <c r="O511541" s="9"/>
    </row>
    <row r="511562" spans="15:15" x14ac:dyDescent="0.25">
      <c r="O511562" s="9"/>
    </row>
    <row r="511583" spans="15:15" x14ac:dyDescent="0.25">
      <c r="O511583" s="9"/>
    </row>
    <row r="511604" spans="15:15" x14ac:dyDescent="0.25">
      <c r="O511604" s="9"/>
    </row>
    <row r="511625" spans="15:15" x14ac:dyDescent="0.25">
      <c r="O511625" s="9"/>
    </row>
    <row r="511646" spans="15:15" x14ac:dyDescent="0.25">
      <c r="O511646" s="9"/>
    </row>
    <row r="511667" spans="15:15" x14ac:dyDescent="0.25">
      <c r="O511667" s="9"/>
    </row>
    <row r="511688" spans="15:15" x14ac:dyDescent="0.25">
      <c r="O511688" s="9"/>
    </row>
    <row r="511709" spans="15:15" x14ac:dyDescent="0.25">
      <c r="O511709" s="9"/>
    </row>
    <row r="511730" spans="15:15" x14ac:dyDescent="0.25">
      <c r="O511730" s="9"/>
    </row>
    <row r="511751" spans="15:15" x14ac:dyDescent="0.25">
      <c r="O511751" s="9"/>
    </row>
    <row r="511772" spans="15:15" x14ac:dyDescent="0.25">
      <c r="O511772" s="9"/>
    </row>
    <row r="511793" spans="15:15" x14ac:dyDescent="0.25">
      <c r="O511793" s="9"/>
    </row>
    <row r="511814" spans="15:15" x14ac:dyDescent="0.25">
      <c r="O511814" s="9"/>
    </row>
    <row r="511835" spans="15:15" x14ac:dyDescent="0.25">
      <c r="O511835" s="9"/>
    </row>
    <row r="511856" spans="15:15" x14ac:dyDescent="0.25">
      <c r="O511856" s="9"/>
    </row>
    <row r="511877" spans="15:15" x14ac:dyDescent="0.25">
      <c r="O511877" s="9"/>
    </row>
    <row r="511898" spans="15:15" x14ac:dyDescent="0.25">
      <c r="O511898" s="9"/>
    </row>
    <row r="511919" spans="15:15" x14ac:dyDescent="0.25">
      <c r="O511919" s="9"/>
    </row>
    <row r="511940" spans="15:15" x14ac:dyDescent="0.25">
      <c r="O511940" s="9"/>
    </row>
    <row r="511961" spans="15:15" x14ac:dyDescent="0.25">
      <c r="O511961" s="9"/>
    </row>
    <row r="511982" spans="15:15" x14ac:dyDescent="0.25">
      <c r="O511982" s="9"/>
    </row>
    <row r="512003" spans="15:15" x14ac:dyDescent="0.25">
      <c r="O512003" s="9"/>
    </row>
    <row r="512024" spans="15:15" x14ac:dyDescent="0.25">
      <c r="O512024" s="9"/>
    </row>
    <row r="512045" spans="15:15" x14ac:dyDescent="0.25">
      <c r="O512045" s="9"/>
    </row>
    <row r="512066" spans="15:15" x14ac:dyDescent="0.25">
      <c r="O512066" s="9"/>
    </row>
    <row r="512087" spans="15:15" x14ac:dyDescent="0.25">
      <c r="O512087" s="9"/>
    </row>
    <row r="512108" spans="15:15" x14ac:dyDescent="0.25">
      <c r="O512108" s="9"/>
    </row>
    <row r="512129" spans="15:15" x14ac:dyDescent="0.25">
      <c r="O512129" s="9"/>
    </row>
    <row r="512150" spans="15:15" x14ac:dyDescent="0.25">
      <c r="O512150" s="9"/>
    </row>
    <row r="512171" spans="15:15" x14ac:dyDescent="0.25">
      <c r="O512171" s="9"/>
    </row>
    <row r="512192" spans="15:15" x14ac:dyDescent="0.25">
      <c r="O512192" s="9"/>
    </row>
    <row r="512213" spans="15:15" x14ac:dyDescent="0.25">
      <c r="O512213" s="9"/>
    </row>
    <row r="512234" spans="15:15" x14ac:dyDescent="0.25">
      <c r="O512234" s="9"/>
    </row>
    <row r="512255" spans="15:15" x14ac:dyDescent="0.25">
      <c r="O512255" s="9"/>
    </row>
    <row r="512276" spans="15:15" x14ac:dyDescent="0.25">
      <c r="O512276" s="9"/>
    </row>
    <row r="512297" spans="15:15" x14ac:dyDescent="0.25">
      <c r="O512297" s="9"/>
    </row>
    <row r="512318" spans="15:15" x14ac:dyDescent="0.25">
      <c r="O512318" s="9"/>
    </row>
    <row r="512339" spans="15:15" x14ac:dyDescent="0.25">
      <c r="O512339" s="9"/>
    </row>
    <row r="512360" spans="15:15" x14ac:dyDescent="0.25">
      <c r="O512360" s="9"/>
    </row>
    <row r="512381" spans="15:15" x14ac:dyDescent="0.25">
      <c r="O512381" s="9"/>
    </row>
    <row r="512402" spans="15:15" x14ac:dyDescent="0.25">
      <c r="O512402" s="9"/>
    </row>
    <row r="512423" spans="15:15" x14ac:dyDescent="0.25">
      <c r="O512423" s="9"/>
    </row>
    <row r="512444" spans="15:15" x14ac:dyDescent="0.25">
      <c r="O512444" s="9"/>
    </row>
    <row r="512465" spans="15:15" x14ac:dyDescent="0.25">
      <c r="O512465" s="9"/>
    </row>
    <row r="512486" spans="15:15" x14ac:dyDescent="0.25">
      <c r="O512486" s="9"/>
    </row>
    <row r="512507" spans="15:15" x14ac:dyDescent="0.25">
      <c r="O512507" s="9"/>
    </row>
    <row r="512528" spans="15:15" x14ac:dyDescent="0.25">
      <c r="O512528" s="9"/>
    </row>
    <row r="512549" spans="15:15" x14ac:dyDescent="0.25">
      <c r="O512549" s="9"/>
    </row>
    <row r="512570" spans="15:15" x14ac:dyDescent="0.25">
      <c r="O512570" s="9"/>
    </row>
    <row r="512591" spans="15:15" x14ac:dyDescent="0.25">
      <c r="O512591" s="9"/>
    </row>
    <row r="512612" spans="15:15" x14ac:dyDescent="0.25">
      <c r="O512612" s="9"/>
    </row>
    <row r="512633" spans="15:15" x14ac:dyDescent="0.25">
      <c r="O512633" s="9"/>
    </row>
    <row r="512654" spans="15:15" x14ac:dyDescent="0.25">
      <c r="O512654" s="9"/>
    </row>
    <row r="512675" spans="15:15" x14ac:dyDescent="0.25">
      <c r="O512675" s="9"/>
    </row>
    <row r="512696" spans="15:15" x14ac:dyDescent="0.25">
      <c r="O512696" s="9"/>
    </row>
    <row r="512717" spans="15:15" x14ac:dyDescent="0.25">
      <c r="O512717" s="9"/>
    </row>
    <row r="512738" spans="15:15" x14ac:dyDescent="0.25">
      <c r="O512738" s="9"/>
    </row>
    <row r="512759" spans="15:15" x14ac:dyDescent="0.25">
      <c r="O512759" s="9"/>
    </row>
    <row r="512780" spans="15:15" x14ac:dyDescent="0.25">
      <c r="O512780" s="9"/>
    </row>
    <row r="512801" spans="15:15" x14ac:dyDescent="0.25">
      <c r="O512801" s="9"/>
    </row>
    <row r="512822" spans="15:15" x14ac:dyDescent="0.25">
      <c r="O512822" s="9"/>
    </row>
    <row r="512843" spans="15:15" x14ac:dyDescent="0.25">
      <c r="O512843" s="9"/>
    </row>
    <row r="512864" spans="15:15" x14ac:dyDescent="0.25">
      <c r="O512864" s="9"/>
    </row>
    <row r="512885" spans="15:15" x14ac:dyDescent="0.25">
      <c r="O512885" s="9"/>
    </row>
    <row r="512906" spans="15:15" x14ac:dyDescent="0.25">
      <c r="O512906" s="9"/>
    </row>
    <row r="512927" spans="15:15" x14ac:dyDescent="0.25">
      <c r="O512927" s="9"/>
    </row>
    <row r="512948" spans="15:15" x14ac:dyDescent="0.25">
      <c r="O512948" s="9"/>
    </row>
    <row r="512969" spans="15:15" x14ac:dyDescent="0.25">
      <c r="O512969" s="9"/>
    </row>
    <row r="512990" spans="15:15" x14ac:dyDescent="0.25">
      <c r="O512990" s="9"/>
    </row>
    <row r="513011" spans="15:15" x14ac:dyDescent="0.25">
      <c r="O513011" s="9"/>
    </row>
    <row r="513032" spans="15:15" x14ac:dyDescent="0.25">
      <c r="O513032" s="9"/>
    </row>
    <row r="513053" spans="15:15" x14ac:dyDescent="0.25">
      <c r="O513053" s="9"/>
    </row>
    <row r="513074" spans="15:15" x14ac:dyDescent="0.25">
      <c r="O513074" s="9"/>
    </row>
    <row r="513095" spans="15:15" x14ac:dyDescent="0.25">
      <c r="O513095" s="9"/>
    </row>
    <row r="513116" spans="15:15" x14ac:dyDescent="0.25">
      <c r="O513116" s="9"/>
    </row>
    <row r="513137" spans="15:15" x14ac:dyDescent="0.25">
      <c r="O513137" s="9"/>
    </row>
    <row r="513158" spans="15:15" x14ac:dyDescent="0.25">
      <c r="O513158" s="9"/>
    </row>
    <row r="513179" spans="15:15" x14ac:dyDescent="0.25">
      <c r="O513179" s="9"/>
    </row>
    <row r="513200" spans="15:15" x14ac:dyDescent="0.25">
      <c r="O513200" s="9"/>
    </row>
    <row r="513221" spans="15:15" x14ac:dyDescent="0.25">
      <c r="O513221" s="9"/>
    </row>
    <row r="513242" spans="15:15" x14ac:dyDescent="0.25">
      <c r="O513242" s="9"/>
    </row>
    <row r="513263" spans="15:15" x14ac:dyDescent="0.25">
      <c r="O513263" s="9"/>
    </row>
    <row r="513284" spans="15:15" x14ac:dyDescent="0.25">
      <c r="O513284" s="9"/>
    </row>
    <row r="513305" spans="15:15" x14ac:dyDescent="0.25">
      <c r="O513305" s="9"/>
    </row>
    <row r="513326" spans="15:15" x14ac:dyDescent="0.25">
      <c r="O513326" s="9"/>
    </row>
    <row r="513347" spans="15:15" x14ac:dyDescent="0.25">
      <c r="O513347" s="9"/>
    </row>
    <row r="513368" spans="15:15" x14ac:dyDescent="0.25">
      <c r="O513368" s="9"/>
    </row>
    <row r="513389" spans="15:15" x14ac:dyDescent="0.25">
      <c r="O513389" s="9"/>
    </row>
    <row r="513410" spans="15:15" x14ac:dyDescent="0.25">
      <c r="O513410" s="9"/>
    </row>
    <row r="513431" spans="15:15" x14ac:dyDescent="0.25">
      <c r="O513431" s="9"/>
    </row>
    <row r="513452" spans="15:15" x14ac:dyDescent="0.25">
      <c r="O513452" s="9"/>
    </row>
    <row r="513473" spans="15:15" x14ac:dyDescent="0.25">
      <c r="O513473" s="9"/>
    </row>
    <row r="513494" spans="15:15" x14ac:dyDescent="0.25">
      <c r="O513494" s="9"/>
    </row>
    <row r="513515" spans="15:15" x14ac:dyDescent="0.25">
      <c r="O513515" s="9"/>
    </row>
    <row r="513536" spans="15:15" x14ac:dyDescent="0.25">
      <c r="O513536" s="9"/>
    </row>
    <row r="513557" spans="15:15" x14ac:dyDescent="0.25">
      <c r="O513557" s="9"/>
    </row>
    <row r="513578" spans="15:15" x14ac:dyDescent="0.25">
      <c r="O513578" s="9"/>
    </row>
    <row r="513599" spans="15:15" x14ac:dyDescent="0.25">
      <c r="O513599" s="9"/>
    </row>
    <row r="513620" spans="15:15" x14ac:dyDescent="0.25">
      <c r="O513620" s="9"/>
    </row>
    <row r="513641" spans="15:15" x14ac:dyDescent="0.25">
      <c r="O513641" s="9"/>
    </row>
    <row r="513662" spans="15:15" x14ac:dyDescent="0.25">
      <c r="O513662" s="9"/>
    </row>
    <row r="513683" spans="15:15" x14ac:dyDescent="0.25">
      <c r="O513683" s="9"/>
    </row>
    <row r="513704" spans="15:15" x14ac:dyDescent="0.25">
      <c r="O513704" s="9"/>
    </row>
    <row r="513725" spans="15:15" x14ac:dyDescent="0.25">
      <c r="O513725" s="9"/>
    </row>
    <row r="513746" spans="15:15" x14ac:dyDescent="0.25">
      <c r="O513746" s="9"/>
    </row>
    <row r="513767" spans="15:15" x14ac:dyDescent="0.25">
      <c r="O513767" s="9"/>
    </row>
    <row r="513788" spans="15:15" x14ac:dyDescent="0.25">
      <c r="O513788" s="9"/>
    </row>
    <row r="513809" spans="15:15" x14ac:dyDescent="0.25">
      <c r="O513809" s="9"/>
    </row>
    <row r="513830" spans="15:15" x14ac:dyDescent="0.25">
      <c r="O513830" s="9"/>
    </row>
    <row r="513851" spans="15:15" x14ac:dyDescent="0.25">
      <c r="O513851" s="9"/>
    </row>
    <row r="513872" spans="15:15" x14ac:dyDescent="0.25">
      <c r="O513872" s="9"/>
    </row>
    <row r="513893" spans="15:15" x14ac:dyDescent="0.25">
      <c r="O513893" s="9"/>
    </row>
    <row r="513914" spans="15:15" x14ac:dyDescent="0.25">
      <c r="O513914" s="9"/>
    </row>
    <row r="513935" spans="15:15" x14ac:dyDescent="0.25">
      <c r="O513935" s="9"/>
    </row>
    <row r="513956" spans="15:15" x14ac:dyDescent="0.25">
      <c r="O513956" s="9"/>
    </row>
    <row r="513977" spans="15:15" x14ac:dyDescent="0.25">
      <c r="O513977" s="9"/>
    </row>
    <row r="513998" spans="15:15" x14ac:dyDescent="0.25">
      <c r="O513998" s="9"/>
    </row>
    <row r="514019" spans="15:15" x14ac:dyDescent="0.25">
      <c r="O514019" s="9"/>
    </row>
    <row r="514040" spans="15:15" x14ac:dyDescent="0.25">
      <c r="O514040" s="9"/>
    </row>
    <row r="514061" spans="15:15" x14ac:dyDescent="0.25">
      <c r="O514061" s="9"/>
    </row>
    <row r="514082" spans="15:15" x14ac:dyDescent="0.25">
      <c r="O514082" s="9"/>
    </row>
    <row r="514103" spans="15:15" x14ac:dyDescent="0.25">
      <c r="O514103" s="9"/>
    </row>
    <row r="514124" spans="15:15" x14ac:dyDescent="0.25">
      <c r="O514124" s="9"/>
    </row>
    <row r="514145" spans="15:15" x14ac:dyDescent="0.25">
      <c r="O514145" s="9"/>
    </row>
    <row r="514166" spans="15:15" x14ac:dyDescent="0.25">
      <c r="O514166" s="9"/>
    </row>
    <row r="514187" spans="15:15" x14ac:dyDescent="0.25">
      <c r="O514187" s="9"/>
    </row>
    <row r="514208" spans="15:15" x14ac:dyDescent="0.25">
      <c r="O514208" s="9"/>
    </row>
    <row r="514229" spans="15:15" x14ac:dyDescent="0.25">
      <c r="O514229" s="9"/>
    </row>
    <row r="514250" spans="15:15" x14ac:dyDescent="0.25">
      <c r="O514250" s="9"/>
    </row>
    <row r="514271" spans="15:15" x14ac:dyDescent="0.25">
      <c r="O514271" s="9"/>
    </row>
    <row r="514292" spans="15:15" x14ac:dyDescent="0.25">
      <c r="O514292" s="9"/>
    </row>
    <row r="514313" spans="15:15" x14ac:dyDescent="0.25">
      <c r="O514313" s="9"/>
    </row>
    <row r="514334" spans="15:15" x14ac:dyDescent="0.25">
      <c r="O514334" s="9"/>
    </row>
    <row r="514355" spans="15:15" x14ac:dyDescent="0.25">
      <c r="O514355" s="9"/>
    </row>
    <row r="514376" spans="15:15" x14ac:dyDescent="0.25">
      <c r="O514376" s="9"/>
    </row>
    <row r="514397" spans="15:15" x14ac:dyDescent="0.25">
      <c r="O514397" s="9"/>
    </row>
    <row r="514418" spans="15:15" x14ac:dyDescent="0.25">
      <c r="O514418" s="9"/>
    </row>
    <row r="514439" spans="15:15" x14ac:dyDescent="0.25">
      <c r="O514439" s="9"/>
    </row>
    <row r="514460" spans="15:15" x14ac:dyDescent="0.25">
      <c r="O514460" s="9"/>
    </row>
    <row r="514481" spans="15:15" x14ac:dyDescent="0.25">
      <c r="O514481" s="9"/>
    </row>
    <row r="514502" spans="15:15" x14ac:dyDescent="0.25">
      <c r="O514502" s="9"/>
    </row>
    <row r="514523" spans="15:15" x14ac:dyDescent="0.25">
      <c r="O514523" s="9"/>
    </row>
    <row r="514544" spans="15:15" x14ac:dyDescent="0.25">
      <c r="O514544" s="9"/>
    </row>
    <row r="514565" spans="15:15" x14ac:dyDescent="0.25">
      <c r="O514565" s="9"/>
    </row>
    <row r="514586" spans="15:15" x14ac:dyDescent="0.25">
      <c r="O514586" s="9"/>
    </row>
    <row r="514607" spans="15:15" x14ac:dyDescent="0.25">
      <c r="O514607" s="9"/>
    </row>
    <row r="514628" spans="15:15" x14ac:dyDescent="0.25">
      <c r="O514628" s="9"/>
    </row>
    <row r="514649" spans="15:15" x14ac:dyDescent="0.25">
      <c r="O514649" s="9"/>
    </row>
    <row r="514670" spans="15:15" x14ac:dyDescent="0.25">
      <c r="O514670" s="9"/>
    </row>
    <row r="514691" spans="15:15" x14ac:dyDescent="0.25">
      <c r="O514691" s="9"/>
    </row>
    <row r="514712" spans="15:15" x14ac:dyDescent="0.25">
      <c r="O514712" s="9"/>
    </row>
    <row r="514733" spans="15:15" x14ac:dyDescent="0.25">
      <c r="O514733" s="9"/>
    </row>
    <row r="514754" spans="15:15" x14ac:dyDescent="0.25">
      <c r="O514754" s="9"/>
    </row>
    <row r="514775" spans="15:15" x14ac:dyDescent="0.25">
      <c r="O514775" s="9"/>
    </row>
    <row r="514796" spans="15:15" x14ac:dyDescent="0.25">
      <c r="O514796" s="9"/>
    </row>
    <row r="514817" spans="15:15" x14ac:dyDescent="0.25">
      <c r="O514817" s="9"/>
    </row>
    <row r="514838" spans="15:15" x14ac:dyDescent="0.25">
      <c r="O514838" s="9"/>
    </row>
    <row r="514859" spans="15:15" x14ac:dyDescent="0.25">
      <c r="O514859" s="9"/>
    </row>
    <row r="514880" spans="15:15" x14ac:dyDescent="0.25">
      <c r="O514880" s="9"/>
    </row>
    <row r="514901" spans="15:15" x14ac:dyDescent="0.25">
      <c r="O514901" s="9"/>
    </row>
    <row r="514922" spans="15:15" x14ac:dyDescent="0.25">
      <c r="O514922" s="9"/>
    </row>
    <row r="514943" spans="15:15" x14ac:dyDescent="0.25">
      <c r="O514943" s="9"/>
    </row>
    <row r="514964" spans="15:15" x14ac:dyDescent="0.25">
      <c r="O514964" s="9"/>
    </row>
    <row r="514985" spans="15:15" x14ac:dyDescent="0.25">
      <c r="O514985" s="9"/>
    </row>
    <row r="515006" spans="15:15" x14ac:dyDescent="0.25">
      <c r="O515006" s="9"/>
    </row>
    <row r="515027" spans="15:15" x14ac:dyDescent="0.25">
      <c r="O515027" s="9"/>
    </row>
    <row r="515048" spans="15:15" x14ac:dyDescent="0.25">
      <c r="O515048" s="9"/>
    </row>
    <row r="515069" spans="15:15" x14ac:dyDescent="0.25">
      <c r="O515069" s="9"/>
    </row>
    <row r="515090" spans="15:15" x14ac:dyDescent="0.25">
      <c r="O515090" s="9"/>
    </row>
    <row r="515111" spans="15:15" x14ac:dyDescent="0.25">
      <c r="O515111" s="9"/>
    </row>
    <row r="515132" spans="15:15" x14ac:dyDescent="0.25">
      <c r="O515132" s="9"/>
    </row>
    <row r="515153" spans="15:15" x14ac:dyDescent="0.25">
      <c r="O515153" s="9"/>
    </row>
    <row r="515174" spans="15:15" x14ac:dyDescent="0.25">
      <c r="O515174" s="9"/>
    </row>
    <row r="515195" spans="15:15" x14ac:dyDescent="0.25">
      <c r="O515195" s="9"/>
    </row>
    <row r="515216" spans="15:15" x14ac:dyDescent="0.25">
      <c r="O515216" s="9"/>
    </row>
    <row r="515237" spans="15:15" x14ac:dyDescent="0.25">
      <c r="O515237" s="9"/>
    </row>
    <row r="515258" spans="15:15" x14ac:dyDescent="0.25">
      <c r="O515258" s="9"/>
    </row>
    <row r="515279" spans="15:15" x14ac:dyDescent="0.25">
      <c r="O515279" s="9"/>
    </row>
    <row r="515300" spans="15:15" x14ac:dyDescent="0.25">
      <c r="O515300" s="9"/>
    </row>
    <row r="515321" spans="15:15" x14ac:dyDescent="0.25">
      <c r="O515321" s="9"/>
    </row>
    <row r="515342" spans="15:15" x14ac:dyDescent="0.25">
      <c r="O515342" s="9"/>
    </row>
    <row r="515363" spans="15:15" x14ac:dyDescent="0.25">
      <c r="O515363" s="9"/>
    </row>
    <row r="515384" spans="15:15" x14ac:dyDescent="0.25">
      <c r="O515384" s="9"/>
    </row>
    <row r="515405" spans="15:15" x14ac:dyDescent="0.25">
      <c r="O515405" s="9"/>
    </row>
    <row r="515426" spans="15:15" x14ac:dyDescent="0.25">
      <c r="O515426" s="9"/>
    </row>
    <row r="515447" spans="15:15" x14ac:dyDescent="0.25">
      <c r="O515447" s="9"/>
    </row>
    <row r="515468" spans="15:15" x14ac:dyDescent="0.25">
      <c r="O515468" s="9"/>
    </row>
    <row r="515489" spans="15:15" x14ac:dyDescent="0.25">
      <c r="O515489" s="9"/>
    </row>
    <row r="515510" spans="15:15" x14ac:dyDescent="0.25">
      <c r="O515510" s="9"/>
    </row>
    <row r="515531" spans="15:15" x14ac:dyDescent="0.25">
      <c r="O515531" s="9"/>
    </row>
    <row r="515552" spans="15:15" x14ac:dyDescent="0.25">
      <c r="O515552" s="9"/>
    </row>
    <row r="515573" spans="15:15" x14ac:dyDescent="0.25">
      <c r="O515573" s="9"/>
    </row>
    <row r="515594" spans="15:15" x14ac:dyDescent="0.25">
      <c r="O515594" s="9"/>
    </row>
    <row r="515615" spans="15:15" x14ac:dyDescent="0.25">
      <c r="O515615" s="9"/>
    </row>
    <row r="515636" spans="15:15" x14ac:dyDescent="0.25">
      <c r="O515636" s="9"/>
    </row>
    <row r="515657" spans="15:15" x14ac:dyDescent="0.25">
      <c r="O515657" s="9"/>
    </row>
    <row r="515678" spans="15:15" x14ac:dyDescent="0.25">
      <c r="O515678" s="9"/>
    </row>
    <row r="515699" spans="15:15" x14ac:dyDescent="0.25">
      <c r="O515699" s="9"/>
    </row>
    <row r="515720" spans="15:15" x14ac:dyDescent="0.25">
      <c r="O515720" s="9"/>
    </row>
    <row r="515741" spans="15:15" x14ac:dyDescent="0.25">
      <c r="O515741" s="9"/>
    </row>
    <row r="515762" spans="15:15" x14ac:dyDescent="0.25">
      <c r="O515762" s="9"/>
    </row>
    <row r="515783" spans="15:15" x14ac:dyDescent="0.25">
      <c r="O515783" s="9"/>
    </row>
    <row r="515804" spans="15:15" x14ac:dyDescent="0.25">
      <c r="O515804" s="9"/>
    </row>
    <row r="515825" spans="15:15" x14ac:dyDescent="0.25">
      <c r="O515825" s="9"/>
    </row>
    <row r="515846" spans="15:15" x14ac:dyDescent="0.25">
      <c r="O515846" s="9"/>
    </row>
    <row r="515867" spans="15:15" x14ac:dyDescent="0.25">
      <c r="O515867" s="9"/>
    </row>
    <row r="515888" spans="15:15" x14ac:dyDescent="0.25">
      <c r="O515888" s="9"/>
    </row>
    <row r="515909" spans="15:15" x14ac:dyDescent="0.25">
      <c r="O515909" s="9"/>
    </row>
    <row r="515930" spans="15:15" x14ac:dyDescent="0.25">
      <c r="O515930" s="9"/>
    </row>
    <row r="515951" spans="15:15" x14ac:dyDescent="0.25">
      <c r="O515951" s="9"/>
    </row>
    <row r="515972" spans="15:15" x14ac:dyDescent="0.25">
      <c r="O515972" s="9"/>
    </row>
    <row r="515993" spans="15:15" x14ac:dyDescent="0.25">
      <c r="O515993" s="9"/>
    </row>
    <row r="516014" spans="15:15" x14ac:dyDescent="0.25">
      <c r="O516014" s="9"/>
    </row>
    <row r="516035" spans="15:15" x14ac:dyDescent="0.25">
      <c r="O516035" s="9"/>
    </row>
    <row r="516056" spans="15:15" x14ac:dyDescent="0.25">
      <c r="O516056" s="9"/>
    </row>
    <row r="516077" spans="15:15" x14ac:dyDescent="0.25">
      <c r="O516077" s="9"/>
    </row>
    <row r="516098" spans="15:15" x14ac:dyDescent="0.25">
      <c r="O516098" s="9"/>
    </row>
    <row r="516119" spans="15:15" x14ac:dyDescent="0.25">
      <c r="O516119" s="9"/>
    </row>
    <row r="516140" spans="15:15" x14ac:dyDescent="0.25">
      <c r="O516140" s="9"/>
    </row>
    <row r="516161" spans="15:15" x14ac:dyDescent="0.25">
      <c r="O516161" s="9"/>
    </row>
    <row r="516182" spans="15:15" x14ac:dyDescent="0.25">
      <c r="O516182" s="9"/>
    </row>
    <row r="516203" spans="15:15" x14ac:dyDescent="0.25">
      <c r="O516203" s="9"/>
    </row>
    <row r="516224" spans="15:15" x14ac:dyDescent="0.25">
      <c r="O516224" s="9"/>
    </row>
    <row r="516245" spans="15:15" x14ac:dyDescent="0.25">
      <c r="O516245" s="9"/>
    </row>
    <row r="516266" spans="15:15" x14ac:dyDescent="0.25">
      <c r="O516266" s="9"/>
    </row>
    <row r="516287" spans="15:15" x14ac:dyDescent="0.25">
      <c r="O516287" s="9"/>
    </row>
    <row r="516308" spans="15:15" x14ac:dyDescent="0.25">
      <c r="O516308" s="9"/>
    </row>
    <row r="516329" spans="15:15" x14ac:dyDescent="0.25">
      <c r="O516329" s="9"/>
    </row>
    <row r="516350" spans="15:15" x14ac:dyDescent="0.25">
      <c r="O516350" s="9"/>
    </row>
    <row r="516371" spans="15:15" x14ac:dyDescent="0.25">
      <c r="O516371" s="9"/>
    </row>
    <row r="516392" spans="15:15" x14ac:dyDescent="0.25">
      <c r="O516392" s="9"/>
    </row>
    <row r="516413" spans="15:15" x14ac:dyDescent="0.25">
      <c r="O516413" s="9"/>
    </row>
    <row r="516434" spans="15:15" x14ac:dyDescent="0.25">
      <c r="O516434" s="9"/>
    </row>
    <row r="516455" spans="15:15" x14ac:dyDescent="0.25">
      <c r="O516455" s="9"/>
    </row>
    <row r="516476" spans="15:15" x14ac:dyDescent="0.25">
      <c r="O516476" s="9"/>
    </row>
    <row r="516497" spans="15:15" x14ac:dyDescent="0.25">
      <c r="O516497" s="9"/>
    </row>
    <row r="516518" spans="15:15" x14ac:dyDescent="0.25">
      <c r="O516518" s="9"/>
    </row>
    <row r="516539" spans="15:15" x14ac:dyDescent="0.25">
      <c r="O516539" s="9"/>
    </row>
    <row r="516560" spans="15:15" x14ac:dyDescent="0.25">
      <c r="O516560" s="9"/>
    </row>
    <row r="516581" spans="15:15" x14ac:dyDescent="0.25">
      <c r="O516581" s="9"/>
    </row>
    <row r="516602" spans="15:15" x14ac:dyDescent="0.25">
      <c r="O516602" s="9"/>
    </row>
    <row r="516623" spans="15:15" x14ac:dyDescent="0.25">
      <c r="O516623" s="9"/>
    </row>
    <row r="516644" spans="15:15" x14ac:dyDescent="0.25">
      <c r="O516644" s="9"/>
    </row>
    <row r="516665" spans="15:15" x14ac:dyDescent="0.25">
      <c r="O516665" s="9"/>
    </row>
    <row r="516686" spans="15:15" x14ac:dyDescent="0.25">
      <c r="O516686" s="9"/>
    </row>
    <row r="516707" spans="15:15" x14ac:dyDescent="0.25">
      <c r="O516707" s="9"/>
    </row>
    <row r="516728" spans="15:15" x14ac:dyDescent="0.25">
      <c r="O516728" s="9"/>
    </row>
    <row r="516749" spans="15:15" x14ac:dyDescent="0.25">
      <c r="O516749" s="9"/>
    </row>
    <row r="516770" spans="15:15" x14ac:dyDescent="0.25">
      <c r="O516770" s="9"/>
    </row>
    <row r="516791" spans="15:15" x14ac:dyDescent="0.25">
      <c r="O516791" s="9"/>
    </row>
    <row r="516812" spans="15:15" x14ac:dyDescent="0.25">
      <c r="O516812" s="9"/>
    </row>
    <row r="516833" spans="15:15" x14ac:dyDescent="0.25">
      <c r="O516833" s="9"/>
    </row>
    <row r="516854" spans="15:15" x14ac:dyDescent="0.25">
      <c r="O516854" s="9"/>
    </row>
    <row r="516875" spans="15:15" x14ac:dyDescent="0.25">
      <c r="O516875" s="9"/>
    </row>
    <row r="516896" spans="15:15" x14ac:dyDescent="0.25">
      <c r="O516896" s="9"/>
    </row>
    <row r="516917" spans="15:15" x14ac:dyDescent="0.25">
      <c r="O516917" s="9"/>
    </row>
    <row r="516938" spans="15:15" x14ac:dyDescent="0.25">
      <c r="O516938" s="9"/>
    </row>
    <row r="516959" spans="15:15" x14ac:dyDescent="0.25">
      <c r="O516959" s="9"/>
    </row>
    <row r="516980" spans="15:15" x14ac:dyDescent="0.25">
      <c r="O516980" s="9"/>
    </row>
    <row r="517001" spans="15:15" x14ac:dyDescent="0.25">
      <c r="O517001" s="9"/>
    </row>
    <row r="517022" spans="15:15" x14ac:dyDescent="0.25">
      <c r="O517022" s="9"/>
    </row>
    <row r="517043" spans="15:15" x14ac:dyDescent="0.25">
      <c r="O517043" s="9"/>
    </row>
    <row r="517064" spans="15:15" x14ac:dyDescent="0.25">
      <c r="O517064" s="9"/>
    </row>
    <row r="517085" spans="15:15" x14ac:dyDescent="0.25">
      <c r="O517085" s="9"/>
    </row>
    <row r="517106" spans="15:15" x14ac:dyDescent="0.25">
      <c r="O517106" s="9"/>
    </row>
    <row r="517127" spans="15:15" x14ac:dyDescent="0.25">
      <c r="O517127" s="9"/>
    </row>
    <row r="517148" spans="15:15" x14ac:dyDescent="0.25">
      <c r="O517148" s="9"/>
    </row>
    <row r="517169" spans="15:15" x14ac:dyDescent="0.25">
      <c r="O517169" s="9"/>
    </row>
    <row r="517190" spans="15:15" x14ac:dyDescent="0.25">
      <c r="O517190" s="9"/>
    </row>
    <row r="517211" spans="15:15" x14ac:dyDescent="0.25">
      <c r="O517211" s="9"/>
    </row>
    <row r="517232" spans="15:15" x14ac:dyDescent="0.25">
      <c r="O517232" s="9"/>
    </row>
    <row r="517253" spans="15:15" x14ac:dyDescent="0.25">
      <c r="O517253" s="9"/>
    </row>
    <row r="517274" spans="15:15" x14ac:dyDescent="0.25">
      <c r="O517274" s="9"/>
    </row>
    <row r="517295" spans="15:15" x14ac:dyDescent="0.25">
      <c r="O517295" s="9"/>
    </row>
    <row r="517316" spans="15:15" x14ac:dyDescent="0.25">
      <c r="O517316" s="9"/>
    </row>
    <row r="517337" spans="15:15" x14ac:dyDescent="0.25">
      <c r="O517337" s="9"/>
    </row>
    <row r="517358" spans="15:15" x14ac:dyDescent="0.25">
      <c r="O517358" s="9"/>
    </row>
    <row r="517379" spans="15:15" x14ac:dyDescent="0.25">
      <c r="O517379" s="9"/>
    </row>
    <row r="517400" spans="15:15" x14ac:dyDescent="0.25">
      <c r="O517400" s="9"/>
    </row>
    <row r="517421" spans="15:15" x14ac:dyDescent="0.25">
      <c r="O517421" s="9"/>
    </row>
    <row r="517442" spans="15:15" x14ac:dyDescent="0.25">
      <c r="O517442" s="9"/>
    </row>
    <row r="517463" spans="15:15" x14ac:dyDescent="0.25">
      <c r="O517463" s="9"/>
    </row>
    <row r="517484" spans="15:15" x14ac:dyDescent="0.25">
      <c r="O517484" s="9"/>
    </row>
    <row r="517505" spans="15:15" x14ac:dyDescent="0.25">
      <c r="O517505" s="9"/>
    </row>
    <row r="517526" spans="15:15" x14ac:dyDescent="0.25">
      <c r="O517526" s="9"/>
    </row>
    <row r="517547" spans="15:15" x14ac:dyDescent="0.25">
      <c r="O517547" s="9"/>
    </row>
    <row r="517568" spans="15:15" x14ac:dyDescent="0.25">
      <c r="O517568" s="9"/>
    </row>
    <row r="517589" spans="15:15" x14ac:dyDescent="0.25">
      <c r="O517589" s="9"/>
    </row>
    <row r="517610" spans="15:15" x14ac:dyDescent="0.25">
      <c r="O517610" s="9"/>
    </row>
    <row r="517631" spans="15:15" x14ac:dyDescent="0.25">
      <c r="O517631" s="9"/>
    </row>
    <row r="517652" spans="15:15" x14ac:dyDescent="0.25">
      <c r="O517652" s="9"/>
    </row>
    <row r="517673" spans="15:15" x14ac:dyDescent="0.25">
      <c r="O517673" s="9"/>
    </row>
    <row r="517694" spans="15:15" x14ac:dyDescent="0.25">
      <c r="O517694" s="9"/>
    </row>
    <row r="517715" spans="15:15" x14ac:dyDescent="0.25">
      <c r="O517715" s="9"/>
    </row>
    <row r="517736" spans="15:15" x14ac:dyDescent="0.25">
      <c r="O517736" s="9"/>
    </row>
    <row r="517757" spans="15:15" x14ac:dyDescent="0.25">
      <c r="O517757" s="9"/>
    </row>
    <row r="517778" spans="15:15" x14ac:dyDescent="0.25">
      <c r="O517778" s="9"/>
    </row>
    <row r="517799" spans="15:15" x14ac:dyDescent="0.25">
      <c r="O517799" s="9"/>
    </row>
    <row r="517820" spans="15:15" x14ac:dyDescent="0.25">
      <c r="O517820" s="9"/>
    </row>
    <row r="517841" spans="15:15" x14ac:dyDescent="0.25">
      <c r="O517841" s="9"/>
    </row>
    <row r="517862" spans="15:15" x14ac:dyDescent="0.25">
      <c r="O517862" s="9"/>
    </row>
    <row r="517883" spans="15:15" x14ac:dyDescent="0.25">
      <c r="O517883" s="9"/>
    </row>
    <row r="517904" spans="15:15" x14ac:dyDescent="0.25">
      <c r="O517904" s="9"/>
    </row>
    <row r="517925" spans="15:15" x14ac:dyDescent="0.25">
      <c r="O517925" s="9"/>
    </row>
    <row r="517946" spans="15:15" x14ac:dyDescent="0.25">
      <c r="O517946" s="9"/>
    </row>
    <row r="517967" spans="15:15" x14ac:dyDescent="0.25">
      <c r="O517967" s="9"/>
    </row>
    <row r="517988" spans="15:15" x14ac:dyDescent="0.25">
      <c r="O517988" s="9"/>
    </row>
    <row r="518009" spans="15:15" x14ac:dyDescent="0.25">
      <c r="O518009" s="9"/>
    </row>
    <row r="518030" spans="15:15" x14ac:dyDescent="0.25">
      <c r="O518030" s="9"/>
    </row>
    <row r="518051" spans="15:15" x14ac:dyDescent="0.25">
      <c r="O518051" s="9"/>
    </row>
    <row r="518072" spans="15:15" x14ac:dyDescent="0.25">
      <c r="O518072" s="9"/>
    </row>
    <row r="518093" spans="15:15" x14ac:dyDescent="0.25">
      <c r="O518093" s="9"/>
    </row>
    <row r="518114" spans="15:15" x14ac:dyDescent="0.25">
      <c r="O518114" s="9"/>
    </row>
    <row r="518135" spans="15:15" x14ac:dyDescent="0.25">
      <c r="O518135" s="9"/>
    </row>
    <row r="518156" spans="15:15" x14ac:dyDescent="0.25">
      <c r="O518156" s="9"/>
    </row>
    <row r="518177" spans="15:15" x14ac:dyDescent="0.25">
      <c r="O518177" s="9"/>
    </row>
    <row r="518198" spans="15:15" x14ac:dyDescent="0.25">
      <c r="O518198" s="9"/>
    </row>
    <row r="518219" spans="15:15" x14ac:dyDescent="0.25">
      <c r="O518219" s="9"/>
    </row>
    <row r="518240" spans="15:15" x14ac:dyDescent="0.25">
      <c r="O518240" s="9"/>
    </row>
    <row r="518261" spans="15:15" x14ac:dyDescent="0.25">
      <c r="O518261" s="9"/>
    </row>
    <row r="518282" spans="15:15" x14ac:dyDescent="0.25">
      <c r="O518282" s="9"/>
    </row>
    <row r="518303" spans="15:15" x14ac:dyDescent="0.25">
      <c r="O518303" s="9"/>
    </row>
    <row r="518324" spans="15:15" x14ac:dyDescent="0.25">
      <c r="O518324" s="9"/>
    </row>
    <row r="518345" spans="15:15" x14ac:dyDescent="0.25">
      <c r="O518345" s="9"/>
    </row>
    <row r="518366" spans="15:15" x14ac:dyDescent="0.25">
      <c r="O518366" s="9"/>
    </row>
    <row r="518387" spans="15:15" x14ac:dyDescent="0.25">
      <c r="O518387" s="9"/>
    </row>
    <row r="518408" spans="15:15" x14ac:dyDescent="0.25">
      <c r="O518408" s="9"/>
    </row>
    <row r="518429" spans="15:15" x14ac:dyDescent="0.25">
      <c r="O518429" s="9"/>
    </row>
    <row r="518450" spans="15:15" x14ac:dyDescent="0.25">
      <c r="O518450" s="9"/>
    </row>
    <row r="518471" spans="15:15" x14ac:dyDescent="0.25">
      <c r="O518471" s="9"/>
    </row>
    <row r="518492" spans="15:15" x14ac:dyDescent="0.25">
      <c r="O518492" s="9"/>
    </row>
    <row r="518513" spans="15:15" x14ac:dyDescent="0.25">
      <c r="O518513" s="9"/>
    </row>
    <row r="518534" spans="15:15" x14ac:dyDescent="0.25">
      <c r="O518534" s="9"/>
    </row>
    <row r="518555" spans="15:15" x14ac:dyDescent="0.25">
      <c r="O518555" s="9"/>
    </row>
    <row r="518576" spans="15:15" x14ac:dyDescent="0.25">
      <c r="O518576" s="9"/>
    </row>
    <row r="518597" spans="15:15" x14ac:dyDescent="0.25">
      <c r="O518597" s="9"/>
    </row>
    <row r="518618" spans="15:15" x14ac:dyDescent="0.25">
      <c r="O518618" s="9"/>
    </row>
    <row r="518639" spans="15:15" x14ac:dyDescent="0.25">
      <c r="O518639" s="9"/>
    </row>
    <row r="518660" spans="15:15" x14ac:dyDescent="0.25">
      <c r="O518660" s="9"/>
    </row>
    <row r="518681" spans="15:15" x14ac:dyDescent="0.25">
      <c r="O518681" s="9"/>
    </row>
    <row r="518702" spans="15:15" x14ac:dyDescent="0.25">
      <c r="O518702" s="9"/>
    </row>
    <row r="518723" spans="15:15" x14ac:dyDescent="0.25">
      <c r="O518723" s="9"/>
    </row>
    <row r="518744" spans="15:15" x14ac:dyDescent="0.25">
      <c r="O518744" s="9"/>
    </row>
    <row r="518765" spans="15:15" x14ac:dyDescent="0.25">
      <c r="O518765" s="9"/>
    </row>
    <row r="518786" spans="15:15" x14ac:dyDescent="0.25">
      <c r="O518786" s="9"/>
    </row>
    <row r="518807" spans="15:15" x14ac:dyDescent="0.25">
      <c r="O518807" s="9"/>
    </row>
    <row r="518828" spans="15:15" x14ac:dyDescent="0.25">
      <c r="O518828" s="9"/>
    </row>
    <row r="518849" spans="15:15" x14ac:dyDescent="0.25">
      <c r="O518849" s="9"/>
    </row>
    <row r="518870" spans="15:15" x14ac:dyDescent="0.25">
      <c r="O518870" s="9"/>
    </row>
    <row r="518891" spans="15:15" x14ac:dyDescent="0.25">
      <c r="O518891" s="9"/>
    </row>
    <row r="518912" spans="15:15" x14ac:dyDescent="0.25">
      <c r="O518912" s="9"/>
    </row>
    <row r="518933" spans="15:15" x14ac:dyDescent="0.25">
      <c r="O518933" s="9"/>
    </row>
    <row r="518954" spans="15:15" x14ac:dyDescent="0.25">
      <c r="O518954" s="9"/>
    </row>
    <row r="518975" spans="15:15" x14ac:dyDescent="0.25">
      <c r="O518975" s="9"/>
    </row>
    <row r="518996" spans="15:15" x14ac:dyDescent="0.25">
      <c r="O518996" s="9"/>
    </row>
    <row r="519017" spans="15:15" x14ac:dyDescent="0.25">
      <c r="O519017" s="9"/>
    </row>
    <row r="519038" spans="15:15" x14ac:dyDescent="0.25">
      <c r="O519038" s="9"/>
    </row>
    <row r="519059" spans="15:15" x14ac:dyDescent="0.25">
      <c r="O519059" s="9"/>
    </row>
    <row r="519080" spans="15:15" x14ac:dyDescent="0.25">
      <c r="O519080" s="9"/>
    </row>
    <row r="519101" spans="15:15" x14ac:dyDescent="0.25">
      <c r="O519101" s="9"/>
    </row>
    <row r="519122" spans="15:15" x14ac:dyDescent="0.25">
      <c r="O519122" s="9"/>
    </row>
    <row r="519143" spans="15:15" x14ac:dyDescent="0.25">
      <c r="O519143" s="9"/>
    </row>
    <row r="519164" spans="15:15" x14ac:dyDescent="0.25">
      <c r="O519164" s="9"/>
    </row>
    <row r="519185" spans="15:15" x14ac:dyDescent="0.25">
      <c r="O519185" s="9"/>
    </row>
    <row r="519206" spans="15:15" x14ac:dyDescent="0.25">
      <c r="O519206" s="9"/>
    </row>
    <row r="519227" spans="15:15" x14ac:dyDescent="0.25">
      <c r="O519227" s="9"/>
    </row>
    <row r="519248" spans="15:15" x14ac:dyDescent="0.25">
      <c r="O519248" s="9"/>
    </row>
    <row r="519269" spans="15:15" x14ac:dyDescent="0.25">
      <c r="O519269" s="9"/>
    </row>
    <row r="519290" spans="15:15" x14ac:dyDescent="0.25">
      <c r="O519290" s="9"/>
    </row>
    <row r="519311" spans="15:15" x14ac:dyDescent="0.25">
      <c r="O519311" s="9"/>
    </row>
    <row r="519332" spans="15:15" x14ac:dyDescent="0.25">
      <c r="O519332" s="9"/>
    </row>
    <row r="519353" spans="15:15" x14ac:dyDescent="0.25">
      <c r="O519353" s="9"/>
    </row>
    <row r="519374" spans="15:15" x14ac:dyDescent="0.25">
      <c r="O519374" s="9"/>
    </row>
    <row r="519395" spans="15:15" x14ac:dyDescent="0.25">
      <c r="O519395" s="9"/>
    </row>
    <row r="519416" spans="15:15" x14ac:dyDescent="0.25">
      <c r="O519416" s="9"/>
    </row>
    <row r="519437" spans="15:15" x14ac:dyDescent="0.25">
      <c r="O519437" s="9"/>
    </row>
    <row r="519458" spans="15:15" x14ac:dyDescent="0.25">
      <c r="O519458" s="9"/>
    </row>
    <row r="519479" spans="15:15" x14ac:dyDescent="0.25">
      <c r="O519479" s="9"/>
    </row>
    <row r="519500" spans="15:15" x14ac:dyDescent="0.25">
      <c r="O519500" s="9"/>
    </row>
    <row r="519521" spans="15:15" x14ac:dyDescent="0.25">
      <c r="O519521" s="9"/>
    </row>
    <row r="519542" spans="15:15" x14ac:dyDescent="0.25">
      <c r="O519542" s="9"/>
    </row>
    <row r="519563" spans="15:15" x14ac:dyDescent="0.25">
      <c r="O519563" s="9"/>
    </row>
    <row r="519584" spans="15:15" x14ac:dyDescent="0.25">
      <c r="O519584" s="9"/>
    </row>
    <row r="519605" spans="15:15" x14ac:dyDescent="0.25">
      <c r="O519605" s="9"/>
    </row>
    <row r="519626" spans="15:15" x14ac:dyDescent="0.25">
      <c r="O519626" s="9"/>
    </row>
    <row r="519647" spans="15:15" x14ac:dyDescent="0.25">
      <c r="O519647" s="9"/>
    </row>
    <row r="519668" spans="15:15" x14ac:dyDescent="0.25">
      <c r="O519668" s="9"/>
    </row>
    <row r="519689" spans="15:15" x14ac:dyDescent="0.25">
      <c r="O519689" s="9"/>
    </row>
    <row r="519710" spans="15:15" x14ac:dyDescent="0.25">
      <c r="O519710" s="9"/>
    </row>
    <row r="519731" spans="15:15" x14ac:dyDescent="0.25">
      <c r="O519731" s="9"/>
    </row>
    <row r="519752" spans="15:15" x14ac:dyDescent="0.25">
      <c r="O519752" s="9"/>
    </row>
    <row r="519773" spans="15:15" x14ac:dyDescent="0.25">
      <c r="O519773" s="9"/>
    </row>
    <row r="519794" spans="15:15" x14ac:dyDescent="0.25">
      <c r="O519794" s="9"/>
    </row>
    <row r="519815" spans="15:15" x14ac:dyDescent="0.25">
      <c r="O519815" s="9"/>
    </row>
    <row r="519836" spans="15:15" x14ac:dyDescent="0.25">
      <c r="O519836" s="9"/>
    </row>
    <row r="519857" spans="15:15" x14ac:dyDescent="0.25">
      <c r="O519857" s="9"/>
    </row>
    <row r="519878" spans="15:15" x14ac:dyDescent="0.25">
      <c r="O519878" s="9"/>
    </row>
    <row r="519899" spans="15:15" x14ac:dyDescent="0.25">
      <c r="O519899" s="9"/>
    </row>
    <row r="519920" spans="15:15" x14ac:dyDescent="0.25">
      <c r="O519920" s="9"/>
    </row>
    <row r="519941" spans="15:15" x14ac:dyDescent="0.25">
      <c r="O519941" s="9"/>
    </row>
    <row r="519962" spans="15:15" x14ac:dyDescent="0.25">
      <c r="O519962" s="9"/>
    </row>
    <row r="519983" spans="15:15" x14ac:dyDescent="0.25">
      <c r="O519983" s="9"/>
    </row>
    <row r="520004" spans="15:15" x14ac:dyDescent="0.25">
      <c r="O520004" s="9"/>
    </row>
    <row r="520025" spans="15:15" x14ac:dyDescent="0.25">
      <c r="O520025" s="9"/>
    </row>
    <row r="520046" spans="15:15" x14ac:dyDescent="0.25">
      <c r="O520046" s="9"/>
    </row>
    <row r="520067" spans="15:15" x14ac:dyDescent="0.25">
      <c r="O520067" s="9"/>
    </row>
    <row r="520088" spans="15:15" x14ac:dyDescent="0.25">
      <c r="O520088" s="9"/>
    </row>
    <row r="520109" spans="15:15" x14ac:dyDescent="0.25">
      <c r="O520109" s="9"/>
    </row>
    <row r="520130" spans="15:15" x14ac:dyDescent="0.25">
      <c r="O520130" s="9"/>
    </row>
    <row r="520151" spans="15:15" x14ac:dyDescent="0.25">
      <c r="O520151" s="9"/>
    </row>
    <row r="520172" spans="15:15" x14ac:dyDescent="0.25">
      <c r="O520172" s="9"/>
    </row>
    <row r="520193" spans="15:15" x14ac:dyDescent="0.25">
      <c r="O520193" s="9"/>
    </row>
    <row r="520214" spans="15:15" x14ac:dyDescent="0.25">
      <c r="O520214" s="9"/>
    </row>
    <row r="520235" spans="15:15" x14ac:dyDescent="0.25">
      <c r="O520235" s="9"/>
    </row>
    <row r="520256" spans="15:15" x14ac:dyDescent="0.25">
      <c r="O520256" s="9"/>
    </row>
    <row r="520277" spans="15:15" x14ac:dyDescent="0.25">
      <c r="O520277" s="9"/>
    </row>
    <row r="520298" spans="15:15" x14ac:dyDescent="0.25">
      <c r="O520298" s="9"/>
    </row>
    <row r="520319" spans="15:15" x14ac:dyDescent="0.25">
      <c r="O520319" s="9"/>
    </row>
    <row r="520340" spans="15:15" x14ac:dyDescent="0.25">
      <c r="O520340" s="9"/>
    </row>
    <row r="520361" spans="15:15" x14ac:dyDescent="0.25">
      <c r="O520361" s="9"/>
    </row>
    <row r="520382" spans="15:15" x14ac:dyDescent="0.25">
      <c r="O520382" s="9"/>
    </row>
    <row r="520403" spans="15:15" x14ac:dyDescent="0.25">
      <c r="O520403" s="9"/>
    </row>
    <row r="520424" spans="15:15" x14ac:dyDescent="0.25">
      <c r="O520424" s="9"/>
    </row>
    <row r="520445" spans="15:15" x14ac:dyDescent="0.25">
      <c r="O520445" s="9"/>
    </row>
    <row r="520466" spans="15:15" x14ac:dyDescent="0.25">
      <c r="O520466" s="9"/>
    </row>
    <row r="520487" spans="15:15" x14ac:dyDescent="0.25">
      <c r="O520487" s="9"/>
    </row>
    <row r="520508" spans="15:15" x14ac:dyDescent="0.25">
      <c r="O520508" s="9"/>
    </row>
    <row r="520529" spans="15:15" x14ac:dyDescent="0.25">
      <c r="O520529" s="9"/>
    </row>
    <row r="520550" spans="15:15" x14ac:dyDescent="0.25">
      <c r="O520550" s="9"/>
    </row>
    <row r="520571" spans="15:15" x14ac:dyDescent="0.25">
      <c r="O520571" s="9"/>
    </row>
    <row r="520592" spans="15:15" x14ac:dyDescent="0.25">
      <c r="O520592" s="9"/>
    </row>
    <row r="520613" spans="15:15" x14ac:dyDescent="0.25">
      <c r="O520613" s="9"/>
    </row>
    <row r="520634" spans="15:15" x14ac:dyDescent="0.25">
      <c r="O520634" s="9"/>
    </row>
    <row r="520655" spans="15:15" x14ac:dyDescent="0.25">
      <c r="O520655" s="9"/>
    </row>
    <row r="520676" spans="15:15" x14ac:dyDescent="0.25">
      <c r="O520676" s="9"/>
    </row>
    <row r="520697" spans="15:15" x14ac:dyDescent="0.25">
      <c r="O520697" s="9"/>
    </row>
    <row r="520718" spans="15:15" x14ac:dyDescent="0.25">
      <c r="O520718" s="9"/>
    </row>
    <row r="520739" spans="15:15" x14ac:dyDescent="0.25">
      <c r="O520739" s="9"/>
    </row>
    <row r="520760" spans="15:15" x14ac:dyDescent="0.25">
      <c r="O520760" s="9"/>
    </row>
    <row r="520781" spans="15:15" x14ac:dyDescent="0.25">
      <c r="O520781" s="9"/>
    </row>
    <row r="520802" spans="15:15" x14ac:dyDescent="0.25">
      <c r="O520802" s="9"/>
    </row>
    <row r="520823" spans="15:15" x14ac:dyDescent="0.25">
      <c r="O520823" s="9"/>
    </row>
    <row r="520844" spans="15:15" x14ac:dyDescent="0.25">
      <c r="O520844" s="9"/>
    </row>
    <row r="520865" spans="15:15" x14ac:dyDescent="0.25">
      <c r="O520865" s="9"/>
    </row>
    <row r="520886" spans="15:15" x14ac:dyDescent="0.25">
      <c r="O520886" s="9"/>
    </row>
    <row r="520907" spans="15:15" x14ac:dyDescent="0.25">
      <c r="O520907" s="9"/>
    </row>
    <row r="520928" spans="15:15" x14ac:dyDescent="0.25">
      <c r="O520928" s="9"/>
    </row>
    <row r="520949" spans="15:15" x14ac:dyDescent="0.25">
      <c r="O520949" s="9"/>
    </row>
    <row r="520970" spans="15:15" x14ac:dyDescent="0.25">
      <c r="O520970" s="9"/>
    </row>
    <row r="520991" spans="15:15" x14ac:dyDescent="0.25">
      <c r="O520991" s="9"/>
    </row>
    <row r="521012" spans="15:15" x14ac:dyDescent="0.25">
      <c r="O521012" s="9"/>
    </row>
    <row r="521033" spans="15:15" x14ac:dyDescent="0.25">
      <c r="O521033" s="9"/>
    </row>
    <row r="521054" spans="15:15" x14ac:dyDescent="0.25">
      <c r="O521054" s="9"/>
    </row>
    <row r="521075" spans="15:15" x14ac:dyDescent="0.25">
      <c r="O521075" s="9"/>
    </row>
    <row r="521096" spans="15:15" x14ac:dyDescent="0.25">
      <c r="O521096" s="9"/>
    </row>
    <row r="521117" spans="15:15" x14ac:dyDescent="0.25">
      <c r="O521117" s="9"/>
    </row>
    <row r="521138" spans="15:15" x14ac:dyDescent="0.25">
      <c r="O521138" s="9"/>
    </row>
    <row r="521159" spans="15:15" x14ac:dyDescent="0.25">
      <c r="O521159" s="9"/>
    </row>
    <row r="521180" spans="15:15" x14ac:dyDescent="0.25">
      <c r="O521180" s="9"/>
    </row>
    <row r="521201" spans="15:15" x14ac:dyDescent="0.25">
      <c r="O521201" s="9"/>
    </row>
    <row r="521222" spans="15:15" x14ac:dyDescent="0.25">
      <c r="O521222" s="9"/>
    </row>
    <row r="521243" spans="15:15" x14ac:dyDescent="0.25">
      <c r="O521243" s="9"/>
    </row>
    <row r="521264" spans="15:15" x14ac:dyDescent="0.25">
      <c r="O521264" s="9"/>
    </row>
    <row r="521285" spans="15:15" x14ac:dyDescent="0.25">
      <c r="O521285" s="9"/>
    </row>
    <row r="521306" spans="15:15" x14ac:dyDescent="0.25">
      <c r="O521306" s="9"/>
    </row>
    <row r="521327" spans="15:15" x14ac:dyDescent="0.25">
      <c r="O521327" s="9"/>
    </row>
    <row r="521348" spans="15:15" x14ac:dyDescent="0.25">
      <c r="O521348" s="9"/>
    </row>
    <row r="521369" spans="15:15" x14ac:dyDescent="0.25">
      <c r="O521369" s="9"/>
    </row>
    <row r="521390" spans="15:15" x14ac:dyDescent="0.25">
      <c r="O521390" s="9"/>
    </row>
    <row r="521411" spans="15:15" x14ac:dyDescent="0.25">
      <c r="O521411" s="9"/>
    </row>
    <row r="521432" spans="15:15" x14ac:dyDescent="0.25">
      <c r="O521432" s="9"/>
    </row>
    <row r="521453" spans="15:15" x14ac:dyDescent="0.25">
      <c r="O521453" s="9"/>
    </row>
    <row r="521474" spans="15:15" x14ac:dyDescent="0.25">
      <c r="O521474" s="9"/>
    </row>
    <row r="521495" spans="15:15" x14ac:dyDescent="0.25">
      <c r="O521495" s="9"/>
    </row>
    <row r="521516" spans="15:15" x14ac:dyDescent="0.25">
      <c r="O521516" s="9"/>
    </row>
    <row r="521537" spans="15:15" x14ac:dyDescent="0.25">
      <c r="O521537" s="9"/>
    </row>
    <row r="521558" spans="15:15" x14ac:dyDescent="0.25">
      <c r="O521558" s="9"/>
    </row>
    <row r="521579" spans="15:15" x14ac:dyDescent="0.25">
      <c r="O521579" s="9"/>
    </row>
    <row r="521600" spans="15:15" x14ac:dyDescent="0.25">
      <c r="O521600" s="9"/>
    </row>
    <row r="521621" spans="15:15" x14ac:dyDescent="0.25">
      <c r="O521621" s="9"/>
    </row>
    <row r="521642" spans="15:15" x14ac:dyDescent="0.25">
      <c r="O521642" s="9"/>
    </row>
    <row r="521663" spans="15:15" x14ac:dyDescent="0.25">
      <c r="O521663" s="9"/>
    </row>
    <row r="521684" spans="15:15" x14ac:dyDescent="0.25">
      <c r="O521684" s="9"/>
    </row>
    <row r="521705" spans="15:15" x14ac:dyDescent="0.25">
      <c r="O521705" s="9"/>
    </row>
    <row r="521726" spans="15:15" x14ac:dyDescent="0.25">
      <c r="O521726" s="9"/>
    </row>
    <row r="521747" spans="15:15" x14ac:dyDescent="0.25">
      <c r="O521747" s="9"/>
    </row>
    <row r="521768" spans="15:15" x14ac:dyDescent="0.25">
      <c r="O521768" s="9"/>
    </row>
    <row r="521789" spans="15:15" x14ac:dyDescent="0.25">
      <c r="O521789" s="9"/>
    </row>
    <row r="521810" spans="15:15" x14ac:dyDescent="0.25">
      <c r="O521810" s="9"/>
    </row>
    <row r="521831" spans="15:15" x14ac:dyDescent="0.25">
      <c r="O521831" s="9"/>
    </row>
    <row r="521852" spans="15:15" x14ac:dyDescent="0.25">
      <c r="O521852" s="9"/>
    </row>
    <row r="521873" spans="15:15" x14ac:dyDescent="0.25">
      <c r="O521873" s="9"/>
    </row>
    <row r="521894" spans="15:15" x14ac:dyDescent="0.25">
      <c r="O521894" s="9"/>
    </row>
    <row r="521915" spans="15:15" x14ac:dyDescent="0.25">
      <c r="O521915" s="9"/>
    </row>
    <row r="521936" spans="15:15" x14ac:dyDescent="0.25">
      <c r="O521936" s="9"/>
    </row>
    <row r="521957" spans="15:15" x14ac:dyDescent="0.25">
      <c r="O521957" s="9"/>
    </row>
    <row r="521978" spans="15:15" x14ac:dyDescent="0.25">
      <c r="O521978" s="9"/>
    </row>
    <row r="521999" spans="15:15" x14ac:dyDescent="0.25">
      <c r="O521999" s="9"/>
    </row>
    <row r="522020" spans="15:15" x14ac:dyDescent="0.25">
      <c r="O522020" s="9"/>
    </row>
    <row r="522041" spans="15:15" x14ac:dyDescent="0.25">
      <c r="O522041" s="9"/>
    </row>
    <row r="522062" spans="15:15" x14ac:dyDescent="0.25">
      <c r="O522062" s="9"/>
    </row>
    <row r="522083" spans="15:15" x14ac:dyDescent="0.25">
      <c r="O522083" s="9"/>
    </row>
    <row r="522104" spans="15:15" x14ac:dyDescent="0.25">
      <c r="O522104" s="9"/>
    </row>
    <row r="522125" spans="15:15" x14ac:dyDescent="0.25">
      <c r="O522125" s="9"/>
    </row>
    <row r="522146" spans="15:15" x14ac:dyDescent="0.25">
      <c r="O522146" s="9"/>
    </row>
    <row r="522167" spans="15:15" x14ac:dyDescent="0.25">
      <c r="O522167" s="9"/>
    </row>
    <row r="522188" spans="15:15" x14ac:dyDescent="0.25">
      <c r="O522188" s="9"/>
    </row>
    <row r="522209" spans="15:15" x14ac:dyDescent="0.25">
      <c r="O522209" s="9"/>
    </row>
    <row r="522230" spans="15:15" x14ac:dyDescent="0.25">
      <c r="O522230" s="9"/>
    </row>
    <row r="522251" spans="15:15" x14ac:dyDescent="0.25">
      <c r="O522251" s="9"/>
    </row>
    <row r="522272" spans="15:15" x14ac:dyDescent="0.25">
      <c r="O522272" s="9"/>
    </row>
    <row r="522293" spans="15:15" x14ac:dyDescent="0.25">
      <c r="O522293" s="9"/>
    </row>
    <row r="522314" spans="15:15" x14ac:dyDescent="0.25">
      <c r="O522314" s="9"/>
    </row>
    <row r="522335" spans="15:15" x14ac:dyDescent="0.25">
      <c r="O522335" s="9"/>
    </row>
    <row r="522356" spans="15:15" x14ac:dyDescent="0.25">
      <c r="O522356" s="9"/>
    </row>
    <row r="522377" spans="15:15" x14ac:dyDescent="0.25">
      <c r="O522377" s="9"/>
    </row>
    <row r="522398" spans="15:15" x14ac:dyDescent="0.25">
      <c r="O522398" s="9"/>
    </row>
    <row r="522419" spans="15:15" x14ac:dyDescent="0.25">
      <c r="O522419" s="9"/>
    </row>
    <row r="522440" spans="15:15" x14ac:dyDescent="0.25">
      <c r="O522440" s="9"/>
    </row>
    <row r="522461" spans="15:15" x14ac:dyDescent="0.25">
      <c r="O522461" s="9"/>
    </row>
    <row r="522482" spans="15:15" x14ac:dyDescent="0.25">
      <c r="O522482" s="9"/>
    </row>
    <row r="522503" spans="15:15" x14ac:dyDescent="0.25">
      <c r="O522503" s="9"/>
    </row>
    <row r="522524" spans="15:15" x14ac:dyDescent="0.25">
      <c r="O522524" s="9"/>
    </row>
    <row r="522545" spans="15:15" x14ac:dyDescent="0.25">
      <c r="O522545" s="9"/>
    </row>
    <row r="522566" spans="15:15" x14ac:dyDescent="0.25">
      <c r="O522566" s="9"/>
    </row>
    <row r="522587" spans="15:15" x14ac:dyDescent="0.25">
      <c r="O522587" s="9"/>
    </row>
    <row r="522608" spans="15:15" x14ac:dyDescent="0.25">
      <c r="O522608" s="9"/>
    </row>
    <row r="522629" spans="15:15" x14ac:dyDescent="0.25">
      <c r="O522629" s="9"/>
    </row>
    <row r="522650" spans="15:15" x14ac:dyDescent="0.25">
      <c r="O522650" s="9"/>
    </row>
    <row r="522671" spans="15:15" x14ac:dyDescent="0.25">
      <c r="O522671" s="9"/>
    </row>
    <row r="522692" spans="15:15" x14ac:dyDescent="0.25">
      <c r="O522692" s="9"/>
    </row>
    <row r="522713" spans="15:15" x14ac:dyDescent="0.25">
      <c r="O522713" s="9"/>
    </row>
    <row r="522734" spans="15:15" x14ac:dyDescent="0.25">
      <c r="O522734" s="9"/>
    </row>
    <row r="522755" spans="15:15" x14ac:dyDescent="0.25">
      <c r="O522755" s="9"/>
    </row>
    <row r="522776" spans="15:15" x14ac:dyDescent="0.25">
      <c r="O522776" s="9"/>
    </row>
    <row r="522797" spans="15:15" x14ac:dyDescent="0.25">
      <c r="O522797" s="9"/>
    </row>
    <row r="522818" spans="15:15" x14ac:dyDescent="0.25">
      <c r="O522818" s="9"/>
    </row>
    <row r="522839" spans="15:15" x14ac:dyDescent="0.25">
      <c r="O522839" s="9"/>
    </row>
    <row r="522860" spans="15:15" x14ac:dyDescent="0.25">
      <c r="O522860" s="9"/>
    </row>
    <row r="522881" spans="15:15" x14ac:dyDescent="0.25">
      <c r="O522881" s="9"/>
    </row>
    <row r="522902" spans="15:15" x14ac:dyDescent="0.25">
      <c r="O522902" s="9"/>
    </row>
    <row r="522923" spans="15:15" x14ac:dyDescent="0.25">
      <c r="O522923" s="9"/>
    </row>
    <row r="522944" spans="15:15" x14ac:dyDescent="0.25">
      <c r="O522944" s="9"/>
    </row>
    <row r="522965" spans="15:15" x14ac:dyDescent="0.25">
      <c r="O522965" s="9"/>
    </row>
    <row r="522986" spans="15:15" x14ac:dyDescent="0.25">
      <c r="O522986" s="9"/>
    </row>
    <row r="523007" spans="15:15" x14ac:dyDescent="0.25">
      <c r="O523007" s="9"/>
    </row>
    <row r="523028" spans="15:15" x14ac:dyDescent="0.25">
      <c r="O523028" s="9"/>
    </row>
    <row r="523049" spans="15:15" x14ac:dyDescent="0.25">
      <c r="O523049" s="9"/>
    </row>
    <row r="523070" spans="15:15" x14ac:dyDescent="0.25">
      <c r="O523070" s="9"/>
    </row>
    <row r="523091" spans="15:15" x14ac:dyDescent="0.25">
      <c r="O523091" s="9"/>
    </row>
    <row r="523112" spans="15:15" x14ac:dyDescent="0.25">
      <c r="O523112" s="9"/>
    </row>
    <row r="523133" spans="15:15" x14ac:dyDescent="0.25">
      <c r="O523133" s="9"/>
    </row>
    <row r="523154" spans="15:15" x14ac:dyDescent="0.25">
      <c r="O523154" s="9"/>
    </row>
    <row r="523175" spans="15:15" x14ac:dyDescent="0.25">
      <c r="O523175" s="9"/>
    </row>
    <row r="523196" spans="15:15" x14ac:dyDescent="0.25">
      <c r="O523196" s="9"/>
    </row>
    <row r="523217" spans="15:15" x14ac:dyDescent="0.25">
      <c r="O523217" s="9"/>
    </row>
    <row r="523238" spans="15:15" x14ac:dyDescent="0.25">
      <c r="O523238" s="9"/>
    </row>
    <row r="523259" spans="15:15" x14ac:dyDescent="0.25">
      <c r="O523259" s="9"/>
    </row>
    <row r="523280" spans="15:15" x14ac:dyDescent="0.25">
      <c r="O523280" s="9"/>
    </row>
    <row r="523301" spans="15:15" x14ac:dyDescent="0.25">
      <c r="O523301" s="9"/>
    </row>
    <row r="523322" spans="15:15" x14ac:dyDescent="0.25">
      <c r="O523322" s="9"/>
    </row>
    <row r="523343" spans="15:15" x14ac:dyDescent="0.25">
      <c r="O523343" s="9"/>
    </row>
    <row r="523364" spans="15:15" x14ac:dyDescent="0.25">
      <c r="O523364" s="9"/>
    </row>
    <row r="523385" spans="15:15" x14ac:dyDescent="0.25">
      <c r="O523385" s="9"/>
    </row>
    <row r="523406" spans="15:15" x14ac:dyDescent="0.25">
      <c r="O523406" s="9"/>
    </row>
    <row r="523427" spans="15:15" x14ac:dyDescent="0.25">
      <c r="O523427" s="9"/>
    </row>
    <row r="523448" spans="15:15" x14ac:dyDescent="0.25">
      <c r="O523448" s="9"/>
    </row>
    <row r="523469" spans="15:15" x14ac:dyDescent="0.25">
      <c r="O523469" s="9"/>
    </row>
    <row r="523490" spans="15:15" x14ac:dyDescent="0.25">
      <c r="O523490" s="9"/>
    </row>
    <row r="523511" spans="15:15" x14ac:dyDescent="0.25">
      <c r="O523511" s="9"/>
    </row>
    <row r="523532" spans="15:15" x14ac:dyDescent="0.25">
      <c r="O523532" s="9"/>
    </row>
    <row r="523553" spans="15:15" x14ac:dyDescent="0.25">
      <c r="O523553" s="9"/>
    </row>
    <row r="523574" spans="15:15" x14ac:dyDescent="0.25">
      <c r="O523574" s="9"/>
    </row>
    <row r="523595" spans="15:15" x14ac:dyDescent="0.25">
      <c r="O523595" s="9"/>
    </row>
    <row r="523616" spans="15:15" x14ac:dyDescent="0.25">
      <c r="O523616" s="9"/>
    </row>
    <row r="523637" spans="15:15" x14ac:dyDescent="0.25">
      <c r="O523637" s="9"/>
    </row>
    <row r="523658" spans="15:15" x14ac:dyDescent="0.25">
      <c r="O523658" s="9"/>
    </row>
    <row r="523679" spans="15:15" x14ac:dyDescent="0.25">
      <c r="O523679" s="9"/>
    </row>
    <row r="523700" spans="15:15" x14ac:dyDescent="0.25">
      <c r="O523700" s="9"/>
    </row>
    <row r="523721" spans="15:15" x14ac:dyDescent="0.25">
      <c r="O523721" s="9"/>
    </row>
    <row r="523742" spans="15:15" x14ac:dyDescent="0.25">
      <c r="O523742" s="9"/>
    </row>
    <row r="523763" spans="15:15" x14ac:dyDescent="0.25">
      <c r="O523763" s="9"/>
    </row>
    <row r="523784" spans="15:15" x14ac:dyDescent="0.25">
      <c r="O523784" s="9"/>
    </row>
    <row r="523805" spans="15:15" x14ac:dyDescent="0.25">
      <c r="O523805" s="9"/>
    </row>
    <row r="523826" spans="15:15" x14ac:dyDescent="0.25">
      <c r="O523826" s="9"/>
    </row>
    <row r="523847" spans="15:15" x14ac:dyDescent="0.25">
      <c r="O523847" s="9"/>
    </row>
    <row r="523868" spans="15:15" x14ac:dyDescent="0.25">
      <c r="O523868" s="9"/>
    </row>
    <row r="523889" spans="15:15" x14ac:dyDescent="0.25">
      <c r="O523889" s="9"/>
    </row>
    <row r="523910" spans="15:15" x14ac:dyDescent="0.25">
      <c r="O523910" s="9"/>
    </row>
    <row r="523931" spans="15:15" x14ac:dyDescent="0.25">
      <c r="O523931" s="9"/>
    </row>
    <row r="523952" spans="15:15" x14ac:dyDescent="0.25">
      <c r="O523952" s="9"/>
    </row>
    <row r="523973" spans="15:15" x14ac:dyDescent="0.25">
      <c r="O523973" s="9"/>
    </row>
    <row r="523994" spans="15:15" x14ac:dyDescent="0.25">
      <c r="O523994" s="9"/>
    </row>
    <row r="524015" spans="15:15" x14ac:dyDescent="0.25">
      <c r="O524015" s="9"/>
    </row>
    <row r="524036" spans="15:15" x14ac:dyDescent="0.25">
      <c r="O524036" s="9"/>
    </row>
    <row r="524057" spans="15:15" x14ac:dyDescent="0.25">
      <c r="O524057" s="9"/>
    </row>
    <row r="524078" spans="15:15" x14ac:dyDescent="0.25">
      <c r="O524078" s="9"/>
    </row>
    <row r="524099" spans="15:15" x14ac:dyDescent="0.25">
      <c r="O524099" s="9"/>
    </row>
    <row r="524120" spans="15:15" x14ac:dyDescent="0.25">
      <c r="O524120" s="9"/>
    </row>
    <row r="524141" spans="15:15" x14ac:dyDescent="0.25">
      <c r="O524141" s="9"/>
    </row>
    <row r="524162" spans="15:15" x14ac:dyDescent="0.25">
      <c r="O524162" s="9"/>
    </row>
    <row r="524183" spans="15:15" x14ac:dyDescent="0.25">
      <c r="O524183" s="9"/>
    </row>
    <row r="524204" spans="15:15" x14ac:dyDescent="0.25">
      <c r="O524204" s="9"/>
    </row>
    <row r="524225" spans="15:15" x14ac:dyDescent="0.25">
      <c r="O524225" s="9"/>
    </row>
    <row r="524246" spans="15:15" x14ac:dyDescent="0.25">
      <c r="O524246" s="9"/>
    </row>
    <row r="524267" spans="15:15" x14ac:dyDescent="0.25">
      <c r="O524267" s="9"/>
    </row>
    <row r="524288" spans="15:15" x14ac:dyDescent="0.25">
      <c r="O524288" s="9"/>
    </row>
    <row r="524309" spans="15:15" x14ac:dyDescent="0.25">
      <c r="O524309" s="9"/>
    </row>
    <row r="524330" spans="15:15" x14ac:dyDescent="0.25">
      <c r="O524330" s="9"/>
    </row>
    <row r="524351" spans="15:15" x14ac:dyDescent="0.25">
      <c r="O524351" s="9"/>
    </row>
    <row r="524372" spans="15:15" x14ac:dyDescent="0.25">
      <c r="O524372" s="9"/>
    </row>
    <row r="524393" spans="15:15" x14ac:dyDescent="0.25">
      <c r="O524393" s="9"/>
    </row>
    <row r="524414" spans="15:15" x14ac:dyDescent="0.25">
      <c r="O524414" s="9"/>
    </row>
    <row r="524435" spans="15:15" x14ac:dyDescent="0.25">
      <c r="O524435" s="9"/>
    </row>
    <row r="524456" spans="15:15" x14ac:dyDescent="0.25">
      <c r="O524456" s="9"/>
    </row>
    <row r="524477" spans="15:15" x14ac:dyDescent="0.25">
      <c r="O524477" s="9"/>
    </row>
    <row r="524498" spans="15:15" x14ac:dyDescent="0.25">
      <c r="O524498" s="9"/>
    </row>
    <row r="524519" spans="15:15" x14ac:dyDescent="0.25">
      <c r="O524519" s="9"/>
    </row>
    <row r="524540" spans="15:15" x14ac:dyDescent="0.25">
      <c r="O524540" s="9"/>
    </row>
    <row r="524561" spans="15:15" x14ac:dyDescent="0.25">
      <c r="O524561" s="9"/>
    </row>
    <row r="524582" spans="15:15" x14ac:dyDescent="0.25">
      <c r="O524582" s="9"/>
    </row>
    <row r="524603" spans="15:15" x14ac:dyDescent="0.25">
      <c r="O524603" s="9"/>
    </row>
    <row r="524624" spans="15:15" x14ac:dyDescent="0.25">
      <c r="O524624" s="9"/>
    </row>
    <row r="524645" spans="15:15" x14ac:dyDescent="0.25">
      <c r="O524645" s="9"/>
    </row>
    <row r="524666" spans="15:15" x14ac:dyDescent="0.25">
      <c r="O524666" s="9"/>
    </row>
    <row r="524687" spans="15:15" x14ac:dyDescent="0.25">
      <c r="O524687" s="9"/>
    </row>
    <row r="524708" spans="15:15" x14ac:dyDescent="0.25">
      <c r="O524708" s="9"/>
    </row>
    <row r="524729" spans="15:15" x14ac:dyDescent="0.25">
      <c r="O524729" s="9"/>
    </row>
    <row r="524750" spans="15:15" x14ac:dyDescent="0.25">
      <c r="O524750" s="9"/>
    </row>
    <row r="524771" spans="15:15" x14ac:dyDescent="0.25">
      <c r="O524771" s="9"/>
    </row>
    <row r="524792" spans="15:15" x14ac:dyDescent="0.25">
      <c r="O524792" s="9"/>
    </row>
    <row r="524813" spans="15:15" x14ac:dyDescent="0.25">
      <c r="O524813" s="9"/>
    </row>
    <row r="524834" spans="15:15" x14ac:dyDescent="0.25">
      <c r="O524834" s="9"/>
    </row>
    <row r="524855" spans="15:15" x14ac:dyDescent="0.25">
      <c r="O524855" s="9"/>
    </row>
    <row r="524876" spans="15:15" x14ac:dyDescent="0.25">
      <c r="O524876" s="9"/>
    </row>
    <row r="524897" spans="15:15" x14ac:dyDescent="0.25">
      <c r="O524897" s="9"/>
    </row>
    <row r="524918" spans="15:15" x14ac:dyDescent="0.25">
      <c r="O524918" s="9"/>
    </row>
    <row r="524939" spans="15:15" x14ac:dyDescent="0.25">
      <c r="O524939" s="9"/>
    </row>
    <row r="524960" spans="15:15" x14ac:dyDescent="0.25">
      <c r="O524960" s="9"/>
    </row>
    <row r="524981" spans="15:15" x14ac:dyDescent="0.25">
      <c r="O524981" s="9"/>
    </row>
    <row r="525002" spans="15:15" x14ac:dyDescent="0.25">
      <c r="O525002" s="9"/>
    </row>
    <row r="525023" spans="15:15" x14ac:dyDescent="0.25">
      <c r="O525023" s="9"/>
    </row>
    <row r="525044" spans="15:15" x14ac:dyDescent="0.25">
      <c r="O525044" s="9"/>
    </row>
    <row r="525065" spans="15:15" x14ac:dyDescent="0.25">
      <c r="O525065" s="9"/>
    </row>
    <row r="525086" spans="15:15" x14ac:dyDescent="0.25">
      <c r="O525086" s="9"/>
    </row>
    <row r="525107" spans="15:15" x14ac:dyDescent="0.25">
      <c r="O525107" s="9"/>
    </row>
    <row r="525128" spans="15:15" x14ac:dyDescent="0.25">
      <c r="O525128" s="9"/>
    </row>
    <row r="525149" spans="15:15" x14ac:dyDescent="0.25">
      <c r="O525149" s="9"/>
    </row>
    <row r="525170" spans="15:15" x14ac:dyDescent="0.25">
      <c r="O525170" s="9"/>
    </row>
    <row r="525191" spans="15:15" x14ac:dyDescent="0.25">
      <c r="O525191" s="9"/>
    </row>
    <row r="525212" spans="15:15" x14ac:dyDescent="0.25">
      <c r="O525212" s="9"/>
    </row>
    <row r="525233" spans="15:15" x14ac:dyDescent="0.25">
      <c r="O525233" s="9"/>
    </row>
    <row r="525254" spans="15:15" x14ac:dyDescent="0.25">
      <c r="O525254" s="9"/>
    </row>
    <row r="525275" spans="15:15" x14ac:dyDescent="0.25">
      <c r="O525275" s="9"/>
    </row>
    <row r="525296" spans="15:15" x14ac:dyDescent="0.25">
      <c r="O525296" s="9"/>
    </row>
    <row r="525317" spans="15:15" x14ac:dyDescent="0.25">
      <c r="O525317" s="9"/>
    </row>
    <row r="525338" spans="15:15" x14ac:dyDescent="0.25">
      <c r="O525338" s="9"/>
    </row>
    <row r="525359" spans="15:15" x14ac:dyDescent="0.25">
      <c r="O525359" s="9"/>
    </row>
    <row r="525380" spans="15:15" x14ac:dyDescent="0.25">
      <c r="O525380" s="9"/>
    </row>
    <row r="525401" spans="15:15" x14ac:dyDescent="0.25">
      <c r="O525401" s="9"/>
    </row>
    <row r="525422" spans="15:15" x14ac:dyDescent="0.25">
      <c r="O525422" s="9"/>
    </row>
    <row r="525443" spans="15:15" x14ac:dyDescent="0.25">
      <c r="O525443" s="9"/>
    </row>
    <row r="525464" spans="15:15" x14ac:dyDescent="0.25">
      <c r="O525464" s="9"/>
    </row>
    <row r="525485" spans="15:15" x14ac:dyDescent="0.25">
      <c r="O525485" s="9"/>
    </row>
    <row r="525506" spans="15:15" x14ac:dyDescent="0.25">
      <c r="O525506" s="9"/>
    </row>
    <row r="525527" spans="15:15" x14ac:dyDescent="0.25">
      <c r="O525527" s="9"/>
    </row>
    <row r="525548" spans="15:15" x14ac:dyDescent="0.25">
      <c r="O525548" s="9"/>
    </row>
    <row r="525569" spans="15:15" x14ac:dyDescent="0.25">
      <c r="O525569" s="9"/>
    </row>
    <row r="525590" spans="15:15" x14ac:dyDescent="0.25">
      <c r="O525590" s="9"/>
    </row>
    <row r="525611" spans="15:15" x14ac:dyDescent="0.25">
      <c r="O525611" s="9"/>
    </row>
    <row r="525632" spans="15:15" x14ac:dyDescent="0.25">
      <c r="O525632" s="9"/>
    </row>
    <row r="525653" spans="15:15" x14ac:dyDescent="0.25">
      <c r="O525653" s="9"/>
    </row>
    <row r="525674" spans="15:15" x14ac:dyDescent="0.25">
      <c r="O525674" s="9"/>
    </row>
    <row r="525695" spans="15:15" x14ac:dyDescent="0.25">
      <c r="O525695" s="9"/>
    </row>
    <row r="525716" spans="15:15" x14ac:dyDescent="0.25">
      <c r="O525716" s="9"/>
    </row>
    <row r="525737" spans="15:15" x14ac:dyDescent="0.25">
      <c r="O525737" s="9"/>
    </row>
    <row r="525758" spans="15:15" x14ac:dyDescent="0.25">
      <c r="O525758" s="9"/>
    </row>
    <row r="525779" spans="15:15" x14ac:dyDescent="0.25">
      <c r="O525779" s="9"/>
    </row>
    <row r="525800" spans="15:15" x14ac:dyDescent="0.25">
      <c r="O525800" s="9"/>
    </row>
    <row r="525821" spans="15:15" x14ac:dyDescent="0.25">
      <c r="O525821" s="9"/>
    </row>
    <row r="525842" spans="15:15" x14ac:dyDescent="0.25">
      <c r="O525842" s="9"/>
    </row>
    <row r="525863" spans="15:15" x14ac:dyDescent="0.25">
      <c r="O525863" s="9"/>
    </row>
    <row r="525884" spans="15:15" x14ac:dyDescent="0.25">
      <c r="O525884" s="9"/>
    </row>
    <row r="525905" spans="15:15" x14ac:dyDescent="0.25">
      <c r="O525905" s="9"/>
    </row>
    <row r="525926" spans="15:15" x14ac:dyDescent="0.25">
      <c r="O525926" s="9"/>
    </row>
    <row r="525947" spans="15:15" x14ac:dyDescent="0.25">
      <c r="O525947" s="9"/>
    </row>
    <row r="525968" spans="15:15" x14ac:dyDescent="0.25">
      <c r="O525968" s="9"/>
    </row>
    <row r="525989" spans="15:15" x14ac:dyDescent="0.25">
      <c r="O525989" s="9"/>
    </row>
    <row r="526010" spans="15:15" x14ac:dyDescent="0.25">
      <c r="O526010" s="9"/>
    </row>
    <row r="526031" spans="15:15" x14ac:dyDescent="0.25">
      <c r="O526031" s="9"/>
    </row>
    <row r="526052" spans="15:15" x14ac:dyDescent="0.25">
      <c r="O526052" s="9"/>
    </row>
    <row r="526073" spans="15:15" x14ac:dyDescent="0.25">
      <c r="O526073" s="9"/>
    </row>
    <row r="526094" spans="15:15" x14ac:dyDescent="0.25">
      <c r="O526094" s="9"/>
    </row>
    <row r="526115" spans="15:15" x14ac:dyDescent="0.25">
      <c r="O526115" s="9"/>
    </row>
    <row r="526136" spans="15:15" x14ac:dyDescent="0.25">
      <c r="O526136" s="9"/>
    </row>
    <row r="526157" spans="15:15" x14ac:dyDescent="0.25">
      <c r="O526157" s="9"/>
    </row>
    <row r="526178" spans="15:15" x14ac:dyDescent="0.25">
      <c r="O526178" s="9"/>
    </row>
    <row r="526199" spans="15:15" x14ac:dyDescent="0.25">
      <c r="O526199" s="9"/>
    </row>
    <row r="526220" spans="15:15" x14ac:dyDescent="0.25">
      <c r="O526220" s="9"/>
    </row>
    <row r="526241" spans="15:15" x14ac:dyDescent="0.25">
      <c r="O526241" s="9"/>
    </row>
    <row r="526262" spans="15:15" x14ac:dyDescent="0.25">
      <c r="O526262" s="9"/>
    </row>
    <row r="526283" spans="15:15" x14ac:dyDescent="0.25">
      <c r="O526283" s="9"/>
    </row>
    <row r="526304" spans="15:15" x14ac:dyDescent="0.25">
      <c r="O526304" s="9"/>
    </row>
    <row r="526325" spans="15:15" x14ac:dyDescent="0.25">
      <c r="O526325" s="9"/>
    </row>
    <row r="526346" spans="15:15" x14ac:dyDescent="0.25">
      <c r="O526346" s="9"/>
    </row>
    <row r="526367" spans="15:15" x14ac:dyDescent="0.25">
      <c r="O526367" s="9"/>
    </row>
    <row r="526388" spans="15:15" x14ac:dyDescent="0.25">
      <c r="O526388" s="9"/>
    </row>
    <row r="526409" spans="15:15" x14ac:dyDescent="0.25">
      <c r="O526409" s="9"/>
    </row>
    <row r="526430" spans="15:15" x14ac:dyDescent="0.25">
      <c r="O526430" s="9"/>
    </row>
    <row r="526451" spans="15:15" x14ac:dyDescent="0.25">
      <c r="O526451" s="9"/>
    </row>
    <row r="526472" spans="15:15" x14ac:dyDescent="0.25">
      <c r="O526472" s="9"/>
    </row>
    <row r="526493" spans="15:15" x14ac:dyDescent="0.25">
      <c r="O526493" s="9"/>
    </row>
    <row r="526514" spans="15:15" x14ac:dyDescent="0.25">
      <c r="O526514" s="9"/>
    </row>
    <row r="526535" spans="15:15" x14ac:dyDescent="0.25">
      <c r="O526535" s="9"/>
    </row>
    <row r="526556" spans="15:15" x14ac:dyDescent="0.25">
      <c r="O526556" s="9"/>
    </row>
    <row r="526577" spans="15:15" x14ac:dyDescent="0.25">
      <c r="O526577" s="9"/>
    </row>
    <row r="526598" spans="15:15" x14ac:dyDescent="0.25">
      <c r="O526598" s="9"/>
    </row>
    <row r="526619" spans="15:15" x14ac:dyDescent="0.25">
      <c r="O526619" s="9"/>
    </row>
    <row r="526640" spans="15:15" x14ac:dyDescent="0.25">
      <c r="O526640" s="9"/>
    </row>
    <row r="526661" spans="15:15" x14ac:dyDescent="0.25">
      <c r="O526661" s="9"/>
    </row>
    <row r="526682" spans="15:15" x14ac:dyDescent="0.25">
      <c r="O526682" s="9"/>
    </row>
    <row r="526703" spans="15:15" x14ac:dyDescent="0.25">
      <c r="O526703" s="9"/>
    </row>
    <row r="526724" spans="15:15" x14ac:dyDescent="0.25">
      <c r="O526724" s="9"/>
    </row>
    <row r="526745" spans="15:15" x14ac:dyDescent="0.25">
      <c r="O526745" s="9"/>
    </row>
    <row r="526766" spans="15:15" x14ac:dyDescent="0.25">
      <c r="O526766" s="9"/>
    </row>
    <row r="526787" spans="15:15" x14ac:dyDescent="0.25">
      <c r="O526787" s="9"/>
    </row>
    <row r="526808" spans="15:15" x14ac:dyDescent="0.25">
      <c r="O526808" s="9"/>
    </row>
    <row r="526829" spans="15:15" x14ac:dyDescent="0.25">
      <c r="O526829" s="9"/>
    </row>
    <row r="526850" spans="15:15" x14ac:dyDescent="0.25">
      <c r="O526850" s="9"/>
    </row>
    <row r="526871" spans="15:15" x14ac:dyDescent="0.25">
      <c r="O526871" s="9"/>
    </row>
    <row r="526892" spans="15:15" x14ac:dyDescent="0.25">
      <c r="O526892" s="9"/>
    </row>
    <row r="526913" spans="15:15" x14ac:dyDescent="0.25">
      <c r="O526913" s="9"/>
    </row>
    <row r="526934" spans="15:15" x14ac:dyDescent="0.25">
      <c r="O526934" s="9"/>
    </row>
    <row r="526955" spans="15:15" x14ac:dyDescent="0.25">
      <c r="O526955" s="9"/>
    </row>
    <row r="526976" spans="15:15" x14ac:dyDescent="0.25">
      <c r="O526976" s="9"/>
    </row>
    <row r="526997" spans="15:15" x14ac:dyDescent="0.25">
      <c r="O526997" s="9"/>
    </row>
    <row r="527018" spans="15:15" x14ac:dyDescent="0.25">
      <c r="O527018" s="9"/>
    </row>
    <row r="527039" spans="15:15" x14ac:dyDescent="0.25">
      <c r="O527039" s="9"/>
    </row>
    <row r="527060" spans="15:15" x14ac:dyDescent="0.25">
      <c r="O527060" s="9"/>
    </row>
    <row r="527081" spans="15:15" x14ac:dyDescent="0.25">
      <c r="O527081" s="9"/>
    </row>
    <row r="527102" spans="15:15" x14ac:dyDescent="0.25">
      <c r="O527102" s="9"/>
    </row>
    <row r="527123" spans="15:15" x14ac:dyDescent="0.25">
      <c r="O527123" s="9"/>
    </row>
    <row r="527144" spans="15:15" x14ac:dyDescent="0.25">
      <c r="O527144" s="9"/>
    </row>
    <row r="527165" spans="15:15" x14ac:dyDescent="0.25">
      <c r="O527165" s="9"/>
    </row>
    <row r="527186" spans="15:15" x14ac:dyDescent="0.25">
      <c r="O527186" s="9"/>
    </row>
    <row r="527207" spans="15:15" x14ac:dyDescent="0.25">
      <c r="O527207" s="9"/>
    </row>
    <row r="527228" spans="15:15" x14ac:dyDescent="0.25">
      <c r="O527228" s="9"/>
    </row>
    <row r="527249" spans="15:15" x14ac:dyDescent="0.25">
      <c r="O527249" s="9"/>
    </row>
    <row r="527270" spans="15:15" x14ac:dyDescent="0.25">
      <c r="O527270" s="9"/>
    </row>
    <row r="527291" spans="15:15" x14ac:dyDescent="0.25">
      <c r="O527291" s="9"/>
    </row>
    <row r="527312" spans="15:15" x14ac:dyDescent="0.25">
      <c r="O527312" s="9"/>
    </row>
    <row r="527333" spans="15:15" x14ac:dyDescent="0.25">
      <c r="O527333" s="9"/>
    </row>
    <row r="527354" spans="15:15" x14ac:dyDescent="0.25">
      <c r="O527354" s="9"/>
    </row>
    <row r="527375" spans="15:15" x14ac:dyDescent="0.25">
      <c r="O527375" s="9"/>
    </row>
    <row r="527396" spans="15:15" x14ac:dyDescent="0.25">
      <c r="O527396" s="9"/>
    </row>
    <row r="527417" spans="15:15" x14ac:dyDescent="0.25">
      <c r="O527417" s="9"/>
    </row>
    <row r="527438" spans="15:15" x14ac:dyDescent="0.25">
      <c r="O527438" s="9"/>
    </row>
    <row r="527459" spans="15:15" x14ac:dyDescent="0.25">
      <c r="O527459" s="9"/>
    </row>
    <row r="527480" spans="15:15" x14ac:dyDescent="0.25">
      <c r="O527480" s="9"/>
    </row>
    <row r="527501" spans="15:15" x14ac:dyDescent="0.25">
      <c r="O527501" s="9"/>
    </row>
    <row r="527522" spans="15:15" x14ac:dyDescent="0.25">
      <c r="O527522" s="9"/>
    </row>
    <row r="527543" spans="15:15" x14ac:dyDescent="0.25">
      <c r="O527543" s="9"/>
    </row>
    <row r="527564" spans="15:15" x14ac:dyDescent="0.25">
      <c r="O527564" s="9"/>
    </row>
    <row r="527585" spans="15:15" x14ac:dyDescent="0.25">
      <c r="O527585" s="9"/>
    </row>
    <row r="527606" spans="15:15" x14ac:dyDescent="0.25">
      <c r="O527606" s="9"/>
    </row>
    <row r="527627" spans="15:15" x14ac:dyDescent="0.25">
      <c r="O527627" s="9"/>
    </row>
    <row r="527648" spans="15:15" x14ac:dyDescent="0.25">
      <c r="O527648" s="9"/>
    </row>
    <row r="527669" spans="15:15" x14ac:dyDescent="0.25">
      <c r="O527669" s="9"/>
    </row>
    <row r="527690" spans="15:15" x14ac:dyDescent="0.25">
      <c r="O527690" s="9"/>
    </row>
    <row r="527711" spans="15:15" x14ac:dyDescent="0.25">
      <c r="O527711" s="9"/>
    </row>
    <row r="527732" spans="15:15" x14ac:dyDescent="0.25">
      <c r="O527732" s="9"/>
    </row>
    <row r="527753" spans="15:15" x14ac:dyDescent="0.25">
      <c r="O527753" s="9"/>
    </row>
    <row r="527774" spans="15:15" x14ac:dyDescent="0.25">
      <c r="O527774" s="9"/>
    </row>
    <row r="527795" spans="15:15" x14ac:dyDescent="0.25">
      <c r="O527795" s="9"/>
    </row>
    <row r="527816" spans="15:15" x14ac:dyDescent="0.25">
      <c r="O527816" s="9"/>
    </row>
    <row r="527837" spans="15:15" x14ac:dyDescent="0.25">
      <c r="O527837" s="9"/>
    </row>
    <row r="527858" spans="15:15" x14ac:dyDescent="0.25">
      <c r="O527858" s="9"/>
    </row>
    <row r="527879" spans="15:15" x14ac:dyDescent="0.25">
      <c r="O527879" s="9"/>
    </row>
    <row r="527900" spans="15:15" x14ac:dyDescent="0.25">
      <c r="O527900" s="9"/>
    </row>
    <row r="527921" spans="15:15" x14ac:dyDescent="0.25">
      <c r="O527921" s="9"/>
    </row>
    <row r="527942" spans="15:15" x14ac:dyDescent="0.25">
      <c r="O527942" s="9"/>
    </row>
    <row r="527963" spans="15:15" x14ac:dyDescent="0.25">
      <c r="O527963" s="9"/>
    </row>
    <row r="527984" spans="15:15" x14ac:dyDescent="0.25">
      <c r="O527984" s="9"/>
    </row>
    <row r="528005" spans="15:15" x14ac:dyDescent="0.25">
      <c r="O528005" s="9"/>
    </row>
    <row r="528026" spans="15:15" x14ac:dyDescent="0.25">
      <c r="O528026" s="9"/>
    </row>
    <row r="528047" spans="15:15" x14ac:dyDescent="0.25">
      <c r="O528047" s="9"/>
    </row>
    <row r="528068" spans="15:15" x14ac:dyDescent="0.25">
      <c r="O528068" s="9"/>
    </row>
    <row r="528089" spans="15:15" x14ac:dyDescent="0.25">
      <c r="O528089" s="9"/>
    </row>
    <row r="528110" spans="15:15" x14ac:dyDescent="0.25">
      <c r="O528110" s="9"/>
    </row>
    <row r="528131" spans="15:15" x14ac:dyDescent="0.25">
      <c r="O528131" s="9"/>
    </row>
    <row r="528152" spans="15:15" x14ac:dyDescent="0.25">
      <c r="O528152" s="9"/>
    </row>
    <row r="528173" spans="15:15" x14ac:dyDescent="0.25">
      <c r="O528173" s="9"/>
    </row>
    <row r="528194" spans="15:15" x14ac:dyDescent="0.25">
      <c r="O528194" s="9"/>
    </row>
    <row r="528215" spans="15:15" x14ac:dyDescent="0.25">
      <c r="O528215" s="9"/>
    </row>
    <row r="528236" spans="15:15" x14ac:dyDescent="0.25">
      <c r="O528236" s="9"/>
    </row>
    <row r="528257" spans="15:15" x14ac:dyDescent="0.25">
      <c r="O528257" s="9"/>
    </row>
    <row r="528278" spans="15:15" x14ac:dyDescent="0.25">
      <c r="O528278" s="9"/>
    </row>
    <row r="528299" spans="15:15" x14ac:dyDescent="0.25">
      <c r="O528299" s="9"/>
    </row>
    <row r="528320" spans="15:15" x14ac:dyDescent="0.25">
      <c r="O528320" s="9"/>
    </row>
    <row r="528341" spans="15:15" x14ac:dyDescent="0.25">
      <c r="O528341" s="9"/>
    </row>
    <row r="528362" spans="15:15" x14ac:dyDescent="0.25">
      <c r="O528362" s="9"/>
    </row>
    <row r="528383" spans="15:15" x14ac:dyDescent="0.25">
      <c r="O528383" s="9"/>
    </row>
    <row r="528404" spans="15:15" x14ac:dyDescent="0.25">
      <c r="O528404" s="9"/>
    </row>
    <row r="528425" spans="15:15" x14ac:dyDescent="0.25">
      <c r="O528425" s="9"/>
    </row>
    <row r="528446" spans="15:15" x14ac:dyDescent="0.25">
      <c r="O528446" s="9"/>
    </row>
    <row r="528467" spans="15:15" x14ac:dyDescent="0.25">
      <c r="O528467" s="9"/>
    </row>
    <row r="528488" spans="15:15" x14ac:dyDescent="0.25">
      <c r="O528488" s="9"/>
    </row>
    <row r="528509" spans="15:15" x14ac:dyDescent="0.25">
      <c r="O528509" s="9"/>
    </row>
    <row r="528530" spans="15:15" x14ac:dyDescent="0.25">
      <c r="O528530" s="9"/>
    </row>
    <row r="528551" spans="15:15" x14ac:dyDescent="0.25">
      <c r="O528551" s="9"/>
    </row>
    <row r="528572" spans="15:15" x14ac:dyDescent="0.25">
      <c r="O528572" s="9"/>
    </row>
    <row r="528593" spans="15:15" x14ac:dyDescent="0.25">
      <c r="O528593" s="9"/>
    </row>
    <row r="528614" spans="15:15" x14ac:dyDescent="0.25">
      <c r="O528614" s="9"/>
    </row>
    <row r="528635" spans="15:15" x14ac:dyDescent="0.25">
      <c r="O528635" s="9"/>
    </row>
    <row r="528656" spans="15:15" x14ac:dyDescent="0.25">
      <c r="O528656" s="9"/>
    </row>
    <row r="528677" spans="15:15" x14ac:dyDescent="0.25">
      <c r="O528677" s="9"/>
    </row>
    <row r="528698" spans="15:15" x14ac:dyDescent="0.25">
      <c r="O528698" s="9"/>
    </row>
    <row r="528719" spans="15:15" x14ac:dyDescent="0.25">
      <c r="O528719" s="9"/>
    </row>
    <row r="528740" spans="15:15" x14ac:dyDescent="0.25">
      <c r="O528740" s="9"/>
    </row>
    <row r="528761" spans="15:15" x14ac:dyDescent="0.25">
      <c r="O528761" s="9"/>
    </row>
    <row r="528782" spans="15:15" x14ac:dyDescent="0.25">
      <c r="O528782" s="9"/>
    </row>
    <row r="528803" spans="15:15" x14ac:dyDescent="0.25">
      <c r="O528803" s="9"/>
    </row>
    <row r="528824" spans="15:15" x14ac:dyDescent="0.25">
      <c r="O528824" s="9"/>
    </row>
    <row r="528845" spans="15:15" x14ac:dyDescent="0.25">
      <c r="O528845" s="9"/>
    </row>
    <row r="528866" spans="15:15" x14ac:dyDescent="0.25">
      <c r="O528866" s="9"/>
    </row>
    <row r="528887" spans="15:15" x14ac:dyDescent="0.25">
      <c r="O528887" s="9"/>
    </row>
    <row r="528908" spans="15:15" x14ac:dyDescent="0.25">
      <c r="O528908" s="9"/>
    </row>
    <row r="528929" spans="15:15" x14ac:dyDescent="0.25">
      <c r="O528929" s="9"/>
    </row>
    <row r="528950" spans="15:15" x14ac:dyDescent="0.25">
      <c r="O528950" s="9"/>
    </row>
    <row r="528971" spans="15:15" x14ac:dyDescent="0.25">
      <c r="O528971" s="9"/>
    </row>
    <row r="528992" spans="15:15" x14ac:dyDescent="0.25">
      <c r="O528992" s="9"/>
    </row>
    <row r="529013" spans="15:15" x14ac:dyDescent="0.25">
      <c r="O529013" s="9"/>
    </row>
    <row r="529034" spans="15:15" x14ac:dyDescent="0.25">
      <c r="O529034" s="9"/>
    </row>
    <row r="529055" spans="15:15" x14ac:dyDescent="0.25">
      <c r="O529055" s="9"/>
    </row>
    <row r="529076" spans="15:15" x14ac:dyDescent="0.25">
      <c r="O529076" s="9"/>
    </row>
    <row r="529097" spans="15:15" x14ac:dyDescent="0.25">
      <c r="O529097" s="9"/>
    </row>
    <row r="529118" spans="15:15" x14ac:dyDescent="0.25">
      <c r="O529118" s="9"/>
    </row>
    <row r="529139" spans="15:15" x14ac:dyDescent="0.25">
      <c r="O529139" s="9"/>
    </row>
    <row r="529160" spans="15:15" x14ac:dyDescent="0.25">
      <c r="O529160" s="9"/>
    </row>
    <row r="529181" spans="15:15" x14ac:dyDescent="0.25">
      <c r="O529181" s="9"/>
    </row>
    <row r="529202" spans="15:15" x14ac:dyDescent="0.25">
      <c r="O529202" s="9"/>
    </row>
    <row r="529223" spans="15:15" x14ac:dyDescent="0.25">
      <c r="O529223" s="9"/>
    </row>
    <row r="529244" spans="15:15" x14ac:dyDescent="0.25">
      <c r="O529244" s="9"/>
    </row>
    <row r="529265" spans="15:15" x14ac:dyDescent="0.25">
      <c r="O529265" s="9"/>
    </row>
    <row r="529286" spans="15:15" x14ac:dyDescent="0.25">
      <c r="O529286" s="9"/>
    </row>
    <row r="529307" spans="15:15" x14ac:dyDescent="0.25">
      <c r="O529307" s="9"/>
    </row>
    <row r="529328" spans="15:15" x14ac:dyDescent="0.25">
      <c r="O529328" s="9"/>
    </row>
    <row r="529349" spans="15:15" x14ac:dyDescent="0.25">
      <c r="O529349" s="9"/>
    </row>
    <row r="529370" spans="15:15" x14ac:dyDescent="0.25">
      <c r="O529370" s="9"/>
    </row>
    <row r="529391" spans="15:15" x14ac:dyDescent="0.25">
      <c r="O529391" s="9"/>
    </row>
    <row r="529412" spans="15:15" x14ac:dyDescent="0.25">
      <c r="O529412" s="9"/>
    </row>
    <row r="529433" spans="15:15" x14ac:dyDescent="0.25">
      <c r="O529433" s="9"/>
    </row>
    <row r="529454" spans="15:15" x14ac:dyDescent="0.25">
      <c r="O529454" s="9"/>
    </row>
    <row r="529475" spans="15:15" x14ac:dyDescent="0.25">
      <c r="O529475" s="9"/>
    </row>
    <row r="529496" spans="15:15" x14ac:dyDescent="0.25">
      <c r="O529496" s="9"/>
    </row>
    <row r="529517" spans="15:15" x14ac:dyDescent="0.25">
      <c r="O529517" s="9"/>
    </row>
    <row r="529538" spans="15:15" x14ac:dyDescent="0.25">
      <c r="O529538" s="9"/>
    </row>
    <row r="529559" spans="15:15" x14ac:dyDescent="0.25">
      <c r="O529559" s="9"/>
    </row>
    <row r="529580" spans="15:15" x14ac:dyDescent="0.25">
      <c r="O529580" s="9"/>
    </row>
    <row r="529601" spans="15:15" x14ac:dyDescent="0.25">
      <c r="O529601" s="9"/>
    </row>
    <row r="529622" spans="15:15" x14ac:dyDescent="0.25">
      <c r="O529622" s="9"/>
    </row>
    <row r="529643" spans="15:15" x14ac:dyDescent="0.25">
      <c r="O529643" s="9"/>
    </row>
    <row r="529664" spans="15:15" x14ac:dyDescent="0.25">
      <c r="O529664" s="9"/>
    </row>
    <row r="529685" spans="15:15" x14ac:dyDescent="0.25">
      <c r="O529685" s="9"/>
    </row>
    <row r="529706" spans="15:15" x14ac:dyDescent="0.25">
      <c r="O529706" s="9"/>
    </row>
    <row r="529727" spans="15:15" x14ac:dyDescent="0.25">
      <c r="O529727" s="9"/>
    </row>
    <row r="529748" spans="15:15" x14ac:dyDescent="0.25">
      <c r="O529748" s="9"/>
    </row>
    <row r="529769" spans="15:15" x14ac:dyDescent="0.25">
      <c r="O529769" s="9"/>
    </row>
    <row r="529790" spans="15:15" x14ac:dyDescent="0.25">
      <c r="O529790" s="9"/>
    </row>
    <row r="529811" spans="15:15" x14ac:dyDescent="0.25">
      <c r="O529811" s="9"/>
    </row>
    <row r="529832" spans="15:15" x14ac:dyDescent="0.25">
      <c r="O529832" s="9"/>
    </row>
    <row r="529853" spans="15:15" x14ac:dyDescent="0.25">
      <c r="O529853" s="9"/>
    </row>
    <row r="529874" spans="15:15" x14ac:dyDescent="0.25">
      <c r="O529874" s="9"/>
    </row>
    <row r="529895" spans="15:15" x14ac:dyDescent="0.25">
      <c r="O529895" s="9"/>
    </row>
    <row r="529916" spans="15:15" x14ac:dyDescent="0.25">
      <c r="O529916" s="9"/>
    </row>
    <row r="529937" spans="15:15" x14ac:dyDescent="0.25">
      <c r="O529937" s="9"/>
    </row>
    <row r="529958" spans="15:15" x14ac:dyDescent="0.25">
      <c r="O529958" s="9"/>
    </row>
    <row r="529979" spans="15:15" x14ac:dyDescent="0.25">
      <c r="O529979" s="9"/>
    </row>
    <row r="530000" spans="15:15" x14ac:dyDescent="0.25">
      <c r="O530000" s="9"/>
    </row>
    <row r="530021" spans="15:15" x14ac:dyDescent="0.25">
      <c r="O530021" s="9"/>
    </row>
    <row r="530042" spans="15:15" x14ac:dyDescent="0.25">
      <c r="O530042" s="9"/>
    </row>
    <row r="530063" spans="15:15" x14ac:dyDescent="0.25">
      <c r="O530063" s="9"/>
    </row>
    <row r="530084" spans="15:15" x14ac:dyDescent="0.25">
      <c r="O530084" s="9"/>
    </row>
    <row r="530105" spans="15:15" x14ac:dyDescent="0.25">
      <c r="O530105" s="9"/>
    </row>
    <row r="530126" spans="15:15" x14ac:dyDescent="0.25">
      <c r="O530126" s="9"/>
    </row>
    <row r="530147" spans="15:15" x14ac:dyDescent="0.25">
      <c r="O530147" s="9"/>
    </row>
    <row r="530168" spans="15:15" x14ac:dyDescent="0.25">
      <c r="O530168" s="9"/>
    </row>
    <row r="530189" spans="15:15" x14ac:dyDescent="0.25">
      <c r="O530189" s="9"/>
    </row>
    <row r="530210" spans="15:15" x14ac:dyDescent="0.25">
      <c r="O530210" s="9"/>
    </row>
    <row r="530231" spans="15:15" x14ac:dyDescent="0.25">
      <c r="O530231" s="9"/>
    </row>
    <row r="530252" spans="15:15" x14ac:dyDescent="0.25">
      <c r="O530252" s="9"/>
    </row>
    <row r="530273" spans="15:15" x14ac:dyDescent="0.25">
      <c r="O530273" s="9"/>
    </row>
    <row r="530294" spans="15:15" x14ac:dyDescent="0.25">
      <c r="O530294" s="9"/>
    </row>
    <row r="530315" spans="15:15" x14ac:dyDescent="0.25">
      <c r="O530315" s="9"/>
    </row>
    <row r="530336" spans="15:15" x14ac:dyDescent="0.25">
      <c r="O530336" s="9"/>
    </row>
    <row r="530357" spans="15:15" x14ac:dyDescent="0.25">
      <c r="O530357" s="9"/>
    </row>
    <row r="530378" spans="15:15" x14ac:dyDescent="0.25">
      <c r="O530378" s="9"/>
    </row>
    <row r="530399" spans="15:15" x14ac:dyDescent="0.25">
      <c r="O530399" s="9"/>
    </row>
    <row r="530420" spans="15:15" x14ac:dyDescent="0.25">
      <c r="O530420" s="9"/>
    </row>
    <row r="530441" spans="15:15" x14ac:dyDescent="0.25">
      <c r="O530441" s="9"/>
    </row>
    <row r="530462" spans="15:15" x14ac:dyDescent="0.25">
      <c r="O530462" s="9"/>
    </row>
    <row r="530483" spans="15:15" x14ac:dyDescent="0.25">
      <c r="O530483" s="9"/>
    </row>
    <row r="530504" spans="15:15" x14ac:dyDescent="0.25">
      <c r="O530504" s="9"/>
    </row>
    <row r="530525" spans="15:15" x14ac:dyDescent="0.25">
      <c r="O530525" s="9"/>
    </row>
    <row r="530546" spans="15:15" x14ac:dyDescent="0.25">
      <c r="O530546" s="9"/>
    </row>
    <row r="530567" spans="15:15" x14ac:dyDescent="0.25">
      <c r="O530567" s="9"/>
    </row>
    <row r="530588" spans="15:15" x14ac:dyDescent="0.25">
      <c r="O530588" s="9"/>
    </row>
    <row r="530609" spans="15:15" x14ac:dyDescent="0.25">
      <c r="O530609" s="9"/>
    </row>
    <row r="530630" spans="15:15" x14ac:dyDescent="0.25">
      <c r="O530630" s="9"/>
    </row>
    <row r="530651" spans="15:15" x14ac:dyDescent="0.25">
      <c r="O530651" s="9"/>
    </row>
    <row r="530672" spans="15:15" x14ac:dyDescent="0.25">
      <c r="O530672" s="9"/>
    </row>
    <row r="530693" spans="15:15" x14ac:dyDescent="0.25">
      <c r="O530693" s="9"/>
    </row>
    <row r="530714" spans="15:15" x14ac:dyDescent="0.25">
      <c r="O530714" s="9"/>
    </row>
    <row r="530735" spans="15:15" x14ac:dyDescent="0.25">
      <c r="O530735" s="9"/>
    </row>
    <row r="530756" spans="15:15" x14ac:dyDescent="0.25">
      <c r="O530756" s="9"/>
    </row>
    <row r="530777" spans="15:15" x14ac:dyDescent="0.25">
      <c r="O530777" s="9"/>
    </row>
    <row r="530798" spans="15:15" x14ac:dyDescent="0.25">
      <c r="O530798" s="9"/>
    </row>
    <row r="530819" spans="15:15" x14ac:dyDescent="0.25">
      <c r="O530819" s="9"/>
    </row>
    <row r="530840" spans="15:15" x14ac:dyDescent="0.25">
      <c r="O530840" s="9"/>
    </row>
    <row r="530861" spans="15:15" x14ac:dyDescent="0.25">
      <c r="O530861" s="9"/>
    </row>
    <row r="530882" spans="15:15" x14ac:dyDescent="0.25">
      <c r="O530882" s="9"/>
    </row>
    <row r="530903" spans="15:15" x14ac:dyDescent="0.25">
      <c r="O530903" s="9"/>
    </row>
    <row r="530924" spans="15:15" x14ac:dyDescent="0.25">
      <c r="O530924" s="9"/>
    </row>
    <row r="530945" spans="15:15" x14ac:dyDescent="0.25">
      <c r="O530945" s="9"/>
    </row>
    <row r="530966" spans="15:15" x14ac:dyDescent="0.25">
      <c r="O530966" s="9"/>
    </row>
    <row r="530987" spans="15:15" x14ac:dyDescent="0.25">
      <c r="O530987" s="9"/>
    </row>
    <row r="531008" spans="15:15" x14ac:dyDescent="0.25">
      <c r="O531008" s="9"/>
    </row>
    <row r="531029" spans="15:15" x14ac:dyDescent="0.25">
      <c r="O531029" s="9"/>
    </row>
    <row r="531050" spans="15:15" x14ac:dyDescent="0.25">
      <c r="O531050" s="9"/>
    </row>
    <row r="531071" spans="15:15" x14ac:dyDescent="0.25">
      <c r="O531071" s="9"/>
    </row>
    <row r="531092" spans="15:15" x14ac:dyDescent="0.25">
      <c r="O531092" s="9"/>
    </row>
    <row r="531113" spans="15:15" x14ac:dyDescent="0.25">
      <c r="O531113" s="9"/>
    </row>
    <row r="531134" spans="15:15" x14ac:dyDescent="0.25">
      <c r="O531134" s="9"/>
    </row>
    <row r="531155" spans="15:15" x14ac:dyDescent="0.25">
      <c r="O531155" s="9"/>
    </row>
    <row r="531176" spans="15:15" x14ac:dyDescent="0.25">
      <c r="O531176" s="9"/>
    </row>
    <row r="531197" spans="15:15" x14ac:dyDescent="0.25">
      <c r="O531197" s="9"/>
    </row>
    <row r="531218" spans="15:15" x14ac:dyDescent="0.25">
      <c r="O531218" s="9"/>
    </row>
    <row r="531239" spans="15:15" x14ac:dyDescent="0.25">
      <c r="O531239" s="9"/>
    </row>
    <row r="531260" spans="15:15" x14ac:dyDescent="0.25">
      <c r="O531260" s="9"/>
    </row>
    <row r="531281" spans="15:15" x14ac:dyDescent="0.25">
      <c r="O531281" s="9"/>
    </row>
    <row r="531302" spans="15:15" x14ac:dyDescent="0.25">
      <c r="O531302" s="9"/>
    </row>
    <row r="531323" spans="15:15" x14ac:dyDescent="0.25">
      <c r="O531323" s="9"/>
    </row>
    <row r="531344" spans="15:15" x14ac:dyDescent="0.25">
      <c r="O531344" s="9"/>
    </row>
    <row r="531365" spans="15:15" x14ac:dyDescent="0.25">
      <c r="O531365" s="9"/>
    </row>
    <row r="531386" spans="15:15" x14ac:dyDescent="0.25">
      <c r="O531386" s="9"/>
    </row>
    <row r="531407" spans="15:15" x14ac:dyDescent="0.25">
      <c r="O531407" s="9"/>
    </row>
    <row r="531428" spans="15:15" x14ac:dyDescent="0.25">
      <c r="O531428" s="9"/>
    </row>
    <row r="531449" spans="15:15" x14ac:dyDescent="0.25">
      <c r="O531449" s="9"/>
    </row>
    <row r="531470" spans="15:15" x14ac:dyDescent="0.25">
      <c r="O531470" s="9"/>
    </row>
    <row r="531491" spans="15:15" x14ac:dyDescent="0.25">
      <c r="O531491" s="9"/>
    </row>
    <row r="531512" spans="15:15" x14ac:dyDescent="0.25">
      <c r="O531512" s="9"/>
    </row>
    <row r="531533" spans="15:15" x14ac:dyDescent="0.25">
      <c r="O531533" s="9"/>
    </row>
    <row r="531554" spans="15:15" x14ac:dyDescent="0.25">
      <c r="O531554" s="9"/>
    </row>
    <row r="531575" spans="15:15" x14ac:dyDescent="0.25">
      <c r="O531575" s="9"/>
    </row>
    <row r="531596" spans="15:15" x14ac:dyDescent="0.25">
      <c r="O531596" s="9"/>
    </row>
    <row r="531617" spans="15:15" x14ac:dyDescent="0.25">
      <c r="O531617" s="9"/>
    </row>
    <row r="531638" spans="15:15" x14ac:dyDescent="0.25">
      <c r="O531638" s="9"/>
    </row>
    <row r="531659" spans="15:15" x14ac:dyDescent="0.25">
      <c r="O531659" s="9"/>
    </row>
    <row r="531680" spans="15:15" x14ac:dyDescent="0.25">
      <c r="O531680" s="9"/>
    </row>
    <row r="531701" spans="15:15" x14ac:dyDescent="0.25">
      <c r="O531701" s="9"/>
    </row>
    <row r="531722" spans="15:15" x14ac:dyDescent="0.25">
      <c r="O531722" s="9"/>
    </row>
    <row r="531743" spans="15:15" x14ac:dyDescent="0.25">
      <c r="O531743" s="9"/>
    </row>
    <row r="531764" spans="15:15" x14ac:dyDescent="0.25">
      <c r="O531764" s="9"/>
    </row>
    <row r="531785" spans="15:15" x14ac:dyDescent="0.25">
      <c r="O531785" s="9"/>
    </row>
    <row r="531806" spans="15:15" x14ac:dyDescent="0.25">
      <c r="O531806" s="9"/>
    </row>
    <row r="531827" spans="15:15" x14ac:dyDescent="0.25">
      <c r="O531827" s="9"/>
    </row>
    <row r="531848" spans="15:15" x14ac:dyDescent="0.25">
      <c r="O531848" s="9"/>
    </row>
    <row r="531869" spans="15:15" x14ac:dyDescent="0.25">
      <c r="O531869" s="9"/>
    </row>
    <row r="531890" spans="15:15" x14ac:dyDescent="0.25">
      <c r="O531890" s="9"/>
    </row>
    <row r="531911" spans="15:15" x14ac:dyDescent="0.25">
      <c r="O531911" s="9"/>
    </row>
    <row r="531932" spans="15:15" x14ac:dyDescent="0.25">
      <c r="O531932" s="9"/>
    </row>
    <row r="531953" spans="15:15" x14ac:dyDescent="0.25">
      <c r="O531953" s="9"/>
    </row>
    <row r="531974" spans="15:15" x14ac:dyDescent="0.25">
      <c r="O531974" s="9"/>
    </row>
    <row r="531995" spans="15:15" x14ac:dyDescent="0.25">
      <c r="O531995" s="9"/>
    </row>
    <row r="532016" spans="15:15" x14ac:dyDescent="0.25">
      <c r="O532016" s="9"/>
    </row>
    <row r="532037" spans="15:15" x14ac:dyDescent="0.25">
      <c r="O532037" s="9"/>
    </row>
    <row r="532058" spans="15:15" x14ac:dyDescent="0.25">
      <c r="O532058" s="9"/>
    </row>
    <row r="532079" spans="15:15" x14ac:dyDescent="0.25">
      <c r="O532079" s="9"/>
    </row>
    <row r="532100" spans="15:15" x14ac:dyDescent="0.25">
      <c r="O532100" s="9"/>
    </row>
    <row r="532121" spans="15:15" x14ac:dyDescent="0.25">
      <c r="O532121" s="9"/>
    </row>
    <row r="532142" spans="15:15" x14ac:dyDescent="0.25">
      <c r="O532142" s="9"/>
    </row>
    <row r="532163" spans="15:15" x14ac:dyDescent="0.25">
      <c r="O532163" s="9"/>
    </row>
    <row r="532184" spans="15:15" x14ac:dyDescent="0.25">
      <c r="O532184" s="9"/>
    </row>
    <row r="532205" spans="15:15" x14ac:dyDescent="0.25">
      <c r="O532205" s="9"/>
    </row>
    <row r="532226" spans="15:15" x14ac:dyDescent="0.25">
      <c r="O532226" s="9"/>
    </row>
    <row r="532247" spans="15:15" x14ac:dyDescent="0.25">
      <c r="O532247" s="9"/>
    </row>
    <row r="532268" spans="15:15" x14ac:dyDescent="0.25">
      <c r="O532268" s="9"/>
    </row>
    <row r="532289" spans="15:15" x14ac:dyDescent="0.25">
      <c r="O532289" s="9"/>
    </row>
    <row r="532310" spans="15:15" x14ac:dyDescent="0.25">
      <c r="O532310" s="9"/>
    </row>
    <row r="532331" spans="15:15" x14ac:dyDescent="0.25">
      <c r="O532331" s="9"/>
    </row>
    <row r="532352" spans="15:15" x14ac:dyDescent="0.25">
      <c r="O532352" s="9"/>
    </row>
    <row r="532373" spans="15:15" x14ac:dyDescent="0.25">
      <c r="O532373" s="9"/>
    </row>
    <row r="532394" spans="15:15" x14ac:dyDescent="0.25">
      <c r="O532394" s="9"/>
    </row>
    <row r="532415" spans="15:15" x14ac:dyDescent="0.25">
      <c r="O532415" s="9"/>
    </row>
    <row r="532436" spans="15:15" x14ac:dyDescent="0.25">
      <c r="O532436" s="9"/>
    </row>
    <row r="532457" spans="15:15" x14ac:dyDescent="0.25">
      <c r="O532457" s="9"/>
    </row>
    <row r="532478" spans="15:15" x14ac:dyDescent="0.25">
      <c r="O532478" s="9"/>
    </row>
    <row r="532499" spans="15:15" x14ac:dyDescent="0.25">
      <c r="O532499" s="9"/>
    </row>
    <row r="532520" spans="15:15" x14ac:dyDescent="0.25">
      <c r="O532520" s="9"/>
    </row>
    <row r="532541" spans="15:15" x14ac:dyDescent="0.25">
      <c r="O532541" s="9"/>
    </row>
    <row r="532562" spans="15:15" x14ac:dyDescent="0.25">
      <c r="O532562" s="9"/>
    </row>
    <row r="532583" spans="15:15" x14ac:dyDescent="0.25">
      <c r="O532583" s="9"/>
    </row>
    <row r="532604" spans="15:15" x14ac:dyDescent="0.25">
      <c r="O532604" s="9"/>
    </row>
    <row r="532625" spans="15:15" x14ac:dyDescent="0.25">
      <c r="O532625" s="9"/>
    </row>
    <row r="532646" spans="15:15" x14ac:dyDescent="0.25">
      <c r="O532646" s="9"/>
    </row>
    <row r="532667" spans="15:15" x14ac:dyDescent="0.25">
      <c r="O532667" s="9"/>
    </row>
    <row r="532688" spans="15:15" x14ac:dyDescent="0.25">
      <c r="O532688" s="9"/>
    </row>
    <row r="532709" spans="15:15" x14ac:dyDescent="0.25">
      <c r="O532709" s="9"/>
    </row>
    <row r="532730" spans="15:15" x14ac:dyDescent="0.25">
      <c r="O532730" s="9"/>
    </row>
    <row r="532751" spans="15:15" x14ac:dyDescent="0.25">
      <c r="O532751" s="9"/>
    </row>
    <row r="532772" spans="15:15" x14ac:dyDescent="0.25">
      <c r="O532772" s="9"/>
    </row>
    <row r="532793" spans="15:15" x14ac:dyDescent="0.25">
      <c r="O532793" s="9"/>
    </row>
    <row r="532814" spans="15:15" x14ac:dyDescent="0.25">
      <c r="O532814" s="9"/>
    </row>
    <row r="532835" spans="15:15" x14ac:dyDescent="0.25">
      <c r="O532835" s="9"/>
    </row>
    <row r="532856" spans="15:15" x14ac:dyDescent="0.25">
      <c r="O532856" s="9"/>
    </row>
    <row r="532877" spans="15:15" x14ac:dyDescent="0.25">
      <c r="O532877" s="9"/>
    </row>
    <row r="532898" spans="15:15" x14ac:dyDescent="0.25">
      <c r="O532898" s="9"/>
    </row>
    <row r="532919" spans="15:15" x14ac:dyDescent="0.25">
      <c r="O532919" s="9"/>
    </row>
    <row r="532940" spans="15:15" x14ac:dyDescent="0.25">
      <c r="O532940" s="9"/>
    </row>
    <row r="532961" spans="15:15" x14ac:dyDescent="0.25">
      <c r="O532961" s="9"/>
    </row>
    <row r="532982" spans="15:15" x14ac:dyDescent="0.25">
      <c r="O532982" s="9"/>
    </row>
    <row r="533003" spans="15:15" x14ac:dyDescent="0.25">
      <c r="O533003" s="9"/>
    </row>
    <row r="533024" spans="15:15" x14ac:dyDescent="0.25">
      <c r="O533024" s="9"/>
    </row>
    <row r="533045" spans="15:15" x14ac:dyDescent="0.25">
      <c r="O533045" s="9"/>
    </row>
    <row r="533066" spans="15:15" x14ac:dyDescent="0.25">
      <c r="O533066" s="9"/>
    </row>
    <row r="533087" spans="15:15" x14ac:dyDescent="0.25">
      <c r="O533087" s="9"/>
    </row>
    <row r="533108" spans="15:15" x14ac:dyDescent="0.25">
      <c r="O533108" s="9"/>
    </row>
    <row r="533129" spans="15:15" x14ac:dyDescent="0.25">
      <c r="O533129" s="9"/>
    </row>
    <row r="533150" spans="15:15" x14ac:dyDescent="0.25">
      <c r="O533150" s="9"/>
    </row>
    <row r="533171" spans="15:15" x14ac:dyDescent="0.25">
      <c r="O533171" s="9"/>
    </row>
    <row r="533192" spans="15:15" x14ac:dyDescent="0.25">
      <c r="O533192" s="9"/>
    </row>
    <row r="533213" spans="15:15" x14ac:dyDescent="0.25">
      <c r="O533213" s="9"/>
    </row>
    <row r="533234" spans="15:15" x14ac:dyDescent="0.25">
      <c r="O533234" s="9"/>
    </row>
    <row r="533255" spans="15:15" x14ac:dyDescent="0.25">
      <c r="O533255" s="9"/>
    </row>
    <row r="533276" spans="15:15" x14ac:dyDescent="0.25">
      <c r="O533276" s="9"/>
    </row>
    <row r="533297" spans="15:15" x14ac:dyDescent="0.25">
      <c r="O533297" s="9"/>
    </row>
    <row r="533318" spans="15:15" x14ac:dyDescent="0.25">
      <c r="O533318" s="9"/>
    </row>
    <row r="533339" spans="15:15" x14ac:dyDescent="0.25">
      <c r="O533339" s="9"/>
    </row>
    <row r="533360" spans="15:15" x14ac:dyDescent="0.25">
      <c r="O533360" s="9"/>
    </row>
    <row r="533381" spans="15:15" x14ac:dyDescent="0.25">
      <c r="O533381" s="9"/>
    </row>
    <row r="533402" spans="15:15" x14ac:dyDescent="0.25">
      <c r="O533402" s="9"/>
    </row>
    <row r="533423" spans="15:15" x14ac:dyDescent="0.25">
      <c r="O533423" s="9"/>
    </row>
    <row r="533444" spans="15:15" x14ac:dyDescent="0.25">
      <c r="O533444" s="9"/>
    </row>
    <row r="533465" spans="15:15" x14ac:dyDescent="0.25">
      <c r="O533465" s="9"/>
    </row>
    <row r="533486" spans="15:15" x14ac:dyDescent="0.25">
      <c r="O533486" s="9"/>
    </row>
    <row r="533507" spans="15:15" x14ac:dyDescent="0.25">
      <c r="O533507" s="9"/>
    </row>
    <row r="533528" spans="15:15" x14ac:dyDescent="0.25">
      <c r="O533528" s="9"/>
    </row>
    <row r="533549" spans="15:15" x14ac:dyDescent="0.25">
      <c r="O533549" s="9"/>
    </row>
    <row r="533570" spans="15:15" x14ac:dyDescent="0.25">
      <c r="O533570" s="9"/>
    </row>
    <row r="533591" spans="15:15" x14ac:dyDescent="0.25">
      <c r="O533591" s="9"/>
    </row>
    <row r="533612" spans="15:15" x14ac:dyDescent="0.25">
      <c r="O533612" s="9"/>
    </row>
    <row r="533633" spans="15:15" x14ac:dyDescent="0.25">
      <c r="O533633" s="9"/>
    </row>
    <row r="533654" spans="15:15" x14ac:dyDescent="0.25">
      <c r="O533654" s="9"/>
    </row>
    <row r="533675" spans="15:15" x14ac:dyDescent="0.25">
      <c r="O533675" s="9"/>
    </row>
    <row r="533696" spans="15:15" x14ac:dyDescent="0.25">
      <c r="O533696" s="9"/>
    </row>
    <row r="533717" spans="15:15" x14ac:dyDescent="0.25">
      <c r="O533717" s="9"/>
    </row>
    <row r="533738" spans="15:15" x14ac:dyDescent="0.25">
      <c r="O533738" s="9"/>
    </row>
    <row r="533759" spans="15:15" x14ac:dyDescent="0.25">
      <c r="O533759" s="9"/>
    </row>
    <row r="533780" spans="15:15" x14ac:dyDescent="0.25">
      <c r="O533780" s="9"/>
    </row>
    <row r="533801" spans="15:15" x14ac:dyDescent="0.25">
      <c r="O533801" s="9"/>
    </row>
    <row r="533822" spans="15:15" x14ac:dyDescent="0.25">
      <c r="O533822" s="9"/>
    </row>
    <row r="533843" spans="15:15" x14ac:dyDescent="0.25">
      <c r="O533843" s="9"/>
    </row>
    <row r="533864" spans="15:15" x14ac:dyDescent="0.25">
      <c r="O533864" s="9"/>
    </row>
    <row r="533885" spans="15:15" x14ac:dyDescent="0.25">
      <c r="O533885" s="9"/>
    </row>
    <row r="533906" spans="15:15" x14ac:dyDescent="0.25">
      <c r="O533906" s="9"/>
    </row>
    <row r="533927" spans="15:15" x14ac:dyDescent="0.25">
      <c r="O533927" s="9"/>
    </row>
    <row r="533948" spans="15:15" x14ac:dyDescent="0.25">
      <c r="O533948" s="9"/>
    </row>
    <row r="533969" spans="15:15" x14ac:dyDescent="0.25">
      <c r="O533969" s="9"/>
    </row>
    <row r="533990" spans="15:15" x14ac:dyDescent="0.25">
      <c r="O533990" s="9"/>
    </row>
    <row r="534011" spans="15:15" x14ac:dyDescent="0.25">
      <c r="O534011" s="9"/>
    </row>
    <row r="534032" spans="15:15" x14ac:dyDescent="0.25">
      <c r="O534032" s="9"/>
    </row>
    <row r="534053" spans="15:15" x14ac:dyDescent="0.25">
      <c r="O534053" s="9"/>
    </row>
    <row r="534074" spans="15:15" x14ac:dyDescent="0.25">
      <c r="O534074" s="9"/>
    </row>
    <row r="534095" spans="15:15" x14ac:dyDescent="0.25">
      <c r="O534095" s="9"/>
    </row>
    <row r="534116" spans="15:15" x14ac:dyDescent="0.25">
      <c r="O534116" s="9"/>
    </row>
    <row r="534137" spans="15:15" x14ac:dyDescent="0.25">
      <c r="O534137" s="9"/>
    </row>
    <row r="534158" spans="15:15" x14ac:dyDescent="0.25">
      <c r="O534158" s="9"/>
    </row>
    <row r="534179" spans="15:15" x14ac:dyDescent="0.25">
      <c r="O534179" s="9"/>
    </row>
    <row r="534200" spans="15:15" x14ac:dyDescent="0.25">
      <c r="O534200" s="9"/>
    </row>
    <row r="534221" spans="15:15" x14ac:dyDescent="0.25">
      <c r="O534221" s="9"/>
    </row>
    <row r="534242" spans="15:15" x14ac:dyDescent="0.25">
      <c r="O534242" s="9"/>
    </row>
    <row r="534263" spans="15:15" x14ac:dyDescent="0.25">
      <c r="O534263" s="9"/>
    </row>
    <row r="534284" spans="15:15" x14ac:dyDescent="0.25">
      <c r="O534284" s="9"/>
    </row>
    <row r="534305" spans="15:15" x14ac:dyDescent="0.25">
      <c r="O534305" s="9"/>
    </row>
    <row r="534326" spans="15:15" x14ac:dyDescent="0.25">
      <c r="O534326" s="9"/>
    </row>
    <row r="534347" spans="15:15" x14ac:dyDescent="0.25">
      <c r="O534347" s="9"/>
    </row>
    <row r="534368" spans="15:15" x14ac:dyDescent="0.25">
      <c r="O534368" s="9"/>
    </row>
    <row r="534389" spans="15:15" x14ac:dyDescent="0.25">
      <c r="O534389" s="9"/>
    </row>
    <row r="534410" spans="15:15" x14ac:dyDescent="0.25">
      <c r="O534410" s="9"/>
    </row>
    <row r="534431" spans="15:15" x14ac:dyDescent="0.25">
      <c r="O534431" s="9"/>
    </row>
    <row r="534452" spans="15:15" x14ac:dyDescent="0.25">
      <c r="O534452" s="9"/>
    </row>
    <row r="534473" spans="15:15" x14ac:dyDescent="0.25">
      <c r="O534473" s="9"/>
    </row>
    <row r="534494" spans="15:15" x14ac:dyDescent="0.25">
      <c r="O534494" s="9"/>
    </row>
    <row r="534515" spans="15:15" x14ac:dyDescent="0.25">
      <c r="O534515" s="9"/>
    </row>
    <row r="534536" spans="15:15" x14ac:dyDescent="0.25">
      <c r="O534536" s="9"/>
    </row>
    <row r="534557" spans="15:15" x14ac:dyDescent="0.25">
      <c r="O534557" s="9"/>
    </row>
    <row r="534578" spans="15:15" x14ac:dyDescent="0.25">
      <c r="O534578" s="9"/>
    </row>
    <row r="534599" spans="15:15" x14ac:dyDescent="0.25">
      <c r="O534599" s="9"/>
    </row>
    <row r="534620" spans="15:15" x14ac:dyDescent="0.25">
      <c r="O534620" s="9"/>
    </row>
    <row r="534641" spans="15:15" x14ac:dyDescent="0.25">
      <c r="O534641" s="9"/>
    </row>
    <row r="534662" spans="15:15" x14ac:dyDescent="0.25">
      <c r="O534662" s="9"/>
    </row>
    <row r="534683" spans="15:15" x14ac:dyDescent="0.25">
      <c r="O534683" s="9"/>
    </row>
    <row r="534704" spans="15:15" x14ac:dyDescent="0.25">
      <c r="O534704" s="9"/>
    </row>
    <row r="534725" spans="15:15" x14ac:dyDescent="0.25">
      <c r="O534725" s="9"/>
    </row>
    <row r="534746" spans="15:15" x14ac:dyDescent="0.25">
      <c r="O534746" s="9"/>
    </row>
    <row r="534767" spans="15:15" x14ac:dyDescent="0.25">
      <c r="O534767" s="9"/>
    </row>
    <row r="534788" spans="15:15" x14ac:dyDescent="0.25">
      <c r="O534788" s="9"/>
    </row>
    <row r="534809" spans="15:15" x14ac:dyDescent="0.25">
      <c r="O534809" s="9"/>
    </row>
    <row r="534830" spans="15:15" x14ac:dyDescent="0.25">
      <c r="O534830" s="9"/>
    </row>
    <row r="534851" spans="15:15" x14ac:dyDescent="0.25">
      <c r="O534851" s="9"/>
    </row>
    <row r="534872" spans="15:15" x14ac:dyDescent="0.25">
      <c r="O534872" s="9"/>
    </row>
    <row r="534893" spans="15:15" x14ac:dyDescent="0.25">
      <c r="O534893" s="9"/>
    </row>
    <row r="534914" spans="15:15" x14ac:dyDescent="0.25">
      <c r="O534914" s="9"/>
    </row>
    <row r="534935" spans="15:15" x14ac:dyDescent="0.25">
      <c r="O534935" s="9"/>
    </row>
    <row r="534956" spans="15:15" x14ac:dyDescent="0.25">
      <c r="O534956" s="9"/>
    </row>
    <row r="534977" spans="15:15" x14ac:dyDescent="0.25">
      <c r="O534977" s="9"/>
    </row>
    <row r="534998" spans="15:15" x14ac:dyDescent="0.25">
      <c r="O534998" s="9"/>
    </row>
    <row r="535019" spans="15:15" x14ac:dyDescent="0.25">
      <c r="O535019" s="9"/>
    </row>
    <row r="535040" spans="15:15" x14ac:dyDescent="0.25">
      <c r="O535040" s="9"/>
    </row>
    <row r="535061" spans="15:15" x14ac:dyDescent="0.25">
      <c r="O535061" s="9"/>
    </row>
    <row r="535082" spans="15:15" x14ac:dyDescent="0.25">
      <c r="O535082" s="9"/>
    </row>
    <row r="535103" spans="15:15" x14ac:dyDescent="0.25">
      <c r="O535103" s="9"/>
    </row>
    <row r="535124" spans="15:15" x14ac:dyDescent="0.25">
      <c r="O535124" s="9"/>
    </row>
    <row r="535145" spans="15:15" x14ac:dyDescent="0.25">
      <c r="O535145" s="9"/>
    </row>
    <row r="535166" spans="15:15" x14ac:dyDescent="0.25">
      <c r="O535166" s="9"/>
    </row>
    <row r="535187" spans="15:15" x14ac:dyDescent="0.25">
      <c r="O535187" s="9"/>
    </row>
    <row r="535208" spans="15:15" x14ac:dyDescent="0.25">
      <c r="O535208" s="9"/>
    </row>
    <row r="535229" spans="15:15" x14ac:dyDescent="0.25">
      <c r="O535229" s="9"/>
    </row>
    <row r="535250" spans="15:15" x14ac:dyDescent="0.25">
      <c r="O535250" s="9"/>
    </row>
    <row r="535271" spans="15:15" x14ac:dyDescent="0.25">
      <c r="O535271" s="9"/>
    </row>
    <row r="535292" spans="15:15" x14ac:dyDescent="0.25">
      <c r="O535292" s="9"/>
    </row>
    <row r="535313" spans="15:15" x14ac:dyDescent="0.25">
      <c r="O535313" s="9"/>
    </row>
    <row r="535334" spans="15:15" x14ac:dyDescent="0.25">
      <c r="O535334" s="9"/>
    </row>
    <row r="535355" spans="15:15" x14ac:dyDescent="0.25">
      <c r="O535355" s="9"/>
    </row>
    <row r="535376" spans="15:15" x14ac:dyDescent="0.25">
      <c r="O535376" s="9"/>
    </row>
    <row r="535397" spans="15:15" x14ac:dyDescent="0.25">
      <c r="O535397" s="9"/>
    </row>
    <row r="535418" spans="15:15" x14ac:dyDescent="0.25">
      <c r="O535418" s="9"/>
    </row>
    <row r="535439" spans="15:15" x14ac:dyDescent="0.25">
      <c r="O535439" s="9"/>
    </row>
    <row r="535460" spans="15:15" x14ac:dyDescent="0.25">
      <c r="O535460" s="9"/>
    </row>
    <row r="535481" spans="15:15" x14ac:dyDescent="0.25">
      <c r="O535481" s="9"/>
    </row>
    <row r="535502" spans="15:15" x14ac:dyDescent="0.25">
      <c r="O535502" s="9"/>
    </row>
    <row r="535523" spans="15:15" x14ac:dyDescent="0.25">
      <c r="O535523" s="9"/>
    </row>
    <row r="535544" spans="15:15" x14ac:dyDescent="0.25">
      <c r="O535544" s="9"/>
    </row>
    <row r="535565" spans="15:15" x14ac:dyDescent="0.25">
      <c r="O535565" s="9"/>
    </row>
    <row r="535586" spans="15:15" x14ac:dyDescent="0.25">
      <c r="O535586" s="9"/>
    </row>
    <row r="535607" spans="15:15" x14ac:dyDescent="0.25">
      <c r="O535607" s="9"/>
    </row>
    <row r="535628" spans="15:15" x14ac:dyDescent="0.25">
      <c r="O535628" s="9"/>
    </row>
    <row r="535649" spans="15:15" x14ac:dyDescent="0.25">
      <c r="O535649" s="9"/>
    </row>
    <row r="535670" spans="15:15" x14ac:dyDescent="0.25">
      <c r="O535670" s="9"/>
    </row>
    <row r="535691" spans="15:15" x14ac:dyDescent="0.25">
      <c r="O535691" s="9"/>
    </row>
    <row r="535712" spans="15:15" x14ac:dyDescent="0.25">
      <c r="O535712" s="9"/>
    </row>
    <row r="535733" spans="15:15" x14ac:dyDescent="0.25">
      <c r="O535733" s="9"/>
    </row>
    <row r="535754" spans="15:15" x14ac:dyDescent="0.25">
      <c r="O535754" s="9"/>
    </row>
    <row r="535775" spans="15:15" x14ac:dyDescent="0.25">
      <c r="O535775" s="9"/>
    </row>
    <row r="535796" spans="15:15" x14ac:dyDescent="0.25">
      <c r="O535796" s="9"/>
    </row>
    <row r="535817" spans="15:15" x14ac:dyDescent="0.25">
      <c r="O535817" s="9"/>
    </row>
    <row r="535838" spans="15:15" x14ac:dyDescent="0.25">
      <c r="O535838" s="9"/>
    </row>
    <row r="535859" spans="15:15" x14ac:dyDescent="0.25">
      <c r="O535859" s="9"/>
    </row>
    <row r="535880" spans="15:15" x14ac:dyDescent="0.25">
      <c r="O535880" s="9"/>
    </row>
    <row r="535901" spans="15:15" x14ac:dyDescent="0.25">
      <c r="O535901" s="9"/>
    </row>
    <row r="535922" spans="15:15" x14ac:dyDescent="0.25">
      <c r="O535922" s="9"/>
    </row>
    <row r="535943" spans="15:15" x14ac:dyDescent="0.25">
      <c r="O535943" s="9"/>
    </row>
    <row r="535964" spans="15:15" x14ac:dyDescent="0.25">
      <c r="O535964" s="9"/>
    </row>
    <row r="535985" spans="15:15" x14ac:dyDescent="0.25">
      <c r="O535985" s="9"/>
    </row>
    <row r="536006" spans="15:15" x14ac:dyDescent="0.25">
      <c r="O536006" s="9"/>
    </row>
    <row r="536027" spans="15:15" x14ac:dyDescent="0.25">
      <c r="O536027" s="9"/>
    </row>
    <row r="536048" spans="15:15" x14ac:dyDescent="0.25">
      <c r="O536048" s="9"/>
    </row>
    <row r="536069" spans="15:15" x14ac:dyDescent="0.25">
      <c r="O536069" s="9"/>
    </row>
    <row r="536090" spans="15:15" x14ac:dyDescent="0.25">
      <c r="O536090" s="9"/>
    </row>
    <row r="536111" spans="15:15" x14ac:dyDescent="0.25">
      <c r="O536111" s="9"/>
    </row>
    <row r="536132" spans="15:15" x14ac:dyDescent="0.25">
      <c r="O536132" s="9"/>
    </row>
    <row r="536153" spans="15:15" x14ac:dyDescent="0.25">
      <c r="O536153" s="9"/>
    </row>
    <row r="536174" spans="15:15" x14ac:dyDescent="0.25">
      <c r="O536174" s="9"/>
    </row>
    <row r="536195" spans="15:15" x14ac:dyDescent="0.25">
      <c r="O536195" s="9"/>
    </row>
    <row r="536216" spans="15:15" x14ac:dyDescent="0.25">
      <c r="O536216" s="9"/>
    </row>
    <row r="536237" spans="15:15" x14ac:dyDescent="0.25">
      <c r="O536237" s="9"/>
    </row>
    <row r="536258" spans="15:15" x14ac:dyDescent="0.25">
      <c r="O536258" s="9"/>
    </row>
    <row r="536279" spans="15:15" x14ac:dyDescent="0.25">
      <c r="O536279" s="9"/>
    </row>
    <row r="536300" spans="15:15" x14ac:dyDescent="0.25">
      <c r="O536300" s="9"/>
    </row>
    <row r="536321" spans="15:15" x14ac:dyDescent="0.25">
      <c r="O536321" s="9"/>
    </row>
    <row r="536342" spans="15:15" x14ac:dyDescent="0.25">
      <c r="O536342" s="9"/>
    </row>
    <row r="536363" spans="15:15" x14ac:dyDescent="0.25">
      <c r="O536363" s="9"/>
    </row>
    <row r="536384" spans="15:15" x14ac:dyDescent="0.25">
      <c r="O536384" s="9"/>
    </row>
    <row r="536405" spans="15:15" x14ac:dyDescent="0.25">
      <c r="O536405" s="9"/>
    </row>
    <row r="536426" spans="15:15" x14ac:dyDescent="0.25">
      <c r="O536426" s="9"/>
    </row>
    <row r="536447" spans="15:15" x14ac:dyDescent="0.25">
      <c r="O536447" s="9"/>
    </row>
    <row r="536468" spans="15:15" x14ac:dyDescent="0.25">
      <c r="O536468" s="9"/>
    </row>
    <row r="536489" spans="15:15" x14ac:dyDescent="0.25">
      <c r="O536489" s="9"/>
    </row>
    <row r="536510" spans="15:15" x14ac:dyDescent="0.25">
      <c r="O536510" s="9"/>
    </row>
    <row r="536531" spans="15:15" x14ac:dyDescent="0.25">
      <c r="O536531" s="9"/>
    </row>
    <row r="536552" spans="15:15" x14ac:dyDescent="0.25">
      <c r="O536552" s="9"/>
    </row>
    <row r="536573" spans="15:15" x14ac:dyDescent="0.25">
      <c r="O536573" s="9"/>
    </row>
    <row r="536594" spans="15:15" x14ac:dyDescent="0.25">
      <c r="O536594" s="9"/>
    </row>
    <row r="536615" spans="15:15" x14ac:dyDescent="0.25">
      <c r="O536615" s="9"/>
    </row>
    <row r="536636" spans="15:15" x14ac:dyDescent="0.25">
      <c r="O536636" s="9"/>
    </row>
    <row r="536657" spans="15:15" x14ac:dyDescent="0.25">
      <c r="O536657" s="9"/>
    </row>
    <row r="536678" spans="15:15" x14ac:dyDescent="0.25">
      <c r="O536678" s="9"/>
    </row>
    <row r="536699" spans="15:15" x14ac:dyDescent="0.25">
      <c r="O536699" s="9"/>
    </row>
    <row r="536720" spans="15:15" x14ac:dyDescent="0.25">
      <c r="O536720" s="9"/>
    </row>
    <row r="536741" spans="15:15" x14ac:dyDescent="0.25">
      <c r="O536741" s="9"/>
    </row>
    <row r="536762" spans="15:15" x14ac:dyDescent="0.25">
      <c r="O536762" s="9"/>
    </row>
    <row r="536783" spans="15:15" x14ac:dyDescent="0.25">
      <c r="O536783" s="9"/>
    </row>
    <row r="536804" spans="15:15" x14ac:dyDescent="0.25">
      <c r="O536804" s="9"/>
    </row>
    <row r="536825" spans="15:15" x14ac:dyDescent="0.25">
      <c r="O536825" s="9"/>
    </row>
    <row r="536846" spans="15:15" x14ac:dyDescent="0.25">
      <c r="O536846" s="9"/>
    </row>
    <row r="536867" spans="15:15" x14ac:dyDescent="0.25">
      <c r="O536867" s="9"/>
    </row>
    <row r="536888" spans="15:15" x14ac:dyDescent="0.25">
      <c r="O536888" s="9"/>
    </row>
    <row r="536909" spans="15:15" x14ac:dyDescent="0.25">
      <c r="O536909" s="9"/>
    </row>
    <row r="536930" spans="15:15" x14ac:dyDescent="0.25">
      <c r="O536930" s="9"/>
    </row>
    <row r="536951" spans="15:15" x14ac:dyDescent="0.25">
      <c r="O536951" s="9"/>
    </row>
    <row r="536972" spans="15:15" x14ac:dyDescent="0.25">
      <c r="O536972" s="9"/>
    </row>
    <row r="536993" spans="15:15" x14ac:dyDescent="0.25">
      <c r="O536993" s="9"/>
    </row>
    <row r="537014" spans="15:15" x14ac:dyDescent="0.25">
      <c r="O537014" s="9"/>
    </row>
    <row r="537035" spans="15:15" x14ac:dyDescent="0.25">
      <c r="O537035" s="9"/>
    </row>
    <row r="537056" spans="15:15" x14ac:dyDescent="0.25">
      <c r="O537056" s="9"/>
    </row>
    <row r="537077" spans="15:15" x14ac:dyDescent="0.25">
      <c r="O537077" s="9"/>
    </row>
    <row r="537098" spans="15:15" x14ac:dyDescent="0.25">
      <c r="O537098" s="9"/>
    </row>
    <row r="537119" spans="15:15" x14ac:dyDescent="0.25">
      <c r="O537119" s="9"/>
    </row>
    <row r="537140" spans="15:15" x14ac:dyDescent="0.25">
      <c r="O537140" s="9"/>
    </row>
    <row r="537161" spans="15:15" x14ac:dyDescent="0.25">
      <c r="O537161" s="9"/>
    </row>
    <row r="537182" spans="15:15" x14ac:dyDescent="0.25">
      <c r="O537182" s="9"/>
    </row>
    <row r="537203" spans="15:15" x14ac:dyDescent="0.25">
      <c r="O537203" s="9"/>
    </row>
    <row r="537224" spans="15:15" x14ac:dyDescent="0.25">
      <c r="O537224" s="9"/>
    </row>
    <row r="537245" spans="15:15" x14ac:dyDescent="0.25">
      <c r="O537245" s="9"/>
    </row>
    <row r="537266" spans="15:15" x14ac:dyDescent="0.25">
      <c r="O537266" s="9"/>
    </row>
    <row r="537287" spans="15:15" x14ac:dyDescent="0.25">
      <c r="O537287" s="9"/>
    </row>
    <row r="537308" spans="15:15" x14ac:dyDescent="0.25">
      <c r="O537308" s="9"/>
    </row>
    <row r="537329" spans="15:15" x14ac:dyDescent="0.25">
      <c r="O537329" s="9"/>
    </row>
    <row r="537350" spans="15:15" x14ac:dyDescent="0.25">
      <c r="O537350" s="9"/>
    </row>
    <row r="537371" spans="15:15" x14ac:dyDescent="0.25">
      <c r="O537371" s="9"/>
    </row>
    <row r="537392" spans="15:15" x14ac:dyDescent="0.25">
      <c r="O537392" s="9"/>
    </row>
    <row r="537413" spans="15:15" x14ac:dyDescent="0.25">
      <c r="O537413" s="9"/>
    </row>
    <row r="537434" spans="15:15" x14ac:dyDescent="0.25">
      <c r="O537434" s="9"/>
    </row>
    <row r="537455" spans="15:15" x14ac:dyDescent="0.25">
      <c r="O537455" s="9"/>
    </row>
    <row r="537476" spans="15:15" x14ac:dyDescent="0.25">
      <c r="O537476" s="9"/>
    </row>
    <row r="537497" spans="15:15" x14ac:dyDescent="0.25">
      <c r="O537497" s="9"/>
    </row>
    <row r="537518" spans="15:15" x14ac:dyDescent="0.25">
      <c r="O537518" s="9"/>
    </row>
    <row r="537539" spans="15:15" x14ac:dyDescent="0.25">
      <c r="O537539" s="9"/>
    </row>
    <row r="537560" spans="15:15" x14ac:dyDescent="0.25">
      <c r="O537560" s="9"/>
    </row>
    <row r="537581" spans="15:15" x14ac:dyDescent="0.25">
      <c r="O537581" s="9"/>
    </row>
    <row r="537602" spans="15:15" x14ac:dyDescent="0.25">
      <c r="O537602" s="9"/>
    </row>
    <row r="537623" spans="15:15" x14ac:dyDescent="0.25">
      <c r="O537623" s="9"/>
    </row>
    <row r="537644" spans="15:15" x14ac:dyDescent="0.25">
      <c r="O537644" s="9"/>
    </row>
    <row r="537665" spans="15:15" x14ac:dyDescent="0.25">
      <c r="O537665" s="9"/>
    </row>
    <row r="537686" spans="15:15" x14ac:dyDescent="0.25">
      <c r="O537686" s="9"/>
    </row>
    <row r="537707" spans="15:15" x14ac:dyDescent="0.25">
      <c r="O537707" s="9"/>
    </row>
    <row r="537728" spans="15:15" x14ac:dyDescent="0.25">
      <c r="O537728" s="9"/>
    </row>
    <row r="537749" spans="15:15" x14ac:dyDescent="0.25">
      <c r="O537749" s="9"/>
    </row>
    <row r="537770" spans="15:15" x14ac:dyDescent="0.25">
      <c r="O537770" s="9"/>
    </row>
    <row r="537791" spans="15:15" x14ac:dyDescent="0.25">
      <c r="O537791" s="9"/>
    </row>
    <row r="537812" spans="15:15" x14ac:dyDescent="0.25">
      <c r="O537812" s="9"/>
    </row>
    <row r="537833" spans="15:15" x14ac:dyDescent="0.25">
      <c r="O537833" s="9"/>
    </row>
    <row r="537854" spans="15:15" x14ac:dyDescent="0.25">
      <c r="O537854" s="9"/>
    </row>
    <row r="537875" spans="15:15" x14ac:dyDescent="0.25">
      <c r="O537875" s="9"/>
    </row>
    <row r="537896" spans="15:15" x14ac:dyDescent="0.25">
      <c r="O537896" s="9"/>
    </row>
    <row r="537917" spans="15:15" x14ac:dyDescent="0.25">
      <c r="O537917" s="9"/>
    </row>
    <row r="537938" spans="15:15" x14ac:dyDescent="0.25">
      <c r="O537938" s="9"/>
    </row>
    <row r="537959" spans="15:15" x14ac:dyDescent="0.25">
      <c r="O537959" s="9"/>
    </row>
    <row r="537980" spans="15:15" x14ac:dyDescent="0.25">
      <c r="O537980" s="9"/>
    </row>
    <row r="538001" spans="15:15" x14ac:dyDescent="0.25">
      <c r="O538001" s="9"/>
    </row>
    <row r="538022" spans="15:15" x14ac:dyDescent="0.25">
      <c r="O538022" s="9"/>
    </row>
    <row r="538043" spans="15:15" x14ac:dyDescent="0.25">
      <c r="O538043" s="9"/>
    </row>
    <row r="538064" spans="15:15" x14ac:dyDescent="0.25">
      <c r="O538064" s="9"/>
    </row>
    <row r="538085" spans="15:15" x14ac:dyDescent="0.25">
      <c r="O538085" s="9"/>
    </row>
    <row r="538106" spans="15:15" x14ac:dyDescent="0.25">
      <c r="O538106" s="9"/>
    </row>
    <row r="538127" spans="15:15" x14ac:dyDescent="0.25">
      <c r="O538127" s="9"/>
    </row>
    <row r="538148" spans="15:15" x14ac:dyDescent="0.25">
      <c r="O538148" s="9"/>
    </row>
    <row r="538169" spans="15:15" x14ac:dyDescent="0.25">
      <c r="O538169" s="9"/>
    </row>
    <row r="538190" spans="15:15" x14ac:dyDescent="0.25">
      <c r="O538190" s="9"/>
    </row>
    <row r="538211" spans="15:15" x14ac:dyDescent="0.25">
      <c r="O538211" s="9"/>
    </row>
    <row r="538232" spans="15:15" x14ac:dyDescent="0.25">
      <c r="O538232" s="9"/>
    </row>
    <row r="538253" spans="15:15" x14ac:dyDescent="0.25">
      <c r="O538253" s="9"/>
    </row>
    <row r="538274" spans="15:15" x14ac:dyDescent="0.25">
      <c r="O538274" s="9"/>
    </row>
    <row r="538295" spans="15:15" x14ac:dyDescent="0.25">
      <c r="O538295" s="9"/>
    </row>
    <row r="538316" spans="15:15" x14ac:dyDescent="0.25">
      <c r="O538316" s="9"/>
    </row>
    <row r="538337" spans="15:15" x14ac:dyDescent="0.25">
      <c r="O538337" s="9"/>
    </row>
    <row r="538358" spans="15:15" x14ac:dyDescent="0.25">
      <c r="O538358" s="9"/>
    </row>
    <row r="538379" spans="15:15" x14ac:dyDescent="0.25">
      <c r="O538379" s="9"/>
    </row>
    <row r="538400" spans="15:15" x14ac:dyDescent="0.25">
      <c r="O538400" s="9"/>
    </row>
    <row r="538421" spans="15:15" x14ac:dyDescent="0.25">
      <c r="O538421" s="9"/>
    </row>
    <row r="538442" spans="15:15" x14ac:dyDescent="0.25">
      <c r="O538442" s="9"/>
    </row>
    <row r="538463" spans="15:15" x14ac:dyDescent="0.25">
      <c r="O538463" s="9"/>
    </row>
    <row r="538484" spans="15:15" x14ac:dyDescent="0.25">
      <c r="O538484" s="9"/>
    </row>
    <row r="538505" spans="15:15" x14ac:dyDescent="0.25">
      <c r="O538505" s="9"/>
    </row>
    <row r="538526" spans="15:15" x14ac:dyDescent="0.25">
      <c r="O538526" s="9"/>
    </row>
    <row r="538547" spans="15:15" x14ac:dyDescent="0.25">
      <c r="O538547" s="9"/>
    </row>
    <row r="538568" spans="15:15" x14ac:dyDescent="0.25">
      <c r="O538568" s="9"/>
    </row>
    <row r="538589" spans="15:15" x14ac:dyDescent="0.25">
      <c r="O538589" s="9"/>
    </row>
    <row r="538610" spans="15:15" x14ac:dyDescent="0.25">
      <c r="O538610" s="9"/>
    </row>
    <row r="538631" spans="15:15" x14ac:dyDescent="0.25">
      <c r="O538631" s="9"/>
    </row>
    <row r="538652" spans="15:15" x14ac:dyDescent="0.25">
      <c r="O538652" s="9"/>
    </row>
    <row r="538673" spans="15:15" x14ac:dyDescent="0.25">
      <c r="O538673" s="9"/>
    </row>
    <row r="538694" spans="15:15" x14ac:dyDescent="0.25">
      <c r="O538694" s="9"/>
    </row>
    <row r="538715" spans="15:15" x14ac:dyDescent="0.25">
      <c r="O538715" s="9"/>
    </row>
    <row r="538736" spans="15:15" x14ac:dyDescent="0.25">
      <c r="O538736" s="9"/>
    </row>
    <row r="538757" spans="15:15" x14ac:dyDescent="0.25">
      <c r="O538757" s="9"/>
    </row>
    <row r="538778" spans="15:15" x14ac:dyDescent="0.25">
      <c r="O538778" s="9"/>
    </row>
    <row r="538799" spans="15:15" x14ac:dyDescent="0.25">
      <c r="O538799" s="9"/>
    </row>
    <row r="538820" spans="15:15" x14ac:dyDescent="0.25">
      <c r="O538820" s="9"/>
    </row>
    <row r="538841" spans="15:15" x14ac:dyDescent="0.25">
      <c r="O538841" s="9"/>
    </row>
    <row r="538862" spans="15:15" x14ac:dyDescent="0.25">
      <c r="O538862" s="9"/>
    </row>
    <row r="538883" spans="15:15" x14ac:dyDescent="0.25">
      <c r="O538883" s="9"/>
    </row>
    <row r="538904" spans="15:15" x14ac:dyDescent="0.25">
      <c r="O538904" s="9"/>
    </row>
    <row r="538925" spans="15:15" x14ac:dyDescent="0.25">
      <c r="O538925" s="9"/>
    </row>
    <row r="538946" spans="15:15" x14ac:dyDescent="0.25">
      <c r="O538946" s="9"/>
    </row>
    <row r="538967" spans="15:15" x14ac:dyDescent="0.25">
      <c r="O538967" s="9"/>
    </row>
    <row r="538988" spans="15:15" x14ac:dyDescent="0.25">
      <c r="O538988" s="9"/>
    </row>
    <row r="539009" spans="15:15" x14ac:dyDescent="0.25">
      <c r="O539009" s="9"/>
    </row>
    <row r="539030" spans="15:15" x14ac:dyDescent="0.25">
      <c r="O539030" s="9"/>
    </row>
    <row r="539051" spans="15:15" x14ac:dyDescent="0.25">
      <c r="O539051" s="9"/>
    </row>
    <row r="539072" spans="15:15" x14ac:dyDescent="0.25">
      <c r="O539072" s="9"/>
    </row>
    <row r="539093" spans="15:15" x14ac:dyDescent="0.25">
      <c r="O539093" s="9"/>
    </row>
    <row r="539114" spans="15:15" x14ac:dyDescent="0.25">
      <c r="O539114" s="9"/>
    </row>
    <row r="539135" spans="15:15" x14ac:dyDescent="0.25">
      <c r="O539135" s="9"/>
    </row>
    <row r="539156" spans="15:15" x14ac:dyDescent="0.25">
      <c r="O539156" s="9"/>
    </row>
    <row r="539177" spans="15:15" x14ac:dyDescent="0.25">
      <c r="O539177" s="9"/>
    </row>
    <row r="539198" spans="15:15" x14ac:dyDescent="0.25">
      <c r="O539198" s="9"/>
    </row>
    <row r="539219" spans="15:15" x14ac:dyDescent="0.25">
      <c r="O539219" s="9"/>
    </row>
    <row r="539240" spans="15:15" x14ac:dyDescent="0.25">
      <c r="O539240" s="9"/>
    </row>
    <row r="539261" spans="15:15" x14ac:dyDescent="0.25">
      <c r="O539261" s="9"/>
    </row>
    <row r="539282" spans="15:15" x14ac:dyDescent="0.25">
      <c r="O539282" s="9"/>
    </row>
    <row r="539303" spans="15:15" x14ac:dyDescent="0.25">
      <c r="O539303" s="9"/>
    </row>
    <row r="539324" spans="15:15" x14ac:dyDescent="0.25">
      <c r="O539324" s="9"/>
    </row>
    <row r="539345" spans="15:15" x14ac:dyDescent="0.25">
      <c r="O539345" s="9"/>
    </row>
    <row r="539366" spans="15:15" x14ac:dyDescent="0.25">
      <c r="O539366" s="9"/>
    </row>
    <row r="539387" spans="15:15" x14ac:dyDescent="0.25">
      <c r="O539387" s="9"/>
    </row>
    <row r="539408" spans="15:15" x14ac:dyDescent="0.25">
      <c r="O539408" s="9"/>
    </row>
    <row r="539429" spans="15:15" x14ac:dyDescent="0.25">
      <c r="O539429" s="9"/>
    </row>
    <row r="539450" spans="15:15" x14ac:dyDescent="0.25">
      <c r="O539450" s="9"/>
    </row>
    <row r="539471" spans="15:15" x14ac:dyDescent="0.25">
      <c r="O539471" s="9"/>
    </row>
    <row r="539492" spans="15:15" x14ac:dyDescent="0.25">
      <c r="O539492" s="9"/>
    </row>
    <row r="539513" spans="15:15" x14ac:dyDescent="0.25">
      <c r="O539513" s="9"/>
    </row>
    <row r="539534" spans="15:15" x14ac:dyDescent="0.25">
      <c r="O539534" s="9"/>
    </row>
    <row r="539555" spans="15:15" x14ac:dyDescent="0.25">
      <c r="O539555" s="9"/>
    </row>
    <row r="539576" spans="15:15" x14ac:dyDescent="0.25">
      <c r="O539576" s="9"/>
    </row>
    <row r="539597" spans="15:15" x14ac:dyDescent="0.25">
      <c r="O539597" s="9"/>
    </row>
    <row r="539618" spans="15:15" x14ac:dyDescent="0.25">
      <c r="O539618" s="9"/>
    </row>
    <row r="539639" spans="15:15" x14ac:dyDescent="0.25">
      <c r="O539639" s="9"/>
    </row>
    <row r="539660" spans="15:15" x14ac:dyDescent="0.25">
      <c r="O539660" s="9"/>
    </row>
    <row r="539681" spans="15:15" x14ac:dyDescent="0.25">
      <c r="O539681" s="9"/>
    </row>
    <row r="539702" spans="15:15" x14ac:dyDescent="0.25">
      <c r="O539702" s="9"/>
    </row>
    <row r="539723" spans="15:15" x14ac:dyDescent="0.25">
      <c r="O539723" s="9"/>
    </row>
    <row r="539744" spans="15:15" x14ac:dyDescent="0.25">
      <c r="O539744" s="9"/>
    </row>
    <row r="539765" spans="15:15" x14ac:dyDescent="0.25">
      <c r="O539765" s="9"/>
    </row>
    <row r="539786" spans="15:15" x14ac:dyDescent="0.25">
      <c r="O539786" s="9"/>
    </row>
    <row r="539807" spans="15:15" x14ac:dyDescent="0.25">
      <c r="O539807" s="9"/>
    </row>
    <row r="539828" spans="15:15" x14ac:dyDescent="0.25">
      <c r="O539828" s="9"/>
    </row>
    <row r="539849" spans="15:15" x14ac:dyDescent="0.25">
      <c r="O539849" s="9"/>
    </row>
    <row r="539870" spans="15:15" x14ac:dyDescent="0.25">
      <c r="O539870" s="9"/>
    </row>
    <row r="539891" spans="15:15" x14ac:dyDescent="0.25">
      <c r="O539891" s="9"/>
    </row>
    <row r="539912" spans="15:15" x14ac:dyDescent="0.25">
      <c r="O539912" s="9"/>
    </row>
    <row r="539933" spans="15:15" x14ac:dyDescent="0.25">
      <c r="O539933" s="9"/>
    </row>
    <row r="539954" spans="15:15" x14ac:dyDescent="0.25">
      <c r="O539954" s="9"/>
    </row>
    <row r="539975" spans="15:15" x14ac:dyDescent="0.25">
      <c r="O539975" s="9"/>
    </row>
    <row r="539996" spans="15:15" x14ac:dyDescent="0.25">
      <c r="O539996" s="9"/>
    </row>
    <row r="540017" spans="15:15" x14ac:dyDescent="0.25">
      <c r="O540017" s="9"/>
    </row>
    <row r="540038" spans="15:15" x14ac:dyDescent="0.25">
      <c r="O540038" s="9"/>
    </row>
    <row r="540059" spans="15:15" x14ac:dyDescent="0.25">
      <c r="O540059" s="9"/>
    </row>
    <row r="540080" spans="15:15" x14ac:dyDescent="0.25">
      <c r="O540080" s="9"/>
    </row>
    <row r="540101" spans="15:15" x14ac:dyDescent="0.25">
      <c r="O540101" s="9"/>
    </row>
    <row r="540122" spans="15:15" x14ac:dyDescent="0.25">
      <c r="O540122" s="9"/>
    </row>
    <row r="540143" spans="15:15" x14ac:dyDescent="0.25">
      <c r="O540143" s="9"/>
    </row>
    <row r="540164" spans="15:15" x14ac:dyDescent="0.25">
      <c r="O540164" s="9"/>
    </row>
    <row r="540185" spans="15:15" x14ac:dyDescent="0.25">
      <c r="O540185" s="9"/>
    </row>
    <row r="540206" spans="15:15" x14ac:dyDescent="0.25">
      <c r="O540206" s="9"/>
    </row>
    <row r="540227" spans="15:15" x14ac:dyDescent="0.25">
      <c r="O540227" s="9"/>
    </row>
    <row r="540248" spans="15:15" x14ac:dyDescent="0.25">
      <c r="O540248" s="9"/>
    </row>
    <row r="540269" spans="15:15" x14ac:dyDescent="0.25">
      <c r="O540269" s="9"/>
    </row>
    <row r="540290" spans="15:15" x14ac:dyDescent="0.25">
      <c r="O540290" s="9"/>
    </row>
    <row r="540311" spans="15:15" x14ac:dyDescent="0.25">
      <c r="O540311" s="9"/>
    </row>
    <row r="540332" spans="15:15" x14ac:dyDescent="0.25">
      <c r="O540332" s="9"/>
    </row>
    <row r="540353" spans="15:15" x14ac:dyDescent="0.25">
      <c r="O540353" s="9"/>
    </row>
    <row r="540374" spans="15:15" x14ac:dyDescent="0.25">
      <c r="O540374" s="9"/>
    </row>
    <row r="540395" spans="15:15" x14ac:dyDescent="0.25">
      <c r="O540395" s="9"/>
    </row>
    <row r="540416" spans="15:15" x14ac:dyDescent="0.25">
      <c r="O540416" s="9"/>
    </row>
    <row r="540437" spans="15:15" x14ac:dyDescent="0.25">
      <c r="O540437" s="9"/>
    </row>
    <row r="540458" spans="15:15" x14ac:dyDescent="0.25">
      <c r="O540458" s="9"/>
    </row>
    <row r="540479" spans="15:15" x14ac:dyDescent="0.25">
      <c r="O540479" s="9"/>
    </row>
    <row r="540500" spans="15:15" x14ac:dyDescent="0.25">
      <c r="O540500" s="9"/>
    </row>
    <row r="540521" spans="15:15" x14ac:dyDescent="0.25">
      <c r="O540521" s="9"/>
    </row>
    <row r="540542" spans="15:15" x14ac:dyDescent="0.25">
      <c r="O540542" s="9"/>
    </row>
    <row r="540563" spans="15:15" x14ac:dyDescent="0.25">
      <c r="O540563" s="9"/>
    </row>
    <row r="540584" spans="15:15" x14ac:dyDescent="0.25">
      <c r="O540584" s="9"/>
    </row>
    <row r="540605" spans="15:15" x14ac:dyDescent="0.25">
      <c r="O540605" s="9"/>
    </row>
    <row r="540626" spans="15:15" x14ac:dyDescent="0.25">
      <c r="O540626" s="9"/>
    </row>
    <row r="540647" spans="15:15" x14ac:dyDescent="0.25">
      <c r="O540647" s="9"/>
    </row>
    <row r="540668" spans="15:15" x14ac:dyDescent="0.25">
      <c r="O540668" s="9"/>
    </row>
    <row r="540689" spans="15:15" x14ac:dyDescent="0.25">
      <c r="O540689" s="9"/>
    </row>
    <row r="540710" spans="15:15" x14ac:dyDescent="0.25">
      <c r="O540710" s="9"/>
    </row>
    <row r="540731" spans="15:15" x14ac:dyDescent="0.25">
      <c r="O540731" s="9"/>
    </row>
    <row r="540752" spans="15:15" x14ac:dyDescent="0.25">
      <c r="O540752" s="9"/>
    </row>
    <row r="540773" spans="15:15" x14ac:dyDescent="0.25">
      <c r="O540773" s="9"/>
    </row>
    <row r="540794" spans="15:15" x14ac:dyDescent="0.25">
      <c r="O540794" s="9"/>
    </row>
    <row r="540815" spans="15:15" x14ac:dyDescent="0.25">
      <c r="O540815" s="9"/>
    </row>
    <row r="540836" spans="15:15" x14ac:dyDescent="0.25">
      <c r="O540836" s="9"/>
    </row>
    <row r="540857" spans="15:15" x14ac:dyDescent="0.25">
      <c r="O540857" s="9"/>
    </row>
    <row r="540878" spans="15:15" x14ac:dyDescent="0.25">
      <c r="O540878" s="9"/>
    </row>
    <row r="540899" spans="15:15" x14ac:dyDescent="0.25">
      <c r="O540899" s="9"/>
    </row>
    <row r="540920" spans="15:15" x14ac:dyDescent="0.25">
      <c r="O540920" s="9"/>
    </row>
    <row r="540941" spans="15:15" x14ac:dyDescent="0.25">
      <c r="O540941" s="9"/>
    </row>
    <row r="540962" spans="15:15" x14ac:dyDescent="0.25">
      <c r="O540962" s="9"/>
    </row>
    <row r="540983" spans="15:15" x14ac:dyDescent="0.25">
      <c r="O540983" s="9"/>
    </row>
    <row r="541004" spans="15:15" x14ac:dyDescent="0.25">
      <c r="O541004" s="9"/>
    </row>
    <row r="541025" spans="15:15" x14ac:dyDescent="0.25">
      <c r="O541025" s="9"/>
    </row>
    <row r="541046" spans="15:15" x14ac:dyDescent="0.25">
      <c r="O541046" s="9"/>
    </row>
    <row r="541067" spans="15:15" x14ac:dyDescent="0.25">
      <c r="O541067" s="9"/>
    </row>
    <row r="541088" spans="15:15" x14ac:dyDescent="0.25">
      <c r="O541088" s="9"/>
    </row>
    <row r="541109" spans="15:15" x14ac:dyDescent="0.25">
      <c r="O541109" s="9"/>
    </row>
    <row r="541130" spans="15:15" x14ac:dyDescent="0.25">
      <c r="O541130" s="9"/>
    </row>
    <row r="541151" spans="15:15" x14ac:dyDescent="0.25">
      <c r="O541151" s="9"/>
    </row>
    <row r="541172" spans="15:15" x14ac:dyDescent="0.25">
      <c r="O541172" s="9"/>
    </row>
    <row r="541193" spans="15:15" x14ac:dyDescent="0.25">
      <c r="O541193" s="9"/>
    </row>
    <row r="541214" spans="15:15" x14ac:dyDescent="0.25">
      <c r="O541214" s="9"/>
    </row>
    <row r="541235" spans="15:15" x14ac:dyDescent="0.25">
      <c r="O541235" s="9"/>
    </row>
    <row r="541256" spans="15:15" x14ac:dyDescent="0.25">
      <c r="O541256" s="9"/>
    </row>
    <row r="541277" spans="15:15" x14ac:dyDescent="0.25">
      <c r="O541277" s="9"/>
    </row>
    <row r="541298" spans="15:15" x14ac:dyDescent="0.25">
      <c r="O541298" s="9"/>
    </row>
    <row r="541319" spans="15:15" x14ac:dyDescent="0.25">
      <c r="O541319" s="9"/>
    </row>
    <row r="541340" spans="15:15" x14ac:dyDescent="0.25">
      <c r="O541340" s="9"/>
    </row>
    <row r="541361" spans="15:15" x14ac:dyDescent="0.25">
      <c r="O541361" s="9"/>
    </row>
    <row r="541382" spans="15:15" x14ac:dyDescent="0.25">
      <c r="O541382" s="9"/>
    </row>
    <row r="541403" spans="15:15" x14ac:dyDescent="0.25">
      <c r="O541403" s="9"/>
    </row>
    <row r="541424" spans="15:15" x14ac:dyDescent="0.25">
      <c r="O541424" s="9"/>
    </row>
    <row r="541445" spans="15:15" x14ac:dyDescent="0.25">
      <c r="O541445" s="9"/>
    </row>
    <row r="541466" spans="15:15" x14ac:dyDescent="0.25">
      <c r="O541466" s="9"/>
    </row>
    <row r="541487" spans="15:15" x14ac:dyDescent="0.25">
      <c r="O541487" s="9"/>
    </row>
    <row r="541508" spans="15:15" x14ac:dyDescent="0.25">
      <c r="O541508" s="9"/>
    </row>
    <row r="541529" spans="15:15" x14ac:dyDescent="0.25">
      <c r="O541529" s="9"/>
    </row>
    <row r="541550" spans="15:15" x14ac:dyDescent="0.25">
      <c r="O541550" s="9"/>
    </row>
    <row r="541571" spans="15:15" x14ac:dyDescent="0.25">
      <c r="O541571" s="9"/>
    </row>
    <row r="541592" spans="15:15" x14ac:dyDescent="0.25">
      <c r="O541592" s="9"/>
    </row>
    <row r="541613" spans="15:15" x14ac:dyDescent="0.25">
      <c r="O541613" s="9"/>
    </row>
    <row r="541634" spans="15:15" x14ac:dyDescent="0.25">
      <c r="O541634" s="9"/>
    </row>
    <row r="541655" spans="15:15" x14ac:dyDescent="0.25">
      <c r="O541655" s="9"/>
    </row>
    <row r="541676" spans="15:15" x14ac:dyDescent="0.25">
      <c r="O541676" s="9"/>
    </row>
    <row r="541697" spans="15:15" x14ac:dyDescent="0.25">
      <c r="O541697" s="9"/>
    </row>
    <row r="541718" spans="15:15" x14ac:dyDescent="0.25">
      <c r="O541718" s="9"/>
    </row>
    <row r="541739" spans="15:15" x14ac:dyDescent="0.25">
      <c r="O541739" s="9"/>
    </row>
    <row r="541760" spans="15:15" x14ac:dyDescent="0.25">
      <c r="O541760" s="9"/>
    </row>
    <row r="541781" spans="15:15" x14ac:dyDescent="0.25">
      <c r="O541781" s="9"/>
    </row>
    <row r="541802" spans="15:15" x14ac:dyDescent="0.25">
      <c r="O541802" s="9"/>
    </row>
    <row r="541823" spans="15:15" x14ac:dyDescent="0.25">
      <c r="O541823" s="9"/>
    </row>
    <row r="541844" spans="15:15" x14ac:dyDescent="0.25">
      <c r="O541844" s="9"/>
    </row>
    <row r="541865" spans="15:15" x14ac:dyDescent="0.25">
      <c r="O541865" s="9"/>
    </row>
    <row r="541886" spans="15:15" x14ac:dyDescent="0.25">
      <c r="O541886" s="9"/>
    </row>
    <row r="541907" spans="15:15" x14ac:dyDescent="0.25">
      <c r="O541907" s="9"/>
    </row>
    <row r="541928" spans="15:15" x14ac:dyDescent="0.25">
      <c r="O541928" s="9"/>
    </row>
    <row r="541949" spans="15:15" x14ac:dyDescent="0.25">
      <c r="O541949" s="9"/>
    </row>
    <row r="541970" spans="15:15" x14ac:dyDescent="0.25">
      <c r="O541970" s="9"/>
    </row>
    <row r="541991" spans="15:15" x14ac:dyDescent="0.25">
      <c r="O541991" s="9"/>
    </row>
    <row r="542012" spans="15:15" x14ac:dyDescent="0.25">
      <c r="O542012" s="9"/>
    </row>
    <row r="542033" spans="15:15" x14ac:dyDescent="0.25">
      <c r="O542033" s="9"/>
    </row>
    <row r="542054" spans="15:15" x14ac:dyDescent="0.25">
      <c r="O542054" s="9"/>
    </row>
    <row r="542075" spans="15:15" x14ac:dyDescent="0.25">
      <c r="O542075" s="9"/>
    </row>
    <row r="542096" spans="15:15" x14ac:dyDescent="0.25">
      <c r="O542096" s="9"/>
    </row>
    <row r="542117" spans="15:15" x14ac:dyDescent="0.25">
      <c r="O542117" s="9"/>
    </row>
    <row r="542138" spans="15:15" x14ac:dyDescent="0.25">
      <c r="O542138" s="9"/>
    </row>
    <row r="542159" spans="15:15" x14ac:dyDescent="0.25">
      <c r="O542159" s="9"/>
    </row>
    <row r="542180" spans="15:15" x14ac:dyDescent="0.25">
      <c r="O542180" s="9"/>
    </row>
    <row r="542201" spans="15:15" x14ac:dyDescent="0.25">
      <c r="O542201" s="9"/>
    </row>
    <row r="542222" spans="15:15" x14ac:dyDescent="0.25">
      <c r="O542222" s="9"/>
    </row>
    <row r="542243" spans="15:15" x14ac:dyDescent="0.25">
      <c r="O542243" s="9"/>
    </row>
    <row r="542264" spans="15:15" x14ac:dyDescent="0.25">
      <c r="O542264" s="9"/>
    </row>
    <row r="542285" spans="15:15" x14ac:dyDescent="0.25">
      <c r="O542285" s="9"/>
    </row>
    <row r="542306" spans="15:15" x14ac:dyDescent="0.25">
      <c r="O542306" s="9"/>
    </row>
    <row r="542327" spans="15:15" x14ac:dyDescent="0.25">
      <c r="O542327" s="9"/>
    </row>
    <row r="542348" spans="15:15" x14ac:dyDescent="0.25">
      <c r="O542348" s="9"/>
    </row>
    <row r="542369" spans="15:15" x14ac:dyDescent="0.25">
      <c r="O542369" s="9"/>
    </row>
    <row r="542390" spans="15:15" x14ac:dyDescent="0.25">
      <c r="O542390" s="9"/>
    </row>
    <row r="542411" spans="15:15" x14ac:dyDescent="0.25">
      <c r="O542411" s="9"/>
    </row>
    <row r="542432" spans="15:15" x14ac:dyDescent="0.25">
      <c r="O542432" s="9"/>
    </row>
    <row r="542453" spans="15:15" x14ac:dyDescent="0.25">
      <c r="O542453" s="9"/>
    </row>
    <row r="542474" spans="15:15" x14ac:dyDescent="0.25">
      <c r="O542474" s="9"/>
    </row>
    <row r="542495" spans="15:15" x14ac:dyDescent="0.25">
      <c r="O542495" s="9"/>
    </row>
    <row r="542516" spans="15:15" x14ac:dyDescent="0.25">
      <c r="O542516" s="9"/>
    </row>
    <row r="542537" spans="15:15" x14ac:dyDescent="0.25">
      <c r="O542537" s="9"/>
    </row>
    <row r="542558" spans="15:15" x14ac:dyDescent="0.25">
      <c r="O542558" s="9"/>
    </row>
    <row r="542579" spans="15:15" x14ac:dyDescent="0.25">
      <c r="O542579" s="9"/>
    </row>
    <row r="542600" spans="15:15" x14ac:dyDescent="0.25">
      <c r="O542600" s="9"/>
    </row>
    <row r="542621" spans="15:15" x14ac:dyDescent="0.25">
      <c r="O542621" s="9"/>
    </row>
    <row r="542642" spans="15:15" x14ac:dyDescent="0.25">
      <c r="O542642" s="9"/>
    </row>
    <row r="542663" spans="15:15" x14ac:dyDescent="0.25">
      <c r="O542663" s="9"/>
    </row>
    <row r="542684" spans="15:15" x14ac:dyDescent="0.25">
      <c r="O542684" s="9"/>
    </row>
    <row r="542705" spans="15:15" x14ac:dyDescent="0.25">
      <c r="O542705" s="9"/>
    </row>
    <row r="542726" spans="15:15" x14ac:dyDescent="0.25">
      <c r="O542726" s="9"/>
    </row>
    <row r="542747" spans="15:15" x14ac:dyDescent="0.25">
      <c r="O542747" s="9"/>
    </row>
    <row r="542768" spans="15:15" x14ac:dyDescent="0.25">
      <c r="O542768" s="9"/>
    </row>
    <row r="542789" spans="15:15" x14ac:dyDescent="0.25">
      <c r="O542789" s="9"/>
    </row>
    <row r="542810" spans="15:15" x14ac:dyDescent="0.25">
      <c r="O542810" s="9"/>
    </row>
    <row r="542831" spans="15:15" x14ac:dyDescent="0.25">
      <c r="O542831" s="9"/>
    </row>
    <row r="542852" spans="15:15" x14ac:dyDescent="0.25">
      <c r="O542852" s="9"/>
    </row>
    <row r="542873" spans="15:15" x14ac:dyDescent="0.25">
      <c r="O542873" s="9"/>
    </row>
    <row r="542894" spans="15:15" x14ac:dyDescent="0.25">
      <c r="O542894" s="9"/>
    </row>
    <row r="542915" spans="15:15" x14ac:dyDescent="0.25">
      <c r="O542915" s="9"/>
    </row>
    <row r="542936" spans="15:15" x14ac:dyDescent="0.25">
      <c r="O542936" s="9"/>
    </row>
    <row r="542957" spans="15:15" x14ac:dyDescent="0.25">
      <c r="O542957" s="9"/>
    </row>
    <row r="542978" spans="15:15" x14ac:dyDescent="0.25">
      <c r="O542978" s="9"/>
    </row>
    <row r="542999" spans="15:15" x14ac:dyDescent="0.25">
      <c r="O542999" s="9"/>
    </row>
    <row r="543020" spans="15:15" x14ac:dyDescent="0.25">
      <c r="O543020" s="9"/>
    </row>
    <row r="543041" spans="15:15" x14ac:dyDescent="0.25">
      <c r="O543041" s="9"/>
    </row>
    <row r="543062" spans="15:15" x14ac:dyDescent="0.25">
      <c r="O543062" s="9"/>
    </row>
    <row r="543083" spans="15:15" x14ac:dyDescent="0.25">
      <c r="O543083" s="9"/>
    </row>
    <row r="543104" spans="15:15" x14ac:dyDescent="0.25">
      <c r="O543104" s="9"/>
    </row>
    <row r="543125" spans="15:15" x14ac:dyDescent="0.25">
      <c r="O543125" s="9"/>
    </row>
    <row r="543146" spans="15:15" x14ac:dyDescent="0.25">
      <c r="O543146" s="9"/>
    </row>
    <row r="543167" spans="15:15" x14ac:dyDescent="0.25">
      <c r="O543167" s="9"/>
    </row>
    <row r="543188" spans="15:15" x14ac:dyDescent="0.25">
      <c r="O543188" s="9"/>
    </row>
    <row r="543209" spans="15:15" x14ac:dyDescent="0.25">
      <c r="O543209" s="9"/>
    </row>
    <row r="543230" spans="15:15" x14ac:dyDescent="0.25">
      <c r="O543230" s="9"/>
    </row>
    <row r="543251" spans="15:15" x14ac:dyDescent="0.25">
      <c r="O543251" s="9"/>
    </row>
    <row r="543272" spans="15:15" x14ac:dyDescent="0.25">
      <c r="O543272" s="9"/>
    </row>
    <row r="543293" spans="15:15" x14ac:dyDescent="0.25">
      <c r="O543293" s="9"/>
    </row>
    <row r="543314" spans="15:15" x14ac:dyDescent="0.25">
      <c r="O543314" s="9"/>
    </row>
    <row r="543335" spans="15:15" x14ac:dyDescent="0.25">
      <c r="O543335" s="9"/>
    </row>
    <row r="543356" spans="15:15" x14ac:dyDescent="0.25">
      <c r="O543356" s="9"/>
    </row>
    <row r="543377" spans="15:15" x14ac:dyDescent="0.25">
      <c r="O543377" s="9"/>
    </row>
    <row r="543398" spans="15:15" x14ac:dyDescent="0.25">
      <c r="O543398" s="9"/>
    </row>
    <row r="543419" spans="15:15" x14ac:dyDescent="0.25">
      <c r="O543419" s="9"/>
    </row>
    <row r="543440" spans="15:15" x14ac:dyDescent="0.25">
      <c r="O543440" s="9"/>
    </row>
    <row r="543461" spans="15:15" x14ac:dyDescent="0.25">
      <c r="O543461" s="9"/>
    </row>
    <row r="543482" spans="15:15" x14ac:dyDescent="0.25">
      <c r="O543482" s="9"/>
    </row>
    <row r="543503" spans="15:15" x14ac:dyDescent="0.25">
      <c r="O543503" s="9"/>
    </row>
    <row r="543524" spans="15:15" x14ac:dyDescent="0.25">
      <c r="O543524" s="9"/>
    </row>
    <row r="543545" spans="15:15" x14ac:dyDescent="0.25">
      <c r="O543545" s="9"/>
    </row>
    <row r="543566" spans="15:15" x14ac:dyDescent="0.25">
      <c r="O543566" s="9"/>
    </row>
    <row r="543587" spans="15:15" x14ac:dyDescent="0.25">
      <c r="O543587" s="9"/>
    </row>
    <row r="543608" spans="15:15" x14ac:dyDescent="0.25">
      <c r="O543608" s="9"/>
    </row>
    <row r="543629" spans="15:15" x14ac:dyDescent="0.25">
      <c r="O543629" s="9"/>
    </row>
    <row r="543650" spans="15:15" x14ac:dyDescent="0.25">
      <c r="O543650" s="9"/>
    </row>
    <row r="543671" spans="15:15" x14ac:dyDescent="0.25">
      <c r="O543671" s="9"/>
    </row>
    <row r="543692" spans="15:15" x14ac:dyDescent="0.25">
      <c r="O543692" s="9"/>
    </row>
    <row r="543713" spans="15:15" x14ac:dyDescent="0.25">
      <c r="O543713" s="9"/>
    </row>
    <row r="543734" spans="15:15" x14ac:dyDescent="0.25">
      <c r="O543734" s="9"/>
    </row>
    <row r="543755" spans="15:15" x14ac:dyDescent="0.25">
      <c r="O543755" s="9"/>
    </row>
    <row r="543776" spans="15:15" x14ac:dyDescent="0.25">
      <c r="O543776" s="9"/>
    </row>
    <row r="543797" spans="15:15" x14ac:dyDescent="0.25">
      <c r="O543797" s="9"/>
    </row>
    <row r="543818" spans="15:15" x14ac:dyDescent="0.25">
      <c r="O543818" s="9"/>
    </row>
    <row r="543839" spans="15:15" x14ac:dyDescent="0.25">
      <c r="O543839" s="9"/>
    </row>
    <row r="543860" spans="15:15" x14ac:dyDescent="0.25">
      <c r="O543860" s="9"/>
    </row>
    <row r="543881" spans="15:15" x14ac:dyDescent="0.25">
      <c r="O543881" s="9"/>
    </row>
    <row r="543902" spans="15:15" x14ac:dyDescent="0.25">
      <c r="O543902" s="9"/>
    </row>
    <row r="543923" spans="15:15" x14ac:dyDescent="0.25">
      <c r="O543923" s="9"/>
    </row>
    <row r="543944" spans="15:15" x14ac:dyDescent="0.25">
      <c r="O543944" s="9"/>
    </row>
    <row r="543965" spans="15:15" x14ac:dyDescent="0.25">
      <c r="O543965" s="9"/>
    </row>
    <row r="543986" spans="15:15" x14ac:dyDescent="0.25">
      <c r="O543986" s="9"/>
    </row>
    <row r="544007" spans="15:15" x14ac:dyDescent="0.25">
      <c r="O544007" s="9"/>
    </row>
    <row r="544028" spans="15:15" x14ac:dyDescent="0.25">
      <c r="O544028" s="9"/>
    </row>
    <row r="544049" spans="15:15" x14ac:dyDescent="0.25">
      <c r="O544049" s="9"/>
    </row>
    <row r="544070" spans="15:15" x14ac:dyDescent="0.25">
      <c r="O544070" s="9"/>
    </row>
    <row r="544091" spans="15:15" x14ac:dyDescent="0.25">
      <c r="O544091" s="9"/>
    </row>
    <row r="544112" spans="15:15" x14ac:dyDescent="0.25">
      <c r="O544112" s="9"/>
    </row>
    <row r="544133" spans="15:15" x14ac:dyDescent="0.25">
      <c r="O544133" s="9"/>
    </row>
    <row r="544154" spans="15:15" x14ac:dyDescent="0.25">
      <c r="O544154" s="9"/>
    </row>
    <row r="544175" spans="15:15" x14ac:dyDescent="0.25">
      <c r="O544175" s="9"/>
    </row>
    <row r="544196" spans="15:15" x14ac:dyDescent="0.25">
      <c r="O544196" s="9"/>
    </row>
    <row r="544217" spans="15:15" x14ac:dyDescent="0.25">
      <c r="O544217" s="9"/>
    </row>
    <row r="544238" spans="15:15" x14ac:dyDescent="0.25">
      <c r="O544238" s="9"/>
    </row>
    <row r="544259" spans="15:15" x14ac:dyDescent="0.25">
      <c r="O544259" s="9"/>
    </row>
    <row r="544280" spans="15:15" x14ac:dyDescent="0.25">
      <c r="O544280" s="9"/>
    </row>
    <row r="544301" spans="15:15" x14ac:dyDescent="0.25">
      <c r="O544301" s="9"/>
    </row>
    <row r="544322" spans="15:15" x14ac:dyDescent="0.25">
      <c r="O544322" s="9"/>
    </row>
    <row r="544343" spans="15:15" x14ac:dyDescent="0.25">
      <c r="O544343" s="9"/>
    </row>
    <row r="544364" spans="15:15" x14ac:dyDescent="0.25">
      <c r="O544364" s="9"/>
    </row>
    <row r="544385" spans="15:15" x14ac:dyDescent="0.25">
      <c r="O544385" s="9"/>
    </row>
    <row r="544406" spans="15:15" x14ac:dyDescent="0.25">
      <c r="O544406" s="9"/>
    </row>
    <row r="544427" spans="15:15" x14ac:dyDescent="0.25">
      <c r="O544427" s="9"/>
    </row>
    <row r="544448" spans="15:15" x14ac:dyDescent="0.25">
      <c r="O544448" s="9"/>
    </row>
    <row r="544469" spans="15:15" x14ac:dyDescent="0.25">
      <c r="O544469" s="9"/>
    </row>
    <row r="544490" spans="15:15" x14ac:dyDescent="0.25">
      <c r="O544490" s="9"/>
    </row>
    <row r="544511" spans="15:15" x14ac:dyDescent="0.25">
      <c r="O544511" s="9"/>
    </row>
    <row r="544532" spans="15:15" x14ac:dyDescent="0.25">
      <c r="O544532" s="9"/>
    </row>
    <row r="544553" spans="15:15" x14ac:dyDescent="0.25">
      <c r="O544553" s="9"/>
    </row>
    <row r="544574" spans="15:15" x14ac:dyDescent="0.25">
      <c r="O544574" s="9"/>
    </row>
    <row r="544595" spans="15:15" x14ac:dyDescent="0.25">
      <c r="O544595" s="9"/>
    </row>
    <row r="544616" spans="15:15" x14ac:dyDescent="0.25">
      <c r="O544616" s="9"/>
    </row>
    <row r="544637" spans="15:15" x14ac:dyDescent="0.25">
      <c r="O544637" s="9"/>
    </row>
    <row r="544658" spans="15:15" x14ac:dyDescent="0.25">
      <c r="O544658" s="9"/>
    </row>
    <row r="544679" spans="15:15" x14ac:dyDescent="0.25">
      <c r="O544679" s="9"/>
    </row>
    <row r="544700" spans="15:15" x14ac:dyDescent="0.25">
      <c r="O544700" s="9"/>
    </row>
    <row r="544721" spans="15:15" x14ac:dyDescent="0.25">
      <c r="O544721" s="9"/>
    </row>
    <row r="544742" spans="15:15" x14ac:dyDescent="0.25">
      <c r="O544742" s="9"/>
    </row>
    <row r="544763" spans="15:15" x14ac:dyDescent="0.25">
      <c r="O544763" s="9"/>
    </row>
    <row r="544784" spans="15:15" x14ac:dyDescent="0.25">
      <c r="O544784" s="9"/>
    </row>
    <row r="544805" spans="15:15" x14ac:dyDescent="0.25">
      <c r="O544805" s="9"/>
    </row>
    <row r="544826" spans="15:15" x14ac:dyDescent="0.25">
      <c r="O544826" s="9"/>
    </row>
    <row r="544847" spans="15:15" x14ac:dyDescent="0.25">
      <c r="O544847" s="9"/>
    </row>
    <row r="544868" spans="15:15" x14ac:dyDescent="0.25">
      <c r="O544868" s="9"/>
    </row>
    <row r="544889" spans="15:15" x14ac:dyDescent="0.25">
      <c r="O544889" s="9"/>
    </row>
    <row r="544910" spans="15:15" x14ac:dyDescent="0.25">
      <c r="O544910" s="9"/>
    </row>
    <row r="544931" spans="15:15" x14ac:dyDescent="0.25">
      <c r="O544931" s="9"/>
    </row>
    <row r="544952" spans="15:15" x14ac:dyDescent="0.25">
      <c r="O544952" s="9"/>
    </row>
    <row r="544973" spans="15:15" x14ac:dyDescent="0.25">
      <c r="O544973" s="9"/>
    </row>
    <row r="544994" spans="15:15" x14ac:dyDescent="0.25">
      <c r="O544994" s="9"/>
    </row>
    <row r="545015" spans="15:15" x14ac:dyDescent="0.25">
      <c r="O545015" s="9"/>
    </row>
    <row r="545036" spans="15:15" x14ac:dyDescent="0.25">
      <c r="O545036" s="9"/>
    </row>
    <row r="545057" spans="15:15" x14ac:dyDescent="0.25">
      <c r="O545057" s="9"/>
    </row>
    <row r="545078" spans="15:15" x14ac:dyDescent="0.25">
      <c r="O545078" s="9"/>
    </row>
    <row r="545099" spans="15:15" x14ac:dyDescent="0.25">
      <c r="O545099" s="9"/>
    </row>
    <row r="545120" spans="15:15" x14ac:dyDescent="0.25">
      <c r="O545120" s="9"/>
    </row>
    <row r="545141" spans="15:15" x14ac:dyDescent="0.25">
      <c r="O545141" s="9"/>
    </row>
    <row r="545162" spans="15:15" x14ac:dyDescent="0.25">
      <c r="O545162" s="9"/>
    </row>
    <row r="545183" spans="15:15" x14ac:dyDescent="0.25">
      <c r="O545183" s="9"/>
    </row>
    <row r="545204" spans="15:15" x14ac:dyDescent="0.25">
      <c r="O545204" s="9"/>
    </row>
    <row r="545225" spans="15:15" x14ac:dyDescent="0.25">
      <c r="O545225" s="9"/>
    </row>
    <row r="545246" spans="15:15" x14ac:dyDescent="0.25">
      <c r="O545246" s="9"/>
    </row>
    <row r="545267" spans="15:15" x14ac:dyDescent="0.25">
      <c r="O545267" s="9"/>
    </row>
    <row r="545288" spans="15:15" x14ac:dyDescent="0.25">
      <c r="O545288" s="9"/>
    </row>
    <row r="545309" spans="15:15" x14ac:dyDescent="0.25">
      <c r="O545309" s="9"/>
    </row>
    <row r="545330" spans="15:15" x14ac:dyDescent="0.25">
      <c r="O545330" s="9"/>
    </row>
    <row r="545351" spans="15:15" x14ac:dyDescent="0.25">
      <c r="O545351" s="9"/>
    </row>
    <row r="545372" spans="15:15" x14ac:dyDescent="0.25">
      <c r="O545372" s="9"/>
    </row>
    <row r="545393" spans="15:15" x14ac:dyDescent="0.25">
      <c r="O545393" s="9"/>
    </row>
    <row r="545414" spans="15:15" x14ac:dyDescent="0.25">
      <c r="O545414" s="9"/>
    </row>
    <row r="545435" spans="15:15" x14ac:dyDescent="0.25">
      <c r="O545435" s="9"/>
    </row>
    <row r="545456" spans="15:15" x14ac:dyDescent="0.25">
      <c r="O545456" s="9"/>
    </row>
    <row r="545477" spans="15:15" x14ac:dyDescent="0.25">
      <c r="O545477" s="9"/>
    </row>
    <row r="545498" spans="15:15" x14ac:dyDescent="0.25">
      <c r="O545498" s="9"/>
    </row>
    <row r="545519" spans="15:15" x14ac:dyDescent="0.25">
      <c r="O545519" s="9"/>
    </row>
    <row r="545540" spans="15:15" x14ac:dyDescent="0.25">
      <c r="O545540" s="9"/>
    </row>
    <row r="545561" spans="15:15" x14ac:dyDescent="0.25">
      <c r="O545561" s="9"/>
    </row>
    <row r="545582" spans="15:15" x14ac:dyDescent="0.25">
      <c r="O545582" s="9"/>
    </row>
    <row r="545603" spans="15:15" x14ac:dyDescent="0.25">
      <c r="O545603" s="9"/>
    </row>
    <row r="545624" spans="15:15" x14ac:dyDescent="0.25">
      <c r="O545624" s="9"/>
    </row>
    <row r="545645" spans="15:15" x14ac:dyDescent="0.25">
      <c r="O545645" s="9"/>
    </row>
    <row r="545666" spans="15:15" x14ac:dyDescent="0.25">
      <c r="O545666" s="9"/>
    </row>
    <row r="545687" spans="15:15" x14ac:dyDescent="0.25">
      <c r="O545687" s="9"/>
    </row>
    <row r="545708" spans="15:15" x14ac:dyDescent="0.25">
      <c r="O545708" s="9"/>
    </row>
    <row r="545729" spans="15:15" x14ac:dyDescent="0.25">
      <c r="O545729" s="9"/>
    </row>
    <row r="545750" spans="15:15" x14ac:dyDescent="0.25">
      <c r="O545750" s="9"/>
    </row>
    <row r="545771" spans="15:15" x14ac:dyDescent="0.25">
      <c r="O545771" s="9"/>
    </row>
    <row r="545792" spans="15:15" x14ac:dyDescent="0.25">
      <c r="O545792" s="9"/>
    </row>
    <row r="545813" spans="15:15" x14ac:dyDescent="0.25">
      <c r="O545813" s="9"/>
    </row>
    <row r="545834" spans="15:15" x14ac:dyDescent="0.25">
      <c r="O545834" s="9"/>
    </row>
    <row r="545855" spans="15:15" x14ac:dyDescent="0.25">
      <c r="O545855" s="9"/>
    </row>
    <row r="545876" spans="15:15" x14ac:dyDescent="0.25">
      <c r="O545876" s="9"/>
    </row>
    <row r="545897" spans="15:15" x14ac:dyDescent="0.25">
      <c r="O545897" s="9"/>
    </row>
    <row r="545918" spans="15:15" x14ac:dyDescent="0.25">
      <c r="O545918" s="9"/>
    </row>
    <row r="545939" spans="15:15" x14ac:dyDescent="0.25">
      <c r="O545939" s="9"/>
    </row>
    <row r="545960" spans="15:15" x14ac:dyDescent="0.25">
      <c r="O545960" s="9"/>
    </row>
    <row r="545981" spans="15:15" x14ac:dyDescent="0.25">
      <c r="O545981" s="9"/>
    </row>
    <row r="546002" spans="15:15" x14ac:dyDescent="0.25">
      <c r="O546002" s="9"/>
    </row>
    <row r="546023" spans="15:15" x14ac:dyDescent="0.25">
      <c r="O546023" s="9"/>
    </row>
    <row r="546044" spans="15:15" x14ac:dyDescent="0.25">
      <c r="O546044" s="9"/>
    </row>
    <row r="546065" spans="15:15" x14ac:dyDescent="0.25">
      <c r="O546065" s="9"/>
    </row>
    <row r="546086" spans="15:15" x14ac:dyDescent="0.25">
      <c r="O546086" s="9"/>
    </row>
    <row r="546107" spans="15:15" x14ac:dyDescent="0.25">
      <c r="O546107" s="9"/>
    </row>
    <row r="546128" spans="15:15" x14ac:dyDescent="0.25">
      <c r="O546128" s="9"/>
    </row>
    <row r="546149" spans="15:15" x14ac:dyDescent="0.25">
      <c r="O546149" s="9"/>
    </row>
    <row r="546170" spans="15:15" x14ac:dyDescent="0.25">
      <c r="O546170" s="9"/>
    </row>
    <row r="546191" spans="15:15" x14ac:dyDescent="0.25">
      <c r="O546191" s="9"/>
    </row>
    <row r="546212" spans="15:15" x14ac:dyDescent="0.25">
      <c r="O546212" s="9"/>
    </row>
    <row r="546233" spans="15:15" x14ac:dyDescent="0.25">
      <c r="O546233" s="9"/>
    </row>
    <row r="546254" spans="15:15" x14ac:dyDescent="0.25">
      <c r="O546254" s="9"/>
    </row>
    <row r="546275" spans="15:15" x14ac:dyDescent="0.25">
      <c r="O546275" s="9"/>
    </row>
    <row r="546296" spans="15:15" x14ac:dyDescent="0.25">
      <c r="O546296" s="9"/>
    </row>
    <row r="546317" spans="15:15" x14ac:dyDescent="0.25">
      <c r="O546317" s="9"/>
    </row>
    <row r="546338" spans="15:15" x14ac:dyDescent="0.25">
      <c r="O546338" s="9"/>
    </row>
    <row r="546359" spans="15:15" x14ac:dyDescent="0.25">
      <c r="O546359" s="9"/>
    </row>
    <row r="546380" spans="15:15" x14ac:dyDescent="0.25">
      <c r="O546380" s="9"/>
    </row>
    <row r="546401" spans="15:15" x14ac:dyDescent="0.25">
      <c r="O546401" s="9"/>
    </row>
    <row r="546422" spans="15:15" x14ac:dyDescent="0.25">
      <c r="O546422" s="9"/>
    </row>
    <row r="546443" spans="15:15" x14ac:dyDescent="0.25">
      <c r="O546443" s="9"/>
    </row>
    <row r="546464" spans="15:15" x14ac:dyDescent="0.25">
      <c r="O546464" s="9"/>
    </row>
    <row r="546485" spans="15:15" x14ac:dyDescent="0.25">
      <c r="O546485" s="9"/>
    </row>
    <row r="546506" spans="15:15" x14ac:dyDescent="0.25">
      <c r="O546506" s="9"/>
    </row>
    <row r="546527" spans="15:15" x14ac:dyDescent="0.25">
      <c r="O546527" s="9"/>
    </row>
    <row r="546548" spans="15:15" x14ac:dyDescent="0.25">
      <c r="O546548" s="9"/>
    </row>
    <row r="546569" spans="15:15" x14ac:dyDescent="0.25">
      <c r="O546569" s="9"/>
    </row>
    <row r="546590" spans="15:15" x14ac:dyDescent="0.25">
      <c r="O546590" s="9"/>
    </row>
    <row r="546611" spans="15:15" x14ac:dyDescent="0.25">
      <c r="O546611" s="9"/>
    </row>
    <row r="546632" spans="15:15" x14ac:dyDescent="0.25">
      <c r="O546632" s="9"/>
    </row>
    <row r="546653" spans="15:15" x14ac:dyDescent="0.25">
      <c r="O546653" s="9"/>
    </row>
    <row r="546674" spans="15:15" x14ac:dyDescent="0.25">
      <c r="O546674" s="9"/>
    </row>
    <row r="546695" spans="15:15" x14ac:dyDescent="0.25">
      <c r="O546695" s="9"/>
    </row>
    <row r="546716" spans="15:15" x14ac:dyDescent="0.25">
      <c r="O546716" s="9"/>
    </row>
    <row r="546737" spans="15:15" x14ac:dyDescent="0.25">
      <c r="O546737" s="9"/>
    </row>
    <row r="546758" spans="15:15" x14ac:dyDescent="0.25">
      <c r="O546758" s="9"/>
    </row>
    <row r="546779" spans="15:15" x14ac:dyDescent="0.25">
      <c r="O546779" s="9"/>
    </row>
    <row r="546800" spans="15:15" x14ac:dyDescent="0.25">
      <c r="O546800" s="9"/>
    </row>
    <row r="546821" spans="15:15" x14ac:dyDescent="0.25">
      <c r="O546821" s="9"/>
    </row>
    <row r="546842" spans="15:15" x14ac:dyDescent="0.25">
      <c r="O546842" s="9"/>
    </row>
    <row r="546863" spans="15:15" x14ac:dyDescent="0.25">
      <c r="O546863" s="9"/>
    </row>
    <row r="546884" spans="15:15" x14ac:dyDescent="0.25">
      <c r="O546884" s="9"/>
    </row>
    <row r="546905" spans="15:15" x14ac:dyDescent="0.25">
      <c r="O546905" s="9"/>
    </row>
    <row r="546926" spans="15:15" x14ac:dyDescent="0.25">
      <c r="O546926" s="9"/>
    </row>
    <row r="546947" spans="15:15" x14ac:dyDescent="0.25">
      <c r="O546947" s="9"/>
    </row>
    <row r="546968" spans="15:15" x14ac:dyDescent="0.25">
      <c r="O546968" s="9"/>
    </row>
    <row r="546989" spans="15:15" x14ac:dyDescent="0.25">
      <c r="O546989" s="9"/>
    </row>
    <row r="547010" spans="15:15" x14ac:dyDescent="0.25">
      <c r="O547010" s="9"/>
    </row>
    <row r="547031" spans="15:15" x14ac:dyDescent="0.25">
      <c r="O547031" s="9"/>
    </row>
    <row r="547052" spans="15:15" x14ac:dyDescent="0.25">
      <c r="O547052" s="9"/>
    </row>
    <row r="547073" spans="15:15" x14ac:dyDescent="0.25">
      <c r="O547073" s="9"/>
    </row>
    <row r="547094" spans="15:15" x14ac:dyDescent="0.25">
      <c r="O547094" s="9"/>
    </row>
    <row r="547115" spans="15:15" x14ac:dyDescent="0.25">
      <c r="O547115" s="9"/>
    </row>
    <row r="547136" spans="15:15" x14ac:dyDescent="0.25">
      <c r="O547136" s="9"/>
    </row>
    <row r="547157" spans="15:15" x14ac:dyDescent="0.25">
      <c r="O547157" s="9"/>
    </row>
    <row r="547178" spans="15:15" x14ac:dyDescent="0.25">
      <c r="O547178" s="9"/>
    </row>
    <row r="547199" spans="15:15" x14ac:dyDescent="0.25">
      <c r="O547199" s="9"/>
    </row>
    <row r="547220" spans="15:15" x14ac:dyDescent="0.25">
      <c r="O547220" s="9"/>
    </row>
    <row r="547241" spans="15:15" x14ac:dyDescent="0.25">
      <c r="O547241" s="9"/>
    </row>
    <row r="547262" spans="15:15" x14ac:dyDescent="0.25">
      <c r="O547262" s="9"/>
    </row>
    <row r="547283" spans="15:15" x14ac:dyDescent="0.25">
      <c r="O547283" s="9"/>
    </row>
    <row r="547304" spans="15:15" x14ac:dyDescent="0.25">
      <c r="O547304" s="9"/>
    </row>
    <row r="547325" spans="15:15" x14ac:dyDescent="0.25">
      <c r="O547325" s="9"/>
    </row>
    <row r="547346" spans="15:15" x14ac:dyDescent="0.25">
      <c r="O547346" s="9"/>
    </row>
    <row r="547367" spans="15:15" x14ac:dyDescent="0.25">
      <c r="O547367" s="9"/>
    </row>
    <row r="547388" spans="15:15" x14ac:dyDescent="0.25">
      <c r="O547388" s="9"/>
    </row>
    <row r="547409" spans="15:15" x14ac:dyDescent="0.25">
      <c r="O547409" s="9"/>
    </row>
    <row r="547430" spans="15:15" x14ac:dyDescent="0.25">
      <c r="O547430" s="9"/>
    </row>
    <row r="547451" spans="15:15" x14ac:dyDescent="0.25">
      <c r="O547451" s="9"/>
    </row>
    <row r="547472" spans="15:15" x14ac:dyDescent="0.25">
      <c r="O547472" s="9"/>
    </row>
    <row r="547493" spans="15:15" x14ac:dyDescent="0.25">
      <c r="O547493" s="9"/>
    </row>
    <row r="547514" spans="15:15" x14ac:dyDescent="0.25">
      <c r="O547514" s="9"/>
    </row>
    <row r="547535" spans="15:15" x14ac:dyDescent="0.25">
      <c r="O547535" s="9"/>
    </row>
    <row r="547556" spans="15:15" x14ac:dyDescent="0.25">
      <c r="O547556" s="9"/>
    </row>
    <row r="547577" spans="15:15" x14ac:dyDescent="0.25">
      <c r="O547577" s="9"/>
    </row>
    <row r="547598" spans="15:15" x14ac:dyDescent="0.25">
      <c r="O547598" s="9"/>
    </row>
    <row r="547619" spans="15:15" x14ac:dyDescent="0.25">
      <c r="O547619" s="9"/>
    </row>
    <row r="547640" spans="15:15" x14ac:dyDescent="0.25">
      <c r="O547640" s="9"/>
    </row>
    <row r="547661" spans="15:15" x14ac:dyDescent="0.25">
      <c r="O547661" s="9"/>
    </row>
    <row r="547682" spans="15:15" x14ac:dyDescent="0.25">
      <c r="O547682" s="9"/>
    </row>
    <row r="547703" spans="15:15" x14ac:dyDescent="0.25">
      <c r="O547703" s="9"/>
    </row>
    <row r="547724" spans="15:15" x14ac:dyDescent="0.25">
      <c r="O547724" s="9"/>
    </row>
    <row r="547745" spans="15:15" x14ac:dyDescent="0.25">
      <c r="O547745" s="9"/>
    </row>
    <row r="547766" spans="15:15" x14ac:dyDescent="0.25">
      <c r="O547766" s="9"/>
    </row>
    <row r="547787" spans="15:15" x14ac:dyDescent="0.25">
      <c r="O547787" s="9"/>
    </row>
    <row r="547808" spans="15:15" x14ac:dyDescent="0.25">
      <c r="O547808" s="9"/>
    </row>
    <row r="547829" spans="15:15" x14ac:dyDescent="0.25">
      <c r="O547829" s="9"/>
    </row>
    <row r="547850" spans="15:15" x14ac:dyDescent="0.25">
      <c r="O547850" s="9"/>
    </row>
    <row r="547871" spans="15:15" x14ac:dyDescent="0.25">
      <c r="O547871" s="9"/>
    </row>
    <row r="547892" spans="15:15" x14ac:dyDescent="0.25">
      <c r="O547892" s="9"/>
    </row>
    <row r="547913" spans="15:15" x14ac:dyDescent="0.25">
      <c r="O547913" s="9"/>
    </row>
    <row r="547934" spans="15:15" x14ac:dyDescent="0.25">
      <c r="O547934" s="9"/>
    </row>
    <row r="547955" spans="15:15" x14ac:dyDescent="0.25">
      <c r="O547955" s="9"/>
    </row>
    <row r="547976" spans="15:15" x14ac:dyDescent="0.25">
      <c r="O547976" s="9"/>
    </row>
    <row r="547997" spans="15:15" x14ac:dyDescent="0.25">
      <c r="O547997" s="9"/>
    </row>
    <row r="548018" spans="15:15" x14ac:dyDescent="0.25">
      <c r="O548018" s="9"/>
    </row>
    <row r="548039" spans="15:15" x14ac:dyDescent="0.25">
      <c r="O548039" s="9"/>
    </row>
    <row r="548060" spans="15:15" x14ac:dyDescent="0.25">
      <c r="O548060" s="9"/>
    </row>
    <row r="548081" spans="15:15" x14ac:dyDescent="0.25">
      <c r="O548081" s="9"/>
    </row>
    <row r="548102" spans="15:15" x14ac:dyDescent="0.25">
      <c r="O548102" s="9"/>
    </row>
    <row r="548123" spans="15:15" x14ac:dyDescent="0.25">
      <c r="O548123" s="9"/>
    </row>
    <row r="548144" spans="15:15" x14ac:dyDescent="0.25">
      <c r="O548144" s="9"/>
    </row>
    <row r="548165" spans="15:15" x14ac:dyDescent="0.25">
      <c r="O548165" s="9"/>
    </row>
    <row r="548186" spans="15:15" x14ac:dyDescent="0.25">
      <c r="O548186" s="9"/>
    </row>
    <row r="548207" spans="15:15" x14ac:dyDescent="0.25">
      <c r="O548207" s="9"/>
    </row>
    <row r="548228" spans="15:15" x14ac:dyDescent="0.25">
      <c r="O548228" s="9"/>
    </row>
    <row r="548249" spans="15:15" x14ac:dyDescent="0.25">
      <c r="O548249" s="9"/>
    </row>
    <row r="548270" spans="15:15" x14ac:dyDescent="0.25">
      <c r="O548270" s="9"/>
    </row>
    <row r="548291" spans="15:15" x14ac:dyDescent="0.25">
      <c r="O548291" s="9"/>
    </row>
    <row r="548312" spans="15:15" x14ac:dyDescent="0.25">
      <c r="O548312" s="9"/>
    </row>
    <row r="548333" spans="15:15" x14ac:dyDescent="0.25">
      <c r="O548333" s="9"/>
    </row>
    <row r="548354" spans="15:15" x14ac:dyDescent="0.25">
      <c r="O548354" s="9"/>
    </row>
    <row r="548375" spans="15:15" x14ac:dyDescent="0.25">
      <c r="O548375" s="9"/>
    </row>
    <row r="548396" spans="15:15" x14ac:dyDescent="0.25">
      <c r="O548396" s="9"/>
    </row>
    <row r="548417" spans="15:15" x14ac:dyDescent="0.25">
      <c r="O548417" s="9"/>
    </row>
    <row r="548438" spans="15:15" x14ac:dyDescent="0.25">
      <c r="O548438" s="9"/>
    </row>
    <row r="548459" spans="15:15" x14ac:dyDescent="0.25">
      <c r="O548459" s="9"/>
    </row>
    <row r="548480" spans="15:15" x14ac:dyDescent="0.25">
      <c r="O548480" s="9"/>
    </row>
    <row r="548501" spans="15:15" x14ac:dyDescent="0.25">
      <c r="O548501" s="9"/>
    </row>
    <row r="548522" spans="15:15" x14ac:dyDescent="0.25">
      <c r="O548522" s="9"/>
    </row>
    <row r="548543" spans="15:15" x14ac:dyDescent="0.25">
      <c r="O548543" s="9"/>
    </row>
    <row r="548564" spans="15:15" x14ac:dyDescent="0.25">
      <c r="O548564" s="9"/>
    </row>
    <row r="548585" spans="15:15" x14ac:dyDescent="0.25">
      <c r="O548585" s="9"/>
    </row>
    <row r="548606" spans="15:15" x14ac:dyDescent="0.25">
      <c r="O548606" s="9"/>
    </row>
    <row r="548627" spans="15:15" x14ac:dyDescent="0.25">
      <c r="O548627" s="9"/>
    </row>
    <row r="548648" spans="15:15" x14ac:dyDescent="0.25">
      <c r="O548648" s="9"/>
    </row>
    <row r="548669" spans="15:15" x14ac:dyDescent="0.25">
      <c r="O548669" s="9"/>
    </row>
    <row r="548690" spans="15:15" x14ac:dyDescent="0.25">
      <c r="O548690" s="9"/>
    </row>
    <row r="548711" spans="15:15" x14ac:dyDescent="0.25">
      <c r="O548711" s="9"/>
    </row>
    <row r="548732" spans="15:15" x14ac:dyDescent="0.25">
      <c r="O548732" s="9"/>
    </row>
    <row r="548753" spans="15:15" x14ac:dyDescent="0.25">
      <c r="O548753" s="9"/>
    </row>
    <row r="548774" spans="15:15" x14ac:dyDescent="0.25">
      <c r="O548774" s="9"/>
    </row>
    <row r="548795" spans="15:15" x14ac:dyDescent="0.25">
      <c r="O548795" s="9"/>
    </row>
    <row r="548816" spans="15:15" x14ac:dyDescent="0.25">
      <c r="O548816" s="9"/>
    </row>
    <row r="548837" spans="15:15" x14ac:dyDescent="0.25">
      <c r="O548837" s="9"/>
    </row>
    <row r="548858" spans="15:15" x14ac:dyDescent="0.25">
      <c r="O548858" s="9"/>
    </row>
    <row r="548879" spans="15:15" x14ac:dyDescent="0.25">
      <c r="O548879" s="9"/>
    </row>
    <row r="548900" spans="15:15" x14ac:dyDescent="0.25">
      <c r="O548900" s="9"/>
    </row>
    <row r="548921" spans="15:15" x14ac:dyDescent="0.25">
      <c r="O548921" s="9"/>
    </row>
    <row r="548942" spans="15:15" x14ac:dyDescent="0.25">
      <c r="O548942" s="9"/>
    </row>
    <row r="548963" spans="15:15" x14ac:dyDescent="0.25">
      <c r="O548963" s="9"/>
    </row>
    <row r="548984" spans="15:15" x14ac:dyDescent="0.25">
      <c r="O548984" s="9"/>
    </row>
    <row r="549005" spans="15:15" x14ac:dyDescent="0.25">
      <c r="O549005" s="9"/>
    </row>
    <row r="549026" spans="15:15" x14ac:dyDescent="0.25">
      <c r="O549026" s="9"/>
    </row>
    <row r="549047" spans="15:15" x14ac:dyDescent="0.25">
      <c r="O549047" s="9"/>
    </row>
    <row r="549068" spans="15:15" x14ac:dyDescent="0.25">
      <c r="O549068" s="9"/>
    </row>
    <row r="549089" spans="15:15" x14ac:dyDescent="0.25">
      <c r="O549089" s="9"/>
    </row>
    <row r="549110" spans="15:15" x14ac:dyDescent="0.25">
      <c r="O549110" s="9"/>
    </row>
    <row r="549131" spans="15:15" x14ac:dyDescent="0.25">
      <c r="O549131" s="9"/>
    </row>
    <row r="549152" spans="15:15" x14ac:dyDescent="0.25">
      <c r="O549152" s="9"/>
    </row>
    <row r="549173" spans="15:15" x14ac:dyDescent="0.25">
      <c r="O549173" s="9"/>
    </row>
    <row r="549194" spans="15:15" x14ac:dyDescent="0.25">
      <c r="O549194" s="9"/>
    </row>
    <row r="549215" spans="15:15" x14ac:dyDescent="0.25">
      <c r="O549215" s="9"/>
    </row>
    <row r="549236" spans="15:15" x14ac:dyDescent="0.25">
      <c r="O549236" s="9"/>
    </row>
    <row r="549257" spans="15:15" x14ac:dyDescent="0.25">
      <c r="O549257" s="9"/>
    </row>
    <row r="549278" spans="15:15" x14ac:dyDescent="0.25">
      <c r="O549278" s="9"/>
    </row>
    <row r="549299" spans="15:15" x14ac:dyDescent="0.25">
      <c r="O549299" s="9"/>
    </row>
    <row r="549320" spans="15:15" x14ac:dyDescent="0.25">
      <c r="O549320" s="9"/>
    </row>
    <row r="549341" spans="15:15" x14ac:dyDescent="0.25">
      <c r="O549341" s="9"/>
    </row>
    <row r="549362" spans="15:15" x14ac:dyDescent="0.25">
      <c r="O549362" s="9"/>
    </row>
    <row r="549383" spans="15:15" x14ac:dyDescent="0.25">
      <c r="O549383" s="9"/>
    </row>
    <row r="549404" spans="15:15" x14ac:dyDescent="0.25">
      <c r="O549404" s="9"/>
    </row>
    <row r="549425" spans="15:15" x14ac:dyDescent="0.25">
      <c r="O549425" s="9"/>
    </row>
    <row r="549446" spans="15:15" x14ac:dyDescent="0.25">
      <c r="O549446" s="9"/>
    </row>
    <row r="549467" spans="15:15" x14ac:dyDescent="0.25">
      <c r="O549467" s="9"/>
    </row>
    <row r="549488" spans="15:15" x14ac:dyDescent="0.25">
      <c r="O549488" s="9"/>
    </row>
    <row r="549509" spans="15:15" x14ac:dyDescent="0.25">
      <c r="O549509" s="9"/>
    </row>
    <row r="549530" spans="15:15" x14ac:dyDescent="0.25">
      <c r="O549530" s="9"/>
    </row>
    <row r="549551" spans="15:15" x14ac:dyDescent="0.25">
      <c r="O549551" s="9"/>
    </row>
    <row r="549572" spans="15:15" x14ac:dyDescent="0.25">
      <c r="O549572" s="9"/>
    </row>
    <row r="549593" spans="15:15" x14ac:dyDescent="0.25">
      <c r="O549593" s="9"/>
    </row>
    <row r="549614" spans="15:15" x14ac:dyDescent="0.25">
      <c r="O549614" s="9"/>
    </row>
    <row r="549635" spans="15:15" x14ac:dyDescent="0.25">
      <c r="O549635" s="9"/>
    </row>
    <row r="549656" spans="15:15" x14ac:dyDescent="0.25">
      <c r="O549656" s="9"/>
    </row>
    <row r="549677" spans="15:15" x14ac:dyDescent="0.25">
      <c r="O549677" s="9"/>
    </row>
    <row r="549698" spans="15:15" x14ac:dyDescent="0.25">
      <c r="O549698" s="9"/>
    </row>
    <row r="549719" spans="15:15" x14ac:dyDescent="0.25">
      <c r="O549719" s="9"/>
    </row>
    <row r="549740" spans="15:15" x14ac:dyDescent="0.25">
      <c r="O549740" s="9"/>
    </row>
    <row r="549761" spans="15:15" x14ac:dyDescent="0.25">
      <c r="O549761" s="9"/>
    </row>
    <row r="549782" spans="15:15" x14ac:dyDescent="0.25">
      <c r="O549782" s="9"/>
    </row>
    <row r="549803" spans="15:15" x14ac:dyDescent="0.25">
      <c r="O549803" s="9"/>
    </row>
    <row r="549824" spans="15:15" x14ac:dyDescent="0.25">
      <c r="O549824" s="9"/>
    </row>
    <row r="549845" spans="15:15" x14ac:dyDescent="0.25">
      <c r="O549845" s="9"/>
    </row>
    <row r="549866" spans="15:15" x14ac:dyDescent="0.25">
      <c r="O549866" s="9"/>
    </row>
    <row r="549887" spans="15:15" x14ac:dyDescent="0.25">
      <c r="O549887" s="9"/>
    </row>
    <row r="549908" spans="15:15" x14ac:dyDescent="0.25">
      <c r="O549908" s="9"/>
    </row>
    <row r="549929" spans="15:15" x14ac:dyDescent="0.25">
      <c r="O549929" s="9"/>
    </row>
    <row r="549950" spans="15:15" x14ac:dyDescent="0.25">
      <c r="O549950" s="9"/>
    </row>
    <row r="549971" spans="15:15" x14ac:dyDescent="0.25">
      <c r="O549971" s="9"/>
    </row>
    <row r="549992" spans="15:15" x14ac:dyDescent="0.25">
      <c r="O549992" s="9"/>
    </row>
    <row r="550013" spans="15:15" x14ac:dyDescent="0.25">
      <c r="O550013" s="9"/>
    </row>
    <row r="550034" spans="15:15" x14ac:dyDescent="0.25">
      <c r="O550034" s="9"/>
    </row>
    <row r="550055" spans="15:15" x14ac:dyDescent="0.25">
      <c r="O550055" s="9"/>
    </row>
    <row r="550076" spans="15:15" x14ac:dyDescent="0.25">
      <c r="O550076" s="9"/>
    </row>
    <row r="550097" spans="15:15" x14ac:dyDescent="0.25">
      <c r="O550097" s="9"/>
    </row>
    <row r="550118" spans="15:15" x14ac:dyDescent="0.25">
      <c r="O550118" s="9"/>
    </row>
    <row r="550139" spans="15:15" x14ac:dyDescent="0.25">
      <c r="O550139" s="9"/>
    </row>
    <row r="550160" spans="15:15" x14ac:dyDescent="0.25">
      <c r="O550160" s="9"/>
    </row>
    <row r="550181" spans="15:15" x14ac:dyDescent="0.25">
      <c r="O550181" s="9"/>
    </row>
    <row r="550202" spans="15:15" x14ac:dyDescent="0.25">
      <c r="O550202" s="9"/>
    </row>
    <row r="550223" spans="15:15" x14ac:dyDescent="0.25">
      <c r="O550223" s="9"/>
    </row>
    <row r="550244" spans="15:15" x14ac:dyDescent="0.25">
      <c r="O550244" s="9"/>
    </row>
    <row r="550265" spans="15:15" x14ac:dyDescent="0.25">
      <c r="O550265" s="9"/>
    </row>
    <row r="550286" spans="15:15" x14ac:dyDescent="0.25">
      <c r="O550286" s="9"/>
    </row>
    <row r="550307" spans="15:15" x14ac:dyDescent="0.25">
      <c r="O550307" s="9"/>
    </row>
    <row r="550328" spans="15:15" x14ac:dyDescent="0.25">
      <c r="O550328" s="9"/>
    </row>
    <row r="550349" spans="15:15" x14ac:dyDescent="0.25">
      <c r="O550349" s="9"/>
    </row>
    <row r="550370" spans="15:15" x14ac:dyDescent="0.25">
      <c r="O550370" s="9"/>
    </row>
    <row r="550391" spans="15:15" x14ac:dyDescent="0.25">
      <c r="O550391" s="9"/>
    </row>
    <row r="550412" spans="15:15" x14ac:dyDescent="0.25">
      <c r="O550412" s="9"/>
    </row>
    <row r="550433" spans="15:15" x14ac:dyDescent="0.25">
      <c r="O550433" s="9"/>
    </row>
    <row r="550454" spans="15:15" x14ac:dyDescent="0.25">
      <c r="O550454" s="9"/>
    </row>
    <row r="550475" spans="15:15" x14ac:dyDescent="0.25">
      <c r="O550475" s="9"/>
    </row>
    <row r="550496" spans="15:15" x14ac:dyDescent="0.25">
      <c r="O550496" s="9"/>
    </row>
    <row r="550517" spans="15:15" x14ac:dyDescent="0.25">
      <c r="O550517" s="9"/>
    </row>
    <row r="550538" spans="15:15" x14ac:dyDescent="0.25">
      <c r="O550538" s="9"/>
    </row>
    <row r="550559" spans="15:15" x14ac:dyDescent="0.25">
      <c r="O550559" s="9"/>
    </row>
    <row r="550580" spans="15:15" x14ac:dyDescent="0.25">
      <c r="O550580" s="9"/>
    </row>
    <row r="550601" spans="15:15" x14ac:dyDescent="0.25">
      <c r="O550601" s="9"/>
    </row>
    <row r="550622" spans="15:15" x14ac:dyDescent="0.25">
      <c r="O550622" s="9"/>
    </row>
    <row r="550643" spans="15:15" x14ac:dyDescent="0.25">
      <c r="O550643" s="9"/>
    </row>
    <row r="550664" spans="15:15" x14ac:dyDescent="0.25">
      <c r="O550664" s="9"/>
    </row>
    <row r="550685" spans="15:15" x14ac:dyDescent="0.25">
      <c r="O550685" s="9"/>
    </row>
    <row r="550706" spans="15:15" x14ac:dyDescent="0.25">
      <c r="O550706" s="9"/>
    </row>
    <row r="550727" spans="15:15" x14ac:dyDescent="0.25">
      <c r="O550727" s="9"/>
    </row>
    <row r="550748" spans="15:15" x14ac:dyDescent="0.25">
      <c r="O550748" s="9"/>
    </row>
    <row r="550769" spans="15:15" x14ac:dyDescent="0.25">
      <c r="O550769" s="9"/>
    </row>
    <row r="550790" spans="15:15" x14ac:dyDescent="0.25">
      <c r="O550790" s="9"/>
    </row>
    <row r="550811" spans="15:15" x14ac:dyDescent="0.25">
      <c r="O550811" s="9"/>
    </row>
    <row r="550832" spans="15:15" x14ac:dyDescent="0.25">
      <c r="O550832" s="9"/>
    </row>
    <row r="550853" spans="15:15" x14ac:dyDescent="0.25">
      <c r="O550853" s="9"/>
    </row>
    <row r="550874" spans="15:15" x14ac:dyDescent="0.25">
      <c r="O550874" s="9"/>
    </row>
    <row r="550895" spans="15:15" x14ac:dyDescent="0.25">
      <c r="O550895" s="9"/>
    </row>
    <row r="550916" spans="15:15" x14ac:dyDescent="0.25">
      <c r="O550916" s="9"/>
    </row>
    <row r="550937" spans="15:15" x14ac:dyDescent="0.25">
      <c r="O550937" s="9"/>
    </row>
    <row r="550958" spans="15:15" x14ac:dyDescent="0.25">
      <c r="O550958" s="9"/>
    </row>
    <row r="550979" spans="15:15" x14ac:dyDescent="0.25">
      <c r="O550979" s="9"/>
    </row>
    <row r="551000" spans="15:15" x14ac:dyDescent="0.25">
      <c r="O551000" s="9"/>
    </row>
    <row r="551021" spans="15:15" x14ac:dyDescent="0.25">
      <c r="O551021" s="9"/>
    </row>
    <row r="551042" spans="15:15" x14ac:dyDescent="0.25">
      <c r="O551042" s="9"/>
    </row>
    <row r="551063" spans="15:15" x14ac:dyDescent="0.25">
      <c r="O551063" s="9"/>
    </row>
    <row r="551084" spans="15:15" x14ac:dyDescent="0.25">
      <c r="O551084" s="9"/>
    </row>
    <row r="551105" spans="15:15" x14ac:dyDescent="0.25">
      <c r="O551105" s="9"/>
    </row>
    <row r="551126" spans="15:15" x14ac:dyDescent="0.25">
      <c r="O551126" s="9"/>
    </row>
    <row r="551147" spans="15:15" x14ac:dyDescent="0.25">
      <c r="O551147" s="9"/>
    </row>
    <row r="551168" spans="15:15" x14ac:dyDescent="0.25">
      <c r="O551168" s="9"/>
    </row>
    <row r="551189" spans="15:15" x14ac:dyDescent="0.25">
      <c r="O551189" s="9"/>
    </row>
    <row r="551210" spans="15:15" x14ac:dyDescent="0.25">
      <c r="O551210" s="9"/>
    </row>
    <row r="551231" spans="15:15" x14ac:dyDescent="0.25">
      <c r="O551231" s="9"/>
    </row>
    <row r="551252" spans="15:15" x14ac:dyDescent="0.25">
      <c r="O551252" s="9"/>
    </row>
    <row r="551273" spans="15:15" x14ac:dyDescent="0.25">
      <c r="O551273" s="9"/>
    </row>
    <row r="551294" spans="15:15" x14ac:dyDescent="0.25">
      <c r="O551294" s="9"/>
    </row>
    <row r="551315" spans="15:15" x14ac:dyDescent="0.25">
      <c r="O551315" s="9"/>
    </row>
    <row r="551336" spans="15:15" x14ac:dyDescent="0.25">
      <c r="O551336" s="9"/>
    </row>
    <row r="551357" spans="15:15" x14ac:dyDescent="0.25">
      <c r="O551357" s="9"/>
    </row>
    <row r="551378" spans="15:15" x14ac:dyDescent="0.25">
      <c r="O551378" s="9"/>
    </row>
    <row r="551399" spans="15:15" x14ac:dyDescent="0.25">
      <c r="O551399" s="9"/>
    </row>
    <row r="551420" spans="15:15" x14ac:dyDescent="0.25">
      <c r="O551420" s="9"/>
    </row>
    <row r="551441" spans="15:15" x14ac:dyDescent="0.25">
      <c r="O551441" s="9"/>
    </row>
    <row r="551462" spans="15:15" x14ac:dyDescent="0.25">
      <c r="O551462" s="9"/>
    </row>
    <row r="551483" spans="15:15" x14ac:dyDescent="0.25">
      <c r="O551483" s="9"/>
    </row>
    <row r="551504" spans="15:15" x14ac:dyDescent="0.25">
      <c r="O551504" s="9"/>
    </row>
    <row r="551525" spans="15:15" x14ac:dyDescent="0.25">
      <c r="O551525" s="9"/>
    </row>
    <row r="551546" spans="15:15" x14ac:dyDescent="0.25">
      <c r="O551546" s="9"/>
    </row>
    <row r="551567" spans="15:15" x14ac:dyDescent="0.25">
      <c r="O551567" s="9"/>
    </row>
    <row r="551588" spans="15:15" x14ac:dyDescent="0.25">
      <c r="O551588" s="9"/>
    </row>
    <row r="551609" spans="15:15" x14ac:dyDescent="0.25">
      <c r="O551609" s="9"/>
    </row>
    <row r="551630" spans="15:15" x14ac:dyDescent="0.25">
      <c r="O551630" s="9"/>
    </row>
    <row r="551651" spans="15:15" x14ac:dyDescent="0.25">
      <c r="O551651" s="9"/>
    </row>
    <row r="551672" spans="15:15" x14ac:dyDescent="0.25">
      <c r="O551672" s="9"/>
    </row>
    <row r="551693" spans="15:15" x14ac:dyDescent="0.25">
      <c r="O551693" s="9"/>
    </row>
    <row r="551714" spans="15:15" x14ac:dyDescent="0.25">
      <c r="O551714" s="9"/>
    </row>
    <row r="551735" spans="15:15" x14ac:dyDescent="0.25">
      <c r="O551735" s="9"/>
    </row>
    <row r="551756" spans="15:15" x14ac:dyDescent="0.25">
      <c r="O551756" s="9"/>
    </row>
    <row r="551777" spans="15:15" x14ac:dyDescent="0.25">
      <c r="O551777" s="9"/>
    </row>
    <row r="551798" spans="15:15" x14ac:dyDescent="0.25">
      <c r="O551798" s="9"/>
    </row>
    <row r="551819" spans="15:15" x14ac:dyDescent="0.25">
      <c r="O551819" s="9"/>
    </row>
    <row r="551840" spans="15:15" x14ac:dyDescent="0.25">
      <c r="O551840" s="9"/>
    </row>
    <row r="551861" spans="15:15" x14ac:dyDescent="0.25">
      <c r="O551861" s="9"/>
    </row>
    <row r="551882" spans="15:15" x14ac:dyDescent="0.25">
      <c r="O551882" s="9"/>
    </row>
    <row r="551903" spans="15:15" x14ac:dyDescent="0.25">
      <c r="O551903" s="9"/>
    </row>
    <row r="551924" spans="15:15" x14ac:dyDescent="0.25">
      <c r="O551924" s="9"/>
    </row>
    <row r="551945" spans="15:15" x14ac:dyDescent="0.25">
      <c r="O551945" s="9"/>
    </row>
    <row r="551966" spans="15:15" x14ac:dyDescent="0.25">
      <c r="O551966" s="9"/>
    </row>
    <row r="551987" spans="15:15" x14ac:dyDescent="0.25">
      <c r="O551987" s="9"/>
    </row>
    <row r="552008" spans="15:15" x14ac:dyDescent="0.25">
      <c r="O552008" s="9"/>
    </row>
    <row r="552029" spans="15:15" x14ac:dyDescent="0.25">
      <c r="O552029" s="9"/>
    </row>
    <row r="552050" spans="15:15" x14ac:dyDescent="0.25">
      <c r="O552050" s="9"/>
    </row>
    <row r="552071" spans="15:15" x14ac:dyDescent="0.25">
      <c r="O552071" s="9"/>
    </row>
    <row r="552092" spans="15:15" x14ac:dyDescent="0.25">
      <c r="O552092" s="9"/>
    </row>
    <row r="552113" spans="15:15" x14ac:dyDescent="0.25">
      <c r="O552113" s="9"/>
    </row>
    <row r="552134" spans="15:15" x14ac:dyDescent="0.25">
      <c r="O552134" s="9"/>
    </row>
    <row r="552155" spans="15:15" x14ac:dyDescent="0.25">
      <c r="O552155" s="9"/>
    </row>
    <row r="552176" spans="15:15" x14ac:dyDescent="0.25">
      <c r="O552176" s="9"/>
    </row>
    <row r="552197" spans="15:15" x14ac:dyDescent="0.25">
      <c r="O552197" s="9"/>
    </row>
    <row r="552218" spans="15:15" x14ac:dyDescent="0.25">
      <c r="O552218" s="9"/>
    </row>
    <row r="552239" spans="15:15" x14ac:dyDescent="0.25">
      <c r="O552239" s="9"/>
    </row>
    <row r="552260" spans="15:15" x14ac:dyDescent="0.25">
      <c r="O552260" s="9"/>
    </row>
    <row r="552281" spans="15:15" x14ac:dyDescent="0.25">
      <c r="O552281" s="9"/>
    </row>
    <row r="552302" spans="15:15" x14ac:dyDescent="0.25">
      <c r="O552302" s="9"/>
    </row>
    <row r="552323" spans="15:15" x14ac:dyDescent="0.25">
      <c r="O552323" s="9"/>
    </row>
    <row r="552344" spans="15:15" x14ac:dyDescent="0.25">
      <c r="O552344" s="9"/>
    </row>
    <row r="552365" spans="15:15" x14ac:dyDescent="0.25">
      <c r="O552365" s="9"/>
    </row>
    <row r="552386" spans="15:15" x14ac:dyDescent="0.25">
      <c r="O552386" s="9"/>
    </row>
    <row r="552407" spans="15:15" x14ac:dyDescent="0.25">
      <c r="O552407" s="9"/>
    </row>
    <row r="552428" spans="15:15" x14ac:dyDescent="0.25">
      <c r="O552428" s="9"/>
    </row>
    <row r="552449" spans="15:15" x14ac:dyDescent="0.25">
      <c r="O552449" s="9"/>
    </row>
    <row r="552470" spans="15:15" x14ac:dyDescent="0.25">
      <c r="O552470" s="9"/>
    </row>
    <row r="552491" spans="15:15" x14ac:dyDescent="0.25">
      <c r="O552491" s="9"/>
    </row>
    <row r="552512" spans="15:15" x14ac:dyDescent="0.25">
      <c r="O552512" s="9"/>
    </row>
    <row r="552533" spans="15:15" x14ac:dyDescent="0.25">
      <c r="O552533" s="9"/>
    </row>
    <row r="552554" spans="15:15" x14ac:dyDescent="0.25">
      <c r="O552554" s="9"/>
    </row>
    <row r="552575" spans="15:15" x14ac:dyDescent="0.25">
      <c r="O552575" s="9"/>
    </row>
    <row r="552596" spans="15:15" x14ac:dyDescent="0.25">
      <c r="O552596" s="9"/>
    </row>
    <row r="552617" spans="15:15" x14ac:dyDescent="0.25">
      <c r="O552617" s="9"/>
    </row>
    <row r="552638" spans="15:15" x14ac:dyDescent="0.25">
      <c r="O552638" s="9"/>
    </row>
    <row r="552659" spans="15:15" x14ac:dyDescent="0.25">
      <c r="O552659" s="9"/>
    </row>
    <row r="552680" spans="15:15" x14ac:dyDescent="0.25">
      <c r="O552680" s="9"/>
    </row>
    <row r="552701" spans="15:15" x14ac:dyDescent="0.25">
      <c r="O552701" s="9"/>
    </row>
    <row r="552722" spans="15:15" x14ac:dyDescent="0.25">
      <c r="O552722" s="9"/>
    </row>
    <row r="552743" spans="15:15" x14ac:dyDescent="0.25">
      <c r="O552743" s="9"/>
    </row>
    <row r="552764" spans="15:15" x14ac:dyDescent="0.25">
      <c r="O552764" s="9"/>
    </row>
    <row r="552785" spans="15:15" x14ac:dyDescent="0.25">
      <c r="O552785" s="9"/>
    </row>
    <row r="552806" spans="15:15" x14ac:dyDescent="0.25">
      <c r="O552806" s="9"/>
    </row>
    <row r="552827" spans="15:15" x14ac:dyDescent="0.25">
      <c r="O552827" s="9"/>
    </row>
    <row r="552848" spans="15:15" x14ac:dyDescent="0.25">
      <c r="O552848" s="9"/>
    </row>
    <row r="552869" spans="15:15" x14ac:dyDescent="0.25">
      <c r="O552869" s="9"/>
    </row>
    <row r="552890" spans="15:15" x14ac:dyDescent="0.25">
      <c r="O552890" s="9"/>
    </row>
    <row r="552911" spans="15:15" x14ac:dyDescent="0.25">
      <c r="O552911" s="9"/>
    </row>
    <row r="552932" spans="15:15" x14ac:dyDescent="0.25">
      <c r="O552932" s="9"/>
    </row>
    <row r="552953" spans="15:15" x14ac:dyDescent="0.25">
      <c r="O552953" s="9"/>
    </row>
    <row r="552974" spans="15:15" x14ac:dyDescent="0.25">
      <c r="O552974" s="9"/>
    </row>
    <row r="552995" spans="15:15" x14ac:dyDescent="0.25">
      <c r="O552995" s="9"/>
    </row>
    <row r="553016" spans="15:15" x14ac:dyDescent="0.25">
      <c r="O553016" s="9"/>
    </row>
    <row r="553037" spans="15:15" x14ac:dyDescent="0.25">
      <c r="O553037" s="9"/>
    </row>
    <row r="553058" spans="15:15" x14ac:dyDescent="0.25">
      <c r="O553058" s="9"/>
    </row>
    <row r="553079" spans="15:15" x14ac:dyDescent="0.25">
      <c r="O553079" s="9"/>
    </row>
    <row r="553100" spans="15:15" x14ac:dyDescent="0.25">
      <c r="O553100" s="9"/>
    </row>
    <row r="553121" spans="15:15" x14ac:dyDescent="0.25">
      <c r="O553121" s="9"/>
    </row>
    <row r="553142" spans="15:15" x14ac:dyDescent="0.25">
      <c r="O553142" s="9"/>
    </row>
    <row r="553163" spans="15:15" x14ac:dyDescent="0.25">
      <c r="O553163" s="9"/>
    </row>
    <row r="553184" spans="15:15" x14ac:dyDescent="0.25">
      <c r="O553184" s="9"/>
    </row>
    <row r="553205" spans="15:15" x14ac:dyDescent="0.25">
      <c r="O553205" s="9"/>
    </row>
    <row r="553226" spans="15:15" x14ac:dyDescent="0.25">
      <c r="O553226" s="9"/>
    </row>
    <row r="553247" spans="15:15" x14ac:dyDescent="0.25">
      <c r="O553247" s="9"/>
    </row>
    <row r="553268" spans="15:15" x14ac:dyDescent="0.25">
      <c r="O553268" s="9"/>
    </row>
    <row r="553289" spans="15:15" x14ac:dyDescent="0.25">
      <c r="O553289" s="9"/>
    </row>
    <row r="553310" spans="15:15" x14ac:dyDescent="0.25">
      <c r="O553310" s="9"/>
    </row>
    <row r="553331" spans="15:15" x14ac:dyDescent="0.25">
      <c r="O553331" s="9"/>
    </row>
    <row r="553352" spans="15:15" x14ac:dyDescent="0.25">
      <c r="O553352" s="9"/>
    </row>
    <row r="553373" spans="15:15" x14ac:dyDescent="0.25">
      <c r="O553373" s="9"/>
    </row>
    <row r="553394" spans="15:15" x14ac:dyDescent="0.25">
      <c r="O553394" s="9"/>
    </row>
    <row r="553415" spans="15:15" x14ac:dyDescent="0.25">
      <c r="O553415" s="9"/>
    </row>
    <row r="553436" spans="15:15" x14ac:dyDescent="0.25">
      <c r="O553436" s="9"/>
    </row>
    <row r="553457" spans="15:15" x14ac:dyDescent="0.25">
      <c r="O553457" s="9"/>
    </row>
    <row r="553478" spans="15:15" x14ac:dyDescent="0.25">
      <c r="O553478" s="9"/>
    </row>
    <row r="553499" spans="15:15" x14ac:dyDescent="0.25">
      <c r="O553499" s="9"/>
    </row>
    <row r="553520" spans="15:15" x14ac:dyDescent="0.25">
      <c r="O553520" s="9"/>
    </row>
    <row r="553541" spans="15:15" x14ac:dyDescent="0.25">
      <c r="O553541" s="9"/>
    </row>
    <row r="553562" spans="15:15" x14ac:dyDescent="0.25">
      <c r="O553562" s="9"/>
    </row>
    <row r="553583" spans="15:15" x14ac:dyDescent="0.25">
      <c r="O553583" s="9"/>
    </row>
    <row r="553604" spans="15:15" x14ac:dyDescent="0.25">
      <c r="O553604" s="9"/>
    </row>
    <row r="553625" spans="15:15" x14ac:dyDescent="0.25">
      <c r="O553625" s="9"/>
    </row>
    <row r="553646" spans="15:15" x14ac:dyDescent="0.25">
      <c r="O553646" s="9"/>
    </row>
    <row r="553667" spans="15:15" x14ac:dyDescent="0.25">
      <c r="O553667" s="9"/>
    </row>
    <row r="553688" spans="15:15" x14ac:dyDescent="0.25">
      <c r="O553688" s="9"/>
    </row>
    <row r="553709" spans="15:15" x14ac:dyDescent="0.25">
      <c r="O553709" s="9"/>
    </row>
    <row r="553730" spans="15:15" x14ac:dyDescent="0.25">
      <c r="O553730" s="9"/>
    </row>
    <row r="553751" spans="15:15" x14ac:dyDescent="0.25">
      <c r="O553751" s="9"/>
    </row>
    <row r="553772" spans="15:15" x14ac:dyDescent="0.25">
      <c r="O553772" s="9"/>
    </row>
    <row r="553793" spans="15:15" x14ac:dyDescent="0.25">
      <c r="O553793" s="9"/>
    </row>
    <row r="553814" spans="15:15" x14ac:dyDescent="0.25">
      <c r="O553814" s="9"/>
    </row>
    <row r="553835" spans="15:15" x14ac:dyDescent="0.25">
      <c r="O553835" s="9"/>
    </row>
    <row r="553856" spans="15:15" x14ac:dyDescent="0.25">
      <c r="O553856" s="9"/>
    </row>
    <row r="553877" spans="15:15" x14ac:dyDescent="0.25">
      <c r="O553877" s="9"/>
    </row>
    <row r="553898" spans="15:15" x14ac:dyDescent="0.25">
      <c r="O553898" s="9"/>
    </row>
    <row r="553919" spans="15:15" x14ac:dyDescent="0.25">
      <c r="O553919" s="9"/>
    </row>
    <row r="553940" spans="15:15" x14ac:dyDescent="0.25">
      <c r="O553940" s="9"/>
    </row>
    <row r="553961" spans="15:15" x14ac:dyDescent="0.25">
      <c r="O553961" s="9"/>
    </row>
    <row r="553982" spans="15:15" x14ac:dyDescent="0.25">
      <c r="O553982" s="9"/>
    </row>
    <row r="554003" spans="15:15" x14ac:dyDescent="0.25">
      <c r="O554003" s="9"/>
    </row>
    <row r="554024" spans="15:15" x14ac:dyDescent="0.25">
      <c r="O554024" s="9"/>
    </row>
    <row r="554045" spans="15:15" x14ac:dyDescent="0.25">
      <c r="O554045" s="9"/>
    </row>
    <row r="554066" spans="15:15" x14ac:dyDescent="0.25">
      <c r="O554066" s="9"/>
    </row>
    <row r="554087" spans="15:15" x14ac:dyDescent="0.25">
      <c r="O554087" s="9"/>
    </row>
    <row r="554108" spans="15:15" x14ac:dyDescent="0.25">
      <c r="O554108" s="9"/>
    </row>
    <row r="554129" spans="15:15" x14ac:dyDescent="0.25">
      <c r="O554129" s="9"/>
    </row>
    <row r="554150" spans="15:15" x14ac:dyDescent="0.25">
      <c r="O554150" s="9"/>
    </row>
    <row r="554171" spans="15:15" x14ac:dyDescent="0.25">
      <c r="O554171" s="9"/>
    </row>
    <row r="554192" spans="15:15" x14ac:dyDescent="0.25">
      <c r="O554192" s="9"/>
    </row>
    <row r="554213" spans="15:15" x14ac:dyDescent="0.25">
      <c r="O554213" s="9"/>
    </row>
    <row r="554234" spans="15:15" x14ac:dyDescent="0.25">
      <c r="O554234" s="9"/>
    </row>
    <row r="554255" spans="15:15" x14ac:dyDescent="0.25">
      <c r="O554255" s="9"/>
    </row>
    <row r="554276" spans="15:15" x14ac:dyDescent="0.25">
      <c r="O554276" s="9"/>
    </row>
    <row r="554297" spans="15:15" x14ac:dyDescent="0.25">
      <c r="O554297" s="9"/>
    </row>
    <row r="554318" spans="15:15" x14ac:dyDescent="0.25">
      <c r="O554318" s="9"/>
    </row>
    <row r="554339" spans="15:15" x14ac:dyDescent="0.25">
      <c r="O554339" s="9"/>
    </row>
    <row r="554360" spans="15:15" x14ac:dyDescent="0.25">
      <c r="O554360" s="9"/>
    </row>
    <row r="554381" spans="15:15" x14ac:dyDescent="0.25">
      <c r="O554381" s="9"/>
    </row>
    <row r="554402" spans="15:15" x14ac:dyDescent="0.25">
      <c r="O554402" s="9"/>
    </row>
    <row r="554423" spans="15:15" x14ac:dyDescent="0.25">
      <c r="O554423" s="9"/>
    </row>
    <row r="554444" spans="15:15" x14ac:dyDescent="0.25">
      <c r="O554444" s="9"/>
    </row>
    <row r="554465" spans="15:15" x14ac:dyDescent="0.25">
      <c r="O554465" s="9"/>
    </row>
    <row r="554486" spans="15:15" x14ac:dyDescent="0.25">
      <c r="O554486" s="9"/>
    </row>
    <row r="554507" spans="15:15" x14ac:dyDescent="0.25">
      <c r="O554507" s="9"/>
    </row>
    <row r="554528" spans="15:15" x14ac:dyDescent="0.25">
      <c r="O554528" s="9"/>
    </row>
    <row r="554549" spans="15:15" x14ac:dyDescent="0.25">
      <c r="O554549" s="9"/>
    </row>
    <row r="554570" spans="15:15" x14ac:dyDescent="0.25">
      <c r="O554570" s="9"/>
    </row>
    <row r="554591" spans="15:15" x14ac:dyDescent="0.25">
      <c r="O554591" s="9"/>
    </row>
    <row r="554612" spans="15:15" x14ac:dyDescent="0.25">
      <c r="O554612" s="9"/>
    </row>
    <row r="554633" spans="15:15" x14ac:dyDescent="0.25">
      <c r="O554633" s="9"/>
    </row>
    <row r="554654" spans="15:15" x14ac:dyDescent="0.25">
      <c r="O554654" s="9"/>
    </row>
    <row r="554675" spans="15:15" x14ac:dyDescent="0.25">
      <c r="O554675" s="9"/>
    </row>
    <row r="554696" spans="15:15" x14ac:dyDescent="0.25">
      <c r="O554696" s="9"/>
    </row>
    <row r="554717" spans="15:15" x14ac:dyDescent="0.25">
      <c r="O554717" s="9"/>
    </row>
    <row r="554738" spans="15:15" x14ac:dyDescent="0.25">
      <c r="O554738" s="9"/>
    </row>
    <row r="554759" spans="15:15" x14ac:dyDescent="0.25">
      <c r="O554759" s="9"/>
    </row>
    <row r="554780" spans="15:15" x14ac:dyDescent="0.25">
      <c r="O554780" s="9"/>
    </row>
    <row r="554801" spans="15:15" x14ac:dyDescent="0.25">
      <c r="O554801" s="9"/>
    </row>
    <row r="554822" spans="15:15" x14ac:dyDescent="0.25">
      <c r="O554822" s="9"/>
    </row>
    <row r="554843" spans="15:15" x14ac:dyDescent="0.25">
      <c r="O554843" s="9"/>
    </row>
    <row r="554864" spans="15:15" x14ac:dyDescent="0.25">
      <c r="O554864" s="9"/>
    </row>
    <row r="554885" spans="15:15" x14ac:dyDescent="0.25">
      <c r="O554885" s="9"/>
    </row>
    <row r="554906" spans="15:15" x14ac:dyDescent="0.25">
      <c r="O554906" s="9"/>
    </row>
    <row r="554927" spans="15:15" x14ac:dyDescent="0.25">
      <c r="O554927" s="9"/>
    </row>
    <row r="554948" spans="15:15" x14ac:dyDescent="0.25">
      <c r="O554948" s="9"/>
    </row>
    <row r="554969" spans="15:15" x14ac:dyDescent="0.25">
      <c r="O554969" s="9"/>
    </row>
    <row r="554990" spans="15:15" x14ac:dyDescent="0.25">
      <c r="O554990" s="9"/>
    </row>
    <row r="555011" spans="15:15" x14ac:dyDescent="0.25">
      <c r="O555011" s="9"/>
    </row>
    <row r="555032" spans="15:15" x14ac:dyDescent="0.25">
      <c r="O555032" s="9"/>
    </row>
    <row r="555053" spans="15:15" x14ac:dyDescent="0.25">
      <c r="O555053" s="9"/>
    </row>
    <row r="555074" spans="15:15" x14ac:dyDescent="0.25">
      <c r="O555074" s="9"/>
    </row>
    <row r="555095" spans="15:15" x14ac:dyDescent="0.25">
      <c r="O555095" s="9"/>
    </row>
    <row r="555116" spans="15:15" x14ac:dyDescent="0.25">
      <c r="O555116" s="9"/>
    </row>
    <row r="555137" spans="15:15" x14ac:dyDescent="0.25">
      <c r="O555137" s="9"/>
    </row>
    <row r="555158" spans="15:15" x14ac:dyDescent="0.25">
      <c r="O555158" s="9"/>
    </row>
    <row r="555179" spans="15:15" x14ac:dyDescent="0.25">
      <c r="O555179" s="9"/>
    </row>
    <row r="555200" spans="15:15" x14ac:dyDescent="0.25">
      <c r="O555200" s="9"/>
    </row>
    <row r="555221" spans="15:15" x14ac:dyDescent="0.25">
      <c r="O555221" s="9"/>
    </row>
    <row r="555242" spans="15:15" x14ac:dyDescent="0.25">
      <c r="O555242" s="9"/>
    </row>
    <row r="555263" spans="15:15" x14ac:dyDescent="0.25">
      <c r="O555263" s="9"/>
    </row>
    <row r="555284" spans="15:15" x14ac:dyDescent="0.25">
      <c r="O555284" s="9"/>
    </row>
    <row r="555305" spans="15:15" x14ac:dyDescent="0.25">
      <c r="O555305" s="9"/>
    </row>
    <row r="555326" spans="15:15" x14ac:dyDescent="0.25">
      <c r="O555326" s="9"/>
    </row>
    <row r="555347" spans="15:15" x14ac:dyDescent="0.25">
      <c r="O555347" s="9"/>
    </row>
    <row r="555368" spans="15:15" x14ac:dyDescent="0.25">
      <c r="O555368" s="9"/>
    </row>
    <row r="555389" spans="15:15" x14ac:dyDescent="0.25">
      <c r="O555389" s="9"/>
    </row>
    <row r="555410" spans="15:15" x14ac:dyDescent="0.25">
      <c r="O555410" s="9"/>
    </row>
    <row r="555431" spans="15:15" x14ac:dyDescent="0.25">
      <c r="O555431" s="9"/>
    </row>
    <row r="555452" spans="15:15" x14ac:dyDescent="0.25">
      <c r="O555452" s="9"/>
    </row>
    <row r="555473" spans="15:15" x14ac:dyDescent="0.25">
      <c r="O555473" s="9"/>
    </row>
    <row r="555494" spans="15:15" x14ac:dyDescent="0.25">
      <c r="O555494" s="9"/>
    </row>
    <row r="555515" spans="15:15" x14ac:dyDescent="0.25">
      <c r="O555515" s="9"/>
    </row>
    <row r="555536" spans="15:15" x14ac:dyDescent="0.25">
      <c r="O555536" s="9"/>
    </row>
    <row r="555557" spans="15:15" x14ac:dyDescent="0.25">
      <c r="O555557" s="9"/>
    </row>
    <row r="555578" spans="15:15" x14ac:dyDescent="0.25">
      <c r="O555578" s="9"/>
    </row>
    <row r="555599" spans="15:15" x14ac:dyDescent="0.25">
      <c r="O555599" s="9"/>
    </row>
    <row r="555620" spans="15:15" x14ac:dyDescent="0.25">
      <c r="O555620" s="9"/>
    </row>
    <row r="555641" spans="15:15" x14ac:dyDescent="0.25">
      <c r="O555641" s="9"/>
    </row>
    <row r="555662" spans="15:15" x14ac:dyDescent="0.25">
      <c r="O555662" s="9"/>
    </row>
    <row r="555683" spans="15:15" x14ac:dyDescent="0.25">
      <c r="O555683" s="9"/>
    </row>
    <row r="555704" spans="15:15" x14ac:dyDescent="0.25">
      <c r="O555704" s="9"/>
    </row>
    <row r="555725" spans="15:15" x14ac:dyDescent="0.25">
      <c r="O555725" s="9"/>
    </row>
    <row r="555746" spans="15:15" x14ac:dyDescent="0.25">
      <c r="O555746" s="9"/>
    </row>
    <row r="555767" spans="15:15" x14ac:dyDescent="0.25">
      <c r="O555767" s="9"/>
    </row>
    <row r="555788" spans="15:15" x14ac:dyDescent="0.25">
      <c r="O555788" s="9"/>
    </row>
    <row r="555809" spans="15:15" x14ac:dyDescent="0.25">
      <c r="O555809" s="9"/>
    </row>
    <row r="555830" spans="15:15" x14ac:dyDescent="0.25">
      <c r="O555830" s="9"/>
    </row>
    <row r="555851" spans="15:15" x14ac:dyDescent="0.25">
      <c r="O555851" s="9"/>
    </row>
    <row r="555872" spans="15:15" x14ac:dyDescent="0.25">
      <c r="O555872" s="9"/>
    </row>
    <row r="555893" spans="15:15" x14ac:dyDescent="0.25">
      <c r="O555893" s="9"/>
    </row>
    <row r="555914" spans="15:15" x14ac:dyDescent="0.25">
      <c r="O555914" s="9"/>
    </row>
    <row r="555935" spans="15:15" x14ac:dyDescent="0.25">
      <c r="O555935" s="9"/>
    </row>
    <row r="555956" spans="15:15" x14ac:dyDescent="0.25">
      <c r="O555956" s="9"/>
    </row>
    <row r="555977" spans="15:15" x14ac:dyDescent="0.25">
      <c r="O555977" s="9"/>
    </row>
    <row r="555998" spans="15:15" x14ac:dyDescent="0.25">
      <c r="O555998" s="9"/>
    </row>
    <row r="556019" spans="15:15" x14ac:dyDescent="0.25">
      <c r="O556019" s="9"/>
    </row>
    <row r="556040" spans="15:15" x14ac:dyDescent="0.25">
      <c r="O556040" s="9"/>
    </row>
    <row r="556061" spans="15:15" x14ac:dyDescent="0.25">
      <c r="O556061" s="9"/>
    </row>
    <row r="556082" spans="15:15" x14ac:dyDescent="0.25">
      <c r="O556082" s="9"/>
    </row>
    <row r="556103" spans="15:15" x14ac:dyDescent="0.25">
      <c r="O556103" s="9"/>
    </row>
    <row r="556124" spans="15:15" x14ac:dyDescent="0.25">
      <c r="O556124" s="9"/>
    </row>
    <row r="556145" spans="15:15" x14ac:dyDescent="0.25">
      <c r="O556145" s="9"/>
    </row>
    <row r="556166" spans="15:15" x14ac:dyDescent="0.25">
      <c r="O556166" s="9"/>
    </row>
    <row r="556187" spans="15:15" x14ac:dyDescent="0.25">
      <c r="O556187" s="9"/>
    </row>
    <row r="556208" spans="15:15" x14ac:dyDescent="0.25">
      <c r="O556208" s="9"/>
    </row>
    <row r="556229" spans="15:15" x14ac:dyDescent="0.25">
      <c r="O556229" s="9"/>
    </row>
    <row r="556250" spans="15:15" x14ac:dyDescent="0.25">
      <c r="O556250" s="9"/>
    </row>
    <row r="556271" spans="15:15" x14ac:dyDescent="0.25">
      <c r="O556271" s="9"/>
    </row>
    <row r="556292" spans="15:15" x14ac:dyDescent="0.25">
      <c r="O556292" s="9"/>
    </row>
    <row r="556313" spans="15:15" x14ac:dyDescent="0.25">
      <c r="O556313" s="9"/>
    </row>
    <row r="556334" spans="15:15" x14ac:dyDescent="0.25">
      <c r="O556334" s="9"/>
    </row>
    <row r="556355" spans="15:15" x14ac:dyDescent="0.25">
      <c r="O556355" s="9"/>
    </row>
    <row r="556376" spans="15:15" x14ac:dyDescent="0.25">
      <c r="O556376" s="9"/>
    </row>
    <row r="556397" spans="15:15" x14ac:dyDescent="0.25">
      <c r="O556397" s="9"/>
    </row>
    <row r="556418" spans="15:15" x14ac:dyDescent="0.25">
      <c r="O556418" s="9"/>
    </row>
    <row r="556439" spans="15:15" x14ac:dyDescent="0.25">
      <c r="O556439" s="9"/>
    </row>
    <row r="556460" spans="15:15" x14ac:dyDescent="0.25">
      <c r="O556460" s="9"/>
    </row>
    <row r="556481" spans="15:15" x14ac:dyDescent="0.25">
      <c r="O556481" s="9"/>
    </row>
    <row r="556502" spans="15:15" x14ac:dyDescent="0.25">
      <c r="O556502" s="9"/>
    </row>
    <row r="556523" spans="15:15" x14ac:dyDescent="0.25">
      <c r="O556523" s="9"/>
    </row>
    <row r="556544" spans="15:15" x14ac:dyDescent="0.25">
      <c r="O556544" s="9"/>
    </row>
    <row r="556565" spans="15:15" x14ac:dyDescent="0.25">
      <c r="O556565" s="9"/>
    </row>
    <row r="556586" spans="15:15" x14ac:dyDescent="0.25">
      <c r="O556586" s="9"/>
    </row>
    <row r="556607" spans="15:15" x14ac:dyDescent="0.25">
      <c r="O556607" s="9"/>
    </row>
    <row r="556628" spans="15:15" x14ac:dyDescent="0.25">
      <c r="O556628" s="9"/>
    </row>
    <row r="556649" spans="15:15" x14ac:dyDescent="0.25">
      <c r="O556649" s="9"/>
    </row>
    <row r="556670" spans="15:15" x14ac:dyDescent="0.25">
      <c r="O556670" s="9"/>
    </row>
    <row r="556691" spans="15:15" x14ac:dyDescent="0.25">
      <c r="O556691" s="9"/>
    </row>
    <row r="556712" spans="15:15" x14ac:dyDescent="0.25">
      <c r="O556712" s="9"/>
    </row>
    <row r="556733" spans="15:15" x14ac:dyDescent="0.25">
      <c r="O556733" s="9"/>
    </row>
    <row r="556754" spans="15:15" x14ac:dyDescent="0.25">
      <c r="O556754" s="9"/>
    </row>
    <row r="556775" spans="15:15" x14ac:dyDescent="0.25">
      <c r="O556775" s="9"/>
    </row>
    <row r="556796" spans="15:15" x14ac:dyDescent="0.25">
      <c r="O556796" s="9"/>
    </row>
    <row r="556817" spans="15:15" x14ac:dyDescent="0.25">
      <c r="O556817" s="9"/>
    </row>
    <row r="556838" spans="15:15" x14ac:dyDescent="0.25">
      <c r="O556838" s="9"/>
    </row>
    <row r="556859" spans="15:15" x14ac:dyDescent="0.25">
      <c r="O556859" s="9"/>
    </row>
    <row r="556880" spans="15:15" x14ac:dyDescent="0.25">
      <c r="O556880" s="9"/>
    </row>
    <row r="556901" spans="15:15" x14ac:dyDescent="0.25">
      <c r="O556901" s="9"/>
    </row>
    <row r="556922" spans="15:15" x14ac:dyDescent="0.25">
      <c r="O556922" s="9"/>
    </row>
    <row r="556943" spans="15:15" x14ac:dyDescent="0.25">
      <c r="O556943" s="9"/>
    </row>
    <row r="556964" spans="15:15" x14ac:dyDescent="0.25">
      <c r="O556964" s="9"/>
    </row>
    <row r="556985" spans="15:15" x14ac:dyDescent="0.25">
      <c r="O556985" s="9"/>
    </row>
    <row r="557006" spans="15:15" x14ac:dyDescent="0.25">
      <c r="O557006" s="9"/>
    </row>
    <row r="557027" spans="15:15" x14ac:dyDescent="0.25">
      <c r="O557027" s="9"/>
    </row>
    <row r="557048" spans="15:15" x14ac:dyDescent="0.25">
      <c r="O557048" s="9"/>
    </row>
    <row r="557069" spans="15:15" x14ac:dyDescent="0.25">
      <c r="O557069" s="9"/>
    </row>
    <row r="557090" spans="15:15" x14ac:dyDescent="0.25">
      <c r="O557090" s="9"/>
    </row>
    <row r="557111" spans="15:15" x14ac:dyDescent="0.25">
      <c r="O557111" s="9"/>
    </row>
    <row r="557132" spans="15:15" x14ac:dyDescent="0.25">
      <c r="O557132" s="9"/>
    </row>
    <row r="557153" spans="15:15" x14ac:dyDescent="0.25">
      <c r="O557153" s="9"/>
    </row>
    <row r="557174" spans="15:15" x14ac:dyDescent="0.25">
      <c r="O557174" s="9"/>
    </row>
    <row r="557195" spans="15:15" x14ac:dyDescent="0.25">
      <c r="O557195" s="9"/>
    </row>
    <row r="557216" spans="15:15" x14ac:dyDescent="0.25">
      <c r="O557216" s="9"/>
    </row>
    <row r="557237" spans="15:15" x14ac:dyDescent="0.25">
      <c r="O557237" s="9"/>
    </row>
    <row r="557258" spans="15:15" x14ac:dyDescent="0.25">
      <c r="O557258" s="9"/>
    </row>
    <row r="557279" spans="15:15" x14ac:dyDescent="0.25">
      <c r="O557279" s="9"/>
    </row>
    <row r="557300" spans="15:15" x14ac:dyDescent="0.25">
      <c r="O557300" s="9"/>
    </row>
    <row r="557321" spans="15:15" x14ac:dyDescent="0.25">
      <c r="O557321" s="9"/>
    </row>
    <row r="557342" spans="15:15" x14ac:dyDescent="0.25">
      <c r="O557342" s="9"/>
    </row>
    <row r="557363" spans="15:15" x14ac:dyDescent="0.25">
      <c r="O557363" s="9"/>
    </row>
    <row r="557384" spans="15:15" x14ac:dyDescent="0.25">
      <c r="O557384" s="9"/>
    </row>
    <row r="557405" spans="15:15" x14ac:dyDescent="0.25">
      <c r="O557405" s="9"/>
    </row>
    <row r="557426" spans="15:15" x14ac:dyDescent="0.25">
      <c r="O557426" s="9"/>
    </row>
    <row r="557447" spans="15:15" x14ac:dyDescent="0.25">
      <c r="O557447" s="9"/>
    </row>
    <row r="557468" spans="15:15" x14ac:dyDescent="0.25">
      <c r="O557468" s="9"/>
    </row>
    <row r="557489" spans="15:15" x14ac:dyDescent="0.25">
      <c r="O557489" s="9"/>
    </row>
    <row r="557510" spans="15:15" x14ac:dyDescent="0.25">
      <c r="O557510" s="9"/>
    </row>
    <row r="557531" spans="15:15" x14ac:dyDescent="0.25">
      <c r="O557531" s="9"/>
    </row>
    <row r="557552" spans="15:15" x14ac:dyDescent="0.25">
      <c r="O557552" s="9"/>
    </row>
    <row r="557573" spans="15:15" x14ac:dyDescent="0.25">
      <c r="O557573" s="9"/>
    </row>
    <row r="557594" spans="15:15" x14ac:dyDescent="0.25">
      <c r="O557594" s="9"/>
    </row>
    <row r="557615" spans="15:15" x14ac:dyDescent="0.25">
      <c r="O557615" s="9"/>
    </row>
    <row r="557636" spans="15:15" x14ac:dyDescent="0.25">
      <c r="O557636" s="9"/>
    </row>
    <row r="557657" spans="15:15" x14ac:dyDescent="0.25">
      <c r="O557657" s="9"/>
    </row>
    <row r="557678" spans="15:15" x14ac:dyDescent="0.25">
      <c r="O557678" s="9"/>
    </row>
    <row r="557699" spans="15:15" x14ac:dyDescent="0.25">
      <c r="O557699" s="9"/>
    </row>
    <row r="557720" spans="15:15" x14ac:dyDescent="0.25">
      <c r="O557720" s="9"/>
    </row>
    <row r="557741" spans="15:15" x14ac:dyDescent="0.25">
      <c r="O557741" s="9"/>
    </row>
    <row r="557762" spans="15:15" x14ac:dyDescent="0.25">
      <c r="O557762" s="9"/>
    </row>
    <row r="557783" spans="15:15" x14ac:dyDescent="0.25">
      <c r="O557783" s="9"/>
    </row>
    <row r="557804" spans="15:15" x14ac:dyDescent="0.25">
      <c r="O557804" s="9"/>
    </row>
    <row r="557825" spans="15:15" x14ac:dyDescent="0.25">
      <c r="O557825" s="9"/>
    </row>
    <row r="557846" spans="15:15" x14ac:dyDescent="0.25">
      <c r="O557846" s="9"/>
    </row>
    <row r="557867" spans="15:15" x14ac:dyDescent="0.25">
      <c r="O557867" s="9"/>
    </row>
    <row r="557888" spans="15:15" x14ac:dyDescent="0.25">
      <c r="O557888" s="9"/>
    </row>
    <row r="557909" spans="15:15" x14ac:dyDescent="0.25">
      <c r="O557909" s="9"/>
    </row>
    <row r="557930" spans="15:15" x14ac:dyDescent="0.25">
      <c r="O557930" s="9"/>
    </row>
    <row r="557951" spans="15:15" x14ac:dyDescent="0.25">
      <c r="O557951" s="9"/>
    </row>
    <row r="557972" spans="15:15" x14ac:dyDescent="0.25">
      <c r="O557972" s="9"/>
    </row>
    <row r="557993" spans="15:15" x14ac:dyDescent="0.25">
      <c r="O557993" s="9"/>
    </row>
    <row r="558014" spans="15:15" x14ac:dyDescent="0.25">
      <c r="O558014" s="9"/>
    </row>
    <row r="558035" spans="15:15" x14ac:dyDescent="0.25">
      <c r="O558035" s="9"/>
    </row>
    <row r="558056" spans="15:15" x14ac:dyDescent="0.25">
      <c r="O558056" s="9"/>
    </row>
    <row r="558077" spans="15:15" x14ac:dyDescent="0.25">
      <c r="O558077" s="9"/>
    </row>
    <row r="558098" spans="15:15" x14ac:dyDescent="0.25">
      <c r="O558098" s="9"/>
    </row>
    <row r="558119" spans="15:15" x14ac:dyDescent="0.25">
      <c r="O558119" s="9"/>
    </row>
    <row r="558140" spans="15:15" x14ac:dyDescent="0.25">
      <c r="O558140" s="9"/>
    </row>
    <row r="558161" spans="15:15" x14ac:dyDescent="0.25">
      <c r="O558161" s="9"/>
    </row>
    <row r="558182" spans="15:15" x14ac:dyDescent="0.25">
      <c r="O558182" s="9"/>
    </row>
    <row r="558203" spans="15:15" x14ac:dyDescent="0.25">
      <c r="O558203" s="9"/>
    </row>
    <row r="558224" spans="15:15" x14ac:dyDescent="0.25">
      <c r="O558224" s="9"/>
    </row>
    <row r="558245" spans="15:15" x14ac:dyDescent="0.25">
      <c r="O558245" s="9"/>
    </row>
    <row r="558266" spans="15:15" x14ac:dyDescent="0.25">
      <c r="O558266" s="9"/>
    </row>
    <row r="558287" spans="15:15" x14ac:dyDescent="0.25">
      <c r="O558287" s="9"/>
    </row>
    <row r="558308" spans="15:15" x14ac:dyDescent="0.25">
      <c r="O558308" s="9"/>
    </row>
    <row r="558329" spans="15:15" x14ac:dyDescent="0.25">
      <c r="O558329" s="9"/>
    </row>
    <row r="558350" spans="15:15" x14ac:dyDescent="0.25">
      <c r="O558350" s="9"/>
    </row>
    <row r="558371" spans="15:15" x14ac:dyDescent="0.25">
      <c r="O558371" s="9"/>
    </row>
    <row r="558392" spans="15:15" x14ac:dyDescent="0.25">
      <c r="O558392" s="9"/>
    </row>
    <row r="558413" spans="15:15" x14ac:dyDescent="0.25">
      <c r="O558413" s="9"/>
    </row>
    <row r="558434" spans="15:15" x14ac:dyDescent="0.25">
      <c r="O558434" s="9"/>
    </row>
    <row r="558455" spans="15:15" x14ac:dyDescent="0.25">
      <c r="O558455" s="9"/>
    </row>
    <row r="558476" spans="15:15" x14ac:dyDescent="0.25">
      <c r="O558476" s="9"/>
    </row>
    <row r="558497" spans="15:15" x14ac:dyDescent="0.25">
      <c r="O558497" s="9"/>
    </row>
    <row r="558518" spans="15:15" x14ac:dyDescent="0.25">
      <c r="O558518" s="9"/>
    </row>
    <row r="558539" spans="15:15" x14ac:dyDescent="0.25">
      <c r="O558539" s="9"/>
    </row>
    <row r="558560" spans="15:15" x14ac:dyDescent="0.25">
      <c r="O558560" s="9"/>
    </row>
    <row r="558581" spans="15:15" x14ac:dyDescent="0.25">
      <c r="O558581" s="9"/>
    </row>
    <row r="558602" spans="15:15" x14ac:dyDescent="0.25">
      <c r="O558602" s="9"/>
    </row>
    <row r="558623" spans="15:15" x14ac:dyDescent="0.25">
      <c r="O558623" s="9"/>
    </row>
    <row r="558644" spans="15:15" x14ac:dyDescent="0.25">
      <c r="O558644" s="9"/>
    </row>
    <row r="558665" spans="15:15" x14ac:dyDescent="0.25">
      <c r="O558665" s="9"/>
    </row>
    <row r="558686" spans="15:15" x14ac:dyDescent="0.25">
      <c r="O558686" s="9"/>
    </row>
    <row r="558707" spans="15:15" x14ac:dyDescent="0.25">
      <c r="O558707" s="9"/>
    </row>
    <row r="558728" spans="15:15" x14ac:dyDescent="0.25">
      <c r="O558728" s="9"/>
    </row>
    <row r="558749" spans="15:15" x14ac:dyDescent="0.25">
      <c r="O558749" s="9"/>
    </row>
    <row r="558770" spans="15:15" x14ac:dyDescent="0.25">
      <c r="O558770" s="9"/>
    </row>
    <row r="558791" spans="15:15" x14ac:dyDescent="0.25">
      <c r="O558791" s="9"/>
    </row>
    <row r="558812" spans="15:15" x14ac:dyDescent="0.25">
      <c r="O558812" s="9"/>
    </row>
    <row r="558833" spans="15:15" x14ac:dyDescent="0.25">
      <c r="O558833" s="9"/>
    </row>
    <row r="558854" spans="15:15" x14ac:dyDescent="0.25">
      <c r="O558854" s="9"/>
    </row>
    <row r="558875" spans="15:15" x14ac:dyDescent="0.25">
      <c r="O558875" s="9"/>
    </row>
    <row r="558896" spans="15:15" x14ac:dyDescent="0.25">
      <c r="O558896" s="9"/>
    </row>
    <row r="558917" spans="15:15" x14ac:dyDescent="0.25">
      <c r="O558917" s="9"/>
    </row>
    <row r="558938" spans="15:15" x14ac:dyDescent="0.25">
      <c r="O558938" s="9"/>
    </row>
    <row r="558959" spans="15:15" x14ac:dyDescent="0.25">
      <c r="O558959" s="9"/>
    </row>
    <row r="558980" spans="15:15" x14ac:dyDescent="0.25">
      <c r="O558980" s="9"/>
    </row>
    <row r="559001" spans="15:15" x14ac:dyDescent="0.25">
      <c r="O559001" s="9"/>
    </row>
    <row r="559022" spans="15:15" x14ac:dyDescent="0.25">
      <c r="O559022" s="9"/>
    </row>
    <row r="559043" spans="15:15" x14ac:dyDescent="0.25">
      <c r="O559043" s="9"/>
    </row>
    <row r="559064" spans="15:15" x14ac:dyDescent="0.25">
      <c r="O559064" s="9"/>
    </row>
    <row r="559085" spans="15:15" x14ac:dyDescent="0.25">
      <c r="O559085" s="9"/>
    </row>
    <row r="559106" spans="15:15" x14ac:dyDescent="0.25">
      <c r="O559106" s="9"/>
    </row>
    <row r="559127" spans="15:15" x14ac:dyDescent="0.25">
      <c r="O559127" s="9"/>
    </row>
    <row r="559148" spans="15:15" x14ac:dyDescent="0.25">
      <c r="O559148" s="9"/>
    </row>
    <row r="559169" spans="15:15" x14ac:dyDescent="0.25">
      <c r="O559169" s="9"/>
    </row>
    <row r="559190" spans="15:15" x14ac:dyDescent="0.25">
      <c r="O559190" s="9"/>
    </row>
    <row r="559211" spans="15:15" x14ac:dyDescent="0.25">
      <c r="O559211" s="9"/>
    </row>
    <row r="559232" spans="15:15" x14ac:dyDescent="0.25">
      <c r="O559232" s="9"/>
    </row>
    <row r="559253" spans="15:15" x14ac:dyDescent="0.25">
      <c r="O559253" s="9"/>
    </row>
    <row r="559274" spans="15:15" x14ac:dyDescent="0.25">
      <c r="O559274" s="9"/>
    </row>
    <row r="559295" spans="15:15" x14ac:dyDescent="0.25">
      <c r="O559295" s="9"/>
    </row>
    <row r="559316" spans="15:15" x14ac:dyDescent="0.25">
      <c r="O559316" s="9"/>
    </row>
    <row r="559337" spans="15:15" x14ac:dyDescent="0.25">
      <c r="O559337" s="9"/>
    </row>
    <row r="559358" spans="15:15" x14ac:dyDescent="0.25">
      <c r="O559358" s="9"/>
    </row>
    <row r="559379" spans="15:15" x14ac:dyDescent="0.25">
      <c r="O559379" s="9"/>
    </row>
    <row r="559400" spans="15:15" x14ac:dyDescent="0.25">
      <c r="O559400" s="9"/>
    </row>
    <row r="559421" spans="15:15" x14ac:dyDescent="0.25">
      <c r="O559421" s="9"/>
    </row>
    <row r="559442" spans="15:15" x14ac:dyDescent="0.25">
      <c r="O559442" s="9"/>
    </row>
    <row r="559463" spans="15:15" x14ac:dyDescent="0.25">
      <c r="O559463" s="9"/>
    </row>
    <row r="559484" spans="15:15" x14ac:dyDescent="0.25">
      <c r="O559484" s="9"/>
    </row>
    <row r="559505" spans="15:15" x14ac:dyDescent="0.25">
      <c r="O559505" s="9"/>
    </row>
    <row r="559526" spans="15:15" x14ac:dyDescent="0.25">
      <c r="O559526" s="9"/>
    </row>
    <row r="559547" spans="15:15" x14ac:dyDescent="0.25">
      <c r="O559547" s="9"/>
    </row>
    <row r="559568" spans="15:15" x14ac:dyDescent="0.25">
      <c r="O559568" s="9"/>
    </row>
    <row r="559589" spans="15:15" x14ac:dyDescent="0.25">
      <c r="O559589" s="9"/>
    </row>
    <row r="559610" spans="15:15" x14ac:dyDescent="0.25">
      <c r="O559610" s="9"/>
    </row>
    <row r="559631" spans="15:15" x14ac:dyDescent="0.25">
      <c r="O559631" s="9"/>
    </row>
    <row r="559652" spans="15:15" x14ac:dyDescent="0.25">
      <c r="O559652" s="9"/>
    </row>
    <row r="559673" spans="15:15" x14ac:dyDescent="0.25">
      <c r="O559673" s="9"/>
    </row>
    <row r="559694" spans="15:15" x14ac:dyDescent="0.25">
      <c r="O559694" s="9"/>
    </row>
    <row r="559715" spans="15:15" x14ac:dyDescent="0.25">
      <c r="O559715" s="9"/>
    </row>
    <row r="559736" spans="15:15" x14ac:dyDescent="0.25">
      <c r="O559736" s="9"/>
    </row>
    <row r="559757" spans="15:15" x14ac:dyDescent="0.25">
      <c r="O559757" s="9"/>
    </row>
    <row r="559778" spans="15:15" x14ac:dyDescent="0.25">
      <c r="O559778" s="9"/>
    </row>
    <row r="559799" spans="15:15" x14ac:dyDescent="0.25">
      <c r="O559799" s="9"/>
    </row>
    <row r="559820" spans="15:15" x14ac:dyDescent="0.25">
      <c r="O559820" s="9"/>
    </row>
    <row r="559841" spans="15:15" x14ac:dyDescent="0.25">
      <c r="O559841" s="9"/>
    </row>
    <row r="559862" spans="15:15" x14ac:dyDescent="0.25">
      <c r="O559862" s="9"/>
    </row>
    <row r="559883" spans="15:15" x14ac:dyDescent="0.25">
      <c r="O559883" s="9"/>
    </row>
    <row r="559904" spans="15:15" x14ac:dyDescent="0.25">
      <c r="O559904" s="9"/>
    </row>
    <row r="559925" spans="15:15" x14ac:dyDescent="0.25">
      <c r="O559925" s="9"/>
    </row>
    <row r="559946" spans="15:15" x14ac:dyDescent="0.25">
      <c r="O559946" s="9"/>
    </row>
    <row r="559967" spans="15:15" x14ac:dyDescent="0.25">
      <c r="O559967" s="9"/>
    </row>
    <row r="559988" spans="15:15" x14ac:dyDescent="0.25">
      <c r="O559988" s="9"/>
    </row>
    <row r="560009" spans="15:15" x14ac:dyDescent="0.25">
      <c r="O560009" s="9"/>
    </row>
    <row r="560030" spans="15:15" x14ac:dyDescent="0.25">
      <c r="O560030" s="9"/>
    </row>
    <row r="560051" spans="15:15" x14ac:dyDescent="0.25">
      <c r="O560051" s="9"/>
    </row>
    <row r="560072" spans="15:15" x14ac:dyDescent="0.25">
      <c r="O560072" s="9"/>
    </row>
    <row r="560093" spans="15:15" x14ac:dyDescent="0.25">
      <c r="O560093" s="9"/>
    </row>
    <row r="560114" spans="15:15" x14ac:dyDescent="0.25">
      <c r="O560114" s="9"/>
    </row>
    <row r="560135" spans="15:15" x14ac:dyDescent="0.25">
      <c r="O560135" s="9"/>
    </row>
    <row r="560156" spans="15:15" x14ac:dyDescent="0.25">
      <c r="O560156" s="9"/>
    </row>
    <row r="560177" spans="15:15" x14ac:dyDescent="0.25">
      <c r="O560177" s="9"/>
    </row>
    <row r="560198" spans="15:15" x14ac:dyDescent="0.25">
      <c r="O560198" s="9"/>
    </row>
    <row r="560219" spans="15:15" x14ac:dyDescent="0.25">
      <c r="O560219" s="9"/>
    </row>
    <row r="560240" spans="15:15" x14ac:dyDescent="0.25">
      <c r="O560240" s="9"/>
    </row>
    <row r="560261" spans="15:15" x14ac:dyDescent="0.25">
      <c r="O560261" s="9"/>
    </row>
    <row r="560282" spans="15:15" x14ac:dyDescent="0.25">
      <c r="O560282" s="9"/>
    </row>
    <row r="560303" spans="15:15" x14ac:dyDescent="0.25">
      <c r="O560303" s="9"/>
    </row>
    <row r="560324" spans="15:15" x14ac:dyDescent="0.25">
      <c r="O560324" s="9"/>
    </row>
    <row r="560345" spans="15:15" x14ac:dyDescent="0.25">
      <c r="O560345" s="9"/>
    </row>
    <row r="560366" spans="15:15" x14ac:dyDescent="0.25">
      <c r="O560366" s="9"/>
    </row>
    <row r="560387" spans="15:15" x14ac:dyDescent="0.25">
      <c r="O560387" s="9"/>
    </row>
    <row r="560408" spans="15:15" x14ac:dyDescent="0.25">
      <c r="O560408" s="9"/>
    </row>
    <row r="560429" spans="15:15" x14ac:dyDescent="0.25">
      <c r="O560429" s="9"/>
    </row>
    <row r="560450" spans="15:15" x14ac:dyDescent="0.25">
      <c r="O560450" s="9"/>
    </row>
    <row r="560471" spans="15:15" x14ac:dyDescent="0.25">
      <c r="O560471" s="9"/>
    </row>
    <row r="560492" spans="15:15" x14ac:dyDescent="0.25">
      <c r="O560492" s="9"/>
    </row>
    <row r="560513" spans="15:15" x14ac:dyDescent="0.25">
      <c r="O560513" s="9"/>
    </row>
    <row r="560534" spans="15:15" x14ac:dyDescent="0.25">
      <c r="O560534" s="9"/>
    </row>
    <row r="560555" spans="15:15" x14ac:dyDescent="0.25">
      <c r="O560555" s="9"/>
    </row>
    <row r="560576" spans="15:15" x14ac:dyDescent="0.25">
      <c r="O560576" s="9"/>
    </row>
    <row r="560597" spans="15:15" x14ac:dyDescent="0.25">
      <c r="O560597" s="9"/>
    </row>
    <row r="560618" spans="15:15" x14ac:dyDescent="0.25">
      <c r="O560618" s="9"/>
    </row>
    <row r="560639" spans="15:15" x14ac:dyDescent="0.25">
      <c r="O560639" s="9"/>
    </row>
    <row r="560660" spans="15:15" x14ac:dyDescent="0.25">
      <c r="O560660" s="9"/>
    </row>
    <row r="560681" spans="15:15" x14ac:dyDescent="0.25">
      <c r="O560681" s="9"/>
    </row>
    <row r="560702" spans="15:15" x14ac:dyDescent="0.25">
      <c r="O560702" s="9"/>
    </row>
    <row r="560723" spans="15:15" x14ac:dyDescent="0.25">
      <c r="O560723" s="9"/>
    </row>
    <row r="560744" spans="15:15" x14ac:dyDescent="0.25">
      <c r="O560744" s="9"/>
    </row>
    <row r="560765" spans="15:15" x14ac:dyDescent="0.25">
      <c r="O560765" s="9"/>
    </row>
    <row r="560786" spans="15:15" x14ac:dyDescent="0.25">
      <c r="O560786" s="9"/>
    </row>
    <row r="560807" spans="15:15" x14ac:dyDescent="0.25">
      <c r="O560807" s="9"/>
    </row>
    <row r="560828" spans="15:15" x14ac:dyDescent="0.25">
      <c r="O560828" s="9"/>
    </row>
    <row r="560849" spans="15:15" x14ac:dyDescent="0.25">
      <c r="O560849" s="9"/>
    </row>
    <row r="560870" spans="15:15" x14ac:dyDescent="0.25">
      <c r="O560870" s="9"/>
    </row>
    <row r="560891" spans="15:15" x14ac:dyDescent="0.25">
      <c r="O560891" s="9"/>
    </row>
    <row r="560912" spans="15:15" x14ac:dyDescent="0.25">
      <c r="O560912" s="9"/>
    </row>
    <row r="560933" spans="15:15" x14ac:dyDescent="0.25">
      <c r="O560933" s="9"/>
    </row>
    <row r="560954" spans="15:15" x14ac:dyDescent="0.25">
      <c r="O560954" s="9"/>
    </row>
    <row r="560975" spans="15:15" x14ac:dyDescent="0.25">
      <c r="O560975" s="9"/>
    </row>
    <row r="560996" spans="15:15" x14ac:dyDescent="0.25">
      <c r="O560996" s="9"/>
    </row>
    <row r="561017" spans="15:15" x14ac:dyDescent="0.25">
      <c r="O561017" s="9"/>
    </row>
    <row r="561038" spans="15:15" x14ac:dyDescent="0.25">
      <c r="O561038" s="9"/>
    </row>
    <row r="561059" spans="15:15" x14ac:dyDescent="0.25">
      <c r="O561059" s="9"/>
    </row>
    <row r="561080" spans="15:15" x14ac:dyDescent="0.25">
      <c r="O561080" s="9"/>
    </row>
    <row r="561101" spans="15:15" x14ac:dyDescent="0.25">
      <c r="O561101" s="9"/>
    </row>
    <row r="561122" spans="15:15" x14ac:dyDescent="0.25">
      <c r="O561122" s="9"/>
    </row>
    <row r="561143" spans="15:15" x14ac:dyDescent="0.25">
      <c r="O561143" s="9"/>
    </row>
    <row r="561164" spans="15:15" x14ac:dyDescent="0.25">
      <c r="O561164" s="9"/>
    </row>
    <row r="561185" spans="15:15" x14ac:dyDescent="0.25">
      <c r="O561185" s="9"/>
    </row>
    <row r="561206" spans="15:15" x14ac:dyDescent="0.25">
      <c r="O561206" s="9"/>
    </row>
    <row r="561227" spans="15:15" x14ac:dyDescent="0.25">
      <c r="O561227" s="9"/>
    </row>
    <row r="561248" spans="15:15" x14ac:dyDescent="0.25">
      <c r="O561248" s="9"/>
    </row>
    <row r="561269" spans="15:15" x14ac:dyDescent="0.25">
      <c r="O561269" s="9"/>
    </row>
    <row r="561290" spans="15:15" x14ac:dyDescent="0.25">
      <c r="O561290" s="9"/>
    </row>
    <row r="561311" spans="15:15" x14ac:dyDescent="0.25">
      <c r="O561311" s="9"/>
    </row>
    <row r="561332" spans="15:15" x14ac:dyDescent="0.25">
      <c r="O561332" s="9"/>
    </row>
    <row r="561353" spans="15:15" x14ac:dyDescent="0.25">
      <c r="O561353" s="9"/>
    </row>
    <row r="561374" spans="15:15" x14ac:dyDescent="0.25">
      <c r="O561374" s="9"/>
    </row>
    <row r="561395" spans="15:15" x14ac:dyDescent="0.25">
      <c r="O561395" s="9"/>
    </row>
    <row r="561416" spans="15:15" x14ac:dyDescent="0.25">
      <c r="O561416" s="9"/>
    </row>
    <row r="561437" spans="15:15" x14ac:dyDescent="0.25">
      <c r="O561437" s="9"/>
    </row>
    <row r="561458" spans="15:15" x14ac:dyDescent="0.25">
      <c r="O561458" s="9"/>
    </row>
    <row r="561479" spans="15:15" x14ac:dyDescent="0.25">
      <c r="O561479" s="9"/>
    </row>
    <row r="561500" spans="15:15" x14ac:dyDescent="0.25">
      <c r="O561500" s="9"/>
    </row>
    <row r="561521" spans="15:15" x14ac:dyDescent="0.25">
      <c r="O561521" s="9"/>
    </row>
    <row r="561542" spans="15:15" x14ac:dyDescent="0.25">
      <c r="O561542" s="9"/>
    </row>
    <row r="561563" spans="15:15" x14ac:dyDescent="0.25">
      <c r="O561563" s="9"/>
    </row>
    <row r="561584" spans="15:15" x14ac:dyDescent="0.25">
      <c r="O561584" s="9"/>
    </row>
    <row r="561605" spans="15:15" x14ac:dyDescent="0.25">
      <c r="O561605" s="9"/>
    </row>
    <row r="561626" spans="15:15" x14ac:dyDescent="0.25">
      <c r="O561626" s="9"/>
    </row>
    <row r="561647" spans="15:15" x14ac:dyDescent="0.25">
      <c r="O561647" s="9"/>
    </row>
    <row r="561668" spans="15:15" x14ac:dyDescent="0.25">
      <c r="O561668" s="9"/>
    </row>
    <row r="561689" spans="15:15" x14ac:dyDescent="0.25">
      <c r="O561689" s="9"/>
    </row>
    <row r="561710" spans="15:15" x14ac:dyDescent="0.25">
      <c r="O561710" s="9"/>
    </row>
    <row r="561731" spans="15:15" x14ac:dyDescent="0.25">
      <c r="O561731" s="9"/>
    </row>
    <row r="561752" spans="15:15" x14ac:dyDescent="0.25">
      <c r="O561752" s="9"/>
    </row>
    <row r="561773" spans="15:15" x14ac:dyDescent="0.25">
      <c r="O561773" s="9"/>
    </row>
    <row r="561794" spans="15:15" x14ac:dyDescent="0.25">
      <c r="O561794" s="9"/>
    </row>
    <row r="561815" spans="15:15" x14ac:dyDescent="0.25">
      <c r="O561815" s="9"/>
    </row>
    <row r="561836" spans="15:15" x14ac:dyDescent="0.25">
      <c r="O561836" s="9"/>
    </row>
    <row r="561857" spans="15:15" x14ac:dyDescent="0.25">
      <c r="O561857" s="9"/>
    </row>
    <row r="561878" spans="15:15" x14ac:dyDescent="0.25">
      <c r="O561878" s="9"/>
    </row>
    <row r="561899" spans="15:15" x14ac:dyDescent="0.25">
      <c r="O561899" s="9"/>
    </row>
    <row r="561920" spans="15:15" x14ac:dyDescent="0.25">
      <c r="O561920" s="9"/>
    </row>
    <row r="561941" spans="15:15" x14ac:dyDescent="0.25">
      <c r="O561941" s="9"/>
    </row>
    <row r="561962" spans="15:15" x14ac:dyDescent="0.25">
      <c r="O561962" s="9"/>
    </row>
    <row r="561983" spans="15:15" x14ac:dyDescent="0.25">
      <c r="O561983" s="9"/>
    </row>
    <row r="562004" spans="15:15" x14ac:dyDescent="0.25">
      <c r="O562004" s="9"/>
    </row>
    <row r="562025" spans="15:15" x14ac:dyDescent="0.25">
      <c r="O562025" s="9"/>
    </row>
    <row r="562046" spans="15:15" x14ac:dyDescent="0.25">
      <c r="O562046" s="9"/>
    </row>
    <row r="562067" spans="15:15" x14ac:dyDescent="0.25">
      <c r="O562067" s="9"/>
    </row>
    <row r="562088" spans="15:15" x14ac:dyDescent="0.25">
      <c r="O562088" s="9"/>
    </row>
    <row r="562109" spans="15:15" x14ac:dyDescent="0.25">
      <c r="O562109" s="9"/>
    </row>
    <row r="562130" spans="15:15" x14ac:dyDescent="0.25">
      <c r="O562130" s="9"/>
    </row>
    <row r="562151" spans="15:15" x14ac:dyDescent="0.25">
      <c r="O562151" s="9"/>
    </row>
    <row r="562172" spans="15:15" x14ac:dyDescent="0.25">
      <c r="O562172" s="9"/>
    </row>
    <row r="562193" spans="15:15" x14ac:dyDescent="0.25">
      <c r="O562193" s="9"/>
    </row>
    <row r="562214" spans="15:15" x14ac:dyDescent="0.25">
      <c r="O562214" s="9"/>
    </row>
    <row r="562235" spans="15:15" x14ac:dyDescent="0.25">
      <c r="O562235" s="9"/>
    </row>
    <row r="562256" spans="15:15" x14ac:dyDescent="0.25">
      <c r="O562256" s="9"/>
    </row>
    <row r="562277" spans="15:15" x14ac:dyDescent="0.25">
      <c r="O562277" s="9"/>
    </row>
    <row r="562298" spans="15:15" x14ac:dyDescent="0.25">
      <c r="O562298" s="9"/>
    </row>
    <row r="562319" spans="15:15" x14ac:dyDescent="0.25">
      <c r="O562319" s="9"/>
    </row>
    <row r="562340" spans="15:15" x14ac:dyDescent="0.25">
      <c r="O562340" s="9"/>
    </row>
    <row r="562361" spans="15:15" x14ac:dyDescent="0.25">
      <c r="O562361" s="9"/>
    </row>
    <row r="562382" spans="15:15" x14ac:dyDescent="0.25">
      <c r="O562382" s="9"/>
    </row>
    <row r="562403" spans="15:15" x14ac:dyDescent="0.25">
      <c r="O562403" s="9"/>
    </row>
    <row r="562424" spans="15:15" x14ac:dyDescent="0.25">
      <c r="O562424" s="9"/>
    </row>
    <row r="562445" spans="15:15" x14ac:dyDescent="0.25">
      <c r="O562445" s="9"/>
    </row>
    <row r="562466" spans="15:15" x14ac:dyDescent="0.25">
      <c r="O562466" s="9"/>
    </row>
    <row r="562487" spans="15:15" x14ac:dyDescent="0.25">
      <c r="O562487" s="9"/>
    </row>
    <row r="562508" spans="15:15" x14ac:dyDescent="0.25">
      <c r="O562508" s="9"/>
    </row>
    <row r="562529" spans="15:15" x14ac:dyDescent="0.25">
      <c r="O562529" s="9"/>
    </row>
    <row r="562550" spans="15:15" x14ac:dyDescent="0.25">
      <c r="O562550" s="9"/>
    </row>
    <row r="562571" spans="15:15" x14ac:dyDescent="0.25">
      <c r="O562571" s="9"/>
    </row>
    <row r="562592" spans="15:15" x14ac:dyDescent="0.25">
      <c r="O562592" s="9"/>
    </row>
    <row r="562613" spans="15:15" x14ac:dyDescent="0.25">
      <c r="O562613" s="9"/>
    </row>
    <row r="562634" spans="15:15" x14ac:dyDescent="0.25">
      <c r="O562634" s="9"/>
    </row>
    <row r="562655" spans="15:15" x14ac:dyDescent="0.25">
      <c r="O562655" s="9"/>
    </row>
    <row r="562676" spans="15:15" x14ac:dyDescent="0.25">
      <c r="O562676" s="9"/>
    </row>
    <row r="562697" spans="15:15" x14ac:dyDescent="0.25">
      <c r="O562697" s="9"/>
    </row>
    <row r="562718" spans="15:15" x14ac:dyDescent="0.25">
      <c r="O562718" s="9"/>
    </row>
    <row r="562739" spans="15:15" x14ac:dyDescent="0.25">
      <c r="O562739" s="9"/>
    </row>
    <row r="562760" spans="15:15" x14ac:dyDescent="0.25">
      <c r="O562760" s="9"/>
    </row>
    <row r="562781" spans="15:15" x14ac:dyDescent="0.25">
      <c r="O562781" s="9"/>
    </row>
    <row r="562802" spans="15:15" x14ac:dyDescent="0.25">
      <c r="O562802" s="9"/>
    </row>
    <row r="562823" spans="15:15" x14ac:dyDescent="0.25">
      <c r="O562823" s="9"/>
    </row>
    <row r="562844" spans="15:15" x14ac:dyDescent="0.25">
      <c r="O562844" s="9"/>
    </row>
    <row r="562865" spans="15:15" x14ac:dyDescent="0.25">
      <c r="O562865" s="9"/>
    </row>
    <row r="562886" spans="15:15" x14ac:dyDescent="0.25">
      <c r="O562886" s="9"/>
    </row>
    <row r="562907" spans="15:15" x14ac:dyDescent="0.25">
      <c r="O562907" s="9"/>
    </row>
    <row r="562928" spans="15:15" x14ac:dyDescent="0.25">
      <c r="O562928" s="9"/>
    </row>
    <row r="562949" spans="15:15" x14ac:dyDescent="0.25">
      <c r="O562949" s="9"/>
    </row>
    <row r="562970" spans="15:15" x14ac:dyDescent="0.25">
      <c r="O562970" s="9"/>
    </row>
    <row r="562991" spans="15:15" x14ac:dyDescent="0.25">
      <c r="O562991" s="9"/>
    </row>
    <row r="563012" spans="15:15" x14ac:dyDescent="0.25">
      <c r="O563012" s="9"/>
    </row>
    <row r="563033" spans="15:15" x14ac:dyDescent="0.25">
      <c r="O563033" s="9"/>
    </row>
    <row r="563054" spans="15:15" x14ac:dyDescent="0.25">
      <c r="O563054" s="9"/>
    </row>
    <row r="563075" spans="15:15" x14ac:dyDescent="0.25">
      <c r="O563075" s="9"/>
    </row>
    <row r="563096" spans="15:15" x14ac:dyDescent="0.25">
      <c r="O563096" s="9"/>
    </row>
    <row r="563117" spans="15:15" x14ac:dyDescent="0.25">
      <c r="O563117" s="9"/>
    </row>
    <row r="563138" spans="15:15" x14ac:dyDescent="0.25">
      <c r="O563138" s="9"/>
    </row>
    <row r="563159" spans="15:15" x14ac:dyDescent="0.25">
      <c r="O563159" s="9"/>
    </row>
    <row r="563180" spans="15:15" x14ac:dyDescent="0.25">
      <c r="O563180" s="9"/>
    </row>
    <row r="563201" spans="15:15" x14ac:dyDescent="0.25">
      <c r="O563201" s="9"/>
    </row>
    <row r="563222" spans="15:15" x14ac:dyDescent="0.25">
      <c r="O563222" s="9"/>
    </row>
    <row r="563243" spans="15:15" x14ac:dyDescent="0.25">
      <c r="O563243" s="9"/>
    </row>
    <row r="563264" spans="15:15" x14ac:dyDescent="0.25">
      <c r="O563264" s="9"/>
    </row>
    <row r="563285" spans="15:15" x14ac:dyDescent="0.25">
      <c r="O563285" s="9"/>
    </row>
    <row r="563306" spans="15:15" x14ac:dyDescent="0.25">
      <c r="O563306" s="9"/>
    </row>
    <row r="563327" spans="15:15" x14ac:dyDescent="0.25">
      <c r="O563327" s="9"/>
    </row>
    <row r="563348" spans="15:15" x14ac:dyDescent="0.25">
      <c r="O563348" s="9"/>
    </row>
    <row r="563369" spans="15:15" x14ac:dyDescent="0.25">
      <c r="O563369" s="9"/>
    </row>
    <row r="563390" spans="15:15" x14ac:dyDescent="0.25">
      <c r="O563390" s="9"/>
    </row>
    <row r="563411" spans="15:15" x14ac:dyDescent="0.25">
      <c r="O563411" s="9"/>
    </row>
    <row r="563432" spans="15:15" x14ac:dyDescent="0.25">
      <c r="O563432" s="9"/>
    </row>
    <row r="563453" spans="15:15" x14ac:dyDescent="0.25">
      <c r="O563453" s="9"/>
    </row>
    <row r="563474" spans="15:15" x14ac:dyDescent="0.25">
      <c r="O563474" s="9"/>
    </row>
    <row r="563495" spans="15:15" x14ac:dyDescent="0.25">
      <c r="O563495" s="9"/>
    </row>
    <row r="563516" spans="15:15" x14ac:dyDescent="0.25">
      <c r="O563516" s="9"/>
    </row>
    <row r="563537" spans="15:15" x14ac:dyDescent="0.25">
      <c r="O563537" s="9"/>
    </row>
    <row r="563558" spans="15:15" x14ac:dyDescent="0.25">
      <c r="O563558" s="9"/>
    </row>
    <row r="563579" spans="15:15" x14ac:dyDescent="0.25">
      <c r="O563579" s="9"/>
    </row>
    <row r="563600" spans="15:15" x14ac:dyDescent="0.25">
      <c r="O563600" s="9"/>
    </row>
    <row r="563621" spans="15:15" x14ac:dyDescent="0.25">
      <c r="O563621" s="9"/>
    </row>
    <row r="563642" spans="15:15" x14ac:dyDescent="0.25">
      <c r="O563642" s="9"/>
    </row>
    <row r="563663" spans="15:15" x14ac:dyDescent="0.25">
      <c r="O563663" s="9"/>
    </row>
    <row r="563684" spans="15:15" x14ac:dyDescent="0.25">
      <c r="O563684" s="9"/>
    </row>
    <row r="563705" spans="15:15" x14ac:dyDescent="0.25">
      <c r="O563705" s="9"/>
    </row>
    <row r="563726" spans="15:15" x14ac:dyDescent="0.25">
      <c r="O563726" s="9"/>
    </row>
    <row r="563747" spans="15:15" x14ac:dyDescent="0.25">
      <c r="O563747" s="9"/>
    </row>
    <row r="563768" spans="15:15" x14ac:dyDescent="0.25">
      <c r="O563768" s="9"/>
    </row>
    <row r="563789" spans="15:15" x14ac:dyDescent="0.25">
      <c r="O563789" s="9"/>
    </row>
    <row r="563810" spans="15:15" x14ac:dyDescent="0.25">
      <c r="O563810" s="9"/>
    </row>
    <row r="563831" spans="15:15" x14ac:dyDescent="0.25">
      <c r="O563831" s="9"/>
    </row>
    <row r="563852" spans="15:15" x14ac:dyDescent="0.25">
      <c r="O563852" s="9"/>
    </row>
    <row r="563873" spans="15:15" x14ac:dyDescent="0.25">
      <c r="O563873" s="9"/>
    </row>
    <row r="563894" spans="15:15" x14ac:dyDescent="0.25">
      <c r="O563894" s="9"/>
    </row>
    <row r="563915" spans="15:15" x14ac:dyDescent="0.25">
      <c r="O563915" s="9"/>
    </row>
    <row r="563936" spans="15:15" x14ac:dyDescent="0.25">
      <c r="O563936" s="9"/>
    </row>
    <row r="563957" spans="15:15" x14ac:dyDescent="0.25">
      <c r="O563957" s="9"/>
    </row>
    <row r="563978" spans="15:15" x14ac:dyDescent="0.25">
      <c r="O563978" s="9"/>
    </row>
    <row r="563999" spans="15:15" x14ac:dyDescent="0.25">
      <c r="O563999" s="9"/>
    </row>
    <row r="564020" spans="15:15" x14ac:dyDescent="0.25">
      <c r="O564020" s="9"/>
    </row>
    <row r="564041" spans="15:15" x14ac:dyDescent="0.25">
      <c r="O564041" s="9"/>
    </row>
    <row r="564062" spans="15:15" x14ac:dyDescent="0.25">
      <c r="O564062" s="9"/>
    </row>
    <row r="564083" spans="15:15" x14ac:dyDescent="0.25">
      <c r="O564083" s="9"/>
    </row>
    <row r="564104" spans="15:15" x14ac:dyDescent="0.25">
      <c r="O564104" s="9"/>
    </row>
    <row r="564125" spans="15:15" x14ac:dyDescent="0.25">
      <c r="O564125" s="9"/>
    </row>
    <row r="564146" spans="15:15" x14ac:dyDescent="0.25">
      <c r="O564146" s="9"/>
    </row>
    <row r="564167" spans="15:15" x14ac:dyDescent="0.25">
      <c r="O564167" s="9"/>
    </row>
    <row r="564188" spans="15:15" x14ac:dyDescent="0.25">
      <c r="O564188" s="9"/>
    </row>
    <row r="564209" spans="15:15" x14ac:dyDescent="0.25">
      <c r="O564209" s="9"/>
    </row>
    <row r="564230" spans="15:15" x14ac:dyDescent="0.25">
      <c r="O564230" s="9"/>
    </row>
    <row r="564251" spans="15:15" x14ac:dyDescent="0.25">
      <c r="O564251" s="9"/>
    </row>
    <row r="564272" spans="15:15" x14ac:dyDescent="0.25">
      <c r="O564272" s="9"/>
    </row>
    <row r="564293" spans="15:15" x14ac:dyDescent="0.25">
      <c r="O564293" s="9"/>
    </row>
    <row r="564314" spans="15:15" x14ac:dyDescent="0.25">
      <c r="O564314" s="9"/>
    </row>
    <row r="564335" spans="15:15" x14ac:dyDescent="0.25">
      <c r="O564335" s="9"/>
    </row>
    <row r="564356" spans="15:15" x14ac:dyDescent="0.25">
      <c r="O564356" s="9"/>
    </row>
    <row r="564377" spans="15:15" x14ac:dyDescent="0.25">
      <c r="O564377" s="9"/>
    </row>
    <row r="564398" spans="15:15" x14ac:dyDescent="0.25">
      <c r="O564398" s="9"/>
    </row>
    <row r="564419" spans="15:15" x14ac:dyDescent="0.25">
      <c r="O564419" s="9"/>
    </row>
    <row r="564440" spans="15:15" x14ac:dyDescent="0.25">
      <c r="O564440" s="9"/>
    </row>
    <row r="564461" spans="15:15" x14ac:dyDescent="0.25">
      <c r="O564461" s="9"/>
    </row>
    <row r="564482" spans="15:15" x14ac:dyDescent="0.25">
      <c r="O564482" s="9"/>
    </row>
    <row r="564503" spans="15:15" x14ac:dyDescent="0.25">
      <c r="O564503" s="9"/>
    </row>
    <row r="564524" spans="15:15" x14ac:dyDescent="0.25">
      <c r="O564524" s="9"/>
    </row>
    <row r="564545" spans="15:15" x14ac:dyDescent="0.25">
      <c r="O564545" s="9"/>
    </row>
    <row r="564566" spans="15:15" x14ac:dyDescent="0.25">
      <c r="O564566" s="9"/>
    </row>
    <row r="564587" spans="15:15" x14ac:dyDescent="0.25">
      <c r="O564587" s="9"/>
    </row>
    <row r="564608" spans="15:15" x14ac:dyDescent="0.25">
      <c r="O564608" s="9"/>
    </row>
    <row r="564629" spans="15:15" x14ac:dyDescent="0.25">
      <c r="O564629" s="9"/>
    </row>
    <row r="564650" spans="15:15" x14ac:dyDescent="0.25">
      <c r="O564650" s="9"/>
    </row>
    <row r="564671" spans="15:15" x14ac:dyDescent="0.25">
      <c r="O564671" s="9"/>
    </row>
    <row r="564692" spans="15:15" x14ac:dyDescent="0.25">
      <c r="O564692" s="9"/>
    </row>
    <row r="564713" spans="15:15" x14ac:dyDescent="0.25">
      <c r="O564713" s="9"/>
    </row>
    <row r="564734" spans="15:15" x14ac:dyDescent="0.25">
      <c r="O564734" s="9"/>
    </row>
    <row r="564755" spans="15:15" x14ac:dyDescent="0.25">
      <c r="O564755" s="9"/>
    </row>
    <row r="564776" spans="15:15" x14ac:dyDescent="0.25">
      <c r="O564776" s="9"/>
    </row>
    <row r="564797" spans="15:15" x14ac:dyDescent="0.25">
      <c r="O564797" s="9"/>
    </row>
    <row r="564818" spans="15:15" x14ac:dyDescent="0.25">
      <c r="O564818" s="9"/>
    </row>
    <row r="564839" spans="15:15" x14ac:dyDescent="0.25">
      <c r="O564839" s="9"/>
    </row>
    <row r="564860" spans="15:15" x14ac:dyDescent="0.25">
      <c r="O564860" s="9"/>
    </row>
    <row r="564881" spans="15:15" x14ac:dyDescent="0.25">
      <c r="O564881" s="9"/>
    </row>
    <row r="564902" spans="15:15" x14ac:dyDescent="0.25">
      <c r="O564902" s="9"/>
    </row>
    <row r="564923" spans="15:15" x14ac:dyDescent="0.25">
      <c r="O564923" s="9"/>
    </row>
    <row r="564944" spans="15:15" x14ac:dyDescent="0.25">
      <c r="O564944" s="9"/>
    </row>
    <row r="564965" spans="15:15" x14ac:dyDescent="0.25">
      <c r="O564965" s="9"/>
    </row>
    <row r="564986" spans="15:15" x14ac:dyDescent="0.25">
      <c r="O564986" s="9"/>
    </row>
    <row r="565007" spans="15:15" x14ac:dyDescent="0.25">
      <c r="O565007" s="9"/>
    </row>
    <row r="565028" spans="15:15" x14ac:dyDescent="0.25">
      <c r="O565028" s="9"/>
    </row>
    <row r="565049" spans="15:15" x14ac:dyDescent="0.25">
      <c r="O565049" s="9"/>
    </row>
    <row r="565070" spans="15:15" x14ac:dyDescent="0.25">
      <c r="O565070" s="9"/>
    </row>
    <row r="565091" spans="15:15" x14ac:dyDescent="0.25">
      <c r="O565091" s="9"/>
    </row>
    <row r="565112" spans="15:15" x14ac:dyDescent="0.25">
      <c r="O565112" s="9"/>
    </row>
    <row r="565133" spans="15:15" x14ac:dyDescent="0.25">
      <c r="O565133" s="9"/>
    </row>
    <row r="565154" spans="15:15" x14ac:dyDescent="0.25">
      <c r="O565154" s="9"/>
    </row>
    <row r="565175" spans="15:15" x14ac:dyDescent="0.25">
      <c r="O565175" s="9"/>
    </row>
    <row r="565196" spans="15:15" x14ac:dyDescent="0.25">
      <c r="O565196" s="9"/>
    </row>
    <row r="565217" spans="15:15" x14ac:dyDescent="0.25">
      <c r="O565217" s="9"/>
    </row>
    <row r="565238" spans="15:15" x14ac:dyDescent="0.25">
      <c r="O565238" s="9"/>
    </row>
    <row r="565259" spans="15:15" x14ac:dyDescent="0.25">
      <c r="O565259" s="9"/>
    </row>
    <row r="565280" spans="15:15" x14ac:dyDescent="0.25">
      <c r="O565280" s="9"/>
    </row>
    <row r="565301" spans="15:15" x14ac:dyDescent="0.25">
      <c r="O565301" s="9"/>
    </row>
    <row r="565322" spans="15:15" x14ac:dyDescent="0.25">
      <c r="O565322" s="9"/>
    </row>
    <row r="565343" spans="15:15" x14ac:dyDescent="0.25">
      <c r="O565343" s="9"/>
    </row>
    <row r="565364" spans="15:15" x14ac:dyDescent="0.25">
      <c r="O565364" s="9"/>
    </row>
    <row r="565385" spans="15:15" x14ac:dyDescent="0.25">
      <c r="O565385" s="9"/>
    </row>
    <row r="565406" spans="15:15" x14ac:dyDescent="0.25">
      <c r="O565406" s="9"/>
    </row>
    <row r="565427" spans="15:15" x14ac:dyDescent="0.25">
      <c r="O565427" s="9"/>
    </row>
    <row r="565448" spans="15:15" x14ac:dyDescent="0.25">
      <c r="O565448" s="9"/>
    </row>
    <row r="565469" spans="15:15" x14ac:dyDescent="0.25">
      <c r="O565469" s="9"/>
    </row>
    <row r="565490" spans="15:15" x14ac:dyDescent="0.25">
      <c r="O565490" s="9"/>
    </row>
    <row r="565511" spans="15:15" x14ac:dyDescent="0.25">
      <c r="O565511" s="9"/>
    </row>
    <row r="565532" spans="15:15" x14ac:dyDescent="0.25">
      <c r="O565532" s="9"/>
    </row>
    <row r="565553" spans="15:15" x14ac:dyDescent="0.25">
      <c r="O565553" s="9"/>
    </row>
    <row r="565574" spans="15:15" x14ac:dyDescent="0.25">
      <c r="O565574" s="9"/>
    </row>
    <row r="565595" spans="15:15" x14ac:dyDescent="0.25">
      <c r="O565595" s="9"/>
    </row>
    <row r="565616" spans="15:15" x14ac:dyDescent="0.25">
      <c r="O565616" s="9"/>
    </row>
    <row r="565637" spans="15:15" x14ac:dyDescent="0.25">
      <c r="O565637" s="9"/>
    </row>
    <row r="565658" spans="15:15" x14ac:dyDescent="0.25">
      <c r="O565658" s="9"/>
    </row>
    <row r="565679" spans="15:15" x14ac:dyDescent="0.25">
      <c r="O565679" s="9"/>
    </row>
    <row r="565700" spans="15:15" x14ac:dyDescent="0.25">
      <c r="O565700" s="9"/>
    </row>
    <row r="565721" spans="15:15" x14ac:dyDescent="0.25">
      <c r="O565721" s="9"/>
    </row>
    <row r="565742" spans="15:15" x14ac:dyDescent="0.25">
      <c r="O565742" s="9"/>
    </row>
    <row r="565763" spans="15:15" x14ac:dyDescent="0.25">
      <c r="O565763" s="9"/>
    </row>
    <row r="565784" spans="15:15" x14ac:dyDescent="0.25">
      <c r="O565784" s="9"/>
    </row>
    <row r="565805" spans="15:15" x14ac:dyDescent="0.25">
      <c r="O565805" s="9"/>
    </row>
    <row r="565826" spans="15:15" x14ac:dyDescent="0.25">
      <c r="O565826" s="9"/>
    </row>
    <row r="565847" spans="15:15" x14ac:dyDescent="0.25">
      <c r="O565847" s="9"/>
    </row>
    <row r="565868" spans="15:15" x14ac:dyDescent="0.25">
      <c r="O565868" s="9"/>
    </row>
    <row r="565889" spans="15:15" x14ac:dyDescent="0.25">
      <c r="O565889" s="9"/>
    </row>
    <row r="565910" spans="15:15" x14ac:dyDescent="0.25">
      <c r="O565910" s="9"/>
    </row>
    <row r="565931" spans="15:15" x14ac:dyDescent="0.25">
      <c r="O565931" s="9"/>
    </row>
    <row r="565952" spans="15:15" x14ac:dyDescent="0.25">
      <c r="O565952" s="9"/>
    </row>
    <row r="565973" spans="15:15" x14ac:dyDescent="0.25">
      <c r="O565973" s="9"/>
    </row>
    <row r="565994" spans="15:15" x14ac:dyDescent="0.25">
      <c r="O565994" s="9"/>
    </row>
    <row r="566015" spans="15:15" x14ac:dyDescent="0.25">
      <c r="O566015" s="9"/>
    </row>
    <row r="566036" spans="15:15" x14ac:dyDescent="0.25">
      <c r="O566036" s="9"/>
    </row>
    <row r="566057" spans="15:15" x14ac:dyDescent="0.25">
      <c r="O566057" s="9"/>
    </row>
    <row r="566078" spans="15:15" x14ac:dyDescent="0.25">
      <c r="O566078" s="9"/>
    </row>
    <row r="566099" spans="15:15" x14ac:dyDescent="0.25">
      <c r="O566099" s="9"/>
    </row>
    <row r="566120" spans="15:15" x14ac:dyDescent="0.25">
      <c r="O566120" s="9"/>
    </row>
    <row r="566141" spans="15:15" x14ac:dyDescent="0.25">
      <c r="O566141" s="9"/>
    </row>
    <row r="566162" spans="15:15" x14ac:dyDescent="0.25">
      <c r="O566162" s="9"/>
    </row>
    <row r="566183" spans="15:15" x14ac:dyDescent="0.25">
      <c r="O566183" s="9"/>
    </row>
    <row r="566204" spans="15:15" x14ac:dyDescent="0.25">
      <c r="O566204" s="9"/>
    </row>
    <row r="566225" spans="15:15" x14ac:dyDescent="0.25">
      <c r="O566225" s="9"/>
    </row>
    <row r="566246" spans="15:15" x14ac:dyDescent="0.25">
      <c r="O566246" s="9"/>
    </row>
    <row r="566267" spans="15:15" x14ac:dyDescent="0.25">
      <c r="O566267" s="9"/>
    </row>
    <row r="566288" spans="15:15" x14ac:dyDescent="0.25">
      <c r="O566288" s="9"/>
    </row>
    <row r="566309" spans="15:15" x14ac:dyDescent="0.25">
      <c r="O566309" s="9"/>
    </row>
    <row r="566330" spans="15:15" x14ac:dyDescent="0.25">
      <c r="O566330" s="9"/>
    </row>
    <row r="566351" spans="15:15" x14ac:dyDescent="0.25">
      <c r="O566351" s="9"/>
    </row>
    <row r="566372" spans="15:15" x14ac:dyDescent="0.25">
      <c r="O566372" s="9"/>
    </row>
    <row r="566393" spans="15:15" x14ac:dyDescent="0.25">
      <c r="O566393" s="9"/>
    </row>
    <row r="566414" spans="15:15" x14ac:dyDescent="0.25">
      <c r="O566414" s="9"/>
    </row>
    <row r="566435" spans="15:15" x14ac:dyDescent="0.25">
      <c r="O566435" s="9"/>
    </row>
    <row r="566456" spans="15:15" x14ac:dyDescent="0.25">
      <c r="O566456" s="9"/>
    </row>
    <row r="566477" spans="15:15" x14ac:dyDescent="0.25">
      <c r="O566477" s="9"/>
    </row>
    <row r="566498" spans="15:15" x14ac:dyDescent="0.25">
      <c r="O566498" s="9"/>
    </row>
    <row r="566519" spans="15:15" x14ac:dyDescent="0.25">
      <c r="O566519" s="9"/>
    </row>
    <row r="566540" spans="15:15" x14ac:dyDescent="0.25">
      <c r="O566540" s="9"/>
    </row>
    <row r="566561" spans="15:15" x14ac:dyDescent="0.25">
      <c r="O566561" s="9"/>
    </row>
    <row r="566582" spans="15:15" x14ac:dyDescent="0.25">
      <c r="O566582" s="9"/>
    </row>
    <row r="566603" spans="15:15" x14ac:dyDescent="0.25">
      <c r="O566603" s="9"/>
    </row>
    <row r="566624" spans="15:15" x14ac:dyDescent="0.25">
      <c r="O566624" s="9"/>
    </row>
    <row r="566645" spans="15:15" x14ac:dyDescent="0.25">
      <c r="O566645" s="9"/>
    </row>
    <row r="566666" spans="15:15" x14ac:dyDescent="0.25">
      <c r="O566666" s="9"/>
    </row>
    <row r="566687" spans="15:15" x14ac:dyDescent="0.25">
      <c r="O566687" s="9"/>
    </row>
    <row r="566708" spans="15:15" x14ac:dyDescent="0.25">
      <c r="O566708" s="9"/>
    </row>
    <row r="566729" spans="15:15" x14ac:dyDescent="0.25">
      <c r="O566729" s="9"/>
    </row>
    <row r="566750" spans="15:15" x14ac:dyDescent="0.25">
      <c r="O566750" s="9"/>
    </row>
    <row r="566771" spans="15:15" x14ac:dyDescent="0.25">
      <c r="O566771" s="9"/>
    </row>
    <row r="566792" spans="15:15" x14ac:dyDescent="0.25">
      <c r="O566792" s="9"/>
    </row>
    <row r="566813" spans="15:15" x14ac:dyDescent="0.25">
      <c r="O566813" s="9"/>
    </row>
    <row r="566834" spans="15:15" x14ac:dyDescent="0.25">
      <c r="O566834" s="9"/>
    </row>
    <row r="566855" spans="15:15" x14ac:dyDescent="0.25">
      <c r="O566855" s="9"/>
    </row>
    <row r="566876" spans="15:15" x14ac:dyDescent="0.25">
      <c r="O566876" s="9"/>
    </row>
    <row r="566897" spans="15:15" x14ac:dyDescent="0.25">
      <c r="O566897" s="9"/>
    </row>
    <row r="566918" spans="15:15" x14ac:dyDescent="0.25">
      <c r="O566918" s="9"/>
    </row>
    <row r="566939" spans="15:15" x14ac:dyDescent="0.25">
      <c r="O566939" s="9"/>
    </row>
    <row r="566960" spans="15:15" x14ac:dyDescent="0.25">
      <c r="O566960" s="9"/>
    </row>
    <row r="566981" spans="15:15" x14ac:dyDescent="0.25">
      <c r="O566981" s="9"/>
    </row>
    <row r="567002" spans="15:15" x14ac:dyDescent="0.25">
      <c r="O567002" s="9"/>
    </row>
    <row r="567023" spans="15:15" x14ac:dyDescent="0.25">
      <c r="O567023" s="9"/>
    </row>
    <row r="567044" spans="15:15" x14ac:dyDescent="0.25">
      <c r="O567044" s="9"/>
    </row>
    <row r="567065" spans="15:15" x14ac:dyDescent="0.25">
      <c r="O567065" s="9"/>
    </row>
    <row r="567086" spans="15:15" x14ac:dyDescent="0.25">
      <c r="O567086" s="9"/>
    </row>
    <row r="567107" spans="15:15" x14ac:dyDescent="0.25">
      <c r="O567107" s="9"/>
    </row>
    <row r="567128" spans="15:15" x14ac:dyDescent="0.25">
      <c r="O567128" s="9"/>
    </row>
    <row r="567149" spans="15:15" x14ac:dyDescent="0.25">
      <c r="O567149" s="9"/>
    </row>
    <row r="567170" spans="15:15" x14ac:dyDescent="0.25">
      <c r="O567170" s="9"/>
    </row>
    <row r="567191" spans="15:15" x14ac:dyDescent="0.25">
      <c r="O567191" s="9"/>
    </row>
    <row r="567212" spans="15:15" x14ac:dyDescent="0.25">
      <c r="O567212" s="9"/>
    </row>
    <row r="567233" spans="15:15" x14ac:dyDescent="0.25">
      <c r="O567233" s="9"/>
    </row>
    <row r="567254" spans="15:15" x14ac:dyDescent="0.25">
      <c r="O567254" s="9"/>
    </row>
    <row r="567275" spans="15:15" x14ac:dyDescent="0.25">
      <c r="O567275" s="9"/>
    </row>
    <row r="567296" spans="15:15" x14ac:dyDescent="0.25">
      <c r="O567296" s="9"/>
    </row>
    <row r="567317" spans="15:15" x14ac:dyDescent="0.25">
      <c r="O567317" s="9"/>
    </row>
    <row r="567338" spans="15:15" x14ac:dyDescent="0.25">
      <c r="O567338" s="9"/>
    </row>
    <row r="567359" spans="15:15" x14ac:dyDescent="0.25">
      <c r="O567359" s="9"/>
    </row>
    <row r="567380" spans="15:15" x14ac:dyDescent="0.25">
      <c r="O567380" s="9"/>
    </row>
    <row r="567401" spans="15:15" x14ac:dyDescent="0.25">
      <c r="O567401" s="9"/>
    </row>
    <row r="567422" spans="15:15" x14ac:dyDescent="0.25">
      <c r="O567422" s="9"/>
    </row>
    <row r="567443" spans="15:15" x14ac:dyDescent="0.25">
      <c r="O567443" s="9"/>
    </row>
    <row r="567464" spans="15:15" x14ac:dyDescent="0.25">
      <c r="O567464" s="9"/>
    </row>
    <row r="567485" spans="15:15" x14ac:dyDescent="0.25">
      <c r="O567485" s="9"/>
    </row>
    <row r="567506" spans="15:15" x14ac:dyDescent="0.25">
      <c r="O567506" s="9"/>
    </row>
    <row r="567527" spans="15:15" x14ac:dyDescent="0.25">
      <c r="O567527" s="9"/>
    </row>
    <row r="567548" spans="15:15" x14ac:dyDescent="0.25">
      <c r="O567548" s="9"/>
    </row>
    <row r="567569" spans="15:15" x14ac:dyDescent="0.25">
      <c r="O567569" s="9"/>
    </row>
    <row r="567590" spans="15:15" x14ac:dyDescent="0.25">
      <c r="O567590" s="9"/>
    </row>
    <row r="567611" spans="15:15" x14ac:dyDescent="0.25">
      <c r="O567611" s="9"/>
    </row>
    <row r="567632" spans="15:15" x14ac:dyDescent="0.25">
      <c r="O567632" s="9"/>
    </row>
    <row r="567653" spans="15:15" x14ac:dyDescent="0.25">
      <c r="O567653" s="9"/>
    </row>
    <row r="567674" spans="15:15" x14ac:dyDescent="0.25">
      <c r="O567674" s="9"/>
    </row>
    <row r="567695" spans="15:15" x14ac:dyDescent="0.25">
      <c r="O567695" s="9"/>
    </row>
    <row r="567716" spans="15:15" x14ac:dyDescent="0.25">
      <c r="O567716" s="9"/>
    </row>
    <row r="567737" spans="15:15" x14ac:dyDescent="0.25">
      <c r="O567737" s="9"/>
    </row>
    <row r="567758" spans="15:15" x14ac:dyDescent="0.25">
      <c r="O567758" s="9"/>
    </row>
    <row r="567779" spans="15:15" x14ac:dyDescent="0.25">
      <c r="O567779" s="9"/>
    </row>
    <row r="567800" spans="15:15" x14ac:dyDescent="0.25">
      <c r="O567800" s="9"/>
    </row>
    <row r="567821" spans="15:15" x14ac:dyDescent="0.25">
      <c r="O567821" s="9"/>
    </row>
    <row r="567842" spans="15:15" x14ac:dyDescent="0.25">
      <c r="O567842" s="9"/>
    </row>
    <row r="567863" spans="15:15" x14ac:dyDescent="0.25">
      <c r="O567863" s="9"/>
    </row>
    <row r="567884" spans="15:15" x14ac:dyDescent="0.25">
      <c r="O567884" s="9"/>
    </row>
    <row r="567905" spans="15:15" x14ac:dyDescent="0.25">
      <c r="O567905" s="9"/>
    </row>
    <row r="567926" spans="15:15" x14ac:dyDescent="0.25">
      <c r="O567926" s="9"/>
    </row>
    <row r="567947" spans="15:15" x14ac:dyDescent="0.25">
      <c r="O567947" s="9"/>
    </row>
    <row r="567968" spans="15:15" x14ac:dyDescent="0.25">
      <c r="O567968" s="9"/>
    </row>
    <row r="567989" spans="15:15" x14ac:dyDescent="0.25">
      <c r="O567989" s="9"/>
    </row>
    <row r="568010" spans="15:15" x14ac:dyDescent="0.25">
      <c r="O568010" s="9"/>
    </row>
    <row r="568031" spans="15:15" x14ac:dyDescent="0.25">
      <c r="O568031" s="9"/>
    </row>
    <row r="568052" spans="15:15" x14ac:dyDescent="0.25">
      <c r="O568052" s="9"/>
    </row>
    <row r="568073" spans="15:15" x14ac:dyDescent="0.25">
      <c r="O568073" s="9"/>
    </row>
    <row r="568094" spans="15:15" x14ac:dyDescent="0.25">
      <c r="O568094" s="9"/>
    </row>
    <row r="568115" spans="15:15" x14ac:dyDescent="0.25">
      <c r="O568115" s="9"/>
    </row>
    <row r="568136" spans="15:15" x14ac:dyDescent="0.25">
      <c r="O568136" s="9"/>
    </row>
    <row r="568157" spans="15:15" x14ac:dyDescent="0.25">
      <c r="O568157" s="9"/>
    </row>
    <row r="568178" spans="15:15" x14ac:dyDescent="0.25">
      <c r="O568178" s="9"/>
    </row>
    <row r="568199" spans="15:15" x14ac:dyDescent="0.25">
      <c r="O568199" s="9"/>
    </row>
    <row r="568220" spans="15:15" x14ac:dyDescent="0.25">
      <c r="O568220" s="9"/>
    </row>
    <row r="568241" spans="15:15" x14ac:dyDescent="0.25">
      <c r="O568241" s="9"/>
    </row>
    <row r="568262" spans="15:15" x14ac:dyDescent="0.25">
      <c r="O568262" s="9"/>
    </row>
    <row r="568283" spans="15:15" x14ac:dyDescent="0.25">
      <c r="O568283" s="9"/>
    </row>
    <row r="568304" spans="15:15" x14ac:dyDescent="0.25">
      <c r="O568304" s="9"/>
    </row>
    <row r="568325" spans="15:15" x14ac:dyDescent="0.25">
      <c r="O568325" s="9"/>
    </row>
    <row r="568346" spans="15:15" x14ac:dyDescent="0.25">
      <c r="O568346" s="9"/>
    </row>
    <row r="568367" spans="15:15" x14ac:dyDescent="0.25">
      <c r="O568367" s="9"/>
    </row>
    <row r="568388" spans="15:15" x14ac:dyDescent="0.25">
      <c r="O568388" s="9"/>
    </row>
    <row r="568409" spans="15:15" x14ac:dyDescent="0.25">
      <c r="O568409" s="9"/>
    </row>
    <row r="568430" spans="15:15" x14ac:dyDescent="0.25">
      <c r="O568430" s="9"/>
    </row>
    <row r="568451" spans="15:15" x14ac:dyDescent="0.25">
      <c r="O568451" s="9"/>
    </row>
    <row r="568472" spans="15:15" x14ac:dyDescent="0.25">
      <c r="O568472" s="9"/>
    </row>
    <row r="568493" spans="15:15" x14ac:dyDescent="0.25">
      <c r="O568493" s="9"/>
    </row>
    <row r="568514" spans="15:15" x14ac:dyDescent="0.25">
      <c r="O568514" s="9"/>
    </row>
    <row r="568535" spans="15:15" x14ac:dyDescent="0.25">
      <c r="O568535" s="9"/>
    </row>
    <row r="568556" spans="15:15" x14ac:dyDescent="0.25">
      <c r="O568556" s="9"/>
    </row>
    <row r="568577" spans="15:15" x14ac:dyDescent="0.25">
      <c r="O568577" s="9"/>
    </row>
    <row r="568598" spans="15:15" x14ac:dyDescent="0.25">
      <c r="O568598" s="9"/>
    </row>
    <row r="568619" spans="15:15" x14ac:dyDescent="0.25">
      <c r="O568619" s="9"/>
    </row>
    <row r="568640" spans="15:15" x14ac:dyDescent="0.25">
      <c r="O568640" s="9"/>
    </row>
    <row r="568661" spans="15:15" x14ac:dyDescent="0.25">
      <c r="O568661" s="9"/>
    </row>
    <row r="568682" spans="15:15" x14ac:dyDescent="0.25">
      <c r="O568682" s="9"/>
    </row>
    <row r="568703" spans="15:15" x14ac:dyDescent="0.25">
      <c r="O568703" s="9"/>
    </row>
    <row r="568724" spans="15:15" x14ac:dyDescent="0.25">
      <c r="O568724" s="9"/>
    </row>
    <row r="568745" spans="15:15" x14ac:dyDescent="0.25">
      <c r="O568745" s="9"/>
    </row>
    <row r="568766" spans="15:15" x14ac:dyDescent="0.25">
      <c r="O568766" s="9"/>
    </row>
    <row r="568787" spans="15:15" x14ac:dyDescent="0.25">
      <c r="O568787" s="9"/>
    </row>
    <row r="568808" spans="15:15" x14ac:dyDescent="0.25">
      <c r="O568808" s="9"/>
    </row>
    <row r="568829" spans="15:15" x14ac:dyDescent="0.25">
      <c r="O568829" s="9"/>
    </row>
    <row r="568850" spans="15:15" x14ac:dyDescent="0.25">
      <c r="O568850" s="9"/>
    </row>
    <row r="568871" spans="15:15" x14ac:dyDescent="0.25">
      <c r="O568871" s="9"/>
    </row>
    <row r="568892" spans="15:15" x14ac:dyDescent="0.25">
      <c r="O568892" s="9"/>
    </row>
    <row r="568913" spans="15:15" x14ac:dyDescent="0.25">
      <c r="O568913" s="9"/>
    </row>
    <row r="568934" spans="15:15" x14ac:dyDescent="0.25">
      <c r="O568934" s="9"/>
    </row>
    <row r="568955" spans="15:15" x14ac:dyDescent="0.25">
      <c r="O568955" s="9"/>
    </row>
    <row r="568976" spans="15:15" x14ac:dyDescent="0.25">
      <c r="O568976" s="9"/>
    </row>
    <row r="568997" spans="15:15" x14ac:dyDescent="0.25">
      <c r="O568997" s="9"/>
    </row>
    <row r="569018" spans="15:15" x14ac:dyDescent="0.25">
      <c r="O569018" s="9"/>
    </row>
    <row r="569039" spans="15:15" x14ac:dyDescent="0.25">
      <c r="O569039" s="9"/>
    </row>
    <row r="569060" spans="15:15" x14ac:dyDescent="0.25">
      <c r="O569060" s="9"/>
    </row>
    <row r="569081" spans="15:15" x14ac:dyDescent="0.25">
      <c r="O569081" s="9"/>
    </row>
    <row r="569102" spans="15:15" x14ac:dyDescent="0.25">
      <c r="O569102" s="9"/>
    </row>
    <row r="569123" spans="15:15" x14ac:dyDescent="0.25">
      <c r="O569123" s="9"/>
    </row>
    <row r="569144" spans="15:15" x14ac:dyDescent="0.25">
      <c r="O569144" s="9"/>
    </row>
    <row r="569165" spans="15:15" x14ac:dyDescent="0.25">
      <c r="O569165" s="9"/>
    </row>
    <row r="569186" spans="15:15" x14ac:dyDescent="0.25">
      <c r="O569186" s="9"/>
    </row>
    <row r="569207" spans="15:15" x14ac:dyDescent="0.25">
      <c r="O569207" s="9"/>
    </row>
    <row r="569228" spans="15:15" x14ac:dyDescent="0.25">
      <c r="O569228" s="9"/>
    </row>
    <row r="569249" spans="15:15" x14ac:dyDescent="0.25">
      <c r="O569249" s="9"/>
    </row>
    <row r="569270" spans="15:15" x14ac:dyDescent="0.25">
      <c r="O569270" s="9"/>
    </row>
    <row r="569291" spans="15:15" x14ac:dyDescent="0.25">
      <c r="O569291" s="9"/>
    </row>
    <row r="569312" spans="15:15" x14ac:dyDescent="0.25">
      <c r="O569312" s="9"/>
    </row>
    <row r="569333" spans="15:15" x14ac:dyDescent="0.25">
      <c r="O569333" s="9"/>
    </row>
    <row r="569354" spans="15:15" x14ac:dyDescent="0.25">
      <c r="O569354" s="9"/>
    </row>
    <row r="569375" spans="15:15" x14ac:dyDescent="0.25">
      <c r="O569375" s="9"/>
    </row>
    <row r="569396" spans="15:15" x14ac:dyDescent="0.25">
      <c r="O569396" s="9"/>
    </row>
    <row r="569417" spans="15:15" x14ac:dyDescent="0.25">
      <c r="O569417" s="9"/>
    </row>
    <row r="569438" spans="15:15" x14ac:dyDescent="0.25">
      <c r="O569438" s="9"/>
    </row>
    <row r="569459" spans="15:15" x14ac:dyDescent="0.25">
      <c r="O569459" s="9"/>
    </row>
    <row r="569480" spans="15:15" x14ac:dyDescent="0.25">
      <c r="O569480" s="9"/>
    </row>
    <row r="569501" spans="15:15" x14ac:dyDescent="0.25">
      <c r="O569501" s="9"/>
    </row>
    <row r="569522" spans="15:15" x14ac:dyDescent="0.25">
      <c r="O569522" s="9"/>
    </row>
    <row r="569543" spans="15:15" x14ac:dyDescent="0.25">
      <c r="O569543" s="9"/>
    </row>
    <row r="569564" spans="15:15" x14ac:dyDescent="0.25">
      <c r="O569564" s="9"/>
    </row>
    <row r="569585" spans="15:15" x14ac:dyDescent="0.25">
      <c r="O569585" s="9"/>
    </row>
    <row r="569606" spans="15:15" x14ac:dyDescent="0.25">
      <c r="O569606" s="9"/>
    </row>
    <row r="569627" spans="15:15" x14ac:dyDescent="0.25">
      <c r="O569627" s="9"/>
    </row>
    <row r="569648" spans="15:15" x14ac:dyDescent="0.25">
      <c r="O569648" s="9"/>
    </row>
    <row r="569669" spans="15:15" x14ac:dyDescent="0.25">
      <c r="O569669" s="9"/>
    </row>
    <row r="569690" spans="15:15" x14ac:dyDescent="0.25">
      <c r="O569690" s="9"/>
    </row>
    <row r="569711" spans="15:15" x14ac:dyDescent="0.25">
      <c r="O569711" s="9"/>
    </row>
    <row r="569732" spans="15:15" x14ac:dyDescent="0.25">
      <c r="O569732" s="9"/>
    </row>
    <row r="569753" spans="15:15" x14ac:dyDescent="0.25">
      <c r="O569753" s="9"/>
    </row>
    <row r="569774" spans="15:15" x14ac:dyDescent="0.25">
      <c r="O569774" s="9"/>
    </row>
    <row r="569795" spans="15:15" x14ac:dyDescent="0.25">
      <c r="O569795" s="9"/>
    </row>
    <row r="569816" spans="15:15" x14ac:dyDescent="0.25">
      <c r="O569816" s="9"/>
    </row>
    <row r="569837" spans="15:15" x14ac:dyDescent="0.25">
      <c r="O569837" s="9"/>
    </row>
    <row r="569858" spans="15:15" x14ac:dyDescent="0.25">
      <c r="O569858" s="9"/>
    </row>
    <row r="569879" spans="15:15" x14ac:dyDescent="0.25">
      <c r="O569879" s="9"/>
    </row>
    <row r="569900" spans="15:15" x14ac:dyDescent="0.25">
      <c r="O569900" s="9"/>
    </row>
    <row r="569921" spans="15:15" x14ac:dyDescent="0.25">
      <c r="O569921" s="9"/>
    </row>
    <row r="569942" spans="15:15" x14ac:dyDescent="0.25">
      <c r="O569942" s="9"/>
    </row>
    <row r="569963" spans="15:15" x14ac:dyDescent="0.25">
      <c r="O569963" s="9"/>
    </row>
    <row r="569984" spans="15:15" x14ac:dyDescent="0.25">
      <c r="O569984" s="9"/>
    </row>
    <row r="570005" spans="15:15" x14ac:dyDescent="0.25">
      <c r="O570005" s="9"/>
    </row>
    <row r="570026" spans="15:15" x14ac:dyDescent="0.25">
      <c r="O570026" s="9"/>
    </row>
    <row r="570047" spans="15:15" x14ac:dyDescent="0.25">
      <c r="O570047" s="9"/>
    </row>
    <row r="570068" spans="15:15" x14ac:dyDescent="0.25">
      <c r="O570068" s="9"/>
    </row>
    <row r="570089" spans="15:15" x14ac:dyDescent="0.25">
      <c r="O570089" s="9"/>
    </row>
    <row r="570110" spans="15:15" x14ac:dyDescent="0.25">
      <c r="O570110" s="9"/>
    </row>
    <row r="570131" spans="15:15" x14ac:dyDescent="0.25">
      <c r="O570131" s="9"/>
    </row>
    <row r="570152" spans="15:15" x14ac:dyDescent="0.25">
      <c r="O570152" s="9"/>
    </row>
    <row r="570173" spans="15:15" x14ac:dyDescent="0.25">
      <c r="O570173" s="9"/>
    </row>
    <row r="570194" spans="15:15" x14ac:dyDescent="0.25">
      <c r="O570194" s="9"/>
    </row>
    <row r="570215" spans="15:15" x14ac:dyDescent="0.25">
      <c r="O570215" s="9"/>
    </row>
    <row r="570236" spans="15:15" x14ac:dyDescent="0.25">
      <c r="O570236" s="9"/>
    </row>
    <row r="570257" spans="15:15" x14ac:dyDescent="0.25">
      <c r="O570257" s="9"/>
    </row>
    <row r="570278" spans="15:15" x14ac:dyDescent="0.25">
      <c r="O570278" s="9"/>
    </row>
    <row r="570299" spans="15:15" x14ac:dyDescent="0.25">
      <c r="O570299" s="9"/>
    </row>
    <row r="570320" spans="15:15" x14ac:dyDescent="0.25">
      <c r="O570320" s="9"/>
    </row>
    <row r="570341" spans="15:15" x14ac:dyDescent="0.25">
      <c r="O570341" s="9"/>
    </row>
    <row r="570362" spans="15:15" x14ac:dyDescent="0.25">
      <c r="O570362" s="9"/>
    </row>
    <row r="570383" spans="15:15" x14ac:dyDescent="0.25">
      <c r="O570383" s="9"/>
    </row>
    <row r="570404" spans="15:15" x14ac:dyDescent="0.25">
      <c r="O570404" s="9"/>
    </row>
    <row r="570425" spans="15:15" x14ac:dyDescent="0.25">
      <c r="O570425" s="9"/>
    </row>
    <row r="570446" spans="15:15" x14ac:dyDescent="0.25">
      <c r="O570446" s="9"/>
    </row>
    <row r="570467" spans="15:15" x14ac:dyDescent="0.25">
      <c r="O570467" s="9"/>
    </row>
    <row r="570488" spans="15:15" x14ac:dyDescent="0.25">
      <c r="O570488" s="9"/>
    </row>
    <row r="570509" spans="15:15" x14ac:dyDescent="0.25">
      <c r="O570509" s="9"/>
    </row>
    <row r="570530" spans="15:15" x14ac:dyDescent="0.25">
      <c r="O570530" s="9"/>
    </row>
    <row r="570551" spans="15:15" x14ac:dyDescent="0.25">
      <c r="O570551" s="9"/>
    </row>
    <row r="570572" spans="15:15" x14ac:dyDescent="0.25">
      <c r="O570572" s="9"/>
    </row>
    <row r="570593" spans="15:15" x14ac:dyDescent="0.25">
      <c r="O570593" s="9"/>
    </row>
    <row r="570614" spans="15:15" x14ac:dyDescent="0.25">
      <c r="O570614" s="9"/>
    </row>
    <row r="570635" spans="15:15" x14ac:dyDescent="0.25">
      <c r="O570635" s="9"/>
    </row>
    <row r="570656" spans="15:15" x14ac:dyDescent="0.25">
      <c r="O570656" s="9"/>
    </row>
    <row r="570677" spans="15:15" x14ac:dyDescent="0.25">
      <c r="O570677" s="9"/>
    </row>
    <row r="570698" spans="15:15" x14ac:dyDescent="0.25">
      <c r="O570698" s="9"/>
    </row>
    <row r="570719" spans="15:15" x14ac:dyDescent="0.25">
      <c r="O570719" s="9"/>
    </row>
    <row r="570740" spans="15:15" x14ac:dyDescent="0.25">
      <c r="O570740" s="9"/>
    </row>
    <row r="570761" spans="15:15" x14ac:dyDescent="0.25">
      <c r="O570761" s="9"/>
    </row>
    <row r="570782" spans="15:15" x14ac:dyDescent="0.25">
      <c r="O570782" s="9"/>
    </row>
    <row r="570803" spans="15:15" x14ac:dyDescent="0.25">
      <c r="O570803" s="9"/>
    </row>
    <row r="570824" spans="15:15" x14ac:dyDescent="0.25">
      <c r="O570824" s="9"/>
    </row>
    <row r="570845" spans="15:15" x14ac:dyDescent="0.25">
      <c r="O570845" s="9"/>
    </row>
    <row r="570866" spans="15:15" x14ac:dyDescent="0.25">
      <c r="O570866" s="9"/>
    </row>
    <row r="570887" spans="15:15" x14ac:dyDescent="0.25">
      <c r="O570887" s="9"/>
    </row>
    <row r="570908" spans="15:15" x14ac:dyDescent="0.25">
      <c r="O570908" s="9"/>
    </row>
    <row r="570929" spans="15:15" x14ac:dyDescent="0.25">
      <c r="O570929" s="9"/>
    </row>
    <row r="570950" spans="15:15" x14ac:dyDescent="0.25">
      <c r="O570950" s="9"/>
    </row>
    <row r="570971" spans="15:15" x14ac:dyDescent="0.25">
      <c r="O570971" s="9"/>
    </row>
    <row r="570992" spans="15:15" x14ac:dyDescent="0.25">
      <c r="O570992" s="9"/>
    </row>
    <row r="571013" spans="15:15" x14ac:dyDescent="0.25">
      <c r="O571013" s="9"/>
    </row>
    <row r="571034" spans="15:15" x14ac:dyDescent="0.25">
      <c r="O571034" s="9"/>
    </row>
    <row r="571055" spans="15:15" x14ac:dyDescent="0.25">
      <c r="O571055" s="9"/>
    </row>
    <row r="571076" spans="15:15" x14ac:dyDescent="0.25">
      <c r="O571076" s="9"/>
    </row>
    <row r="571097" spans="15:15" x14ac:dyDescent="0.25">
      <c r="O571097" s="9"/>
    </row>
    <row r="571118" spans="15:15" x14ac:dyDescent="0.25">
      <c r="O571118" s="9"/>
    </row>
    <row r="571139" spans="15:15" x14ac:dyDescent="0.25">
      <c r="O571139" s="9"/>
    </row>
    <row r="571160" spans="15:15" x14ac:dyDescent="0.25">
      <c r="O571160" s="9"/>
    </row>
    <row r="571181" spans="15:15" x14ac:dyDescent="0.25">
      <c r="O571181" s="9"/>
    </row>
    <row r="571202" spans="15:15" x14ac:dyDescent="0.25">
      <c r="O571202" s="9"/>
    </row>
    <row r="571223" spans="15:15" x14ac:dyDescent="0.25">
      <c r="O571223" s="9"/>
    </row>
    <row r="571244" spans="15:15" x14ac:dyDescent="0.25">
      <c r="O571244" s="9"/>
    </row>
    <row r="571265" spans="15:15" x14ac:dyDescent="0.25">
      <c r="O571265" s="9"/>
    </row>
    <row r="571286" spans="15:15" x14ac:dyDescent="0.25">
      <c r="O571286" s="9"/>
    </row>
    <row r="571307" spans="15:15" x14ac:dyDescent="0.25">
      <c r="O571307" s="9"/>
    </row>
    <row r="571328" spans="15:15" x14ac:dyDescent="0.25">
      <c r="O571328" s="9"/>
    </row>
    <row r="571349" spans="15:15" x14ac:dyDescent="0.25">
      <c r="O571349" s="9"/>
    </row>
    <row r="571370" spans="15:15" x14ac:dyDescent="0.25">
      <c r="O571370" s="9"/>
    </row>
    <row r="571391" spans="15:15" x14ac:dyDescent="0.25">
      <c r="O571391" s="9"/>
    </row>
    <row r="571412" spans="15:15" x14ac:dyDescent="0.25">
      <c r="O571412" s="9"/>
    </row>
    <row r="571433" spans="15:15" x14ac:dyDescent="0.25">
      <c r="O571433" s="9"/>
    </row>
    <row r="571454" spans="15:15" x14ac:dyDescent="0.25">
      <c r="O571454" s="9"/>
    </row>
    <row r="571475" spans="15:15" x14ac:dyDescent="0.25">
      <c r="O571475" s="9"/>
    </row>
    <row r="571496" spans="15:15" x14ac:dyDescent="0.25">
      <c r="O571496" s="9"/>
    </row>
    <row r="571517" spans="15:15" x14ac:dyDescent="0.25">
      <c r="O571517" s="9"/>
    </row>
    <row r="571538" spans="15:15" x14ac:dyDescent="0.25">
      <c r="O571538" s="9"/>
    </row>
    <row r="571559" spans="15:15" x14ac:dyDescent="0.25">
      <c r="O571559" s="9"/>
    </row>
    <row r="571580" spans="15:15" x14ac:dyDescent="0.25">
      <c r="O571580" s="9"/>
    </row>
    <row r="571601" spans="15:15" x14ac:dyDescent="0.25">
      <c r="O571601" s="9"/>
    </row>
    <row r="571622" spans="15:15" x14ac:dyDescent="0.25">
      <c r="O571622" s="9"/>
    </row>
    <row r="571643" spans="15:15" x14ac:dyDescent="0.25">
      <c r="O571643" s="9"/>
    </row>
    <row r="571664" spans="15:15" x14ac:dyDescent="0.25">
      <c r="O571664" s="9"/>
    </row>
    <row r="571685" spans="15:15" x14ac:dyDescent="0.25">
      <c r="O571685" s="9"/>
    </row>
    <row r="571706" spans="15:15" x14ac:dyDescent="0.25">
      <c r="O571706" s="9"/>
    </row>
    <row r="571727" spans="15:15" x14ac:dyDescent="0.25">
      <c r="O571727" s="9"/>
    </row>
    <row r="571748" spans="15:15" x14ac:dyDescent="0.25">
      <c r="O571748" s="9"/>
    </row>
    <row r="571769" spans="15:15" x14ac:dyDescent="0.25">
      <c r="O571769" s="9"/>
    </row>
    <row r="571790" spans="15:15" x14ac:dyDescent="0.25">
      <c r="O571790" s="9"/>
    </row>
    <row r="571811" spans="15:15" x14ac:dyDescent="0.25">
      <c r="O571811" s="9"/>
    </row>
    <row r="571832" spans="15:15" x14ac:dyDescent="0.25">
      <c r="O571832" s="9"/>
    </row>
    <row r="571853" spans="15:15" x14ac:dyDescent="0.25">
      <c r="O571853" s="9"/>
    </row>
    <row r="571874" spans="15:15" x14ac:dyDescent="0.25">
      <c r="O571874" s="9"/>
    </row>
    <row r="571895" spans="15:15" x14ac:dyDescent="0.25">
      <c r="O571895" s="9"/>
    </row>
    <row r="571916" spans="15:15" x14ac:dyDescent="0.25">
      <c r="O571916" s="9"/>
    </row>
    <row r="571937" spans="15:15" x14ac:dyDescent="0.25">
      <c r="O571937" s="9"/>
    </row>
    <row r="571958" spans="15:15" x14ac:dyDescent="0.25">
      <c r="O571958" s="9"/>
    </row>
    <row r="571979" spans="15:15" x14ac:dyDescent="0.25">
      <c r="O571979" s="9"/>
    </row>
    <row r="572000" spans="15:15" x14ac:dyDescent="0.25">
      <c r="O572000" s="9"/>
    </row>
    <row r="572021" spans="15:15" x14ac:dyDescent="0.25">
      <c r="O572021" s="9"/>
    </row>
    <row r="572042" spans="15:15" x14ac:dyDescent="0.25">
      <c r="O572042" s="9"/>
    </row>
    <row r="572063" spans="15:15" x14ac:dyDescent="0.25">
      <c r="O572063" s="9"/>
    </row>
    <row r="572084" spans="15:15" x14ac:dyDescent="0.25">
      <c r="O572084" s="9"/>
    </row>
    <row r="572105" spans="15:15" x14ac:dyDescent="0.25">
      <c r="O572105" s="9"/>
    </row>
    <row r="572126" spans="15:15" x14ac:dyDescent="0.25">
      <c r="O572126" s="9"/>
    </row>
    <row r="572147" spans="15:15" x14ac:dyDescent="0.25">
      <c r="O572147" s="9"/>
    </row>
    <row r="572168" spans="15:15" x14ac:dyDescent="0.25">
      <c r="O572168" s="9"/>
    </row>
    <row r="572189" spans="15:15" x14ac:dyDescent="0.25">
      <c r="O572189" s="9"/>
    </row>
    <row r="572210" spans="15:15" x14ac:dyDescent="0.25">
      <c r="O572210" s="9"/>
    </row>
    <row r="572231" spans="15:15" x14ac:dyDescent="0.25">
      <c r="O572231" s="9"/>
    </row>
    <row r="572252" spans="15:15" x14ac:dyDescent="0.25">
      <c r="O572252" s="9"/>
    </row>
    <row r="572273" spans="15:15" x14ac:dyDescent="0.25">
      <c r="O572273" s="9"/>
    </row>
    <row r="572294" spans="15:15" x14ac:dyDescent="0.25">
      <c r="O572294" s="9"/>
    </row>
    <row r="572315" spans="15:15" x14ac:dyDescent="0.25">
      <c r="O572315" s="9"/>
    </row>
    <row r="572336" spans="15:15" x14ac:dyDescent="0.25">
      <c r="O572336" s="9"/>
    </row>
    <row r="572357" spans="15:15" x14ac:dyDescent="0.25">
      <c r="O572357" s="9"/>
    </row>
    <row r="572378" spans="15:15" x14ac:dyDescent="0.25">
      <c r="O572378" s="9"/>
    </row>
    <row r="572399" spans="15:15" x14ac:dyDescent="0.25">
      <c r="O572399" s="9"/>
    </row>
    <row r="572420" spans="15:15" x14ac:dyDescent="0.25">
      <c r="O572420" s="9"/>
    </row>
    <row r="572441" spans="15:15" x14ac:dyDescent="0.25">
      <c r="O572441" s="9"/>
    </row>
    <row r="572462" spans="15:15" x14ac:dyDescent="0.25">
      <c r="O572462" s="9"/>
    </row>
    <row r="572483" spans="15:15" x14ac:dyDescent="0.25">
      <c r="O572483" s="9"/>
    </row>
    <row r="572504" spans="15:15" x14ac:dyDescent="0.25">
      <c r="O572504" s="9"/>
    </row>
    <row r="572525" spans="15:15" x14ac:dyDescent="0.25">
      <c r="O572525" s="9"/>
    </row>
    <row r="572546" spans="15:15" x14ac:dyDescent="0.25">
      <c r="O572546" s="9"/>
    </row>
    <row r="572567" spans="15:15" x14ac:dyDescent="0.25">
      <c r="O572567" s="9"/>
    </row>
    <row r="572588" spans="15:15" x14ac:dyDescent="0.25">
      <c r="O572588" s="9"/>
    </row>
    <row r="572609" spans="15:15" x14ac:dyDescent="0.25">
      <c r="O572609" s="9"/>
    </row>
    <row r="572630" spans="15:15" x14ac:dyDescent="0.25">
      <c r="O572630" s="9"/>
    </row>
    <row r="572651" spans="15:15" x14ac:dyDescent="0.25">
      <c r="O572651" s="9"/>
    </row>
    <row r="572672" spans="15:15" x14ac:dyDescent="0.25">
      <c r="O572672" s="9"/>
    </row>
    <row r="572693" spans="15:15" x14ac:dyDescent="0.25">
      <c r="O572693" s="9"/>
    </row>
    <row r="572714" spans="15:15" x14ac:dyDescent="0.25">
      <c r="O572714" s="9"/>
    </row>
    <row r="572735" spans="15:15" x14ac:dyDescent="0.25">
      <c r="O572735" s="9"/>
    </row>
    <row r="572756" spans="15:15" x14ac:dyDescent="0.25">
      <c r="O572756" s="9"/>
    </row>
    <row r="572777" spans="15:15" x14ac:dyDescent="0.25">
      <c r="O572777" s="9"/>
    </row>
    <row r="572798" spans="15:15" x14ac:dyDescent="0.25">
      <c r="O572798" s="9"/>
    </row>
    <row r="572819" spans="15:15" x14ac:dyDescent="0.25">
      <c r="O572819" s="9"/>
    </row>
    <row r="572840" spans="15:15" x14ac:dyDescent="0.25">
      <c r="O572840" s="9"/>
    </row>
    <row r="572861" spans="15:15" x14ac:dyDescent="0.25">
      <c r="O572861" s="9"/>
    </row>
    <row r="572882" spans="15:15" x14ac:dyDescent="0.25">
      <c r="O572882" s="9"/>
    </row>
    <row r="572903" spans="15:15" x14ac:dyDescent="0.25">
      <c r="O572903" s="9"/>
    </row>
    <row r="572924" spans="15:15" x14ac:dyDescent="0.25">
      <c r="O572924" s="9"/>
    </row>
    <row r="572945" spans="15:15" x14ac:dyDescent="0.25">
      <c r="O572945" s="9"/>
    </row>
    <row r="572966" spans="15:15" x14ac:dyDescent="0.25">
      <c r="O572966" s="9"/>
    </row>
    <row r="572987" spans="15:15" x14ac:dyDescent="0.25">
      <c r="O572987" s="9"/>
    </row>
    <row r="573008" spans="15:15" x14ac:dyDescent="0.25">
      <c r="O573008" s="9"/>
    </row>
    <row r="573029" spans="15:15" x14ac:dyDescent="0.25">
      <c r="O573029" s="9"/>
    </row>
    <row r="573050" spans="15:15" x14ac:dyDescent="0.25">
      <c r="O573050" s="9"/>
    </row>
    <row r="573071" spans="15:15" x14ac:dyDescent="0.25">
      <c r="O573071" s="9"/>
    </row>
    <row r="573092" spans="15:15" x14ac:dyDescent="0.25">
      <c r="O573092" s="9"/>
    </row>
    <row r="573113" spans="15:15" x14ac:dyDescent="0.25">
      <c r="O573113" s="9"/>
    </row>
    <row r="573134" spans="15:15" x14ac:dyDescent="0.25">
      <c r="O573134" s="9"/>
    </row>
    <row r="573155" spans="15:15" x14ac:dyDescent="0.25">
      <c r="O573155" s="9"/>
    </row>
    <row r="573176" spans="15:15" x14ac:dyDescent="0.25">
      <c r="O573176" s="9"/>
    </row>
    <row r="573197" spans="15:15" x14ac:dyDescent="0.25">
      <c r="O573197" s="9"/>
    </row>
    <row r="573218" spans="15:15" x14ac:dyDescent="0.25">
      <c r="O573218" s="9"/>
    </row>
    <row r="573239" spans="15:15" x14ac:dyDescent="0.25">
      <c r="O573239" s="9"/>
    </row>
    <row r="573260" spans="15:15" x14ac:dyDescent="0.25">
      <c r="O573260" s="9"/>
    </row>
    <row r="573281" spans="15:15" x14ac:dyDescent="0.25">
      <c r="O573281" s="9"/>
    </row>
    <row r="573302" spans="15:15" x14ac:dyDescent="0.25">
      <c r="O573302" s="9"/>
    </row>
    <row r="573323" spans="15:15" x14ac:dyDescent="0.25">
      <c r="O573323" s="9"/>
    </row>
    <row r="573344" spans="15:15" x14ac:dyDescent="0.25">
      <c r="O573344" s="9"/>
    </row>
    <row r="573365" spans="15:15" x14ac:dyDescent="0.25">
      <c r="O573365" s="9"/>
    </row>
    <row r="573386" spans="15:15" x14ac:dyDescent="0.25">
      <c r="O573386" s="9"/>
    </row>
    <row r="573407" spans="15:15" x14ac:dyDescent="0.25">
      <c r="O573407" s="9"/>
    </row>
    <row r="573428" spans="15:15" x14ac:dyDescent="0.25">
      <c r="O573428" s="9"/>
    </row>
    <row r="573449" spans="15:15" x14ac:dyDescent="0.25">
      <c r="O573449" s="9"/>
    </row>
    <row r="573470" spans="15:15" x14ac:dyDescent="0.25">
      <c r="O573470" s="9"/>
    </row>
    <row r="573491" spans="15:15" x14ac:dyDescent="0.25">
      <c r="O573491" s="9"/>
    </row>
    <row r="573512" spans="15:15" x14ac:dyDescent="0.25">
      <c r="O573512" s="9"/>
    </row>
    <row r="573533" spans="15:15" x14ac:dyDescent="0.25">
      <c r="O573533" s="9"/>
    </row>
    <row r="573554" spans="15:15" x14ac:dyDescent="0.25">
      <c r="O573554" s="9"/>
    </row>
    <row r="573575" spans="15:15" x14ac:dyDescent="0.25">
      <c r="O573575" s="9"/>
    </row>
    <row r="573596" spans="15:15" x14ac:dyDescent="0.25">
      <c r="O573596" s="9"/>
    </row>
    <row r="573617" spans="15:15" x14ac:dyDescent="0.25">
      <c r="O573617" s="9"/>
    </row>
    <row r="573638" spans="15:15" x14ac:dyDescent="0.25">
      <c r="O573638" s="9"/>
    </row>
    <row r="573659" spans="15:15" x14ac:dyDescent="0.25">
      <c r="O573659" s="9"/>
    </row>
    <row r="573680" spans="15:15" x14ac:dyDescent="0.25">
      <c r="O573680" s="9"/>
    </row>
    <row r="573701" spans="15:15" x14ac:dyDescent="0.25">
      <c r="O573701" s="9"/>
    </row>
    <row r="573722" spans="15:15" x14ac:dyDescent="0.25">
      <c r="O573722" s="9"/>
    </row>
    <row r="573743" spans="15:15" x14ac:dyDescent="0.25">
      <c r="O573743" s="9"/>
    </row>
    <row r="573764" spans="15:15" x14ac:dyDescent="0.25">
      <c r="O573764" s="9"/>
    </row>
    <row r="573785" spans="15:15" x14ac:dyDescent="0.25">
      <c r="O573785" s="9"/>
    </row>
    <row r="573806" spans="15:15" x14ac:dyDescent="0.25">
      <c r="O573806" s="9"/>
    </row>
    <row r="573827" spans="15:15" x14ac:dyDescent="0.25">
      <c r="O573827" s="9"/>
    </row>
    <row r="573848" spans="15:15" x14ac:dyDescent="0.25">
      <c r="O573848" s="9"/>
    </row>
    <row r="573869" spans="15:15" x14ac:dyDescent="0.25">
      <c r="O573869" s="9"/>
    </row>
    <row r="573890" spans="15:15" x14ac:dyDescent="0.25">
      <c r="O573890" s="9"/>
    </row>
    <row r="573911" spans="15:15" x14ac:dyDescent="0.25">
      <c r="O573911" s="9"/>
    </row>
    <row r="573932" spans="15:15" x14ac:dyDescent="0.25">
      <c r="O573932" s="9"/>
    </row>
    <row r="573953" spans="15:15" x14ac:dyDescent="0.25">
      <c r="O573953" s="9"/>
    </row>
    <row r="573974" spans="15:15" x14ac:dyDescent="0.25">
      <c r="O573974" s="9"/>
    </row>
    <row r="573995" spans="15:15" x14ac:dyDescent="0.25">
      <c r="O573995" s="9"/>
    </row>
    <row r="574016" spans="15:15" x14ac:dyDescent="0.25">
      <c r="O574016" s="9"/>
    </row>
    <row r="574037" spans="15:15" x14ac:dyDescent="0.25">
      <c r="O574037" s="9"/>
    </row>
    <row r="574058" spans="15:15" x14ac:dyDescent="0.25">
      <c r="O574058" s="9"/>
    </row>
    <row r="574079" spans="15:15" x14ac:dyDescent="0.25">
      <c r="O574079" s="9"/>
    </row>
    <row r="574100" spans="15:15" x14ac:dyDescent="0.25">
      <c r="O574100" s="9"/>
    </row>
    <row r="574121" spans="15:15" x14ac:dyDescent="0.25">
      <c r="O574121" s="9"/>
    </row>
    <row r="574142" spans="15:15" x14ac:dyDescent="0.25">
      <c r="O574142" s="9"/>
    </row>
    <row r="574163" spans="15:15" x14ac:dyDescent="0.25">
      <c r="O574163" s="9"/>
    </row>
    <row r="574184" spans="15:15" x14ac:dyDescent="0.25">
      <c r="O574184" s="9"/>
    </row>
    <row r="574205" spans="15:15" x14ac:dyDescent="0.25">
      <c r="O574205" s="9"/>
    </row>
    <row r="574226" spans="15:15" x14ac:dyDescent="0.25">
      <c r="O574226" s="9"/>
    </row>
    <row r="574247" spans="15:15" x14ac:dyDescent="0.25">
      <c r="O574247" s="9"/>
    </row>
    <row r="574268" spans="15:15" x14ac:dyDescent="0.25">
      <c r="O574268" s="9"/>
    </row>
    <row r="574289" spans="15:15" x14ac:dyDescent="0.25">
      <c r="O574289" s="9"/>
    </row>
    <row r="574310" spans="15:15" x14ac:dyDescent="0.25">
      <c r="O574310" s="9"/>
    </row>
    <row r="574331" spans="15:15" x14ac:dyDescent="0.25">
      <c r="O574331" s="9"/>
    </row>
    <row r="574352" spans="15:15" x14ac:dyDescent="0.25">
      <c r="O574352" s="9"/>
    </row>
    <row r="574373" spans="15:15" x14ac:dyDescent="0.25">
      <c r="O574373" s="9"/>
    </row>
    <row r="574394" spans="15:15" x14ac:dyDescent="0.25">
      <c r="O574394" s="9"/>
    </row>
    <row r="574415" spans="15:15" x14ac:dyDescent="0.25">
      <c r="O574415" s="9"/>
    </row>
    <row r="574436" spans="15:15" x14ac:dyDescent="0.25">
      <c r="O574436" s="9"/>
    </row>
    <row r="574457" spans="15:15" x14ac:dyDescent="0.25">
      <c r="O574457" s="9"/>
    </row>
    <row r="574478" spans="15:15" x14ac:dyDescent="0.25">
      <c r="O574478" s="9"/>
    </row>
    <row r="574499" spans="15:15" x14ac:dyDescent="0.25">
      <c r="O574499" s="9"/>
    </row>
    <row r="574520" spans="15:15" x14ac:dyDescent="0.25">
      <c r="O574520" s="9"/>
    </row>
    <row r="574541" spans="15:15" x14ac:dyDescent="0.25">
      <c r="O574541" s="9"/>
    </row>
    <row r="574562" spans="15:15" x14ac:dyDescent="0.25">
      <c r="O574562" s="9"/>
    </row>
    <row r="574583" spans="15:15" x14ac:dyDescent="0.25">
      <c r="O574583" s="9"/>
    </row>
    <row r="574604" spans="15:15" x14ac:dyDescent="0.25">
      <c r="O574604" s="9"/>
    </row>
    <row r="574625" spans="15:15" x14ac:dyDescent="0.25">
      <c r="O574625" s="9"/>
    </row>
    <row r="574646" spans="15:15" x14ac:dyDescent="0.25">
      <c r="O574646" s="9"/>
    </row>
    <row r="574667" spans="15:15" x14ac:dyDescent="0.25">
      <c r="O574667" s="9"/>
    </row>
    <row r="574688" spans="15:15" x14ac:dyDescent="0.25">
      <c r="O574688" s="9"/>
    </row>
    <row r="574709" spans="15:15" x14ac:dyDescent="0.25">
      <c r="O574709" s="9"/>
    </row>
    <row r="574730" spans="15:15" x14ac:dyDescent="0.25">
      <c r="O574730" s="9"/>
    </row>
    <row r="574751" spans="15:15" x14ac:dyDescent="0.25">
      <c r="O574751" s="9"/>
    </row>
    <row r="574772" spans="15:15" x14ac:dyDescent="0.25">
      <c r="O574772" s="9"/>
    </row>
    <row r="574793" spans="15:15" x14ac:dyDescent="0.25">
      <c r="O574793" s="9"/>
    </row>
    <row r="574814" spans="15:15" x14ac:dyDescent="0.25">
      <c r="O574814" s="9"/>
    </row>
    <row r="574835" spans="15:15" x14ac:dyDescent="0.25">
      <c r="O574835" s="9"/>
    </row>
    <row r="574856" spans="15:15" x14ac:dyDescent="0.25">
      <c r="O574856" s="9"/>
    </row>
    <row r="574877" spans="15:15" x14ac:dyDescent="0.25">
      <c r="O574877" s="9"/>
    </row>
    <row r="574898" spans="15:15" x14ac:dyDescent="0.25">
      <c r="O574898" s="9"/>
    </row>
    <row r="574919" spans="15:15" x14ac:dyDescent="0.25">
      <c r="O574919" s="9"/>
    </row>
    <row r="574940" spans="15:15" x14ac:dyDescent="0.25">
      <c r="O574940" s="9"/>
    </row>
    <row r="574961" spans="15:15" x14ac:dyDescent="0.25">
      <c r="O574961" s="9"/>
    </row>
    <row r="574982" spans="15:15" x14ac:dyDescent="0.25">
      <c r="O574982" s="9"/>
    </row>
    <row r="575003" spans="15:15" x14ac:dyDescent="0.25">
      <c r="O575003" s="9"/>
    </row>
    <row r="575024" spans="15:15" x14ac:dyDescent="0.25">
      <c r="O575024" s="9"/>
    </row>
    <row r="575045" spans="15:15" x14ac:dyDescent="0.25">
      <c r="O575045" s="9"/>
    </row>
    <row r="575066" spans="15:15" x14ac:dyDescent="0.25">
      <c r="O575066" s="9"/>
    </row>
    <row r="575087" spans="15:15" x14ac:dyDescent="0.25">
      <c r="O575087" s="9"/>
    </row>
    <row r="575108" spans="15:15" x14ac:dyDescent="0.25">
      <c r="O575108" s="9"/>
    </row>
    <row r="575129" spans="15:15" x14ac:dyDescent="0.25">
      <c r="O575129" s="9"/>
    </row>
    <row r="575150" spans="15:15" x14ac:dyDescent="0.25">
      <c r="O575150" s="9"/>
    </row>
    <row r="575171" spans="15:15" x14ac:dyDescent="0.25">
      <c r="O575171" s="9"/>
    </row>
    <row r="575192" spans="15:15" x14ac:dyDescent="0.25">
      <c r="O575192" s="9"/>
    </row>
    <row r="575213" spans="15:15" x14ac:dyDescent="0.25">
      <c r="O575213" s="9"/>
    </row>
    <row r="575234" spans="15:15" x14ac:dyDescent="0.25">
      <c r="O575234" s="9"/>
    </row>
    <row r="575255" spans="15:15" x14ac:dyDescent="0.25">
      <c r="O575255" s="9"/>
    </row>
    <row r="575276" spans="15:15" x14ac:dyDescent="0.25">
      <c r="O575276" s="9"/>
    </row>
    <row r="575297" spans="15:15" x14ac:dyDescent="0.25">
      <c r="O575297" s="9"/>
    </row>
    <row r="575318" spans="15:15" x14ac:dyDescent="0.25">
      <c r="O575318" s="9"/>
    </row>
    <row r="575339" spans="15:15" x14ac:dyDescent="0.25">
      <c r="O575339" s="9"/>
    </row>
    <row r="575360" spans="15:15" x14ac:dyDescent="0.25">
      <c r="O575360" s="9"/>
    </row>
    <row r="575381" spans="15:15" x14ac:dyDescent="0.25">
      <c r="O575381" s="9"/>
    </row>
    <row r="575402" spans="15:15" x14ac:dyDescent="0.25">
      <c r="O575402" s="9"/>
    </row>
    <row r="575423" spans="15:15" x14ac:dyDescent="0.25">
      <c r="O575423" s="9"/>
    </row>
    <row r="575444" spans="15:15" x14ac:dyDescent="0.25">
      <c r="O575444" s="9"/>
    </row>
    <row r="575465" spans="15:15" x14ac:dyDescent="0.25">
      <c r="O575465" s="9"/>
    </row>
    <row r="575486" spans="15:15" x14ac:dyDescent="0.25">
      <c r="O575486" s="9"/>
    </row>
    <row r="575507" spans="15:15" x14ac:dyDescent="0.25">
      <c r="O575507" s="9"/>
    </row>
    <row r="575528" spans="15:15" x14ac:dyDescent="0.25">
      <c r="O575528" s="9"/>
    </row>
    <row r="575549" spans="15:15" x14ac:dyDescent="0.25">
      <c r="O575549" s="9"/>
    </row>
    <row r="575570" spans="15:15" x14ac:dyDescent="0.25">
      <c r="O575570" s="9"/>
    </row>
    <row r="575591" spans="15:15" x14ac:dyDescent="0.25">
      <c r="O575591" s="9"/>
    </row>
    <row r="575612" spans="15:15" x14ac:dyDescent="0.25">
      <c r="O575612" s="9"/>
    </row>
    <row r="575633" spans="15:15" x14ac:dyDescent="0.25">
      <c r="O575633" s="9"/>
    </row>
    <row r="575654" spans="15:15" x14ac:dyDescent="0.25">
      <c r="O575654" s="9"/>
    </row>
    <row r="575675" spans="15:15" x14ac:dyDescent="0.25">
      <c r="O575675" s="9"/>
    </row>
    <row r="575696" spans="15:15" x14ac:dyDescent="0.25">
      <c r="O575696" s="9"/>
    </row>
    <row r="575717" spans="15:15" x14ac:dyDescent="0.25">
      <c r="O575717" s="9"/>
    </row>
    <row r="575738" spans="15:15" x14ac:dyDescent="0.25">
      <c r="O575738" s="9"/>
    </row>
    <row r="575759" spans="15:15" x14ac:dyDescent="0.25">
      <c r="O575759" s="9"/>
    </row>
    <row r="575780" spans="15:15" x14ac:dyDescent="0.25">
      <c r="O575780" s="9"/>
    </row>
    <row r="575801" spans="15:15" x14ac:dyDescent="0.25">
      <c r="O575801" s="9"/>
    </row>
    <row r="575822" spans="15:15" x14ac:dyDescent="0.25">
      <c r="O575822" s="9"/>
    </row>
    <row r="575843" spans="15:15" x14ac:dyDescent="0.25">
      <c r="O575843" s="9"/>
    </row>
    <row r="575864" spans="15:15" x14ac:dyDescent="0.25">
      <c r="O575864" s="9"/>
    </row>
    <row r="575885" spans="15:15" x14ac:dyDescent="0.25">
      <c r="O575885" s="9"/>
    </row>
    <row r="575906" spans="15:15" x14ac:dyDescent="0.25">
      <c r="O575906" s="9"/>
    </row>
    <row r="575927" spans="15:15" x14ac:dyDescent="0.25">
      <c r="O575927" s="9"/>
    </row>
    <row r="575948" spans="15:15" x14ac:dyDescent="0.25">
      <c r="O575948" s="9"/>
    </row>
    <row r="575969" spans="15:15" x14ac:dyDescent="0.25">
      <c r="O575969" s="9"/>
    </row>
    <row r="575990" spans="15:15" x14ac:dyDescent="0.25">
      <c r="O575990" s="9"/>
    </row>
    <row r="576011" spans="15:15" x14ac:dyDescent="0.25">
      <c r="O576011" s="9"/>
    </row>
    <row r="576032" spans="15:15" x14ac:dyDescent="0.25">
      <c r="O576032" s="9"/>
    </row>
    <row r="576053" spans="15:15" x14ac:dyDescent="0.25">
      <c r="O576053" s="9"/>
    </row>
    <row r="576074" spans="15:15" x14ac:dyDescent="0.25">
      <c r="O576074" s="9"/>
    </row>
    <row r="576095" spans="15:15" x14ac:dyDescent="0.25">
      <c r="O576095" s="9"/>
    </row>
    <row r="576116" spans="15:15" x14ac:dyDescent="0.25">
      <c r="O576116" s="9"/>
    </row>
    <row r="576137" spans="15:15" x14ac:dyDescent="0.25">
      <c r="O576137" s="9"/>
    </row>
    <row r="576158" spans="15:15" x14ac:dyDescent="0.25">
      <c r="O576158" s="9"/>
    </row>
    <row r="576179" spans="15:15" x14ac:dyDescent="0.25">
      <c r="O576179" s="9"/>
    </row>
    <row r="576200" spans="15:15" x14ac:dyDescent="0.25">
      <c r="O576200" s="9"/>
    </row>
    <row r="576221" spans="15:15" x14ac:dyDescent="0.25">
      <c r="O576221" s="9"/>
    </row>
    <row r="576242" spans="15:15" x14ac:dyDescent="0.25">
      <c r="O576242" s="9"/>
    </row>
    <row r="576263" spans="15:15" x14ac:dyDescent="0.25">
      <c r="O576263" s="9"/>
    </row>
    <row r="576284" spans="15:15" x14ac:dyDescent="0.25">
      <c r="O576284" s="9"/>
    </row>
    <row r="576305" spans="15:15" x14ac:dyDescent="0.25">
      <c r="O576305" s="9"/>
    </row>
    <row r="576326" spans="15:15" x14ac:dyDescent="0.25">
      <c r="O576326" s="9"/>
    </row>
    <row r="576347" spans="15:15" x14ac:dyDescent="0.25">
      <c r="O576347" s="9"/>
    </row>
    <row r="576368" spans="15:15" x14ac:dyDescent="0.25">
      <c r="O576368" s="9"/>
    </row>
    <row r="576389" spans="15:15" x14ac:dyDescent="0.25">
      <c r="O576389" s="9"/>
    </row>
    <row r="576410" spans="15:15" x14ac:dyDescent="0.25">
      <c r="O576410" s="9"/>
    </row>
    <row r="576431" spans="15:15" x14ac:dyDescent="0.25">
      <c r="O576431" s="9"/>
    </row>
    <row r="576452" spans="15:15" x14ac:dyDescent="0.25">
      <c r="O576452" s="9"/>
    </row>
    <row r="576473" spans="15:15" x14ac:dyDescent="0.25">
      <c r="O576473" s="9"/>
    </row>
    <row r="576494" spans="15:15" x14ac:dyDescent="0.25">
      <c r="O576494" s="9"/>
    </row>
    <row r="576515" spans="15:15" x14ac:dyDescent="0.25">
      <c r="O576515" s="9"/>
    </row>
    <row r="576536" spans="15:15" x14ac:dyDescent="0.25">
      <c r="O576536" s="9"/>
    </row>
    <row r="576557" spans="15:15" x14ac:dyDescent="0.25">
      <c r="O576557" s="9"/>
    </row>
    <row r="576578" spans="15:15" x14ac:dyDescent="0.25">
      <c r="O576578" s="9"/>
    </row>
    <row r="576599" spans="15:15" x14ac:dyDescent="0.25">
      <c r="O576599" s="9"/>
    </row>
    <row r="576620" spans="15:15" x14ac:dyDescent="0.25">
      <c r="O576620" s="9"/>
    </row>
    <row r="576641" spans="15:15" x14ac:dyDescent="0.25">
      <c r="O576641" s="9"/>
    </row>
    <row r="576662" spans="15:15" x14ac:dyDescent="0.25">
      <c r="O576662" s="9"/>
    </row>
    <row r="576683" spans="15:15" x14ac:dyDescent="0.25">
      <c r="O576683" s="9"/>
    </row>
    <row r="576704" spans="15:15" x14ac:dyDescent="0.25">
      <c r="O576704" s="9"/>
    </row>
    <row r="576725" spans="15:15" x14ac:dyDescent="0.25">
      <c r="O576725" s="9"/>
    </row>
    <row r="576746" spans="15:15" x14ac:dyDescent="0.25">
      <c r="O576746" s="9"/>
    </row>
    <row r="576767" spans="15:15" x14ac:dyDescent="0.25">
      <c r="O576767" s="9"/>
    </row>
    <row r="576788" spans="15:15" x14ac:dyDescent="0.25">
      <c r="O576788" s="9"/>
    </row>
    <row r="576809" spans="15:15" x14ac:dyDescent="0.25">
      <c r="O576809" s="9"/>
    </row>
    <row r="576830" spans="15:15" x14ac:dyDescent="0.25">
      <c r="O576830" s="9"/>
    </row>
    <row r="576851" spans="15:15" x14ac:dyDescent="0.25">
      <c r="O576851" s="9"/>
    </row>
    <row r="576872" spans="15:15" x14ac:dyDescent="0.25">
      <c r="O576872" s="9"/>
    </row>
    <row r="576893" spans="15:15" x14ac:dyDescent="0.25">
      <c r="O576893" s="9"/>
    </row>
    <row r="576914" spans="15:15" x14ac:dyDescent="0.25">
      <c r="O576914" s="9"/>
    </row>
    <row r="576935" spans="15:15" x14ac:dyDescent="0.25">
      <c r="O576935" s="9"/>
    </row>
    <row r="576956" spans="15:15" x14ac:dyDescent="0.25">
      <c r="O576956" s="9"/>
    </row>
    <row r="576977" spans="15:15" x14ac:dyDescent="0.25">
      <c r="O576977" s="9"/>
    </row>
    <row r="576998" spans="15:15" x14ac:dyDescent="0.25">
      <c r="O576998" s="9"/>
    </row>
    <row r="577019" spans="15:15" x14ac:dyDescent="0.25">
      <c r="O577019" s="9"/>
    </row>
    <row r="577040" spans="15:15" x14ac:dyDescent="0.25">
      <c r="O577040" s="9"/>
    </row>
    <row r="577061" spans="15:15" x14ac:dyDescent="0.25">
      <c r="O577061" s="9"/>
    </row>
    <row r="577082" spans="15:15" x14ac:dyDescent="0.25">
      <c r="O577082" s="9"/>
    </row>
    <row r="577103" spans="15:15" x14ac:dyDescent="0.25">
      <c r="O577103" s="9"/>
    </row>
    <row r="577124" spans="15:15" x14ac:dyDescent="0.25">
      <c r="O577124" s="9"/>
    </row>
    <row r="577145" spans="15:15" x14ac:dyDescent="0.25">
      <c r="O577145" s="9"/>
    </row>
    <row r="577166" spans="15:15" x14ac:dyDescent="0.25">
      <c r="O577166" s="9"/>
    </row>
    <row r="577187" spans="15:15" x14ac:dyDescent="0.25">
      <c r="O577187" s="9"/>
    </row>
    <row r="577208" spans="15:15" x14ac:dyDescent="0.25">
      <c r="O577208" s="9"/>
    </row>
    <row r="577229" spans="15:15" x14ac:dyDescent="0.25">
      <c r="O577229" s="9"/>
    </row>
    <row r="577250" spans="15:15" x14ac:dyDescent="0.25">
      <c r="O577250" s="9"/>
    </row>
    <row r="577271" spans="15:15" x14ac:dyDescent="0.25">
      <c r="O577271" s="9"/>
    </row>
    <row r="577292" spans="15:15" x14ac:dyDescent="0.25">
      <c r="O577292" s="9"/>
    </row>
    <row r="577313" spans="15:15" x14ac:dyDescent="0.25">
      <c r="O577313" s="9"/>
    </row>
    <row r="577334" spans="15:15" x14ac:dyDescent="0.25">
      <c r="O577334" s="9"/>
    </row>
    <row r="577355" spans="15:15" x14ac:dyDescent="0.25">
      <c r="O577355" s="9"/>
    </row>
    <row r="577376" spans="15:15" x14ac:dyDescent="0.25">
      <c r="O577376" s="9"/>
    </row>
    <row r="577397" spans="15:15" x14ac:dyDescent="0.25">
      <c r="O577397" s="9"/>
    </row>
    <row r="577418" spans="15:15" x14ac:dyDescent="0.25">
      <c r="O577418" s="9"/>
    </row>
    <row r="577439" spans="15:15" x14ac:dyDescent="0.25">
      <c r="O577439" s="9"/>
    </row>
    <row r="577460" spans="15:15" x14ac:dyDescent="0.25">
      <c r="O577460" s="9"/>
    </row>
    <row r="577481" spans="15:15" x14ac:dyDescent="0.25">
      <c r="O577481" s="9"/>
    </row>
    <row r="577502" spans="15:15" x14ac:dyDescent="0.25">
      <c r="O577502" s="9"/>
    </row>
    <row r="577523" spans="15:15" x14ac:dyDescent="0.25">
      <c r="O577523" s="9"/>
    </row>
    <row r="577544" spans="15:15" x14ac:dyDescent="0.25">
      <c r="O577544" s="9"/>
    </row>
    <row r="577565" spans="15:15" x14ac:dyDescent="0.25">
      <c r="O577565" s="9"/>
    </row>
    <row r="577586" spans="15:15" x14ac:dyDescent="0.25">
      <c r="O577586" s="9"/>
    </row>
    <row r="577607" spans="15:15" x14ac:dyDescent="0.25">
      <c r="O577607" s="9"/>
    </row>
    <row r="577628" spans="15:15" x14ac:dyDescent="0.25">
      <c r="O577628" s="9"/>
    </row>
    <row r="577649" spans="15:15" x14ac:dyDescent="0.25">
      <c r="O577649" s="9"/>
    </row>
    <row r="577670" spans="15:15" x14ac:dyDescent="0.25">
      <c r="O577670" s="9"/>
    </row>
    <row r="577691" spans="15:15" x14ac:dyDescent="0.25">
      <c r="O577691" s="9"/>
    </row>
    <row r="577712" spans="15:15" x14ac:dyDescent="0.25">
      <c r="O577712" s="9"/>
    </row>
    <row r="577733" spans="15:15" x14ac:dyDescent="0.25">
      <c r="O577733" s="9"/>
    </row>
    <row r="577754" spans="15:15" x14ac:dyDescent="0.25">
      <c r="O577754" s="9"/>
    </row>
    <row r="577775" spans="15:15" x14ac:dyDescent="0.25">
      <c r="O577775" s="9"/>
    </row>
    <row r="577796" spans="15:15" x14ac:dyDescent="0.25">
      <c r="O577796" s="9"/>
    </row>
    <row r="577817" spans="15:15" x14ac:dyDescent="0.25">
      <c r="O577817" s="9"/>
    </row>
    <row r="577838" spans="15:15" x14ac:dyDescent="0.25">
      <c r="O577838" s="9"/>
    </row>
    <row r="577859" spans="15:15" x14ac:dyDescent="0.25">
      <c r="O577859" s="9"/>
    </row>
    <row r="577880" spans="15:15" x14ac:dyDescent="0.25">
      <c r="O577880" s="9"/>
    </row>
    <row r="577901" spans="15:15" x14ac:dyDescent="0.25">
      <c r="O577901" s="9"/>
    </row>
    <row r="577922" spans="15:15" x14ac:dyDescent="0.25">
      <c r="O577922" s="9"/>
    </row>
    <row r="577943" spans="15:15" x14ac:dyDescent="0.25">
      <c r="O577943" s="9"/>
    </row>
    <row r="577964" spans="15:15" x14ac:dyDescent="0.25">
      <c r="O577964" s="9"/>
    </row>
    <row r="577985" spans="15:15" x14ac:dyDescent="0.25">
      <c r="O577985" s="9"/>
    </row>
    <row r="578006" spans="15:15" x14ac:dyDescent="0.25">
      <c r="O578006" s="9"/>
    </row>
    <row r="578027" spans="15:15" x14ac:dyDescent="0.25">
      <c r="O578027" s="9"/>
    </row>
    <row r="578048" spans="15:15" x14ac:dyDescent="0.25">
      <c r="O578048" s="9"/>
    </row>
    <row r="578069" spans="15:15" x14ac:dyDescent="0.25">
      <c r="O578069" s="9"/>
    </row>
    <row r="578090" spans="15:15" x14ac:dyDescent="0.25">
      <c r="O578090" s="9"/>
    </row>
    <row r="578111" spans="15:15" x14ac:dyDescent="0.25">
      <c r="O578111" s="9"/>
    </row>
    <row r="578132" spans="15:15" x14ac:dyDescent="0.25">
      <c r="O578132" s="9"/>
    </row>
    <row r="578153" spans="15:15" x14ac:dyDescent="0.25">
      <c r="O578153" s="9"/>
    </row>
    <row r="578174" spans="15:15" x14ac:dyDescent="0.25">
      <c r="O578174" s="9"/>
    </row>
    <row r="578195" spans="15:15" x14ac:dyDescent="0.25">
      <c r="O578195" s="9"/>
    </row>
    <row r="578216" spans="15:15" x14ac:dyDescent="0.25">
      <c r="O578216" s="9"/>
    </row>
    <row r="578237" spans="15:15" x14ac:dyDescent="0.25">
      <c r="O578237" s="9"/>
    </row>
    <row r="578258" spans="15:15" x14ac:dyDescent="0.25">
      <c r="O578258" s="9"/>
    </row>
    <row r="578279" spans="15:15" x14ac:dyDescent="0.25">
      <c r="O578279" s="9"/>
    </row>
    <row r="578300" spans="15:15" x14ac:dyDescent="0.25">
      <c r="O578300" s="9"/>
    </row>
    <row r="578321" spans="15:15" x14ac:dyDescent="0.25">
      <c r="O578321" s="9"/>
    </row>
    <row r="578342" spans="15:15" x14ac:dyDescent="0.25">
      <c r="O578342" s="9"/>
    </row>
    <row r="578363" spans="15:15" x14ac:dyDescent="0.25">
      <c r="O578363" s="9"/>
    </row>
    <row r="578384" spans="15:15" x14ac:dyDescent="0.25">
      <c r="O578384" s="9"/>
    </row>
    <row r="578405" spans="15:15" x14ac:dyDescent="0.25">
      <c r="O578405" s="9"/>
    </row>
    <row r="578426" spans="15:15" x14ac:dyDescent="0.25">
      <c r="O578426" s="9"/>
    </row>
    <row r="578447" spans="15:15" x14ac:dyDescent="0.25">
      <c r="O578447" s="9"/>
    </row>
    <row r="578468" spans="15:15" x14ac:dyDescent="0.25">
      <c r="O578468" s="9"/>
    </row>
    <row r="578489" spans="15:15" x14ac:dyDescent="0.25">
      <c r="O578489" s="9"/>
    </row>
    <row r="578510" spans="15:15" x14ac:dyDescent="0.25">
      <c r="O578510" s="9"/>
    </row>
    <row r="578531" spans="15:15" x14ac:dyDescent="0.25">
      <c r="O578531" s="9"/>
    </row>
    <row r="578552" spans="15:15" x14ac:dyDescent="0.25">
      <c r="O578552" s="9"/>
    </row>
    <row r="578573" spans="15:15" x14ac:dyDescent="0.25">
      <c r="O578573" s="9"/>
    </row>
    <row r="578594" spans="15:15" x14ac:dyDescent="0.25">
      <c r="O578594" s="9"/>
    </row>
    <row r="578615" spans="15:15" x14ac:dyDescent="0.25">
      <c r="O578615" s="9"/>
    </row>
    <row r="578636" spans="15:15" x14ac:dyDescent="0.25">
      <c r="O578636" s="9"/>
    </row>
    <row r="578657" spans="15:15" x14ac:dyDescent="0.25">
      <c r="O578657" s="9"/>
    </row>
    <row r="578678" spans="15:15" x14ac:dyDescent="0.25">
      <c r="O578678" s="9"/>
    </row>
    <row r="578699" spans="15:15" x14ac:dyDescent="0.25">
      <c r="O578699" s="9"/>
    </row>
    <row r="578720" spans="15:15" x14ac:dyDescent="0.25">
      <c r="O578720" s="9"/>
    </row>
    <row r="578741" spans="15:15" x14ac:dyDescent="0.25">
      <c r="O578741" s="9"/>
    </row>
    <row r="578762" spans="15:15" x14ac:dyDescent="0.25">
      <c r="O578762" s="9"/>
    </row>
    <row r="578783" spans="15:15" x14ac:dyDescent="0.25">
      <c r="O578783" s="9"/>
    </row>
    <row r="578804" spans="15:15" x14ac:dyDescent="0.25">
      <c r="O578804" s="9"/>
    </row>
    <row r="578825" spans="15:15" x14ac:dyDescent="0.25">
      <c r="O578825" s="9"/>
    </row>
    <row r="578846" spans="15:15" x14ac:dyDescent="0.25">
      <c r="O578846" s="9"/>
    </row>
    <row r="578867" spans="15:15" x14ac:dyDescent="0.25">
      <c r="O578867" s="9"/>
    </row>
    <row r="578888" spans="15:15" x14ac:dyDescent="0.25">
      <c r="O578888" s="9"/>
    </row>
    <row r="578909" spans="15:15" x14ac:dyDescent="0.25">
      <c r="O578909" s="9"/>
    </row>
    <row r="578930" spans="15:15" x14ac:dyDescent="0.25">
      <c r="O578930" s="9"/>
    </row>
    <row r="578951" spans="15:15" x14ac:dyDescent="0.25">
      <c r="O578951" s="9"/>
    </row>
    <row r="578972" spans="15:15" x14ac:dyDescent="0.25">
      <c r="O578972" s="9"/>
    </row>
    <row r="578993" spans="15:15" x14ac:dyDescent="0.25">
      <c r="O578993" s="9"/>
    </row>
    <row r="579014" spans="15:15" x14ac:dyDescent="0.25">
      <c r="O579014" s="9"/>
    </row>
    <row r="579035" spans="15:15" x14ac:dyDescent="0.25">
      <c r="O579035" s="9"/>
    </row>
    <row r="579056" spans="15:15" x14ac:dyDescent="0.25">
      <c r="O579056" s="9"/>
    </row>
    <row r="579077" spans="15:15" x14ac:dyDescent="0.25">
      <c r="O579077" s="9"/>
    </row>
    <row r="579098" spans="15:15" x14ac:dyDescent="0.25">
      <c r="O579098" s="9"/>
    </row>
    <row r="579119" spans="15:15" x14ac:dyDescent="0.25">
      <c r="O579119" s="9"/>
    </row>
    <row r="579140" spans="15:15" x14ac:dyDescent="0.25">
      <c r="O579140" s="9"/>
    </row>
    <row r="579161" spans="15:15" x14ac:dyDescent="0.25">
      <c r="O579161" s="9"/>
    </row>
    <row r="579182" spans="15:15" x14ac:dyDescent="0.25">
      <c r="O579182" s="9"/>
    </row>
    <row r="579203" spans="15:15" x14ac:dyDescent="0.25">
      <c r="O579203" s="9"/>
    </row>
    <row r="579224" spans="15:15" x14ac:dyDescent="0.25">
      <c r="O579224" s="9"/>
    </row>
    <row r="579245" spans="15:15" x14ac:dyDescent="0.25">
      <c r="O579245" s="9"/>
    </row>
    <row r="579266" spans="15:15" x14ac:dyDescent="0.25">
      <c r="O579266" s="9"/>
    </row>
    <row r="579287" spans="15:15" x14ac:dyDescent="0.25">
      <c r="O579287" s="9"/>
    </row>
    <row r="579308" spans="15:15" x14ac:dyDescent="0.25">
      <c r="O579308" s="9"/>
    </row>
    <row r="579329" spans="15:15" x14ac:dyDescent="0.25">
      <c r="O579329" s="9"/>
    </row>
    <row r="579350" spans="15:15" x14ac:dyDescent="0.25">
      <c r="O579350" s="9"/>
    </row>
    <row r="579371" spans="15:15" x14ac:dyDescent="0.25">
      <c r="O579371" s="9"/>
    </row>
    <row r="579392" spans="15:15" x14ac:dyDescent="0.25">
      <c r="O579392" s="9"/>
    </row>
    <row r="579413" spans="15:15" x14ac:dyDescent="0.25">
      <c r="O579413" s="9"/>
    </row>
    <row r="579434" spans="15:15" x14ac:dyDescent="0.25">
      <c r="O579434" s="9"/>
    </row>
    <row r="579455" spans="15:15" x14ac:dyDescent="0.25">
      <c r="O579455" s="9"/>
    </row>
    <row r="579476" spans="15:15" x14ac:dyDescent="0.25">
      <c r="O579476" s="9"/>
    </row>
    <row r="579497" spans="15:15" x14ac:dyDescent="0.25">
      <c r="O579497" s="9"/>
    </row>
    <row r="579518" spans="15:15" x14ac:dyDescent="0.25">
      <c r="O579518" s="9"/>
    </row>
    <row r="579539" spans="15:15" x14ac:dyDescent="0.25">
      <c r="O579539" s="9"/>
    </row>
    <row r="579560" spans="15:15" x14ac:dyDescent="0.25">
      <c r="O579560" s="9"/>
    </row>
    <row r="579581" spans="15:15" x14ac:dyDescent="0.25">
      <c r="O579581" s="9"/>
    </row>
    <row r="579602" spans="15:15" x14ac:dyDescent="0.25">
      <c r="O579602" s="9"/>
    </row>
    <row r="579623" spans="15:15" x14ac:dyDescent="0.25">
      <c r="O579623" s="9"/>
    </row>
    <row r="579644" spans="15:15" x14ac:dyDescent="0.25">
      <c r="O579644" s="9"/>
    </row>
    <row r="579665" spans="15:15" x14ac:dyDescent="0.25">
      <c r="O579665" s="9"/>
    </row>
    <row r="579686" spans="15:15" x14ac:dyDescent="0.25">
      <c r="O579686" s="9"/>
    </row>
    <row r="579707" spans="15:15" x14ac:dyDescent="0.25">
      <c r="O579707" s="9"/>
    </row>
    <row r="579728" spans="15:15" x14ac:dyDescent="0.25">
      <c r="O579728" s="9"/>
    </row>
    <row r="579749" spans="15:15" x14ac:dyDescent="0.25">
      <c r="O579749" s="9"/>
    </row>
    <row r="579770" spans="15:15" x14ac:dyDescent="0.25">
      <c r="O579770" s="9"/>
    </row>
    <row r="579791" spans="15:15" x14ac:dyDescent="0.25">
      <c r="O579791" s="9"/>
    </row>
    <row r="579812" spans="15:15" x14ac:dyDescent="0.25">
      <c r="O579812" s="9"/>
    </row>
    <row r="579833" spans="15:15" x14ac:dyDescent="0.25">
      <c r="O579833" s="9"/>
    </row>
    <row r="579854" spans="15:15" x14ac:dyDescent="0.25">
      <c r="O579854" s="9"/>
    </row>
    <row r="579875" spans="15:15" x14ac:dyDescent="0.25">
      <c r="O579875" s="9"/>
    </row>
    <row r="579896" spans="15:15" x14ac:dyDescent="0.25">
      <c r="O579896" s="9"/>
    </row>
    <row r="579917" spans="15:15" x14ac:dyDescent="0.25">
      <c r="O579917" s="9"/>
    </row>
    <row r="579938" spans="15:15" x14ac:dyDescent="0.25">
      <c r="O579938" s="9"/>
    </row>
    <row r="579959" spans="15:15" x14ac:dyDescent="0.25">
      <c r="O579959" s="9"/>
    </row>
    <row r="579980" spans="15:15" x14ac:dyDescent="0.25">
      <c r="O579980" s="9"/>
    </row>
    <row r="580001" spans="15:15" x14ac:dyDescent="0.25">
      <c r="O580001" s="9"/>
    </row>
    <row r="580022" spans="15:15" x14ac:dyDescent="0.25">
      <c r="O580022" s="9"/>
    </row>
    <row r="580043" spans="15:15" x14ac:dyDescent="0.25">
      <c r="O580043" s="9"/>
    </row>
    <row r="580064" spans="15:15" x14ac:dyDescent="0.25">
      <c r="O580064" s="9"/>
    </row>
    <row r="580085" spans="15:15" x14ac:dyDescent="0.25">
      <c r="O580085" s="9"/>
    </row>
    <row r="580106" spans="15:15" x14ac:dyDescent="0.25">
      <c r="O580106" s="9"/>
    </row>
    <row r="580127" spans="15:15" x14ac:dyDescent="0.25">
      <c r="O580127" s="9"/>
    </row>
    <row r="580148" spans="15:15" x14ac:dyDescent="0.25">
      <c r="O580148" s="9"/>
    </row>
    <row r="580169" spans="15:15" x14ac:dyDescent="0.25">
      <c r="O580169" s="9"/>
    </row>
    <row r="580190" spans="15:15" x14ac:dyDescent="0.25">
      <c r="O580190" s="9"/>
    </row>
    <row r="580211" spans="15:15" x14ac:dyDescent="0.25">
      <c r="O580211" s="9"/>
    </row>
    <row r="580232" spans="15:15" x14ac:dyDescent="0.25">
      <c r="O580232" s="9"/>
    </row>
    <row r="580253" spans="15:15" x14ac:dyDescent="0.25">
      <c r="O580253" s="9"/>
    </row>
    <row r="580274" spans="15:15" x14ac:dyDescent="0.25">
      <c r="O580274" s="9"/>
    </row>
    <row r="580295" spans="15:15" x14ac:dyDescent="0.25">
      <c r="O580295" s="9"/>
    </row>
    <row r="580316" spans="15:15" x14ac:dyDescent="0.25">
      <c r="O580316" s="9"/>
    </row>
    <row r="580337" spans="15:15" x14ac:dyDescent="0.25">
      <c r="O580337" s="9"/>
    </row>
    <row r="580358" spans="15:15" x14ac:dyDescent="0.25">
      <c r="O580358" s="9"/>
    </row>
    <row r="580379" spans="15:15" x14ac:dyDescent="0.25">
      <c r="O580379" s="9"/>
    </row>
    <row r="580400" spans="15:15" x14ac:dyDescent="0.25">
      <c r="O580400" s="9"/>
    </row>
    <row r="580421" spans="15:15" x14ac:dyDescent="0.25">
      <c r="O580421" s="9"/>
    </row>
    <row r="580442" spans="15:15" x14ac:dyDescent="0.25">
      <c r="O580442" s="9"/>
    </row>
    <row r="580463" spans="15:15" x14ac:dyDescent="0.25">
      <c r="O580463" s="9"/>
    </row>
    <row r="580484" spans="15:15" x14ac:dyDescent="0.25">
      <c r="O580484" s="9"/>
    </row>
    <row r="580505" spans="15:15" x14ac:dyDescent="0.25">
      <c r="O580505" s="9"/>
    </row>
    <row r="580526" spans="15:15" x14ac:dyDescent="0.25">
      <c r="O580526" s="9"/>
    </row>
    <row r="580547" spans="15:15" x14ac:dyDescent="0.25">
      <c r="O580547" s="9"/>
    </row>
    <row r="580568" spans="15:15" x14ac:dyDescent="0.25">
      <c r="O580568" s="9"/>
    </row>
    <row r="580589" spans="15:15" x14ac:dyDescent="0.25">
      <c r="O580589" s="9"/>
    </row>
    <row r="580610" spans="15:15" x14ac:dyDescent="0.25">
      <c r="O580610" s="9"/>
    </row>
    <row r="580631" spans="15:15" x14ac:dyDescent="0.25">
      <c r="O580631" s="9"/>
    </row>
    <row r="580652" spans="15:15" x14ac:dyDescent="0.25">
      <c r="O580652" s="9"/>
    </row>
    <row r="580673" spans="15:15" x14ac:dyDescent="0.25">
      <c r="O580673" s="9"/>
    </row>
    <row r="580694" spans="15:15" x14ac:dyDescent="0.25">
      <c r="O580694" s="9"/>
    </row>
    <row r="580715" spans="15:15" x14ac:dyDescent="0.25">
      <c r="O580715" s="9"/>
    </row>
    <row r="580736" spans="15:15" x14ac:dyDescent="0.25">
      <c r="O580736" s="9"/>
    </row>
    <row r="580757" spans="15:15" x14ac:dyDescent="0.25">
      <c r="O580757" s="9"/>
    </row>
    <row r="580778" spans="15:15" x14ac:dyDescent="0.25">
      <c r="O580778" s="9"/>
    </row>
    <row r="580799" spans="15:15" x14ac:dyDescent="0.25">
      <c r="O580799" s="9"/>
    </row>
    <row r="580820" spans="15:15" x14ac:dyDescent="0.25">
      <c r="O580820" s="9"/>
    </row>
    <row r="580841" spans="15:15" x14ac:dyDescent="0.25">
      <c r="O580841" s="9"/>
    </row>
    <row r="580862" spans="15:15" x14ac:dyDescent="0.25">
      <c r="O580862" s="9"/>
    </row>
    <row r="580883" spans="15:15" x14ac:dyDescent="0.25">
      <c r="O580883" s="9"/>
    </row>
    <row r="580904" spans="15:15" x14ac:dyDescent="0.25">
      <c r="O580904" s="9"/>
    </row>
    <row r="580925" spans="15:15" x14ac:dyDescent="0.25">
      <c r="O580925" s="9"/>
    </row>
    <row r="580946" spans="15:15" x14ac:dyDescent="0.25">
      <c r="O580946" s="9"/>
    </row>
    <row r="580967" spans="15:15" x14ac:dyDescent="0.25">
      <c r="O580967" s="9"/>
    </row>
    <row r="580988" spans="15:15" x14ac:dyDescent="0.25">
      <c r="O580988" s="9"/>
    </row>
    <row r="581009" spans="15:15" x14ac:dyDescent="0.25">
      <c r="O581009" s="9"/>
    </row>
    <row r="581030" spans="15:15" x14ac:dyDescent="0.25">
      <c r="O581030" s="9"/>
    </row>
    <row r="581051" spans="15:15" x14ac:dyDescent="0.25">
      <c r="O581051" s="9"/>
    </row>
    <row r="581072" spans="15:15" x14ac:dyDescent="0.25">
      <c r="O581072" s="9"/>
    </row>
    <row r="581093" spans="15:15" x14ac:dyDescent="0.25">
      <c r="O581093" s="9"/>
    </row>
    <row r="581114" spans="15:15" x14ac:dyDescent="0.25">
      <c r="O581114" s="9"/>
    </row>
    <row r="581135" spans="15:15" x14ac:dyDescent="0.25">
      <c r="O581135" s="9"/>
    </row>
    <row r="581156" spans="15:15" x14ac:dyDescent="0.25">
      <c r="O581156" s="9"/>
    </row>
    <row r="581177" spans="15:15" x14ac:dyDescent="0.25">
      <c r="O581177" s="9"/>
    </row>
    <row r="581198" spans="15:15" x14ac:dyDescent="0.25">
      <c r="O581198" s="9"/>
    </row>
    <row r="581219" spans="15:15" x14ac:dyDescent="0.25">
      <c r="O581219" s="9"/>
    </row>
    <row r="581240" spans="15:15" x14ac:dyDescent="0.25">
      <c r="O581240" s="9"/>
    </row>
    <row r="581261" spans="15:15" x14ac:dyDescent="0.25">
      <c r="O581261" s="9"/>
    </row>
    <row r="581282" spans="15:15" x14ac:dyDescent="0.25">
      <c r="O581282" s="9"/>
    </row>
    <row r="581303" spans="15:15" x14ac:dyDescent="0.25">
      <c r="O581303" s="9"/>
    </row>
    <row r="581324" spans="15:15" x14ac:dyDescent="0.25">
      <c r="O581324" s="9"/>
    </row>
    <row r="581345" spans="15:15" x14ac:dyDescent="0.25">
      <c r="O581345" s="9"/>
    </row>
    <row r="581366" spans="15:15" x14ac:dyDescent="0.25">
      <c r="O581366" s="9"/>
    </row>
    <row r="581387" spans="15:15" x14ac:dyDescent="0.25">
      <c r="O581387" s="9"/>
    </row>
    <row r="581408" spans="15:15" x14ac:dyDescent="0.25">
      <c r="O581408" s="9"/>
    </row>
    <row r="581429" spans="15:15" x14ac:dyDescent="0.25">
      <c r="O581429" s="9"/>
    </row>
    <row r="581450" spans="15:15" x14ac:dyDescent="0.25">
      <c r="O581450" s="9"/>
    </row>
    <row r="581471" spans="15:15" x14ac:dyDescent="0.25">
      <c r="O581471" s="9"/>
    </row>
    <row r="581492" spans="15:15" x14ac:dyDescent="0.25">
      <c r="O581492" s="9"/>
    </row>
    <row r="581513" spans="15:15" x14ac:dyDescent="0.25">
      <c r="O581513" s="9"/>
    </row>
    <row r="581534" spans="15:15" x14ac:dyDescent="0.25">
      <c r="O581534" s="9"/>
    </row>
    <row r="581555" spans="15:15" x14ac:dyDescent="0.25">
      <c r="O581555" s="9"/>
    </row>
    <row r="581576" spans="15:15" x14ac:dyDescent="0.25">
      <c r="O581576" s="9"/>
    </row>
    <row r="581597" spans="15:15" x14ac:dyDescent="0.25">
      <c r="O581597" s="9"/>
    </row>
    <row r="581618" spans="15:15" x14ac:dyDescent="0.25">
      <c r="O581618" s="9"/>
    </row>
    <row r="581639" spans="15:15" x14ac:dyDescent="0.25">
      <c r="O581639" s="9"/>
    </row>
    <row r="581660" spans="15:15" x14ac:dyDescent="0.25">
      <c r="O581660" s="9"/>
    </row>
    <row r="581681" spans="15:15" x14ac:dyDescent="0.25">
      <c r="O581681" s="9"/>
    </row>
    <row r="581702" spans="15:15" x14ac:dyDescent="0.25">
      <c r="O581702" s="9"/>
    </row>
    <row r="581723" spans="15:15" x14ac:dyDescent="0.25">
      <c r="O581723" s="9"/>
    </row>
    <row r="581744" spans="15:15" x14ac:dyDescent="0.25">
      <c r="O581744" s="9"/>
    </row>
    <row r="581765" spans="15:15" x14ac:dyDescent="0.25">
      <c r="O581765" s="9"/>
    </row>
    <row r="581786" spans="15:15" x14ac:dyDescent="0.25">
      <c r="O581786" s="9"/>
    </row>
    <row r="581807" spans="15:15" x14ac:dyDescent="0.25">
      <c r="O581807" s="9"/>
    </row>
    <row r="581828" spans="15:15" x14ac:dyDescent="0.25">
      <c r="O581828" s="9"/>
    </row>
    <row r="581849" spans="15:15" x14ac:dyDescent="0.25">
      <c r="O581849" s="9"/>
    </row>
    <row r="581870" spans="15:15" x14ac:dyDescent="0.25">
      <c r="O581870" s="9"/>
    </row>
    <row r="581891" spans="15:15" x14ac:dyDescent="0.25">
      <c r="O581891" s="9"/>
    </row>
    <row r="581912" spans="15:15" x14ac:dyDescent="0.25">
      <c r="O581912" s="9"/>
    </row>
    <row r="581933" spans="15:15" x14ac:dyDescent="0.25">
      <c r="O581933" s="9"/>
    </row>
    <row r="581954" spans="15:15" x14ac:dyDescent="0.25">
      <c r="O581954" s="9"/>
    </row>
    <row r="581975" spans="15:15" x14ac:dyDescent="0.25">
      <c r="O581975" s="9"/>
    </row>
    <row r="581996" spans="15:15" x14ac:dyDescent="0.25">
      <c r="O581996" s="9"/>
    </row>
    <row r="582017" spans="15:15" x14ac:dyDescent="0.25">
      <c r="O582017" s="9"/>
    </row>
    <row r="582038" spans="15:15" x14ac:dyDescent="0.25">
      <c r="O582038" s="9"/>
    </row>
    <row r="582059" spans="15:15" x14ac:dyDescent="0.25">
      <c r="O582059" s="9"/>
    </row>
    <row r="582080" spans="15:15" x14ac:dyDescent="0.25">
      <c r="O582080" s="9"/>
    </row>
    <row r="582101" spans="15:15" x14ac:dyDescent="0.25">
      <c r="O582101" s="9"/>
    </row>
    <row r="582122" spans="15:15" x14ac:dyDescent="0.25">
      <c r="O582122" s="9"/>
    </row>
    <row r="582143" spans="15:15" x14ac:dyDescent="0.25">
      <c r="O582143" s="9"/>
    </row>
    <row r="582164" spans="15:15" x14ac:dyDescent="0.25">
      <c r="O582164" s="9"/>
    </row>
    <row r="582185" spans="15:15" x14ac:dyDescent="0.25">
      <c r="O582185" s="9"/>
    </row>
    <row r="582206" spans="15:15" x14ac:dyDescent="0.25">
      <c r="O582206" s="9"/>
    </row>
    <row r="582227" spans="15:15" x14ac:dyDescent="0.25">
      <c r="O582227" s="9"/>
    </row>
    <row r="582248" spans="15:15" x14ac:dyDescent="0.25">
      <c r="O582248" s="9"/>
    </row>
    <row r="582269" spans="15:15" x14ac:dyDescent="0.25">
      <c r="O582269" s="9"/>
    </row>
    <row r="582290" spans="15:15" x14ac:dyDescent="0.25">
      <c r="O582290" s="9"/>
    </row>
    <row r="582311" spans="15:15" x14ac:dyDescent="0.25">
      <c r="O582311" s="9"/>
    </row>
    <row r="582332" spans="15:15" x14ac:dyDescent="0.25">
      <c r="O582332" s="9"/>
    </row>
    <row r="582353" spans="15:15" x14ac:dyDescent="0.25">
      <c r="O582353" s="9"/>
    </row>
    <row r="582374" spans="15:15" x14ac:dyDescent="0.25">
      <c r="O582374" s="9"/>
    </row>
    <row r="582395" spans="15:15" x14ac:dyDescent="0.25">
      <c r="O582395" s="9"/>
    </row>
    <row r="582416" spans="15:15" x14ac:dyDescent="0.25">
      <c r="O582416" s="9"/>
    </row>
    <row r="582437" spans="15:15" x14ac:dyDescent="0.25">
      <c r="O582437" s="9"/>
    </row>
    <row r="582458" spans="15:15" x14ac:dyDescent="0.25">
      <c r="O582458" s="9"/>
    </row>
    <row r="582479" spans="15:15" x14ac:dyDescent="0.25">
      <c r="O582479" s="9"/>
    </row>
    <row r="582500" spans="15:15" x14ac:dyDescent="0.25">
      <c r="O582500" s="9"/>
    </row>
    <row r="582521" spans="15:15" x14ac:dyDescent="0.25">
      <c r="O582521" s="9"/>
    </row>
    <row r="582542" spans="15:15" x14ac:dyDescent="0.25">
      <c r="O582542" s="9"/>
    </row>
    <row r="582563" spans="15:15" x14ac:dyDescent="0.25">
      <c r="O582563" s="9"/>
    </row>
    <row r="582584" spans="15:15" x14ac:dyDescent="0.25">
      <c r="O582584" s="9"/>
    </row>
    <row r="582605" spans="15:15" x14ac:dyDescent="0.25">
      <c r="O582605" s="9"/>
    </row>
    <row r="582626" spans="15:15" x14ac:dyDescent="0.25">
      <c r="O582626" s="9"/>
    </row>
    <row r="582647" spans="15:15" x14ac:dyDescent="0.25">
      <c r="O582647" s="9"/>
    </row>
    <row r="582668" spans="15:15" x14ac:dyDescent="0.25">
      <c r="O582668" s="9"/>
    </row>
    <row r="582689" spans="15:15" x14ac:dyDescent="0.25">
      <c r="O582689" s="9"/>
    </row>
    <row r="582710" spans="15:15" x14ac:dyDescent="0.25">
      <c r="O582710" s="9"/>
    </row>
    <row r="582731" spans="15:15" x14ac:dyDescent="0.25">
      <c r="O582731" s="9"/>
    </row>
    <row r="582752" spans="15:15" x14ac:dyDescent="0.25">
      <c r="O582752" s="9"/>
    </row>
    <row r="582773" spans="15:15" x14ac:dyDescent="0.25">
      <c r="O582773" s="9"/>
    </row>
    <row r="582794" spans="15:15" x14ac:dyDescent="0.25">
      <c r="O582794" s="9"/>
    </row>
    <row r="582815" spans="15:15" x14ac:dyDescent="0.25">
      <c r="O582815" s="9"/>
    </row>
    <row r="582836" spans="15:15" x14ac:dyDescent="0.25">
      <c r="O582836" s="9"/>
    </row>
    <row r="582857" spans="15:15" x14ac:dyDescent="0.25">
      <c r="O582857" s="9"/>
    </row>
    <row r="582878" spans="15:15" x14ac:dyDescent="0.25">
      <c r="O582878" s="9"/>
    </row>
    <row r="582899" spans="15:15" x14ac:dyDescent="0.25">
      <c r="O582899" s="9"/>
    </row>
    <row r="582920" spans="15:15" x14ac:dyDescent="0.25">
      <c r="O582920" s="9"/>
    </row>
    <row r="582941" spans="15:15" x14ac:dyDescent="0.25">
      <c r="O582941" s="9"/>
    </row>
    <row r="582962" spans="15:15" x14ac:dyDescent="0.25">
      <c r="O582962" s="9"/>
    </row>
    <row r="582983" spans="15:15" x14ac:dyDescent="0.25">
      <c r="O582983" s="9"/>
    </row>
    <row r="583004" spans="15:15" x14ac:dyDescent="0.25">
      <c r="O583004" s="9"/>
    </row>
    <row r="583025" spans="15:15" x14ac:dyDescent="0.25">
      <c r="O583025" s="9"/>
    </row>
    <row r="583046" spans="15:15" x14ac:dyDescent="0.25">
      <c r="O583046" s="9"/>
    </row>
    <row r="583067" spans="15:15" x14ac:dyDescent="0.25">
      <c r="O583067" s="9"/>
    </row>
    <row r="583088" spans="15:15" x14ac:dyDescent="0.25">
      <c r="O583088" s="9"/>
    </row>
    <row r="583109" spans="15:15" x14ac:dyDescent="0.25">
      <c r="O583109" s="9"/>
    </row>
    <row r="583130" spans="15:15" x14ac:dyDescent="0.25">
      <c r="O583130" s="9"/>
    </row>
    <row r="583151" spans="15:15" x14ac:dyDescent="0.25">
      <c r="O583151" s="9"/>
    </row>
    <row r="583172" spans="15:15" x14ac:dyDescent="0.25">
      <c r="O583172" s="9"/>
    </row>
    <row r="583193" spans="15:15" x14ac:dyDescent="0.25">
      <c r="O583193" s="9"/>
    </row>
    <row r="583214" spans="15:15" x14ac:dyDescent="0.25">
      <c r="O583214" s="9"/>
    </row>
    <row r="583235" spans="15:15" x14ac:dyDescent="0.25">
      <c r="O583235" s="9"/>
    </row>
    <row r="583256" spans="15:15" x14ac:dyDescent="0.25">
      <c r="O583256" s="9"/>
    </row>
    <row r="583277" spans="15:15" x14ac:dyDescent="0.25">
      <c r="O583277" s="9"/>
    </row>
    <row r="583298" spans="15:15" x14ac:dyDescent="0.25">
      <c r="O583298" s="9"/>
    </row>
    <row r="583319" spans="15:15" x14ac:dyDescent="0.25">
      <c r="O583319" s="9"/>
    </row>
    <row r="583340" spans="15:15" x14ac:dyDescent="0.25">
      <c r="O583340" s="9"/>
    </row>
    <row r="583361" spans="15:15" x14ac:dyDescent="0.25">
      <c r="O583361" s="9"/>
    </row>
    <row r="583382" spans="15:15" x14ac:dyDescent="0.25">
      <c r="O583382" s="9"/>
    </row>
    <row r="583403" spans="15:15" x14ac:dyDescent="0.25">
      <c r="O583403" s="9"/>
    </row>
    <row r="583424" spans="15:15" x14ac:dyDescent="0.25">
      <c r="O583424" s="9"/>
    </row>
    <row r="583445" spans="15:15" x14ac:dyDescent="0.25">
      <c r="O583445" s="9"/>
    </row>
    <row r="583466" spans="15:15" x14ac:dyDescent="0.25">
      <c r="O583466" s="9"/>
    </row>
    <row r="583487" spans="15:15" x14ac:dyDescent="0.25">
      <c r="O583487" s="9"/>
    </row>
    <row r="583508" spans="15:15" x14ac:dyDescent="0.25">
      <c r="O583508" s="9"/>
    </row>
    <row r="583529" spans="15:15" x14ac:dyDescent="0.25">
      <c r="O583529" s="9"/>
    </row>
    <row r="583550" spans="15:15" x14ac:dyDescent="0.25">
      <c r="O583550" s="9"/>
    </row>
    <row r="583571" spans="15:15" x14ac:dyDescent="0.25">
      <c r="O583571" s="9"/>
    </row>
    <row r="583592" spans="15:15" x14ac:dyDescent="0.25">
      <c r="O583592" s="9"/>
    </row>
    <row r="583613" spans="15:15" x14ac:dyDescent="0.25">
      <c r="O583613" s="9"/>
    </row>
    <row r="583634" spans="15:15" x14ac:dyDescent="0.25">
      <c r="O583634" s="9"/>
    </row>
    <row r="583655" spans="15:15" x14ac:dyDescent="0.25">
      <c r="O583655" s="9"/>
    </row>
    <row r="583676" spans="15:15" x14ac:dyDescent="0.25">
      <c r="O583676" s="9"/>
    </row>
    <row r="583697" spans="15:15" x14ac:dyDescent="0.25">
      <c r="O583697" s="9"/>
    </row>
    <row r="583718" spans="15:15" x14ac:dyDescent="0.25">
      <c r="O583718" s="9"/>
    </row>
    <row r="583739" spans="15:15" x14ac:dyDescent="0.25">
      <c r="O583739" s="9"/>
    </row>
    <row r="583760" spans="15:15" x14ac:dyDescent="0.25">
      <c r="O583760" s="9"/>
    </row>
    <row r="583781" spans="15:15" x14ac:dyDescent="0.25">
      <c r="O583781" s="9"/>
    </row>
    <row r="583802" spans="15:15" x14ac:dyDescent="0.25">
      <c r="O583802" s="9"/>
    </row>
    <row r="583823" spans="15:15" x14ac:dyDescent="0.25">
      <c r="O583823" s="9"/>
    </row>
    <row r="583844" spans="15:15" x14ac:dyDescent="0.25">
      <c r="O583844" s="9"/>
    </row>
    <row r="583865" spans="15:15" x14ac:dyDescent="0.25">
      <c r="O583865" s="9"/>
    </row>
    <row r="583886" spans="15:15" x14ac:dyDescent="0.25">
      <c r="O583886" s="9"/>
    </row>
    <row r="583907" spans="15:15" x14ac:dyDescent="0.25">
      <c r="O583907" s="9"/>
    </row>
    <row r="583928" spans="15:15" x14ac:dyDescent="0.25">
      <c r="O583928" s="9"/>
    </row>
    <row r="583949" spans="15:15" x14ac:dyDescent="0.25">
      <c r="O583949" s="9"/>
    </row>
    <row r="583970" spans="15:15" x14ac:dyDescent="0.25">
      <c r="O583970" s="9"/>
    </row>
    <row r="583991" spans="15:15" x14ac:dyDescent="0.25">
      <c r="O583991" s="9"/>
    </row>
    <row r="584012" spans="15:15" x14ac:dyDescent="0.25">
      <c r="O584012" s="9"/>
    </row>
    <row r="584033" spans="15:15" x14ac:dyDescent="0.25">
      <c r="O584033" s="9"/>
    </row>
    <row r="584054" spans="15:15" x14ac:dyDescent="0.25">
      <c r="O584054" s="9"/>
    </row>
    <row r="584075" spans="15:15" x14ac:dyDescent="0.25">
      <c r="O584075" s="9"/>
    </row>
    <row r="584096" spans="15:15" x14ac:dyDescent="0.25">
      <c r="O584096" s="9"/>
    </row>
    <row r="584117" spans="15:15" x14ac:dyDescent="0.25">
      <c r="O584117" s="9"/>
    </row>
    <row r="584138" spans="15:15" x14ac:dyDescent="0.25">
      <c r="O584138" s="9"/>
    </row>
    <row r="584159" spans="15:15" x14ac:dyDescent="0.25">
      <c r="O584159" s="9"/>
    </row>
    <row r="584180" spans="15:15" x14ac:dyDescent="0.25">
      <c r="O584180" s="9"/>
    </row>
    <row r="584201" spans="15:15" x14ac:dyDescent="0.25">
      <c r="O584201" s="9"/>
    </row>
    <row r="584222" spans="15:15" x14ac:dyDescent="0.25">
      <c r="O584222" s="9"/>
    </row>
    <row r="584243" spans="15:15" x14ac:dyDescent="0.25">
      <c r="O584243" s="9"/>
    </row>
    <row r="584264" spans="15:15" x14ac:dyDescent="0.25">
      <c r="O584264" s="9"/>
    </row>
    <row r="584285" spans="15:15" x14ac:dyDescent="0.25">
      <c r="O584285" s="9"/>
    </row>
    <row r="584306" spans="15:15" x14ac:dyDescent="0.25">
      <c r="O584306" s="9"/>
    </row>
    <row r="584327" spans="15:15" x14ac:dyDescent="0.25">
      <c r="O584327" s="9"/>
    </row>
    <row r="584348" spans="15:15" x14ac:dyDescent="0.25">
      <c r="O584348" s="9"/>
    </row>
    <row r="584369" spans="15:15" x14ac:dyDescent="0.25">
      <c r="O584369" s="9"/>
    </row>
    <row r="584390" spans="15:15" x14ac:dyDescent="0.25">
      <c r="O584390" s="9"/>
    </row>
    <row r="584411" spans="15:15" x14ac:dyDescent="0.25">
      <c r="O584411" s="9"/>
    </row>
    <row r="584432" spans="15:15" x14ac:dyDescent="0.25">
      <c r="O584432" s="9"/>
    </row>
    <row r="584453" spans="15:15" x14ac:dyDescent="0.25">
      <c r="O584453" s="9"/>
    </row>
    <row r="584474" spans="15:15" x14ac:dyDescent="0.25">
      <c r="O584474" s="9"/>
    </row>
    <row r="584495" spans="15:15" x14ac:dyDescent="0.25">
      <c r="O584495" s="9"/>
    </row>
    <row r="584516" spans="15:15" x14ac:dyDescent="0.25">
      <c r="O584516" s="9"/>
    </row>
    <row r="584537" spans="15:15" x14ac:dyDescent="0.25">
      <c r="O584537" s="9"/>
    </row>
    <row r="584558" spans="15:15" x14ac:dyDescent="0.25">
      <c r="O584558" s="9"/>
    </row>
    <row r="584579" spans="15:15" x14ac:dyDescent="0.25">
      <c r="O584579" s="9"/>
    </row>
    <row r="584600" spans="15:15" x14ac:dyDescent="0.25">
      <c r="O584600" s="9"/>
    </row>
    <row r="584621" spans="15:15" x14ac:dyDescent="0.25">
      <c r="O584621" s="9"/>
    </row>
    <row r="584642" spans="15:15" x14ac:dyDescent="0.25">
      <c r="O584642" s="9"/>
    </row>
    <row r="584663" spans="15:15" x14ac:dyDescent="0.25">
      <c r="O584663" s="9"/>
    </row>
    <row r="584684" spans="15:15" x14ac:dyDescent="0.25">
      <c r="O584684" s="9"/>
    </row>
    <row r="584705" spans="15:15" x14ac:dyDescent="0.25">
      <c r="O584705" s="9"/>
    </row>
    <row r="584726" spans="15:15" x14ac:dyDescent="0.25">
      <c r="O584726" s="9"/>
    </row>
    <row r="584747" spans="15:15" x14ac:dyDescent="0.25">
      <c r="O584747" s="9"/>
    </row>
    <row r="584768" spans="15:15" x14ac:dyDescent="0.25">
      <c r="O584768" s="9"/>
    </row>
    <row r="584789" spans="15:15" x14ac:dyDescent="0.25">
      <c r="O584789" s="9"/>
    </row>
    <row r="584810" spans="15:15" x14ac:dyDescent="0.25">
      <c r="O584810" s="9"/>
    </row>
    <row r="584831" spans="15:15" x14ac:dyDescent="0.25">
      <c r="O584831" s="9"/>
    </row>
    <row r="584852" spans="15:15" x14ac:dyDescent="0.25">
      <c r="O584852" s="9"/>
    </row>
    <row r="584873" spans="15:15" x14ac:dyDescent="0.25">
      <c r="O584873" s="9"/>
    </row>
    <row r="584894" spans="15:15" x14ac:dyDescent="0.25">
      <c r="O584894" s="9"/>
    </row>
    <row r="584915" spans="15:15" x14ac:dyDescent="0.25">
      <c r="O584915" s="9"/>
    </row>
    <row r="584936" spans="15:15" x14ac:dyDescent="0.25">
      <c r="O584936" s="9"/>
    </row>
    <row r="584957" spans="15:15" x14ac:dyDescent="0.25">
      <c r="O584957" s="9"/>
    </row>
    <row r="584978" spans="15:15" x14ac:dyDescent="0.25">
      <c r="O584978" s="9"/>
    </row>
    <row r="584999" spans="15:15" x14ac:dyDescent="0.25">
      <c r="O584999" s="9"/>
    </row>
    <row r="585020" spans="15:15" x14ac:dyDescent="0.25">
      <c r="O585020" s="9"/>
    </row>
    <row r="585041" spans="15:15" x14ac:dyDescent="0.25">
      <c r="O585041" s="9"/>
    </row>
    <row r="585062" spans="15:15" x14ac:dyDescent="0.25">
      <c r="O585062" s="9"/>
    </row>
    <row r="585083" spans="15:15" x14ac:dyDescent="0.25">
      <c r="O585083" s="9"/>
    </row>
    <row r="585104" spans="15:15" x14ac:dyDescent="0.25">
      <c r="O585104" s="9"/>
    </row>
    <row r="585125" spans="15:15" x14ac:dyDescent="0.25">
      <c r="O585125" s="9"/>
    </row>
    <row r="585146" spans="15:15" x14ac:dyDescent="0.25">
      <c r="O585146" s="9"/>
    </row>
    <row r="585167" spans="15:15" x14ac:dyDescent="0.25">
      <c r="O585167" s="9"/>
    </row>
    <row r="585188" spans="15:15" x14ac:dyDescent="0.25">
      <c r="O585188" s="9"/>
    </row>
    <row r="585209" spans="15:15" x14ac:dyDescent="0.25">
      <c r="O585209" s="9"/>
    </row>
    <row r="585230" spans="15:15" x14ac:dyDescent="0.25">
      <c r="O585230" s="9"/>
    </row>
    <row r="585251" spans="15:15" x14ac:dyDescent="0.25">
      <c r="O585251" s="9"/>
    </row>
    <row r="585272" spans="15:15" x14ac:dyDescent="0.25">
      <c r="O585272" s="9"/>
    </row>
    <row r="585293" spans="15:15" x14ac:dyDescent="0.25">
      <c r="O585293" s="9"/>
    </row>
    <row r="585314" spans="15:15" x14ac:dyDescent="0.25">
      <c r="O585314" s="9"/>
    </row>
    <row r="585335" spans="15:15" x14ac:dyDescent="0.25">
      <c r="O585335" s="9"/>
    </row>
    <row r="585356" spans="15:15" x14ac:dyDescent="0.25">
      <c r="O585356" s="9"/>
    </row>
    <row r="585377" spans="15:15" x14ac:dyDescent="0.25">
      <c r="O585377" s="9"/>
    </row>
    <row r="585398" spans="15:15" x14ac:dyDescent="0.25">
      <c r="O585398" s="9"/>
    </row>
    <row r="585419" spans="15:15" x14ac:dyDescent="0.25">
      <c r="O585419" s="9"/>
    </row>
    <row r="585440" spans="15:15" x14ac:dyDescent="0.25">
      <c r="O585440" s="9"/>
    </row>
    <row r="585461" spans="15:15" x14ac:dyDescent="0.25">
      <c r="O585461" s="9"/>
    </row>
    <row r="585482" spans="15:15" x14ac:dyDescent="0.25">
      <c r="O585482" s="9"/>
    </row>
    <row r="585503" spans="15:15" x14ac:dyDescent="0.25">
      <c r="O585503" s="9"/>
    </row>
    <row r="585524" spans="15:15" x14ac:dyDescent="0.25">
      <c r="O585524" s="9"/>
    </row>
    <row r="585545" spans="15:15" x14ac:dyDescent="0.25">
      <c r="O585545" s="9"/>
    </row>
    <row r="585566" spans="15:15" x14ac:dyDescent="0.25">
      <c r="O585566" s="9"/>
    </row>
    <row r="585587" spans="15:15" x14ac:dyDescent="0.25">
      <c r="O585587" s="9"/>
    </row>
    <row r="585608" spans="15:15" x14ac:dyDescent="0.25">
      <c r="O585608" s="9"/>
    </row>
    <row r="585629" spans="15:15" x14ac:dyDescent="0.25">
      <c r="O585629" s="9"/>
    </row>
    <row r="585650" spans="15:15" x14ac:dyDescent="0.25">
      <c r="O585650" s="9"/>
    </row>
    <row r="585671" spans="15:15" x14ac:dyDescent="0.25">
      <c r="O585671" s="9"/>
    </row>
    <row r="585692" spans="15:15" x14ac:dyDescent="0.25">
      <c r="O585692" s="9"/>
    </row>
    <row r="585713" spans="15:15" x14ac:dyDescent="0.25">
      <c r="O585713" s="9"/>
    </row>
    <row r="585734" spans="15:15" x14ac:dyDescent="0.25">
      <c r="O585734" s="9"/>
    </row>
    <row r="585755" spans="15:15" x14ac:dyDescent="0.25">
      <c r="O585755" s="9"/>
    </row>
    <row r="585776" spans="15:15" x14ac:dyDescent="0.25">
      <c r="O585776" s="9"/>
    </row>
    <row r="585797" spans="15:15" x14ac:dyDescent="0.25">
      <c r="O585797" s="9"/>
    </row>
    <row r="585818" spans="15:15" x14ac:dyDescent="0.25">
      <c r="O585818" s="9"/>
    </row>
    <row r="585839" spans="15:15" x14ac:dyDescent="0.25">
      <c r="O585839" s="9"/>
    </row>
    <row r="585860" spans="15:15" x14ac:dyDescent="0.25">
      <c r="O585860" s="9"/>
    </row>
    <row r="585881" spans="15:15" x14ac:dyDescent="0.25">
      <c r="O585881" s="9"/>
    </row>
    <row r="585902" spans="15:15" x14ac:dyDescent="0.25">
      <c r="O585902" s="9"/>
    </row>
    <row r="585923" spans="15:15" x14ac:dyDescent="0.25">
      <c r="O585923" s="9"/>
    </row>
    <row r="585944" spans="15:15" x14ac:dyDescent="0.25">
      <c r="O585944" s="9"/>
    </row>
    <row r="585965" spans="15:15" x14ac:dyDescent="0.25">
      <c r="O585965" s="9"/>
    </row>
    <row r="585986" spans="15:15" x14ac:dyDescent="0.25">
      <c r="O585986" s="9"/>
    </row>
    <row r="586007" spans="15:15" x14ac:dyDescent="0.25">
      <c r="O586007" s="9"/>
    </row>
    <row r="586028" spans="15:15" x14ac:dyDescent="0.25">
      <c r="O586028" s="9"/>
    </row>
    <row r="586049" spans="15:15" x14ac:dyDescent="0.25">
      <c r="O586049" s="9"/>
    </row>
    <row r="586070" spans="15:15" x14ac:dyDescent="0.25">
      <c r="O586070" s="9"/>
    </row>
    <row r="586091" spans="15:15" x14ac:dyDescent="0.25">
      <c r="O586091" s="9"/>
    </row>
    <row r="586112" spans="15:15" x14ac:dyDescent="0.25">
      <c r="O586112" s="9"/>
    </row>
    <row r="586133" spans="15:15" x14ac:dyDescent="0.25">
      <c r="O586133" s="9"/>
    </row>
    <row r="586154" spans="15:15" x14ac:dyDescent="0.25">
      <c r="O586154" s="9"/>
    </row>
    <row r="586175" spans="15:15" x14ac:dyDescent="0.25">
      <c r="O586175" s="9"/>
    </row>
    <row r="586196" spans="15:15" x14ac:dyDescent="0.25">
      <c r="O586196" s="9"/>
    </row>
    <row r="586217" spans="15:15" x14ac:dyDescent="0.25">
      <c r="O586217" s="9"/>
    </row>
    <row r="586238" spans="15:15" x14ac:dyDescent="0.25">
      <c r="O586238" s="9"/>
    </row>
    <row r="586259" spans="15:15" x14ac:dyDescent="0.25">
      <c r="O586259" s="9"/>
    </row>
    <row r="586280" spans="15:15" x14ac:dyDescent="0.25">
      <c r="O586280" s="9"/>
    </row>
    <row r="586301" spans="15:15" x14ac:dyDescent="0.25">
      <c r="O586301" s="9"/>
    </row>
    <row r="586322" spans="15:15" x14ac:dyDescent="0.25">
      <c r="O586322" s="9"/>
    </row>
    <row r="586343" spans="15:15" x14ac:dyDescent="0.25">
      <c r="O586343" s="9"/>
    </row>
    <row r="586364" spans="15:15" x14ac:dyDescent="0.25">
      <c r="O586364" s="9"/>
    </row>
    <row r="586385" spans="15:15" x14ac:dyDescent="0.25">
      <c r="O586385" s="9"/>
    </row>
    <row r="586406" spans="15:15" x14ac:dyDescent="0.25">
      <c r="O586406" s="9"/>
    </row>
    <row r="586427" spans="15:15" x14ac:dyDescent="0.25">
      <c r="O586427" s="9"/>
    </row>
    <row r="586448" spans="15:15" x14ac:dyDescent="0.25">
      <c r="O586448" s="9"/>
    </row>
    <row r="586469" spans="15:15" x14ac:dyDescent="0.25">
      <c r="O586469" s="9"/>
    </row>
    <row r="586490" spans="15:15" x14ac:dyDescent="0.25">
      <c r="O586490" s="9"/>
    </row>
    <row r="586511" spans="15:15" x14ac:dyDescent="0.25">
      <c r="O586511" s="9"/>
    </row>
    <row r="586532" spans="15:15" x14ac:dyDescent="0.25">
      <c r="O586532" s="9"/>
    </row>
    <row r="586553" spans="15:15" x14ac:dyDescent="0.25">
      <c r="O586553" s="9"/>
    </row>
    <row r="586574" spans="15:15" x14ac:dyDescent="0.25">
      <c r="O586574" s="9"/>
    </row>
    <row r="586595" spans="15:15" x14ac:dyDescent="0.25">
      <c r="O586595" s="9"/>
    </row>
    <row r="586616" spans="15:15" x14ac:dyDescent="0.25">
      <c r="O586616" s="9"/>
    </row>
    <row r="586637" spans="15:15" x14ac:dyDescent="0.25">
      <c r="O586637" s="9"/>
    </row>
    <row r="586658" spans="15:15" x14ac:dyDescent="0.25">
      <c r="O586658" s="9"/>
    </row>
    <row r="586679" spans="15:15" x14ac:dyDescent="0.25">
      <c r="O586679" s="9"/>
    </row>
    <row r="586700" spans="15:15" x14ac:dyDescent="0.25">
      <c r="O586700" s="9"/>
    </row>
    <row r="586721" spans="15:15" x14ac:dyDescent="0.25">
      <c r="O586721" s="9"/>
    </row>
    <row r="586742" spans="15:15" x14ac:dyDescent="0.25">
      <c r="O586742" s="9"/>
    </row>
    <row r="586763" spans="15:15" x14ac:dyDescent="0.25">
      <c r="O586763" s="9"/>
    </row>
    <row r="586784" spans="15:15" x14ac:dyDescent="0.25">
      <c r="O586784" s="9"/>
    </row>
    <row r="586805" spans="15:15" x14ac:dyDescent="0.25">
      <c r="O586805" s="9"/>
    </row>
    <row r="586826" spans="15:15" x14ac:dyDescent="0.25">
      <c r="O586826" s="9"/>
    </row>
    <row r="586847" spans="15:15" x14ac:dyDescent="0.25">
      <c r="O586847" s="9"/>
    </row>
    <row r="586868" spans="15:15" x14ac:dyDescent="0.25">
      <c r="O586868" s="9"/>
    </row>
    <row r="586889" spans="15:15" x14ac:dyDescent="0.25">
      <c r="O586889" s="9"/>
    </row>
    <row r="586910" spans="15:15" x14ac:dyDescent="0.25">
      <c r="O586910" s="9"/>
    </row>
    <row r="586931" spans="15:15" x14ac:dyDescent="0.25">
      <c r="O586931" s="9"/>
    </row>
    <row r="586952" spans="15:15" x14ac:dyDescent="0.25">
      <c r="O586952" s="9"/>
    </row>
    <row r="586973" spans="15:15" x14ac:dyDescent="0.25">
      <c r="O586973" s="9"/>
    </row>
    <row r="586994" spans="15:15" x14ac:dyDescent="0.25">
      <c r="O586994" s="9"/>
    </row>
    <row r="587015" spans="15:15" x14ac:dyDescent="0.25">
      <c r="O587015" s="9"/>
    </row>
    <row r="587036" spans="15:15" x14ac:dyDescent="0.25">
      <c r="O587036" s="9"/>
    </row>
    <row r="587057" spans="15:15" x14ac:dyDescent="0.25">
      <c r="O587057" s="9"/>
    </row>
    <row r="587078" spans="15:15" x14ac:dyDescent="0.25">
      <c r="O587078" s="9"/>
    </row>
    <row r="587099" spans="15:15" x14ac:dyDescent="0.25">
      <c r="O587099" s="9"/>
    </row>
    <row r="587120" spans="15:15" x14ac:dyDescent="0.25">
      <c r="O587120" s="9"/>
    </row>
    <row r="587141" spans="15:15" x14ac:dyDescent="0.25">
      <c r="O587141" s="9"/>
    </row>
    <row r="587162" spans="15:15" x14ac:dyDescent="0.25">
      <c r="O587162" s="9"/>
    </row>
    <row r="587183" spans="15:15" x14ac:dyDescent="0.25">
      <c r="O587183" s="9"/>
    </row>
    <row r="587204" spans="15:15" x14ac:dyDescent="0.25">
      <c r="O587204" s="9"/>
    </row>
    <row r="587225" spans="15:15" x14ac:dyDescent="0.25">
      <c r="O587225" s="9"/>
    </row>
    <row r="587246" spans="15:15" x14ac:dyDescent="0.25">
      <c r="O587246" s="9"/>
    </row>
    <row r="587267" spans="15:15" x14ac:dyDescent="0.25">
      <c r="O587267" s="9"/>
    </row>
    <row r="587288" spans="15:15" x14ac:dyDescent="0.25">
      <c r="O587288" s="9"/>
    </row>
    <row r="587309" spans="15:15" x14ac:dyDescent="0.25">
      <c r="O587309" s="9"/>
    </row>
    <row r="587330" spans="15:15" x14ac:dyDescent="0.25">
      <c r="O587330" s="9"/>
    </row>
    <row r="587351" spans="15:15" x14ac:dyDescent="0.25">
      <c r="O587351" s="9"/>
    </row>
    <row r="587372" spans="15:15" x14ac:dyDescent="0.25">
      <c r="O587372" s="9"/>
    </row>
    <row r="587393" spans="15:15" x14ac:dyDescent="0.25">
      <c r="O587393" s="9"/>
    </row>
    <row r="587414" spans="15:15" x14ac:dyDescent="0.25">
      <c r="O587414" s="9"/>
    </row>
    <row r="587435" spans="15:15" x14ac:dyDescent="0.25">
      <c r="O587435" s="9"/>
    </row>
    <row r="587456" spans="15:15" x14ac:dyDescent="0.25">
      <c r="O587456" s="9"/>
    </row>
    <row r="587477" spans="15:15" x14ac:dyDescent="0.25">
      <c r="O587477" s="9"/>
    </row>
    <row r="587498" spans="15:15" x14ac:dyDescent="0.25">
      <c r="O587498" s="9"/>
    </row>
    <row r="587519" spans="15:15" x14ac:dyDescent="0.25">
      <c r="O587519" s="9"/>
    </row>
    <row r="587540" spans="15:15" x14ac:dyDescent="0.25">
      <c r="O587540" s="9"/>
    </row>
    <row r="587561" spans="15:15" x14ac:dyDescent="0.25">
      <c r="O587561" s="9"/>
    </row>
    <row r="587582" spans="15:15" x14ac:dyDescent="0.25">
      <c r="O587582" s="9"/>
    </row>
    <row r="587603" spans="15:15" x14ac:dyDescent="0.25">
      <c r="O587603" s="9"/>
    </row>
    <row r="587624" spans="15:15" x14ac:dyDescent="0.25">
      <c r="O587624" s="9"/>
    </row>
    <row r="587645" spans="15:15" x14ac:dyDescent="0.25">
      <c r="O587645" s="9"/>
    </row>
    <row r="587666" spans="15:15" x14ac:dyDescent="0.25">
      <c r="O587666" s="9"/>
    </row>
    <row r="587687" spans="15:15" x14ac:dyDescent="0.25">
      <c r="O587687" s="9"/>
    </row>
    <row r="587708" spans="15:15" x14ac:dyDescent="0.25">
      <c r="O587708" s="9"/>
    </row>
    <row r="587729" spans="15:15" x14ac:dyDescent="0.25">
      <c r="O587729" s="9"/>
    </row>
    <row r="587750" spans="15:15" x14ac:dyDescent="0.25">
      <c r="O587750" s="9"/>
    </row>
    <row r="587771" spans="15:15" x14ac:dyDescent="0.25">
      <c r="O587771" s="9"/>
    </row>
    <row r="587792" spans="15:15" x14ac:dyDescent="0.25">
      <c r="O587792" s="9"/>
    </row>
    <row r="587813" spans="15:15" x14ac:dyDescent="0.25">
      <c r="O587813" s="9"/>
    </row>
    <row r="587834" spans="15:15" x14ac:dyDescent="0.25">
      <c r="O587834" s="9"/>
    </row>
    <row r="587855" spans="15:15" x14ac:dyDescent="0.25">
      <c r="O587855" s="9"/>
    </row>
    <row r="587876" spans="15:15" x14ac:dyDescent="0.25">
      <c r="O587876" s="9"/>
    </row>
    <row r="587897" spans="15:15" x14ac:dyDescent="0.25">
      <c r="O587897" s="9"/>
    </row>
    <row r="587918" spans="15:15" x14ac:dyDescent="0.25">
      <c r="O587918" s="9"/>
    </row>
    <row r="587939" spans="15:15" x14ac:dyDescent="0.25">
      <c r="O587939" s="9"/>
    </row>
    <row r="587960" spans="15:15" x14ac:dyDescent="0.25">
      <c r="O587960" s="9"/>
    </row>
    <row r="587981" spans="15:15" x14ac:dyDescent="0.25">
      <c r="O587981" s="9"/>
    </row>
    <row r="588002" spans="15:15" x14ac:dyDescent="0.25">
      <c r="O588002" s="9"/>
    </row>
    <row r="588023" spans="15:15" x14ac:dyDescent="0.25">
      <c r="O588023" s="9"/>
    </row>
    <row r="588044" spans="15:15" x14ac:dyDescent="0.25">
      <c r="O588044" s="9"/>
    </row>
    <row r="588065" spans="15:15" x14ac:dyDescent="0.25">
      <c r="O588065" s="9"/>
    </row>
    <row r="588086" spans="15:15" x14ac:dyDescent="0.25">
      <c r="O588086" s="9"/>
    </row>
    <row r="588107" spans="15:15" x14ac:dyDescent="0.25">
      <c r="O588107" s="9"/>
    </row>
    <row r="588128" spans="15:15" x14ac:dyDescent="0.25">
      <c r="O588128" s="9"/>
    </row>
    <row r="588149" spans="15:15" x14ac:dyDescent="0.25">
      <c r="O588149" s="9"/>
    </row>
    <row r="588170" spans="15:15" x14ac:dyDescent="0.25">
      <c r="O588170" s="9"/>
    </row>
    <row r="588191" spans="15:15" x14ac:dyDescent="0.25">
      <c r="O588191" s="9"/>
    </row>
    <row r="588212" spans="15:15" x14ac:dyDescent="0.25">
      <c r="O588212" s="9"/>
    </row>
    <row r="588233" spans="15:15" x14ac:dyDescent="0.25">
      <c r="O588233" s="9"/>
    </row>
    <row r="588254" spans="15:15" x14ac:dyDescent="0.25">
      <c r="O588254" s="9"/>
    </row>
    <row r="588275" spans="15:15" x14ac:dyDescent="0.25">
      <c r="O588275" s="9"/>
    </row>
    <row r="588296" spans="15:15" x14ac:dyDescent="0.25">
      <c r="O588296" s="9"/>
    </row>
    <row r="588317" spans="15:15" x14ac:dyDescent="0.25">
      <c r="O588317" s="9"/>
    </row>
    <row r="588338" spans="15:15" x14ac:dyDescent="0.25">
      <c r="O588338" s="9"/>
    </row>
    <row r="588359" spans="15:15" x14ac:dyDescent="0.25">
      <c r="O588359" s="9"/>
    </row>
    <row r="588380" spans="15:15" x14ac:dyDescent="0.25">
      <c r="O588380" s="9"/>
    </row>
    <row r="588401" spans="15:15" x14ac:dyDescent="0.25">
      <c r="O588401" s="9"/>
    </row>
    <row r="588422" spans="15:15" x14ac:dyDescent="0.25">
      <c r="O588422" s="9"/>
    </row>
    <row r="588443" spans="15:15" x14ac:dyDescent="0.25">
      <c r="O588443" s="9"/>
    </row>
    <row r="588464" spans="15:15" x14ac:dyDescent="0.25">
      <c r="O588464" s="9"/>
    </row>
    <row r="588485" spans="15:15" x14ac:dyDescent="0.25">
      <c r="O588485" s="9"/>
    </row>
    <row r="588506" spans="15:15" x14ac:dyDescent="0.25">
      <c r="O588506" s="9"/>
    </row>
    <row r="588527" spans="15:15" x14ac:dyDescent="0.25">
      <c r="O588527" s="9"/>
    </row>
    <row r="588548" spans="15:15" x14ac:dyDescent="0.25">
      <c r="O588548" s="9"/>
    </row>
    <row r="588569" spans="15:15" x14ac:dyDescent="0.25">
      <c r="O588569" s="9"/>
    </row>
    <row r="588590" spans="15:15" x14ac:dyDescent="0.25">
      <c r="O588590" s="9"/>
    </row>
    <row r="588611" spans="15:15" x14ac:dyDescent="0.25">
      <c r="O588611" s="9"/>
    </row>
    <row r="588632" spans="15:15" x14ac:dyDescent="0.25">
      <c r="O588632" s="9"/>
    </row>
    <row r="588653" spans="15:15" x14ac:dyDescent="0.25">
      <c r="O588653" s="9"/>
    </row>
    <row r="588674" spans="15:15" x14ac:dyDescent="0.25">
      <c r="O588674" s="9"/>
    </row>
    <row r="588695" spans="15:15" x14ac:dyDescent="0.25">
      <c r="O588695" s="9"/>
    </row>
    <row r="588716" spans="15:15" x14ac:dyDescent="0.25">
      <c r="O588716" s="9"/>
    </row>
    <row r="588737" spans="15:15" x14ac:dyDescent="0.25">
      <c r="O588737" s="9"/>
    </row>
    <row r="588758" spans="15:15" x14ac:dyDescent="0.25">
      <c r="O588758" s="9"/>
    </row>
    <row r="588779" spans="15:15" x14ac:dyDescent="0.25">
      <c r="O588779" s="9"/>
    </row>
    <row r="588800" spans="15:15" x14ac:dyDescent="0.25">
      <c r="O588800" s="9"/>
    </row>
    <row r="588821" spans="15:15" x14ac:dyDescent="0.25">
      <c r="O588821" s="9"/>
    </row>
    <row r="588842" spans="15:15" x14ac:dyDescent="0.25">
      <c r="O588842" s="9"/>
    </row>
    <row r="588863" spans="15:15" x14ac:dyDescent="0.25">
      <c r="O588863" s="9"/>
    </row>
    <row r="588884" spans="15:15" x14ac:dyDescent="0.25">
      <c r="O588884" s="9"/>
    </row>
    <row r="588905" spans="15:15" x14ac:dyDescent="0.25">
      <c r="O588905" s="9"/>
    </row>
    <row r="588926" spans="15:15" x14ac:dyDescent="0.25">
      <c r="O588926" s="9"/>
    </row>
    <row r="588947" spans="15:15" x14ac:dyDescent="0.25">
      <c r="O588947" s="9"/>
    </row>
    <row r="588968" spans="15:15" x14ac:dyDescent="0.25">
      <c r="O588968" s="9"/>
    </row>
    <row r="588989" spans="15:15" x14ac:dyDescent="0.25">
      <c r="O588989" s="9"/>
    </row>
    <row r="589010" spans="15:15" x14ac:dyDescent="0.25">
      <c r="O589010" s="9"/>
    </row>
    <row r="589031" spans="15:15" x14ac:dyDescent="0.25">
      <c r="O589031" s="9"/>
    </row>
    <row r="589052" spans="15:15" x14ac:dyDescent="0.25">
      <c r="O589052" s="9"/>
    </row>
    <row r="589073" spans="15:15" x14ac:dyDescent="0.25">
      <c r="O589073" s="9"/>
    </row>
    <row r="589094" spans="15:15" x14ac:dyDescent="0.25">
      <c r="O589094" s="9"/>
    </row>
    <row r="589115" spans="15:15" x14ac:dyDescent="0.25">
      <c r="O589115" s="9"/>
    </row>
    <row r="589136" spans="15:15" x14ac:dyDescent="0.25">
      <c r="O589136" s="9"/>
    </row>
    <row r="589157" spans="15:15" x14ac:dyDescent="0.25">
      <c r="O589157" s="9"/>
    </row>
    <row r="589178" spans="15:15" x14ac:dyDescent="0.25">
      <c r="O589178" s="9"/>
    </row>
    <row r="589199" spans="15:15" x14ac:dyDescent="0.25">
      <c r="O589199" s="9"/>
    </row>
    <row r="589220" spans="15:15" x14ac:dyDescent="0.25">
      <c r="O589220" s="9"/>
    </row>
    <row r="589241" spans="15:15" x14ac:dyDescent="0.25">
      <c r="O589241" s="9"/>
    </row>
    <row r="589262" spans="15:15" x14ac:dyDescent="0.25">
      <c r="O589262" s="9"/>
    </row>
    <row r="589283" spans="15:15" x14ac:dyDescent="0.25">
      <c r="O589283" s="9"/>
    </row>
    <row r="589304" spans="15:15" x14ac:dyDescent="0.25">
      <c r="O589304" s="9"/>
    </row>
    <row r="589325" spans="15:15" x14ac:dyDescent="0.25">
      <c r="O589325" s="9"/>
    </row>
    <row r="589346" spans="15:15" x14ac:dyDescent="0.25">
      <c r="O589346" s="9"/>
    </row>
    <row r="589367" spans="15:15" x14ac:dyDescent="0.25">
      <c r="O589367" s="9"/>
    </row>
    <row r="589388" spans="15:15" x14ac:dyDescent="0.25">
      <c r="O589388" s="9"/>
    </row>
    <row r="589409" spans="15:15" x14ac:dyDescent="0.25">
      <c r="O589409" s="9"/>
    </row>
    <row r="589430" spans="15:15" x14ac:dyDescent="0.25">
      <c r="O589430" s="9"/>
    </row>
    <row r="589451" spans="15:15" x14ac:dyDescent="0.25">
      <c r="O589451" s="9"/>
    </row>
    <row r="589472" spans="15:15" x14ac:dyDescent="0.25">
      <c r="O589472" s="9"/>
    </row>
    <row r="589493" spans="15:15" x14ac:dyDescent="0.25">
      <c r="O589493" s="9"/>
    </row>
    <row r="589514" spans="15:15" x14ac:dyDescent="0.25">
      <c r="O589514" s="9"/>
    </row>
    <row r="589535" spans="15:15" x14ac:dyDescent="0.25">
      <c r="O589535" s="9"/>
    </row>
    <row r="589556" spans="15:15" x14ac:dyDescent="0.25">
      <c r="O589556" s="9"/>
    </row>
    <row r="589577" spans="15:15" x14ac:dyDescent="0.25">
      <c r="O589577" s="9"/>
    </row>
    <row r="589598" spans="15:15" x14ac:dyDescent="0.25">
      <c r="O589598" s="9"/>
    </row>
    <row r="589619" spans="15:15" x14ac:dyDescent="0.25">
      <c r="O589619" s="9"/>
    </row>
    <row r="589640" spans="15:15" x14ac:dyDescent="0.25">
      <c r="O589640" s="9"/>
    </row>
    <row r="589661" spans="15:15" x14ac:dyDescent="0.25">
      <c r="O589661" s="9"/>
    </row>
    <row r="589682" spans="15:15" x14ac:dyDescent="0.25">
      <c r="O589682" s="9"/>
    </row>
    <row r="589703" spans="15:15" x14ac:dyDescent="0.25">
      <c r="O589703" s="9"/>
    </row>
    <row r="589724" spans="15:15" x14ac:dyDescent="0.25">
      <c r="O589724" s="9"/>
    </row>
    <row r="589745" spans="15:15" x14ac:dyDescent="0.25">
      <c r="O589745" s="9"/>
    </row>
    <row r="589766" spans="15:15" x14ac:dyDescent="0.25">
      <c r="O589766" s="9"/>
    </row>
    <row r="589787" spans="15:15" x14ac:dyDescent="0.25">
      <c r="O589787" s="9"/>
    </row>
    <row r="589808" spans="15:15" x14ac:dyDescent="0.25">
      <c r="O589808" s="9"/>
    </row>
    <row r="589829" spans="15:15" x14ac:dyDescent="0.25">
      <c r="O589829" s="9"/>
    </row>
    <row r="589850" spans="15:15" x14ac:dyDescent="0.25">
      <c r="O589850" s="9"/>
    </row>
    <row r="589871" spans="15:15" x14ac:dyDescent="0.25">
      <c r="O589871" s="9"/>
    </row>
    <row r="589892" spans="15:15" x14ac:dyDescent="0.25">
      <c r="O589892" s="9"/>
    </row>
    <row r="589913" spans="15:15" x14ac:dyDescent="0.25">
      <c r="O589913" s="9"/>
    </row>
    <row r="589934" spans="15:15" x14ac:dyDescent="0.25">
      <c r="O589934" s="9"/>
    </row>
    <row r="589955" spans="15:15" x14ac:dyDescent="0.25">
      <c r="O589955" s="9"/>
    </row>
    <row r="589976" spans="15:15" x14ac:dyDescent="0.25">
      <c r="O589976" s="9"/>
    </row>
    <row r="589997" spans="15:15" x14ac:dyDescent="0.25">
      <c r="O589997" s="9"/>
    </row>
    <row r="590018" spans="15:15" x14ac:dyDescent="0.25">
      <c r="O590018" s="9"/>
    </row>
    <row r="590039" spans="15:15" x14ac:dyDescent="0.25">
      <c r="O590039" s="9"/>
    </row>
    <row r="590060" spans="15:15" x14ac:dyDescent="0.25">
      <c r="O590060" s="9"/>
    </row>
    <row r="590081" spans="15:15" x14ac:dyDescent="0.25">
      <c r="O590081" s="9"/>
    </row>
    <row r="590102" spans="15:15" x14ac:dyDescent="0.25">
      <c r="O590102" s="9"/>
    </row>
    <row r="590123" spans="15:15" x14ac:dyDescent="0.25">
      <c r="O590123" s="9"/>
    </row>
    <row r="590144" spans="15:15" x14ac:dyDescent="0.25">
      <c r="O590144" s="9"/>
    </row>
    <row r="590165" spans="15:15" x14ac:dyDescent="0.25">
      <c r="O590165" s="9"/>
    </row>
    <row r="590186" spans="15:15" x14ac:dyDescent="0.25">
      <c r="O590186" s="9"/>
    </row>
    <row r="590207" spans="15:15" x14ac:dyDescent="0.25">
      <c r="O590207" s="9"/>
    </row>
    <row r="590228" spans="15:15" x14ac:dyDescent="0.25">
      <c r="O590228" s="9"/>
    </row>
    <row r="590249" spans="15:15" x14ac:dyDescent="0.25">
      <c r="O590249" s="9"/>
    </row>
    <row r="590270" spans="15:15" x14ac:dyDescent="0.25">
      <c r="O590270" s="9"/>
    </row>
    <row r="590291" spans="15:15" x14ac:dyDescent="0.25">
      <c r="O590291" s="9"/>
    </row>
    <row r="590312" spans="15:15" x14ac:dyDescent="0.25">
      <c r="O590312" s="9"/>
    </row>
    <row r="590333" spans="15:15" x14ac:dyDescent="0.25">
      <c r="O590333" s="9"/>
    </row>
    <row r="590354" spans="15:15" x14ac:dyDescent="0.25">
      <c r="O590354" s="9"/>
    </row>
    <row r="590375" spans="15:15" x14ac:dyDescent="0.25">
      <c r="O590375" s="9"/>
    </row>
    <row r="590396" spans="15:15" x14ac:dyDescent="0.25">
      <c r="O590396" s="9"/>
    </row>
    <row r="590417" spans="15:15" x14ac:dyDescent="0.25">
      <c r="O590417" s="9"/>
    </row>
    <row r="590438" spans="15:15" x14ac:dyDescent="0.25">
      <c r="O590438" s="9"/>
    </row>
    <row r="590459" spans="15:15" x14ac:dyDescent="0.25">
      <c r="O590459" s="9"/>
    </row>
    <row r="590480" spans="15:15" x14ac:dyDescent="0.25">
      <c r="O590480" s="9"/>
    </row>
    <row r="590501" spans="15:15" x14ac:dyDescent="0.25">
      <c r="O590501" s="9"/>
    </row>
    <row r="590522" spans="15:15" x14ac:dyDescent="0.25">
      <c r="O590522" s="9"/>
    </row>
    <row r="590543" spans="15:15" x14ac:dyDescent="0.25">
      <c r="O590543" s="9"/>
    </row>
    <row r="590564" spans="15:15" x14ac:dyDescent="0.25">
      <c r="O590564" s="9"/>
    </row>
    <row r="590585" spans="15:15" x14ac:dyDescent="0.25">
      <c r="O590585" s="9"/>
    </row>
    <row r="590606" spans="15:15" x14ac:dyDescent="0.25">
      <c r="O590606" s="9"/>
    </row>
    <row r="590627" spans="15:15" x14ac:dyDescent="0.25">
      <c r="O590627" s="9"/>
    </row>
    <row r="590648" spans="15:15" x14ac:dyDescent="0.25">
      <c r="O590648" s="9"/>
    </row>
    <row r="590669" spans="15:15" x14ac:dyDescent="0.25">
      <c r="O590669" s="9"/>
    </row>
    <row r="590690" spans="15:15" x14ac:dyDescent="0.25">
      <c r="O590690" s="9"/>
    </row>
    <row r="590711" spans="15:15" x14ac:dyDescent="0.25">
      <c r="O590711" s="9"/>
    </row>
    <row r="590732" spans="15:15" x14ac:dyDescent="0.25">
      <c r="O590732" s="9"/>
    </row>
    <row r="590753" spans="15:15" x14ac:dyDescent="0.25">
      <c r="O590753" s="9"/>
    </row>
    <row r="590774" spans="15:15" x14ac:dyDescent="0.25">
      <c r="O590774" s="9"/>
    </row>
    <row r="590795" spans="15:15" x14ac:dyDescent="0.25">
      <c r="O590795" s="9"/>
    </row>
    <row r="590816" spans="15:15" x14ac:dyDescent="0.25">
      <c r="O590816" s="9"/>
    </row>
    <row r="590837" spans="15:15" x14ac:dyDescent="0.25">
      <c r="O590837" s="9"/>
    </row>
    <row r="590858" spans="15:15" x14ac:dyDescent="0.25">
      <c r="O590858" s="9"/>
    </row>
    <row r="590879" spans="15:15" x14ac:dyDescent="0.25">
      <c r="O590879" s="9"/>
    </row>
    <row r="590900" spans="15:15" x14ac:dyDescent="0.25">
      <c r="O590900" s="9"/>
    </row>
    <row r="590921" spans="15:15" x14ac:dyDescent="0.25">
      <c r="O590921" s="9"/>
    </row>
    <row r="590942" spans="15:15" x14ac:dyDescent="0.25">
      <c r="O590942" s="9"/>
    </row>
    <row r="590963" spans="15:15" x14ac:dyDescent="0.25">
      <c r="O590963" s="9"/>
    </row>
    <row r="590984" spans="15:15" x14ac:dyDescent="0.25">
      <c r="O590984" s="9"/>
    </row>
    <row r="591005" spans="15:15" x14ac:dyDescent="0.25">
      <c r="O591005" s="9"/>
    </row>
    <row r="591026" spans="15:15" x14ac:dyDescent="0.25">
      <c r="O591026" s="9"/>
    </row>
    <row r="591047" spans="15:15" x14ac:dyDescent="0.25">
      <c r="O591047" s="9"/>
    </row>
    <row r="591068" spans="15:15" x14ac:dyDescent="0.25">
      <c r="O591068" s="9"/>
    </row>
    <row r="591089" spans="15:15" x14ac:dyDescent="0.25">
      <c r="O591089" s="9"/>
    </row>
    <row r="591110" spans="15:15" x14ac:dyDescent="0.25">
      <c r="O591110" s="9"/>
    </row>
    <row r="591131" spans="15:15" x14ac:dyDescent="0.25">
      <c r="O591131" s="9"/>
    </row>
    <row r="591152" spans="15:15" x14ac:dyDescent="0.25">
      <c r="O591152" s="9"/>
    </row>
    <row r="591173" spans="15:15" x14ac:dyDescent="0.25">
      <c r="O591173" s="9"/>
    </row>
    <row r="591194" spans="15:15" x14ac:dyDescent="0.25">
      <c r="O591194" s="9"/>
    </row>
    <row r="591215" spans="15:15" x14ac:dyDescent="0.25">
      <c r="O591215" s="9"/>
    </row>
    <row r="591236" spans="15:15" x14ac:dyDescent="0.25">
      <c r="O591236" s="9"/>
    </row>
    <row r="591257" spans="15:15" x14ac:dyDescent="0.25">
      <c r="O591257" s="9"/>
    </row>
    <row r="591278" spans="15:15" x14ac:dyDescent="0.25">
      <c r="O591278" s="9"/>
    </row>
    <row r="591299" spans="15:15" x14ac:dyDescent="0.25">
      <c r="O591299" s="9"/>
    </row>
    <row r="591320" spans="15:15" x14ac:dyDescent="0.25">
      <c r="O591320" s="9"/>
    </row>
    <row r="591341" spans="15:15" x14ac:dyDescent="0.25">
      <c r="O591341" s="9"/>
    </row>
    <row r="591362" spans="15:15" x14ac:dyDescent="0.25">
      <c r="O591362" s="9"/>
    </row>
    <row r="591383" spans="15:15" x14ac:dyDescent="0.25">
      <c r="O591383" s="9"/>
    </row>
    <row r="591404" spans="15:15" x14ac:dyDescent="0.25">
      <c r="O591404" s="9"/>
    </row>
    <row r="591425" spans="15:15" x14ac:dyDescent="0.25">
      <c r="O591425" s="9"/>
    </row>
    <row r="591446" spans="15:15" x14ac:dyDescent="0.25">
      <c r="O591446" s="9"/>
    </row>
    <row r="591467" spans="15:15" x14ac:dyDescent="0.25">
      <c r="O591467" s="9"/>
    </row>
    <row r="591488" spans="15:15" x14ac:dyDescent="0.25">
      <c r="O591488" s="9"/>
    </row>
    <row r="591509" spans="15:15" x14ac:dyDescent="0.25">
      <c r="O591509" s="9"/>
    </row>
    <row r="591530" spans="15:15" x14ac:dyDescent="0.25">
      <c r="O591530" s="9"/>
    </row>
    <row r="591551" spans="15:15" x14ac:dyDescent="0.25">
      <c r="O591551" s="9"/>
    </row>
    <row r="591572" spans="15:15" x14ac:dyDescent="0.25">
      <c r="O591572" s="9"/>
    </row>
    <row r="591593" spans="15:15" x14ac:dyDescent="0.25">
      <c r="O591593" s="9"/>
    </row>
    <row r="591614" spans="15:15" x14ac:dyDescent="0.25">
      <c r="O591614" s="9"/>
    </row>
    <row r="591635" spans="15:15" x14ac:dyDescent="0.25">
      <c r="O591635" s="9"/>
    </row>
    <row r="591656" spans="15:15" x14ac:dyDescent="0.25">
      <c r="O591656" s="9"/>
    </row>
    <row r="591677" spans="15:15" x14ac:dyDescent="0.25">
      <c r="O591677" s="9"/>
    </row>
    <row r="591698" spans="15:15" x14ac:dyDescent="0.25">
      <c r="O591698" s="9"/>
    </row>
    <row r="591719" spans="15:15" x14ac:dyDescent="0.25">
      <c r="O591719" s="9"/>
    </row>
    <row r="591740" spans="15:15" x14ac:dyDescent="0.25">
      <c r="O591740" s="9"/>
    </row>
    <row r="591761" spans="15:15" x14ac:dyDescent="0.25">
      <c r="O591761" s="9"/>
    </row>
    <row r="591782" spans="15:15" x14ac:dyDescent="0.25">
      <c r="O591782" s="9"/>
    </row>
    <row r="591803" spans="15:15" x14ac:dyDescent="0.25">
      <c r="O591803" s="9"/>
    </row>
    <row r="591824" spans="15:15" x14ac:dyDescent="0.25">
      <c r="O591824" s="9"/>
    </row>
    <row r="591845" spans="15:15" x14ac:dyDescent="0.25">
      <c r="O591845" s="9"/>
    </row>
    <row r="591866" spans="15:15" x14ac:dyDescent="0.25">
      <c r="O591866" s="9"/>
    </row>
    <row r="591887" spans="15:15" x14ac:dyDescent="0.25">
      <c r="O591887" s="9"/>
    </row>
    <row r="591908" spans="15:15" x14ac:dyDescent="0.25">
      <c r="O591908" s="9"/>
    </row>
    <row r="591929" spans="15:15" x14ac:dyDescent="0.25">
      <c r="O591929" s="9"/>
    </row>
    <row r="591950" spans="15:15" x14ac:dyDescent="0.25">
      <c r="O591950" s="9"/>
    </row>
    <row r="591971" spans="15:15" x14ac:dyDescent="0.25">
      <c r="O591971" s="9"/>
    </row>
    <row r="591992" spans="15:15" x14ac:dyDescent="0.25">
      <c r="O591992" s="9"/>
    </row>
    <row r="592013" spans="15:15" x14ac:dyDescent="0.25">
      <c r="O592013" s="9"/>
    </row>
    <row r="592034" spans="15:15" x14ac:dyDescent="0.25">
      <c r="O592034" s="9"/>
    </row>
    <row r="592055" spans="15:15" x14ac:dyDescent="0.25">
      <c r="O592055" s="9"/>
    </row>
    <row r="592076" spans="15:15" x14ac:dyDescent="0.25">
      <c r="O592076" s="9"/>
    </row>
    <row r="592097" spans="15:15" x14ac:dyDescent="0.25">
      <c r="O592097" s="9"/>
    </row>
    <row r="592118" spans="15:15" x14ac:dyDescent="0.25">
      <c r="O592118" s="9"/>
    </row>
    <row r="592139" spans="15:15" x14ac:dyDescent="0.25">
      <c r="O592139" s="9"/>
    </row>
    <row r="592160" spans="15:15" x14ac:dyDescent="0.25">
      <c r="O592160" s="9"/>
    </row>
    <row r="592181" spans="15:15" x14ac:dyDescent="0.25">
      <c r="O592181" s="9"/>
    </row>
    <row r="592202" spans="15:15" x14ac:dyDescent="0.25">
      <c r="O592202" s="9"/>
    </row>
    <row r="592223" spans="15:15" x14ac:dyDescent="0.25">
      <c r="O592223" s="9"/>
    </row>
    <row r="592244" spans="15:15" x14ac:dyDescent="0.25">
      <c r="O592244" s="9"/>
    </row>
    <row r="592265" spans="15:15" x14ac:dyDescent="0.25">
      <c r="O592265" s="9"/>
    </row>
    <row r="592286" spans="15:15" x14ac:dyDescent="0.25">
      <c r="O592286" s="9"/>
    </row>
    <row r="592307" spans="15:15" x14ac:dyDescent="0.25">
      <c r="O592307" s="9"/>
    </row>
    <row r="592328" spans="15:15" x14ac:dyDescent="0.25">
      <c r="O592328" s="9"/>
    </row>
    <row r="592349" spans="15:15" x14ac:dyDescent="0.25">
      <c r="O592349" s="9"/>
    </row>
    <row r="592370" spans="15:15" x14ac:dyDescent="0.25">
      <c r="O592370" s="9"/>
    </row>
    <row r="592391" spans="15:15" x14ac:dyDescent="0.25">
      <c r="O592391" s="9"/>
    </row>
    <row r="592412" spans="15:15" x14ac:dyDescent="0.25">
      <c r="O592412" s="9"/>
    </row>
    <row r="592433" spans="15:15" x14ac:dyDescent="0.25">
      <c r="O592433" s="9"/>
    </row>
    <row r="592454" spans="15:15" x14ac:dyDescent="0.25">
      <c r="O592454" s="9"/>
    </row>
    <row r="592475" spans="15:15" x14ac:dyDescent="0.25">
      <c r="O592475" s="9"/>
    </row>
    <row r="592496" spans="15:15" x14ac:dyDescent="0.25">
      <c r="O592496" s="9"/>
    </row>
    <row r="592517" spans="15:15" x14ac:dyDescent="0.25">
      <c r="O592517" s="9"/>
    </row>
    <row r="592538" spans="15:15" x14ac:dyDescent="0.25">
      <c r="O592538" s="9"/>
    </row>
    <row r="592559" spans="15:15" x14ac:dyDescent="0.25">
      <c r="O592559" s="9"/>
    </row>
    <row r="592580" spans="15:15" x14ac:dyDescent="0.25">
      <c r="O592580" s="9"/>
    </row>
    <row r="592601" spans="15:15" x14ac:dyDescent="0.25">
      <c r="O592601" s="9"/>
    </row>
    <row r="592622" spans="15:15" x14ac:dyDescent="0.25">
      <c r="O592622" s="9"/>
    </row>
    <row r="592643" spans="15:15" x14ac:dyDescent="0.25">
      <c r="O592643" s="9"/>
    </row>
    <row r="592664" spans="15:15" x14ac:dyDescent="0.25">
      <c r="O592664" s="9"/>
    </row>
    <row r="592685" spans="15:15" x14ac:dyDescent="0.25">
      <c r="O592685" s="9"/>
    </row>
    <row r="592706" spans="15:15" x14ac:dyDescent="0.25">
      <c r="O592706" s="9"/>
    </row>
    <row r="592727" spans="15:15" x14ac:dyDescent="0.25">
      <c r="O592727" s="9"/>
    </row>
    <row r="592748" spans="15:15" x14ac:dyDescent="0.25">
      <c r="O592748" s="9"/>
    </row>
    <row r="592769" spans="15:15" x14ac:dyDescent="0.25">
      <c r="O592769" s="9"/>
    </row>
    <row r="592790" spans="15:15" x14ac:dyDescent="0.25">
      <c r="O592790" s="9"/>
    </row>
    <row r="592811" spans="15:15" x14ac:dyDescent="0.25">
      <c r="O592811" s="9"/>
    </row>
    <row r="592832" spans="15:15" x14ac:dyDescent="0.25">
      <c r="O592832" s="9"/>
    </row>
    <row r="592853" spans="15:15" x14ac:dyDescent="0.25">
      <c r="O592853" s="9"/>
    </row>
    <row r="592874" spans="15:15" x14ac:dyDescent="0.25">
      <c r="O592874" s="9"/>
    </row>
    <row r="592895" spans="15:15" x14ac:dyDescent="0.25">
      <c r="O592895" s="9"/>
    </row>
    <row r="592916" spans="15:15" x14ac:dyDescent="0.25">
      <c r="O592916" s="9"/>
    </row>
    <row r="592937" spans="15:15" x14ac:dyDescent="0.25">
      <c r="O592937" s="9"/>
    </row>
    <row r="592958" spans="15:15" x14ac:dyDescent="0.25">
      <c r="O592958" s="9"/>
    </row>
    <row r="592979" spans="15:15" x14ac:dyDescent="0.25">
      <c r="O592979" s="9"/>
    </row>
    <row r="593000" spans="15:15" x14ac:dyDescent="0.25">
      <c r="O593000" s="9"/>
    </row>
    <row r="593021" spans="15:15" x14ac:dyDescent="0.25">
      <c r="O593021" s="9"/>
    </row>
    <row r="593042" spans="15:15" x14ac:dyDescent="0.25">
      <c r="O593042" s="9"/>
    </row>
    <row r="593063" spans="15:15" x14ac:dyDescent="0.25">
      <c r="O593063" s="9"/>
    </row>
    <row r="593084" spans="15:15" x14ac:dyDescent="0.25">
      <c r="O593084" s="9"/>
    </row>
    <row r="593105" spans="15:15" x14ac:dyDescent="0.25">
      <c r="O593105" s="9"/>
    </row>
    <row r="593126" spans="15:15" x14ac:dyDescent="0.25">
      <c r="O593126" s="9"/>
    </row>
    <row r="593147" spans="15:15" x14ac:dyDescent="0.25">
      <c r="O593147" s="9"/>
    </row>
    <row r="593168" spans="15:15" x14ac:dyDescent="0.25">
      <c r="O593168" s="9"/>
    </row>
    <row r="593189" spans="15:15" x14ac:dyDescent="0.25">
      <c r="O593189" s="9"/>
    </row>
    <row r="593210" spans="15:15" x14ac:dyDescent="0.25">
      <c r="O593210" s="9"/>
    </row>
    <row r="593231" spans="15:15" x14ac:dyDescent="0.25">
      <c r="O593231" s="9"/>
    </row>
    <row r="593252" spans="15:15" x14ac:dyDescent="0.25">
      <c r="O593252" s="9"/>
    </row>
    <row r="593273" spans="15:15" x14ac:dyDescent="0.25">
      <c r="O593273" s="9"/>
    </row>
    <row r="593294" spans="15:15" x14ac:dyDescent="0.25">
      <c r="O593294" s="9"/>
    </row>
    <row r="593315" spans="15:15" x14ac:dyDescent="0.25">
      <c r="O593315" s="9"/>
    </row>
    <row r="593336" spans="15:15" x14ac:dyDescent="0.25">
      <c r="O593336" s="9"/>
    </row>
    <row r="593357" spans="15:15" x14ac:dyDescent="0.25">
      <c r="O593357" s="9"/>
    </row>
    <row r="593378" spans="15:15" x14ac:dyDescent="0.25">
      <c r="O593378" s="9"/>
    </row>
    <row r="593399" spans="15:15" x14ac:dyDescent="0.25">
      <c r="O593399" s="9"/>
    </row>
    <row r="593420" spans="15:15" x14ac:dyDescent="0.25">
      <c r="O593420" s="9"/>
    </row>
    <row r="593441" spans="15:15" x14ac:dyDescent="0.25">
      <c r="O593441" s="9"/>
    </row>
    <row r="593462" spans="15:15" x14ac:dyDescent="0.25">
      <c r="O593462" s="9"/>
    </row>
    <row r="593483" spans="15:15" x14ac:dyDescent="0.25">
      <c r="O593483" s="9"/>
    </row>
    <row r="593504" spans="15:15" x14ac:dyDescent="0.25">
      <c r="O593504" s="9"/>
    </row>
    <row r="593525" spans="15:15" x14ac:dyDescent="0.25">
      <c r="O593525" s="9"/>
    </row>
    <row r="593546" spans="15:15" x14ac:dyDescent="0.25">
      <c r="O593546" s="9"/>
    </row>
    <row r="593567" spans="15:15" x14ac:dyDescent="0.25">
      <c r="O593567" s="9"/>
    </row>
    <row r="593588" spans="15:15" x14ac:dyDescent="0.25">
      <c r="O593588" s="9"/>
    </row>
    <row r="593609" spans="15:15" x14ac:dyDescent="0.25">
      <c r="O593609" s="9"/>
    </row>
    <row r="593630" spans="15:15" x14ac:dyDescent="0.25">
      <c r="O593630" s="9"/>
    </row>
    <row r="593651" spans="15:15" x14ac:dyDescent="0.25">
      <c r="O593651" s="9"/>
    </row>
    <row r="593672" spans="15:15" x14ac:dyDescent="0.25">
      <c r="O593672" s="9"/>
    </row>
    <row r="593693" spans="15:15" x14ac:dyDescent="0.25">
      <c r="O593693" s="9"/>
    </row>
    <row r="593714" spans="15:15" x14ac:dyDescent="0.25">
      <c r="O593714" s="9"/>
    </row>
    <row r="593735" spans="15:15" x14ac:dyDescent="0.25">
      <c r="O593735" s="9"/>
    </row>
    <row r="593756" spans="15:15" x14ac:dyDescent="0.25">
      <c r="O593756" s="9"/>
    </row>
    <row r="593777" spans="15:15" x14ac:dyDescent="0.25">
      <c r="O593777" s="9"/>
    </row>
    <row r="593798" spans="15:15" x14ac:dyDescent="0.25">
      <c r="O593798" s="9"/>
    </row>
    <row r="593819" spans="15:15" x14ac:dyDescent="0.25">
      <c r="O593819" s="9"/>
    </row>
    <row r="593840" spans="15:15" x14ac:dyDescent="0.25">
      <c r="O593840" s="9"/>
    </row>
    <row r="593861" spans="15:15" x14ac:dyDescent="0.25">
      <c r="O593861" s="9"/>
    </row>
    <row r="593882" spans="15:15" x14ac:dyDescent="0.25">
      <c r="O593882" s="9"/>
    </row>
    <row r="593903" spans="15:15" x14ac:dyDescent="0.25">
      <c r="O593903" s="9"/>
    </row>
    <row r="593924" spans="15:15" x14ac:dyDescent="0.25">
      <c r="O593924" s="9"/>
    </row>
    <row r="593945" spans="15:15" x14ac:dyDescent="0.25">
      <c r="O593945" s="9"/>
    </row>
    <row r="593966" spans="15:15" x14ac:dyDescent="0.25">
      <c r="O593966" s="9"/>
    </row>
    <row r="593987" spans="15:15" x14ac:dyDescent="0.25">
      <c r="O593987" s="9"/>
    </row>
    <row r="594008" spans="15:15" x14ac:dyDescent="0.25">
      <c r="O594008" s="9"/>
    </row>
    <row r="594029" spans="15:15" x14ac:dyDescent="0.25">
      <c r="O594029" s="9"/>
    </row>
    <row r="594050" spans="15:15" x14ac:dyDescent="0.25">
      <c r="O594050" s="9"/>
    </row>
    <row r="594071" spans="15:15" x14ac:dyDescent="0.25">
      <c r="O594071" s="9"/>
    </row>
    <row r="594092" spans="15:15" x14ac:dyDescent="0.25">
      <c r="O594092" s="9"/>
    </row>
    <row r="594113" spans="15:15" x14ac:dyDescent="0.25">
      <c r="O594113" s="9"/>
    </row>
    <row r="594134" spans="15:15" x14ac:dyDescent="0.25">
      <c r="O594134" s="9"/>
    </row>
    <row r="594155" spans="15:15" x14ac:dyDescent="0.25">
      <c r="O594155" s="9"/>
    </row>
    <row r="594176" spans="15:15" x14ac:dyDescent="0.25">
      <c r="O594176" s="9"/>
    </row>
    <row r="594197" spans="15:15" x14ac:dyDescent="0.25">
      <c r="O594197" s="9"/>
    </row>
    <row r="594218" spans="15:15" x14ac:dyDescent="0.25">
      <c r="O594218" s="9"/>
    </row>
    <row r="594239" spans="15:15" x14ac:dyDescent="0.25">
      <c r="O594239" s="9"/>
    </row>
    <row r="594260" spans="15:15" x14ac:dyDescent="0.25">
      <c r="O594260" s="9"/>
    </row>
    <row r="594281" spans="15:15" x14ac:dyDescent="0.25">
      <c r="O594281" s="9"/>
    </row>
    <row r="594302" spans="15:15" x14ac:dyDescent="0.25">
      <c r="O594302" s="9"/>
    </row>
    <row r="594323" spans="15:15" x14ac:dyDescent="0.25">
      <c r="O594323" s="9"/>
    </row>
    <row r="594344" spans="15:15" x14ac:dyDescent="0.25">
      <c r="O594344" s="9"/>
    </row>
    <row r="594365" spans="15:15" x14ac:dyDescent="0.25">
      <c r="O594365" s="9"/>
    </row>
    <row r="594386" spans="15:15" x14ac:dyDescent="0.25">
      <c r="O594386" s="9"/>
    </row>
    <row r="594407" spans="15:15" x14ac:dyDescent="0.25">
      <c r="O594407" s="9"/>
    </row>
    <row r="594428" spans="15:15" x14ac:dyDescent="0.25">
      <c r="O594428" s="9"/>
    </row>
    <row r="594449" spans="15:15" x14ac:dyDescent="0.25">
      <c r="O594449" s="9"/>
    </row>
    <row r="594470" spans="15:15" x14ac:dyDescent="0.25">
      <c r="O594470" s="9"/>
    </row>
    <row r="594491" spans="15:15" x14ac:dyDescent="0.25">
      <c r="O594491" s="9"/>
    </row>
    <row r="594512" spans="15:15" x14ac:dyDescent="0.25">
      <c r="O594512" s="9"/>
    </row>
    <row r="594533" spans="15:15" x14ac:dyDescent="0.25">
      <c r="O594533" s="9"/>
    </row>
    <row r="594554" spans="15:15" x14ac:dyDescent="0.25">
      <c r="O594554" s="9"/>
    </row>
    <row r="594575" spans="15:15" x14ac:dyDescent="0.25">
      <c r="O594575" s="9"/>
    </row>
    <row r="594596" spans="15:15" x14ac:dyDescent="0.25">
      <c r="O594596" s="9"/>
    </row>
    <row r="594617" spans="15:15" x14ac:dyDescent="0.25">
      <c r="O594617" s="9"/>
    </row>
    <row r="594638" spans="15:15" x14ac:dyDescent="0.25">
      <c r="O594638" s="9"/>
    </row>
    <row r="594659" spans="15:15" x14ac:dyDescent="0.25">
      <c r="O594659" s="9"/>
    </row>
    <row r="594680" spans="15:15" x14ac:dyDescent="0.25">
      <c r="O594680" s="9"/>
    </row>
    <row r="594701" spans="15:15" x14ac:dyDescent="0.25">
      <c r="O594701" s="9"/>
    </row>
    <row r="594722" spans="15:15" x14ac:dyDescent="0.25">
      <c r="O594722" s="9"/>
    </row>
    <row r="594743" spans="15:15" x14ac:dyDescent="0.25">
      <c r="O594743" s="9"/>
    </row>
    <row r="594764" spans="15:15" x14ac:dyDescent="0.25">
      <c r="O594764" s="9"/>
    </row>
    <row r="594785" spans="15:15" x14ac:dyDescent="0.25">
      <c r="O594785" s="9"/>
    </row>
    <row r="594806" spans="15:15" x14ac:dyDescent="0.25">
      <c r="O594806" s="9"/>
    </row>
    <row r="594827" spans="15:15" x14ac:dyDescent="0.25">
      <c r="O594827" s="9"/>
    </row>
    <row r="594848" spans="15:15" x14ac:dyDescent="0.25">
      <c r="O594848" s="9"/>
    </row>
    <row r="594869" spans="15:15" x14ac:dyDescent="0.25">
      <c r="O594869" s="9"/>
    </row>
    <row r="594890" spans="15:15" x14ac:dyDescent="0.25">
      <c r="O594890" s="9"/>
    </row>
    <row r="594911" spans="15:15" x14ac:dyDescent="0.25">
      <c r="O594911" s="9"/>
    </row>
    <row r="594932" spans="15:15" x14ac:dyDescent="0.25">
      <c r="O594932" s="9"/>
    </row>
    <row r="594953" spans="15:15" x14ac:dyDescent="0.25">
      <c r="O594953" s="9"/>
    </row>
    <row r="594974" spans="15:15" x14ac:dyDescent="0.25">
      <c r="O594974" s="9"/>
    </row>
    <row r="594995" spans="15:15" x14ac:dyDescent="0.25">
      <c r="O594995" s="9"/>
    </row>
    <row r="595016" spans="15:15" x14ac:dyDescent="0.25">
      <c r="O595016" s="9"/>
    </row>
    <row r="595037" spans="15:15" x14ac:dyDescent="0.25">
      <c r="O595037" s="9"/>
    </row>
    <row r="595058" spans="15:15" x14ac:dyDescent="0.25">
      <c r="O595058" s="9"/>
    </row>
    <row r="595079" spans="15:15" x14ac:dyDescent="0.25">
      <c r="O595079" s="9"/>
    </row>
    <row r="595100" spans="15:15" x14ac:dyDescent="0.25">
      <c r="O595100" s="9"/>
    </row>
    <row r="595121" spans="15:15" x14ac:dyDescent="0.25">
      <c r="O595121" s="9"/>
    </row>
    <row r="595142" spans="15:15" x14ac:dyDescent="0.25">
      <c r="O595142" s="9"/>
    </row>
    <row r="595163" spans="15:15" x14ac:dyDescent="0.25">
      <c r="O595163" s="9"/>
    </row>
    <row r="595184" spans="15:15" x14ac:dyDescent="0.25">
      <c r="O595184" s="9"/>
    </row>
    <row r="595205" spans="15:15" x14ac:dyDescent="0.25">
      <c r="O595205" s="9"/>
    </row>
    <row r="595226" spans="15:15" x14ac:dyDescent="0.25">
      <c r="O595226" s="9"/>
    </row>
    <row r="595247" spans="15:15" x14ac:dyDescent="0.25">
      <c r="O595247" s="9"/>
    </row>
    <row r="595268" spans="15:15" x14ac:dyDescent="0.25">
      <c r="O595268" s="9"/>
    </row>
    <row r="595289" spans="15:15" x14ac:dyDescent="0.25">
      <c r="O595289" s="9"/>
    </row>
    <row r="595310" spans="15:15" x14ac:dyDescent="0.25">
      <c r="O595310" s="9"/>
    </row>
    <row r="595331" spans="15:15" x14ac:dyDescent="0.25">
      <c r="O595331" s="9"/>
    </row>
    <row r="595352" spans="15:15" x14ac:dyDescent="0.25">
      <c r="O595352" s="9"/>
    </row>
    <row r="595373" spans="15:15" x14ac:dyDescent="0.25">
      <c r="O595373" s="9"/>
    </row>
    <row r="595394" spans="15:15" x14ac:dyDescent="0.25">
      <c r="O595394" s="9"/>
    </row>
    <row r="595415" spans="15:15" x14ac:dyDescent="0.25">
      <c r="O595415" s="9"/>
    </row>
    <row r="595436" spans="15:15" x14ac:dyDescent="0.25">
      <c r="O595436" s="9"/>
    </row>
    <row r="595457" spans="15:15" x14ac:dyDescent="0.25">
      <c r="O595457" s="9"/>
    </row>
    <row r="595478" spans="15:15" x14ac:dyDescent="0.25">
      <c r="O595478" s="9"/>
    </row>
    <row r="595499" spans="15:15" x14ac:dyDescent="0.25">
      <c r="O595499" s="9"/>
    </row>
    <row r="595520" spans="15:15" x14ac:dyDescent="0.25">
      <c r="O595520" s="9"/>
    </row>
    <row r="595541" spans="15:15" x14ac:dyDescent="0.25">
      <c r="O595541" s="9"/>
    </row>
    <row r="595562" spans="15:15" x14ac:dyDescent="0.25">
      <c r="O595562" s="9"/>
    </row>
    <row r="595583" spans="15:15" x14ac:dyDescent="0.25">
      <c r="O595583" s="9"/>
    </row>
    <row r="595604" spans="15:15" x14ac:dyDescent="0.25">
      <c r="O595604" s="9"/>
    </row>
    <row r="595625" spans="15:15" x14ac:dyDescent="0.25">
      <c r="O595625" s="9"/>
    </row>
    <row r="595646" spans="15:15" x14ac:dyDescent="0.25">
      <c r="O595646" s="9"/>
    </row>
    <row r="595667" spans="15:15" x14ac:dyDescent="0.25">
      <c r="O595667" s="9"/>
    </row>
    <row r="595688" spans="15:15" x14ac:dyDescent="0.25">
      <c r="O595688" s="9"/>
    </row>
    <row r="595709" spans="15:15" x14ac:dyDescent="0.25">
      <c r="O595709" s="9"/>
    </row>
    <row r="595730" spans="15:15" x14ac:dyDescent="0.25">
      <c r="O595730" s="9"/>
    </row>
    <row r="595751" spans="15:15" x14ac:dyDescent="0.25">
      <c r="O595751" s="9"/>
    </row>
    <row r="595772" spans="15:15" x14ac:dyDescent="0.25">
      <c r="O595772" s="9"/>
    </row>
    <row r="595793" spans="15:15" x14ac:dyDescent="0.25">
      <c r="O595793" s="9"/>
    </row>
    <row r="595814" spans="15:15" x14ac:dyDescent="0.25">
      <c r="O595814" s="9"/>
    </row>
    <row r="595835" spans="15:15" x14ac:dyDescent="0.25">
      <c r="O595835" s="9"/>
    </row>
    <row r="595856" spans="15:15" x14ac:dyDescent="0.25">
      <c r="O595856" s="9"/>
    </row>
    <row r="595877" spans="15:15" x14ac:dyDescent="0.25">
      <c r="O595877" s="9"/>
    </row>
    <row r="595898" spans="15:15" x14ac:dyDescent="0.25">
      <c r="O595898" s="9"/>
    </row>
    <row r="595919" spans="15:15" x14ac:dyDescent="0.25">
      <c r="O595919" s="9"/>
    </row>
    <row r="595940" spans="15:15" x14ac:dyDescent="0.25">
      <c r="O595940" s="9"/>
    </row>
    <row r="595961" spans="15:15" x14ac:dyDescent="0.25">
      <c r="O595961" s="9"/>
    </row>
    <row r="595982" spans="15:15" x14ac:dyDescent="0.25">
      <c r="O595982" s="9"/>
    </row>
    <row r="596003" spans="15:15" x14ac:dyDescent="0.25">
      <c r="O596003" s="9"/>
    </row>
    <row r="596024" spans="15:15" x14ac:dyDescent="0.25">
      <c r="O596024" s="9"/>
    </row>
    <row r="596045" spans="15:15" x14ac:dyDescent="0.25">
      <c r="O596045" s="9"/>
    </row>
    <row r="596066" spans="15:15" x14ac:dyDescent="0.25">
      <c r="O596066" s="9"/>
    </row>
    <row r="596087" spans="15:15" x14ac:dyDescent="0.25">
      <c r="O596087" s="9"/>
    </row>
    <row r="596108" spans="15:15" x14ac:dyDescent="0.25">
      <c r="O596108" s="9"/>
    </row>
    <row r="596129" spans="15:15" x14ac:dyDescent="0.25">
      <c r="O596129" s="9"/>
    </row>
    <row r="596150" spans="15:15" x14ac:dyDescent="0.25">
      <c r="O596150" s="9"/>
    </row>
    <row r="596171" spans="15:15" x14ac:dyDescent="0.25">
      <c r="O596171" s="9"/>
    </row>
    <row r="596192" spans="15:15" x14ac:dyDescent="0.25">
      <c r="O596192" s="9"/>
    </row>
    <row r="596213" spans="15:15" x14ac:dyDescent="0.25">
      <c r="O596213" s="9"/>
    </row>
    <row r="596234" spans="15:15" x14ac:dyDescent="0.25">
      <c r="O596234" s="9"/>
    </row>
    <row r="596255" spans="15:15" x14ac:dyDescent="0.25">
      <c r="O596255" s="9"/>
    </row>
    <row r="596276" spans="15:15" x14ac:dyDescent="0.25">
      <c r="O596276" s="9"/>
    </row>
    <row r="596297" spans="15:15" x14ac:dyDescent="0.25">
      <c r="O596297" s="9"/>
    </row>
    <row r="596318" spans="15:15" x14ac:dyDescent="0.25">
      <c r="O596318" s="9"/>
    </row>
    <row r="596339" spans="15:15" x14ac:dyDescent="0.25">
      <c r="O596339" s="9"/>
    </row>
    <row r="596360" spans="15:15" x14ac:dyDescent="0.25">
      <c r="O596360" s="9"/>
    </row>
    <row r="596381" spans="15:15" x14ac:dyDescent="0.25">
      <c r="O596381" s="9"/>
    </row>
    <row r="596402" spans="15:15" x14ac:dyDescent="0.25">
      <c r="O596402" s="9"/>
    </row>
    <row r="596423" spans="15:15" x14ac:dyDescent="0.25">
      <c r="O596423" s="9"/>
    </row>
    <row r="596444" spans="15:15" x14ac:dyDescent="0.25">
      <c r="O596444" s="9"/>
    </row>
    <row r="596465" spans="15:15" x14ac:dyDescent="0.25">
      <c r="O596465" s="9"/>
    </row>
    <row r="596486" spans="15:15" x14ac:dyDescent="0.25">
      <c r="O596486" s="9"/>
    </row>
    <row r="596507" spans="15:15" x14ac:dyDescent="0.25">
      <c r="O596507" s="9"/>
    </row>
    <row r="596528" spans="15:15" x14ac:dyDescent="0.25">
      <c r="O596528" s="9"/>
    </row>
    <row r="596549" spans="15:15" x14ac:dyDescent="0.25">
      <c r="O596549" s="9"/>
    </row>
    <row r="596570" spans="15:15" x14ac:dyDescent="0.25">
      <c r="O596570" s="9"/>
    </row>
    <row r="596591" spans="15:15" x14ac:dyDescent="0.25">
      <c r="O596591" s="9"/>
    </row>
    <row r="596612" spans="15:15" x14ac:dyDescent="0.25">
      <c r="O596612" s="9"/>
    </row>
    <row r="596633" spans="15:15" x14ac:dyDescent="0.25">
      <c r="O596633" s="9"/>
    </row>
    <row r="596654" spans="15:15" x14ac:dyDescent="0.25">
      <c r="O596654" s="9"/>
    </row>
    <row r="596675" spans="15:15" x14ac:dyDescent="0.25">
      <c r="O596675" s="9"/>
    </row>
    <row r="596696" spans="15:15" x14ac:dyDescent="0.25">
      <c r="O596696" s="9"/>
    </row>
    <row r="596717" spans="15:15" x14ac:dyDescent="0.25">
      <c r="O596717" s="9"/>
    </row>
    <row r="596738" spans="15:15" x14ac:dyDescent="0.25">
      <c r="O596738" s="9"/>
    </row>
    <row r="596759" spans="15:15" x14ac:dyDescent="0.25">
      <c r="O596759" s="9"/>
    </row>
    <row r="596780" spans="15:15" x14ac:dyDescent="0.25">
      <c r="O596780" s="9"/>
    </row>
    <row r="596801" spans="15:15" x14ac:dyDescent="0.25">
      <c r="O596801" s="9"/>
    </row>
    <row r="596822" spans="15:15" x14ac:dyDescent="0.25">
      <c r="O596822" s="9"/>
    </row>
    <row r="596843" spans="15:15" x14ac:dyDescent="0.25">
      <c r="O596843" s="9"/>
    </row>
    <row r="596864" spans="15:15" x14ac:dyDescent="0.25">
      <c r="O596864" s="9"/>
    </row>
    <row r="596885" spans="15:15" x14ac:dyDescent="0.25">
      <c r="O596885" s="9"/>
    </row>
    <row r="596906" spans="15:15" x14ac:dyDescent="0.25">
      <c r="O596906" s="9"/>
    </row>
    <row r="596927" spans="15:15" x14ac:dyDescent="0.25">
      <c r="O596927" s="9"/>
    </row>
    <row r="596948" spans="15:15" x14ac:dyDescent="0.25">
      <c r="O596948" s="9"/>
    </row>
    <row r="596969" spans="15:15" x14ac:dyDescent="0.25">
      <c r="O596969" s="9"/>
    </row>
    <row r="596990" spans="15:15" x14ac:dyDescent="0.25">
      <c r="O596990" s="9"/>
    </row>
    <row r="597011" spans="15:15" x14ac:dyDescent="0.25">
      <c r="O597011" s="9"/>
    </row>
    <row r="597032" spans="15:15" x14ac:dyDescent="0.25">
      <c r="O597032" s="9"/>
    </row>
    <row r="597053" spans="15:15" x14ac:dyDescent="0.25">
      <c r="O597053" s="9"/>
    </row>
    <row r="597074" spans="15:15" x14ac:dyDescent="0.25">
      <c r="O597074" s="9"/>
    </row>
    <row r="597095" spans="15:15" x14ac:dyDescent="0.25">
      <c r="O597095" s="9"/>
    </row>
    <row r="597116" spans="15:15" x14ac:dyDescent="0.25">
      <c r="O597116" s="9"/>
    </row>
    <row r="597137" spans="15:15" x14ac:dyDescent="0.25">
      <c r="O597137" s="9"/>
    </row>
    <row r="597158" spans="15:15" x14ac:dyDescent="0.25">
      <c r="O597158" s="9"/>
    </row>
    <row r="597179" spans="15:15" x14ac:dyDescent="0.25">
      <c r="O597179" s="9"/>
    </row>
    <row r="597200" spans="15:15" x14ac:dyDescent="0.25">
      <c r="O597200" s="9"/>
    </row>
    <row r="597221" spans="15:15" x14ac:dyDescent="0.25">
      <c r="O597221" s="9"/>
    </row>
    <row r="597242" spans="15:15" x14ac:dyDescent="0.25">
      <c r="O597242" s="9"/>
    </row>
    <row r="597263" spans="15:15" x14ac:dyDescent="0.25">
      <c r="O597263" s="9"/>
    </row>
    <row r="597284" spans="15:15" x14ac:dyDescent="0.25">
      <c r="O597284" s="9"/>
    </row>
    <row r="597305" spans="15:15" x14ac:dyDescent="0.25">
      <c r="O597305" s="9"/>
    </row>
    <row r="597326" spans="15:15" x14ac:dyDescent="0.25">
      <c r="O597326" s="9"/>
    </row>
    <row r="597347" spans="15:15" x14ac:dyDescent="0.25">
      <c r="O597347" s="9"/>
    </row>
    <row r="597368" spans="15:15" x14ac:dyDescent="0.25">
      <c r="O597368" s="9"/>
    </row>
    <row r="597389" spans="15:15" x14ac:dyDescent="0.25">
      <c r="O597389" s="9"/>
    </row>
    <row r="597410" spans="15:15" x14ac:dyDescent="0.25">
      <c r="O597410" s="9"/>
    </row>
    <row r="597431" spans="15:15" x14ac:dyDescent="0.25">
      <c r="O597431" s="9"/>
    </row>
    <row r="597452" spans="15:15" x14ac:dyDescent="0.25">
      <c r="O597452" s="9"/>
    </row>
    <row r="597473" spans="15:15" x14ac:dyDescent="0.25">
      <c r="O597473" s="9"/>
    </row>
    <row r="597494" spans="15:15" x14ac:dyDescent="0.25">
      <c r="O597494" s="9"/>
    </row>
    <row r="597515" spans="15:15" x14ac:dyDescent="0.25">
      <c r="O597515" s="9"/>
    </row>
    <row r="597536" spans="15:15" x14ac:dyDescent="0.25">
      <c r="O597536" s="9"/>
    </row>
    <row r="597557" spans="15:15" x14ac:dyDescent="0.25">
      <c r="O597557" s="9"/>
    </row>
    <row r="597578" spans="15:15" x14ac:dyDescent="0.25">
      <c r="O597578" s="9"/>
    </row>
    <row r="597599" spans="15:15" x14ac:dyDescent="0.25">
      <c r="O597599" s="9"/>
    </row>
    <row r="597620" spans="15:15" x14ac:dyDescent="0.25">
      <c r="O597620" s="9"/>
    </row>
    <row r="597641" spans="15:15" x14ac:dyDescent="0.25">
      <c r="O597641" s="9"/>
    </row>
    <row r="597662" spans="15:15" x14ac:dyDescent="0.25">
      <c r="O597662" s="9"/>
    </row>
    <row r="597683" spans="15:15" x14ac:dyDescent="0.25">
      <c r="O597683" s="9"/>
    </row>
    <row r="597704" spans="15:15" x14ac:dyDescent="0.25">
      <c r="O597704" s="9"/>
    </row>
    <row r="597725" spans="15:15" x14ac:dyDescent="0.25">
      <c r="O597725" s="9"/>
    </row>
    <row r="597746" spans="15:15" x14ac:dyDescent="0.25">
      <c r="O597746" s="9"/>
    </row>
    <row r="597767" spans="15:15" x14ac:dyDescent="0.25">
      <c r="O597767" s="9"/>
    </row>
    <row r="597788" spans="15:15" x14ac:dyDescent="0.25">
      <c r="O597788" s="9"/>
    </row>
    <row r="597809" spans="15:15" x14ac:dyDescent="0.25">
      <c r="O597809" s="9"/>
    </row>
    <row r="597830" spans="15:15" x14ac:dyDescent="0.25">
      <c r="O597830" s="9"/>
    </row>
    <row r="597851" spans="15:15" x14ac:dyDescent="0.25">
      <c r="O597851" s="9"/>
    </row>
    <row r="597872" spans="15:15" x14ac:dyDescent="0.25">
      <c r="O597872" s="9"/>
    </row>
    <row r="597893" spans="15:15" x14ac:dyDescent="0.25">
      <c r="O597893" s="9"/>
    </row>
    <row r="597914" spans="15:15" x14ac:dyDescent="0.25">
      <c r="O597914" s="9"/>
    </row>
    <row r="597935" spans="15:15" x14ac:dyDescent="0.25">
      <c r="O597935" s="9"/>
    </row>
    <row r="597956" spans="15:15" x14ac:dyDescent="0.25">
      <c r="O597956" s="9"/>
    </row>
    <row r="597977" spans="15:15" x14ac:dyDescent="0.25">
      <c r="O597977" s="9"/>
    </row>
    <row r="597998" spans="15:15" x14ac:dyDescent="0.25">
      <c r="O597998" s="9"/>
    </row>
    <row r="598019" spans="15:15" x14ac:dyDescent="0.25">
      <c r="O598019" s="9"/>
    </row>
    <row r="598040" spans="15:15" x14ac:dyDescent="0.25">
      <c r="O598040" s="9"/>
    </row>
    <row r="598061" spans="15:15" x14ac:dyDescent="0.25">
      <c r="O598061" s="9"/>
    </row>
    <row r="598082" spans="15:15" x14ac:dyDescent="0.25">
      <c r="O598082" s="9"/>
    </row>
    <row r="598103" spans="15:15" x14ac:dyDescent="0.25">
      <c r="O598103" s="9"/>
    </row>
    <row r="598124" spans="15:15" x14ac:dyDescent="0.25">
      <c r="O598124" s="9"/>
    </row>
    <row r="598145" spans="15:15" x14ac:dyDescent="0.25">
      <c r="O598145" s="9"/>
    </row>
    <row r="598166" spans="15:15" x14ac:dyDescent="0.25">
      <c r="O598166" s="9"/>
    </row>
    <row r="598187" spans="15:15" x14ac:dyDescent="0.25">
      <c r="O598187" s="9"/>
    </row>
    <row r="598208" spans="15:15" x14ac:dyDescent="0.25">
      <c r="O598208" s="9"/>
    </row>
    <row r="598229" spans="15:15" x14ac:dyDescent="0.25">
      <c r="O598229" s="9"/>
    </row>
    <row r="598250" spans="15:15" x14ac:dyDescent="0.25">
      <c r="O598250" s="9"/>
    </row>
    <row r="598271" spans="15:15" x14ac:dyDescent="0.25">
      <c r="O598271" s="9"/>
    </row>
    <row r="598292" spans="15:15" x14ac:dyDescent="0.25">
      <c r="O598292" s="9"/>
    </row>
    <row r="598313" spans="15:15" x14ac:dyDescent="0.25">
      <c r="O598313" s="9"/>
    </row>
    <row r="598334" spans="15:15" x14ac:dyDescent="0.25">
      <c r="O598334" s="9"/>
    </row>
    <row r="598355" spans="15:15" x14ac:dyDescent="0.25">
      <c r="O598355" s="9"/>
    </row>
    <row r="598376" spans="15:15" x14ac:dyDescent="0.25">
      <c r="O598376" s="9"/>
    </row>
    <row r="598397" spans="15:15" x14ac:dyDescent="0.25">
      <c r="O598397" s="9"/>
    </row>
    <row r="598418" spans="15:15" x14ac:dyDescent="0.25">
      <c r="O598418" s="9"/>
    </row>
    <row r="598439" spans="15:15" x14ac:dyDescent="0.25">
      <c r="O598439" s="9"/>
    </row>
    <row r="598460" spans="15:15" x14ac:dyDescent="0.25">
      <c r="O598460" s="9"/>
    </row>
    <row r="598481" spans="15:15" x14ac:dyDescent="0.25">
      <c r="O598481" s="9"/>
    </row>
    <row r="598502" spans="15:15" x14ac:dyDescent="0.25">
      <c r="O598502" s="9"/>
    </row>
    <row r="598523" spans="15:15" x14ac:dyDescent="0.25">
      <c r="O598523" s="9"/>
    </row>
    <row r="598544" spans="15:15" x14ac:dyDescent="0.25">
      <c r="O598544" s="9"/>
    </row>
    <row r="598565" spans="15:15" x14ac:dyDescent="0.25">
      <c r="O598565" s="9"/>
    </row>
    <row r="598586" spans="15:15" x14ac:dyDescent="0.25">
      <c r="O598586" s="9"/>
    </row>
    <row r="598607" spans="15:15" x14ac:dyDescent="0.25">
      <c r="O598607" s="9"/>
    </row>
    <row r="598628" spans="15:15" x14ac:dyDescent="0.25">
      <c r="O598628" s="9"/>
    </row>
    <row r="598649" spans="15:15" x14ac:dyDescent="0.25">
      <c r="O598649" s="9"/>
    </row>
    <row r="598670" spans="15:15" x14ac:dyDescent="0.25">
      <c r="O598670" s="9"/>
    </row>
    <row r="598691" spans="15:15" x14ac:dyDescent="0.25">
      <c r="O598691" s="9"/>
    </row>
    <row r="598712" spans="15:15" x14ac:dyDescent="0.25">
      <c r="O598712" s="9"/>
    </row>
    <row r="598733" spans="15:15" x14ac:dyDescent="0.25">
      <c r="O598733" s="9"/>
    </row>
    <row r="598754" spans="15:15" x14ac:dyDescent="0.25">
      <c r="O598754" s="9"/>
    </row>
    <row r="598775" spans="15:15" x14ac:dyDescent="0.25">
      <c r="O598775" s="9"/>
    </row>
    <row r="598796" spans="15:15" x14ac:dyDescent="0.25">
      <c r="O598796" s="9"/>
    </row>
    <row r="598817" spans="15:15" x14ac:dyDescent="0.25">
      <c r="O598817" s="9"/>
    </row>
    <row r="598838" spans="15:15" x14ac:dyDescent="0.25">
      <c r="O598838" s="9"/>
    </row>
    <row r="598859" spans="15:15" x14ac:dyDescent="0.25">
      <c r="O598859" s="9"/>
    </row>
    <row r="598880" spans="15:15" x14ac:dyDescent="0.25">
      <c r="O598880" s="9"/>
    </row>
    <row r="598901" spans="15:15" x14ac:dyDescent="0.25">
      <c r="O598901" s="9"/>
    </row>
    <row r="598922" spans="15:15" x14ac:dyDescent="0.25">
      <c r="O598922" s="9"/>
    </row>
    <row r="598943" spans="15:15" x14ac:dyDescent="0.25">
      <c r="O598943" s="9"/>
    </row>
    <row r="598964" spans="15:15" x14ac:dyDescent="0.25">
      <c r="O598964" s="9"/>
    </row>
    <row r="598985" spans="15:15" x14ac:dyDescent="0.25">
      <c r="O598985" s="9"/>
    </row>
    <row r="599006" spans="15:15" x14ac:dyDescent="0.25">
      <c r="O599006" s="9"/>
    </row>
    <row r="599027" spans="15:15" x14ac:dyDescent="0.25">
      <c r="O599027" s="9"/>
    </row>
    <row r="599048" spans="15:15" x14ac:dyDescent="0.25">
      <c r="O599048" s="9"/>
    </row>
    <row r="599069" spans="15:15" x14ac:dyDescent="0.25">
      <c r="O599069" s="9"/>
    </row>
    <row r="599090" spans="15:15" x14ac:dyDescent="0.25">
      <c r="O599090" s="9"/>
    </row>
    <row r="599111" spans="15:15" x14ac:dyDescent="0.25">
      <c r="O599111" s="9"/>
    </row>
    <row r="599132" spans="15:15" x14ac:dyDescent="0.25">
      <c r="O599132" s="9"/>
    </row>
    <row r="599153" spans="15:15" x14ac:dyDescent="0.25">
      <c r="O599153" s="9"/>
    </row>
    <row r="599174" spans="15:15" x14ac:dyDescent="0.25">
      <c r="O599174" s="9"/>
    </row>
    <row r="599195" spans="15:15" x14ac:dyDescent="0.25">
      <c r="O599195" s="9"/>
    </row>
    <row r="599216" spans="15:15" x14ac:dyDescent="0.25">
      <c r="O599216" s="9"/>
    </row>
    <row r="599237" spans="15:15" x14ac:dyDescent="0.25">
      <c r="O599237" s="9"/>
    </row>
    <row r="599258" spans="15:15" x14ac:dyDescent="0.25">
      <c r="O599258" s="9"/>
    </row>
    <row r="599279" spans="15:15" x14ac:dyDescent="0.25">
      <c r="O599279" s="9"/>
    </row>
    <row r="599300" spans="15:15" x14ac:dyDescent="0.25">
      <c r="O599300" s="9"/>
    </row>
    <row r="599321" spans="15:15" x14ac:dyDescent="0.25">
      <c r="O599321" s="9"/>
    </row>
    <row r="599342" spans="15:15" x14ac:dyDescent="0.25">
      <c r="O599342" s="9"/>
    </row>
    <row r="599363" spans="15:15" x14ac:dyDescent="0.25">
      <c r="O599363" s="9"/>
    </row>
    <row r="599384" spans="15:15" x14ac:dyDescent="0.25">
      <c r="O599384" s="9"/>
    </row>
    <row r="599405" spans="15:15" x14ac:dyDescent="0.25">
      <c r="O599405" s="9"/>
    </row>
    <row r="599426" spans="15:15" x14ac:dyDescent="0.25">
      <c r="O599426" s="9"/>
    </row>
    <row r="599447" spans="15:15" x14ac:dyDescent="0.25">
      <c r="O599447" s="9"/>
    </row>
    <row r="599468" spans="15:15" x14ac:dyDescent="0.25">
      <c r="O599468" s="9"/>
    </row>
    <row r="599489" spans="15:15" x14ac:dyDescent="0.25">
      <c r="O599489" s="9"/>
    </row>
    <row r="599510" spans="15:15" x14ac:dyDescent="0.25">
      <c r="O599510" s="9"/>
    </row>
    <row r="599531" spans="15:15" x14ac:dyDescent="0.25">
      <c r="O599531" s="9"/>
    </row>
    <row r="599552" spans="15:15" x14ac:dyDescent="0.25">
      <c r="O599552" s="9"/>
    </row>
    <row r="599573" spans="15:15" x14ac:dyDescent="0.25">
      <c r="O599573" s="9"/>
    </row>
    <row r="599594" spans="15:15" x14ac:dyDescent="0.25">
      <c r="O599594" s="9"/>
    </row>
    <row r="599615" spans="15:15" x14ac:dyDescent="0.25">
      <c r="O599615" s="9"/>
    </row>
    <row r="599636" spans="15:15" x14ac:dyDescent="0.25">
      <c r="O599636" s="9"/>
    </row>
    <row r="599657" spans="15:15" x14ac:dyDescent="0.25">
      <c r="O599657" s="9"/>
    </row>
    <row r="599678" spans="15:15" x14ac:dyDescent="0.25">
      <c r="O599678" s="9"/>
    </row>
    <row r="599699" spans="15:15" x14ac:dyDescent="0.25">
      <c r="O599699" s="9"/>
    </row>
    <row r="599720" spans="15:15" x14ac:dyDescent="0.25">
      <c r="O599720" s="9"/>
    </row>
    <row r="599741" spans="15:15" x14ac:dyDescent="0.25">
      <c r="O599741" s="9"/>
    </row>
    <row r="599762" spans="15:15" x14ac:dyDescent="0.25">
      <c r="O599762" s="9"/>
    </row>
    <row r="599783" spans="15:15" x14ac:dyDescent="0.25">
      <c r="O599783" s="9"/>
    </row>
    <row r="599804" spans="15:15" x14ac:dyDescent="0.25">
      <c r="O599804" s="9"/>
    </row>
    <row r="599825" spans="15:15" x14ac:dyDescent="0.25">
      <c r="O599825" s="9"/>
    </row>
    <row r="599846" spans="15:15" x14ac:dyDescent="0.25">
      <c r="O599846" s="9"/>
    </row>
    <row r="599867" spans="15:15" x14ac:dyDescent="0.25">
      <c r="O599867" s="9"/>
    </row>
    <row r="599888" spans="15:15" x14ac:dyDescent="0.25">
      <c r="O599888" s="9"/>
    </row>
    <row r="599909" spans="15:15" x14ac:dyDescent="0.25">
      <c r="O599909" s="9"/>
    </row>
    <row r="599930" spans="15:15" x14ac:dyDescent="0.25">
      <c r="O599930" s="9"/>
    </row>
    <row r="599951" spans="15:15" x14ac:dyDescent="0.25">
      <c r="O599951" s="9"/>
    </row>
    <row r="599972" spans="15:15" x14ac:dyDescent="0.25">
      <c r="O599972" s="9"/>
    </row>
    <row r="599993" spans="15:15" x14ac:dyDescent="0.25">
      <c r="O599993" s="9"/>
    </row>
    <row r="600014" spans="15:15" x14ac:dyDescent="0.25">
      <c r="O600014" s="9"/>
    </row>
    <row r="600035" spans="15:15" x14ac:dyDescent="0.25">
      <c r="O600035" s="9"/>
    </row>
    <row r="600056" spans="15:15" x14ac:dyDescent="0.25">
      <c r="O600056" s="9"/>
    </row>
    <row r="600077" spans="15:15" x14ac:dyDescent="0.25">
      <c r="O600077" s="9"/>
    </row>
    <row r="600098" spans="15:15" x14ac:dyDescent="0.25">
      <c r="O600098" s="9"/>
    </row>
    <row r="600119" spans="15:15" x14ac:dyDescent="0.25">
      <c r="O600119" s="9"/>
    </row>
    <row r="600140" spans="15:15" x14ac:dyDescent="0.25">
      <c r="O600140" s="9"/>
    </row>
    <row r="600161" spans="15:15" x14ac:dyDescent="0.25">
      <c r="O600161" s="9"/>
    </row>
    <row r="600182" spans="15:15" x14ac:dyDescent="0.25">
      <c r="O600182" s="9"/>
    </row>
    <row r="600203" spans="15:15" x14ac:dyDescent="0.25">
      <c r="O600203" s="9"/>
    </row>
    <row r="600224" spans="15:15" x14ac:dyDescent="0.25">
      <c r="O600224" s="9"/>
    </row>
    <row r="600245" spans="15:15" x14ac:dyDescent="0.25">
      <c r="O600245" s="9"/>
    </row>
    <row r="600266" spans="15:15" x14ac:dyDescent="0.25">
      <c r="O600266" s="9"/>
    </row>
    <row r="600287" spans="15:15" x14ac:dyDescent="0.25">
      <c r="O600287" s="9"/>
    </row>
    <row r="600308" spans="15:15" x14ac:dyDescent="0.25">
      <c r="O600308" s="9"/>
    </row>
    <row r="600329" spans="15:15" x14ac:dyDescent="0.25">
      <c r="O600329" s="9"/>
    </row>
    <row r="600350" spans="15:15" x14ac:dyDescent="0.25">
      <c r="O600350" s="9"/>
    </row>
    <row r="600371" spans="15:15" x14ac:dyDescent="0.25">
      <c r="O600371" s="9"/>
    </row>
    <row r="600392" spans="15:15" x14ac:dyDescent="0.25">
      <c r="O600392" s="9"/>
    </row>
    <row r="600413" spans="15:15" x14ac:dyDescent="0.25">
      <c r="O600413" s="9"/>
    </row>
    <row r="600434" spans="15:15" x14ac:dyDescent="0.25">
      <c r="O600434" s="9"/>
    </row>
    <row r="600455" spans="15:15" x14ac:dyDescent="0.25">
      <c r="O600455" s="9"/>
    </row>
    <row r="600476" spans="15:15" x14ac:dyDescent="0.25">
      <c r="O600476" s="9"/>
    </row>
    <row r="600497" spans="15:15" x14ac:dyDescent="0.25">
      <c r="O600497" s="9"/>
    </row>
    <row r="600518" spans="15:15" x14ac:dyDescent="0.25">
      <c r="O600518" s="9"/>
    </row>
    <row r="600539" spans="15:15" x14ac:dyDescent="0.25">
      <c r="O600539" s="9"/>
    </row>
    <row r="600560" spans="15:15" x14ac:dyDescent="0.25">
      <c r="O600560" s="9"/>
    </row>
    <row r="600581" spans="15:15" x14ac:dyDescent="0.25">
      <c r="O600581" s="9"/>
    </row>
    <row r="600602" spans="15:15" x14ac:dyDescent="0.25">
      <c r="O600602" s="9"/>
    </row>
    <row r="600623" spans="15:15" x14ac:dyDescent="0.25">
      <c r="O600623" s="9"/>
    </row>
    <row r="600644" spans="15:15" x14ac:dyDescent="0.25">
      <c r="O600644" s="9"/>
    </row>
    <row r="600665" spans="15:15" x14ac:dyDescent="0.25">
      <c r="O600665" s="9"/>
    </row>
    <row r="600686" spans="15:15" x14ac:dyDescent="0.25">
      <c r="O600686" s="9"/>
    </row>
    <row r="600707" spans="15:15" x14ac:dyDescent="0.25">
      <c r="O600707" s="9"/>
    </row>
    <row r="600728" spans="15:15" x14ac:dyDescent="0.25">
      <c r="O600728" s="9"/>
    </row>
    <row r="600749" spans="15:15" x14ac:dyDescent="0.25">
      <c r="O600749" s="9"/>
    </row>
    <row r="600770" spans="15:15" x14ac:dyDescent="0.25">
      <c r="O600770" s="9"/>
    </row>
    <row r="600791" spans="15:15" x14ac:dyDescent="0.25">
      <c r="O600791" s="9"/>
    </row>
    <row r="600812" spans="15:15" x14ac:dyDescent="0.25">
      <c r="O600812" s="9"/>
    </row>
    <row r="600833" spans="15:15" x14ac:dyDescent="0.25">
      <c r="O600833" s="9"/>
    </row>
    <row r="600854" spans="15:15" x14ac:dyDescent="0.25">
      <c r="O600854" s="9"/>
    </row>
    <row r="600875" spans="15:15" x14ac:dyDescent="0.25">
      <c r="O600875" s="9"/>
    </row>
    <row r="600896" spans="15:15" x14ac:dyDescent="0.25">
      <c r="O600896" s="9"/>
    </row>
    <row r="600917" spans="15:15" x14ac:dyDescent="0.25">
      <c r="O600917" s="9"/>
    </row>
    <row r="600938" spans="15:15" x14ac:dyDescent="0.25">
      <c r="O600938" s="9"/>
    </row>
    <row r="600959" spans="15:15" x14ac:dyDescent="0.25">
      <c r="O600959" s="9"/>
    </row>
    <row r="600980" spans="15:15" x14ac:dyDescent="0.25">
      <c r="O600980" s="9"/>
    </row>
    <row r="601001" spans="15:15" x14ac:dyDescent="0.25">
      <c r="O601001" s="9"/>
    </row>
    <row r="601022" spans="15:15" x14ac:dyDescent="0.25">
      <c r="O601022" s="9"/>
    </row>
    <row r="601043" spans="15:15" x14ac:dyDescent="0.25">
      <c r="O601043" s="9"/>
    </row>
    <row r="601064" spans="15:15" x14ac:dyDescent="0.25">
      <c r="O601064" s="9"/>
    </row>
    <row r="601085" spans="15:15" x14ac:dyDescent="0.25">
      <c r="O601085" s="9"/>
    </row>
    <row r="601106" spans="15:15" x14ac:dyDescent="0.25">
      <c r="O601106" s="9"/>
    </row>
    <row r="601127" spans="15:15" x14ac:dyDescent="0.25">
      <c r="O601127" s="9"/>
    </row>
    <row r="601148" spans="15:15" x14ac:dyDescent="0.25">
      <c r="O601148" s="9"/>
    </row>
    <row r="601169" spans="15:15" x14ac:dyDescent="0.25">
      <c r="O601169" s="9"/>
    </row>
    <row r="601190" spans="15:15" x14ac:dyDescent="0.25">
      <c r="O601190" s="9"/>
    </row>
    <row r="601211" spans="15:15" x14ac:dyDescent="0.25">
      <c r="O601211" s="9"/>
    </row>
    <row r="601232" spans="15:15" x14ac:dyDescent="0.25">
      <c r="O601232" s="9"/>
    </row>
    <row r="601253" spans="15:15" x14ac:dyDescent="0.25">
      <c r="O601253" s="9"/>
    </row>
    <row r="601274" spans="15:15" x14ac:dyDescent="0.25">
      <c r="O601274" s="9"/>
    </row>
    <row r="601295" spans="15:15" x14ac:dyDescent="0.25">
      <c r="O601295" s="9"/>
    </row>
    <row r="601316" spans="15:15" x14ac:dyDescent="0.25">
      <c r="O601316" s="9"/>
    </row>
    <row r="601337" spans="15:15" x14ac:dyDescent="0.25">
      <c r="O601337" s="9"/>
    </row>
    <row r="601358" spans="15:15" x14ac:dyDescent="0.25">
      <c r="O601358" s="9"/>
    </row>
    <row r="601379" spans="15:15" x14ac:dyDescent="0.25">
      <c r="O601379" s="9"/>
    </row>
    <row r="601400" spans="15:15" x14ac:dyDescent="0.25">
      <c r="O601400" s="9"/>
    </row>
    <row r="601421" spans="15:15" x14ac:dyDescent="0.25">
      <c r="O601421" s="9"/>
    </row>
    <row r="601442" spans="15:15" x14ac:dyDescent="0.25">
      <c r="O601442" s="9"/>
    </row>
    <row r="601463" spans="15:15" x14ac:dyDescent="0.25">
      <c r="O601463" s="9"/>
    </row>
    <row r="601484" spans="15:15" x14ac:dyDescent="0.25">
      <c r="O601484" s="9"/>
    </row>
    <row r="601505" spans="15:15" x14ac:dyDescent="0.25">
      <c r="O601505" s="9"/>
    </row>
    <row r="601526" spans="15:15" x14ac:dyDescent="0.25">
      <c r="O601526" s="9"/>
    </row>
    <row r="601547" spans="15:15" x14ac:dyDescent="0.25">
      <c r="O601547" s="9"/>
    </row>
    <row r="601568" spans="15:15" x14ac:dyDescent="0.25">
      <c r="O601568" s="9"/>
    </row>
    <row r="601589" spans="15:15" x14ac:dyDescent="0.25">
      <c r="O601589" s="9"/>
    </row>
    <row r="601610" spans="15:15" x14ac:dyDescent="0.25">
      <c r="O601610" s="9"/>
    </row>
    <row r="601631" spans="15:15" x14ac:dyDescent="0.25">
      <c r="O601631" s="9"/>
    </row>
    <row r="601652" spans="15:15" x14ac:dyDescent="0.25">
      <c r="O601652" s="9"/>
    </row>
    <row r="601673" spans="15:15" x14ac:dyDescent="0.25">
      <c r="O601673" s="9"/>
    </row>
    <row r="601694" spans="15:15" x14ac:dyDescent="0.25">
      <c r="O601694" s="9"/>
    </row>
    <row r="601715" spans="15:15" x14ac:dyDescent="0.25">
      <c r="O601715" s="9"/>
    </row>
    <row r="601736" spans="15:15" x14ac:dyDescent="0.25">
      <c r="O601736" s="9"/>
    </row>
    <row r="601757" spans="15:15" x14ac:dyDescent="0.25">
      <c r="O601757" s="9"/>
    </row>
    <row r="601778" spans="15:15" x14ac:dyDescent="0.25">
      <c r="O601778" s="9"/>
    </row>
    <row r="601799" spans="15:15" x14ac:dyDescent="0.25">
      <c r="O601799" s="9"/>
    </row>
    <row r="601820" spans="15:15" x14ac:dyDescent="0.25">
      <c r="O601820" s="9"/>
    </row>
    <row r="601841" spans="15:15" x14ac:dyDescent="0.25">
      <c r="O601841" s="9"/>
    </row>
    <row r="601862" spans="15:15" x14ac:dyDescent="0.25">
      <c r="O601862" s="9"/>
    </row>
    <row r="601883" spans="15:15" x14ac:dyDescent="0.25">
      <c r="O601883" s="9"/>
    </row>
    <row r="601904" spans="15:15" x14ac:dyDescent="0.25">
      <c r="O601904" s="9"/>
    </row>
    <row r="601925" spans="15:15" x14ac:dyDescent="0.25">
      <c r="O601925" s="9"/>
    </row>
    <row r="601946" spans="15:15" x14ac:dyDescent="0.25">
      <c r="O601946" s="9"/>
    </row>
    <row r="601967" spans="15:15" x14ac:dyDescent="0.25">
      <c r="O601967" s="9"/>
    </row>
    <row r="601988" spans="15:15" x14ac:dyDescent="0.25">
      <c r="O601988" s="9"/>
    </row>
    <row r="602009" spans="15:15" x14ac:dyDescent="0.25">
      <c r="O602009" s="9"/>
    </row>
    <row r="602030" spans="15:15" x14ac:dyDescent="0.25">
      <c r="O602030" s="9"/>
    </row>
    <row r="602051" spans="15:15" x14ac:dyDescent="0.25">
      <c r="O602051" s="9"/>
    </row>
    <row r="602072" spans="15:15" x14ac:dyDescent="0.25">
      <c r="O602072" s="9"/>
    </row>
    <row r="602093" spans="15:15" x14ac:dyDescent="0.25">
      <c r="O602093" s="9"/>
    </row>
    <row r="602114" spans="15:15" x14ac:dyDescent="0.25">
      <c r="O602114" s="9"/>
    </row>
    <row r="602135" spans="15:15" x14ac:dyDescent="0.25">
      <c r="O602135" s="9"/>
    </row>
    <row r="602156" spans="15:15" x14ac:dyDescent="0.25">
      <c r="O602156" s="9"/>
    </row>
    <row r="602177" spans="15:15" x14ac:dyDescent="0.25">
      <c r="O602177" s="9"/>
    </row>
    <row r="602198" spans="15:15" x14ac:dyDescent="0.25">
      <c r="O602198" s="9"/>
    </row>
    <row r="602219" spans="15:15" x14ac:dyDescent="0.25">
      <c r="O602219" s="9"/>
    </row>
    <row r="602240" spans="15:15" x14ac:dyDescent="0.25">
      <c r="O602240" s="9"/>
    </row>
    <row r="602261" spans="15:15" x14ac:dyDescent="0.25">
      <c r="O602261" s="9"/>
    </row>
    <row r="602282" spans="15:15" x14ac:dyDescent="0.25">
      <c r="O602282" s="9"/>
    </row>
    <row r="602303" spans="15:15" x14ac:dyDescent="0.25">
      <c r="O602303" s="9"/>
    </row>
    <row r="602324" spans="15:15" x14ac:dyDescent="0.25">
      <c r="O602324" s="9"/>
    </row>
    <row r="602345" spans="15:15" x14ac:dyDescent="0.25">
      <c r="O602345" s="9"/>
    </row>
    <row r="602366" spans="15:15" x14ac:dyDescent="0.25">
      <c r="O602366" s="9"/>
    </row>
    <row r="602387" spans="15:15" x14ac:dyDescent="0.25">
      <c r="O602387" s="9"/>
    </row>
    <row r="602408" spans="15:15" x14ac:dyDescent="0.25">
      <c r="O602408" s="9"/>
    </row>
    <row r="602429" spans="15:15" x14ac:dyDescent="0.25">
      <c r="O602429" s="9"/>
    </row>
    <row r="602450" spans="15:15" x14ac:dyDescent="0.25">
      <c r="O602450" s="9"/>
    </row>
    <row r="602471" spans="15:15" x14ac:dyDescent="0.25">
      <c r="O602471" s="9"/>
    </row>
    <row r="602492" spans="15:15" x14ac:dyDescent="0.25">
      <c r="O602492" s="9"/>
    </row>
    <row r="602513" spans="15:15" x14ac:dyDescent="0.25">
      <c r="O602513" s="9"/>
    </row>
    <row r="602534" spans="15:15" x14ac:dyDescent="0.25">
      <c r="O602534" s="9"/>
    </row>
    <row r="602555" spans="15:15" x14ac:dyDescent="0.25">
      <c r="O602555" s="9"/>
    </row>
    <row r="602576" spans="15:15" x14ac:dyDescent="0.25">
      <c r="O602576" s="9"/>
    </row>
    <row r="602597" spans="15:15" x14ac:dyDescent="0.25">
      <c r="O602597" s="9"/>
    </row>
    <row r="602618" spans="15:15" x14ac:dyDescent="0.25">
      <c r="O602618" s="9"/>
    </row>
    <row r="602639" spans="15:15" x14ac:dyDescent="0.25">
      <c r="O602639" s="9"/>
    </row>
    <row r="602660" spans="15:15" x14ac:dyDescent="0.25">
      <c r="O602660" s="9"/>
    </row>
    <row r="602681" spans="15:15" x14ac:dyDescent="0.25">
      <c r="O602681" s="9"/>
    </row>
    <row r="602702" spans="15:15" x14ac:dyDescent="0.25">
      <c r="O602702" s="9"/>
    </row>
    <row r="602723" spans="15:15" x14ac:dyDescent="0.25">
      <c r="O602723" s="9"/>
    </row>
    <row r="602744" spans="15:15" x14ac:dyDescent="0.25">
      <c r="O602744" s="9"/>
    </row>
    <row r="602765" spans="15:15" x14ac:dyDescent="0.25">
      <c r="O602765" s="9"/>
    </row>
    <row r="602786" spans="15:15" x14ac:dyDescent="0.25">
      <c r="O602786" s="9"/>
    </row>
    <row r="602807" spans="15:15" x14ac:dyDescent="0.25">
      <c r="O602807" s="9"/>
    </row>
    <row r="602828" spans="15:15" x14ac:dyDescent="0.25">
      <c r="O602828" s="9"/>
    </row>
    <row r="602849" spans="15:15" x14ac:dyDescent="0.25">
      <c r="O602849" s="9"/>
    </row>
    <row r="602870" spans="15:15" x14ac:dyDescent="0.25">
      <c r="O602870" s="9"/>
    </row>
    <row r="602891" spans="15:15" x14ac:dyDescent="0.25">
      <c r="O602891" s="9"/>
    </row>
    <row r="602912" spans="15:15" x14ac:dyDescent="0.25">
      <c r="O602912" s="9"/>
    </row>
    <row r="602933" spans="15:15" x14ac:dyDescent="0.25">
      <c r="O602933" s="9"/>
    </row>
    <row r="602954" spans="15:15" x14ac:dyDescent="0.25">
      <c r="O602954" s="9"/>
    </row>
    <row r="602975" spans="15:15" x14ac:dyDescent="0.25">
      <c r="O602975" s="9"/>
    </row>
    <row r="602996" spans="15:15" x14ac:dyDescent="0.25">
      <c r="O602996" s="9"/>
    </row>
    <row r="603017" spans="15:15" x14ac:dyDescent="0.25">
      <c r="O603017" s="9"/>
    </row>
    <row r="603038" spans="15:15" x14ac:dyDescent="0.25">
      <c r="O603038" s="9"/>
    </row>
    <row r="603059" spans="15:15" x14ac:dyDescent="0.25">
      <c r="O603059" s="9"/>
    </row>
    <row r="603080" spans="15:15" x14ac:dyDescent="0.25">
      <c r="O603080" s="9"/>
    </row>
    <row r="603101" spans="15:15" x14ac:dyDescent="0.25">
      <c r="O603101" s="9"/>
    </row>
    <row r="603122" spans="15:15" x14ac:dyDescent="0.25">
      <c r="O603122" s="9"/>
    </row>
    <row r="603143" spans="15:15" x14ac:dyDescent="0.25">
      <c r="O603143" s="9"/>
    </row>
    <row r="603164" spans="15:15" x14ac:dyDescent="0.25">
      <c r="O603164" s="9"/>
    </row>
    <row r="603185" spans="15:15" x14ac:dyDescent="0.25">
      <c r="O603185" s="9"/>
    </row>
    <row r="603206" spans="15:15" x14ac:dyDescent="0.25">
      <c r="O603206" s="9"/>
    </row>
    <row r="603227" spans="15:15" x14ac:dyDescent="0.25">
      <c r="O603227" s="9"/>
    </row>
    <row r="603248" spans="15:15" x14ac:dyDescent="0.25">
      <c r="O603248" s="9"/>
    </row>
    <row r="603269" spans="15:15" x14ac:dyDescent="0.25">
      <c r="O603269" s="9"/>
    </row>
    <row r="603290" spans="15:15" x14ac:dyDescent="0.25">
      <c r="O603290" s="9"/>
    </row>
    <row r="603311" spans="15:15" x14ac:dyDescent="0.25">
      <c r="O603311" s="9"/>
    </row>
    <row r="603332" spans="15:15" x14ac:dyDescent="0.25">
      <c r="O603332" s="9"/>
    </row>
    <row r="603353" spans="15:15" x14ac:dyDescent="0.25">
      <c r="O603353" s="9"/>
    </row>
    <row r="603374" spans="15:15" x14ac:dyDescent="0.25">
      <c r="O603374" s="9"/>
    </row>
    <row r="603395" spans="15:15" x14ac:dyDescent="0.25">
      <c r="O603395" s="9"/>
    </row>
    <row r="603416" spans="15:15" x14ac:dyDescent="0.25">
      <c r="O603416" s="9"/>
    </row>
    <row r="603437" spans="15:15" x14ac:dyDescent="0.25">
      <c r="O603437" s="9"/>
    </row>
    <row r="603458" spans="15:15" x14ac:dyDescent="0.25">
      <c r="O603458" s="9"/>
    </row>
    <row r="603479" spans="15:15" x14ac:dyDescent="0.25">
      <c r="O603479" s="9"/>
    </row>
    <row r="603500" spans="15:15" x14ac:dyDescent="0.25">
      <c r="O603500" s="9"/>
    </row>
    <row r="603521" spans="15:15" x14ac:dyDescent="0.25">
      <c r="O603521" s="9"/>
    </row>
    <row r="603542" spans="15:15" x14ac:dyDescent="0.25">
      <c r="O603542" s="9"/>
    </row>
    <row r="603563" spans="15:15" x14ac:dyDescent="0.25">
      <c r="O603563" s="9"/>
    </row>
    <row r="603584" spans="15:15" x14ac:dyDescent="0.25">
      <c r="O603584" s="9"/>
    </row>
    <row r="603605" spans="15:15" x14ac:dyDescent="0.25">
      <c r="O603605" s="9"/>
    </row>
    <row r="603626" spans="15:15" x14ac:dyDescent="0.25">
      <c r="O603626" s="9"/>
    </row>
    <row r="603647" spans="15:15" x14ac:dyDescent="0.25">
      <c r="O603647" s="9"/>
    </row>
    <row r="603668" spans="15:15" x14ac:dyDescent="0.25">
      <c r="O603668" s="9"/>
    </row>
    <row r="603689" spans="15:15" x14ac:dyDescent="0.25">
      <c r="O603689" s="9"/>
    </row>
    <row r="603710" spans="15:15" x14ac:dyDescent="0.25">
      <c r="O603710" s="9"/>
    </row>
    <row r="603731" spans="15:15" x14ac:dyDescent="0.25">
      <c r="O603731" s="9"/>
    </row>
    <row r="603752" spans="15:15" x14ac:dyDescent="0.25">
      <c r="O603752" s="9"/>
    </row>
    <row r="603773" spans="15:15" x14ac:dyDescent="0.25">
      <c r="O603773" s="9"/>
    </row>
    <row r="603794" spans="15:15" x14ac:dyDescent="0.25">
      <c r="O603794" s="9"/>
    </row>
    <row r="603815" spans="15:15" x14ac:dyDescent="0.25">
      <c r="O603815" s="9"/>
    </row>
    <row r="603836" spans="15:15" x14ac:dyDescent="0.25">
      <c r="O603836" s="9"/>
    </row>
    <row r="603857" spans="15:15" x14ac:dyDescent="0.25">
      <c r="O603857" s="9"/>
    </row>
    <row r="603878" spans="15:15" x14ac:dyDescent="0.25">
      <c r="O603878" s="9"/>
    </row>
    <row r="603899" spans="15:15" x14ac:dyDescent="0.25">
      <c r="O603899" s="9"/>
    </row>
    <row r="603920" spans="15:15" x14ac:dyDescent="0.25">
      <c r="O603920" s="9"/>
    </row>
    <row r="603941" spans="15:15" x14ac:dyDescent="0.25">
      <c r="O603941" s="9"/>
    </row>
    <row r="603962" spans="15:15" x14ac:dyDescent="0.25">
      <c r="O603962" s="9"/>
    </row>
    <row r="603983" spans="15:15" x14ac:dyDescent="0.25">
      <c r="O603983" s="9"/>
    </row>
    <row r="604004" spans="15:15" x14ac:dyDescent="0.25">
      <c r="O604004" s="9"/>
    </row>
    <row r="604025" spans="15:15" x14ac:dyDescent="0.25">
      <c r="O604025" s="9"/>
    </row>
    <row r="604046" spans="15:15" x14ac:dyDescent="0.25">
      <c r="O604046" s="9"/>
    </row>
    <row r="604067" spans="15:15" x14ac:dyDescent="0.25">
      <c r="O604067" s="9"/>
    </row>
    <row r="604088" spans="15:15" x14ac:dyDescent="0.25">
      <c r="O604088" s="9"/>
    </row>
    <row r="604109" spans="15:15" x14ac:dyDescent="0.25">
      <c r="O604109" s="9"/>
    </row>
    <row r="604130" spans="15:15" x14ac:dyDescent="0.25">
      <c r="O604130" s="9"/>
    </row>
    <row r="604151" spans="15:15" x14ac:dyDescent="0.25">
      <c r="O604151" s="9"/>
    </row>
    <row r="604172" spans="15:15" x14ac:dyDescent="0.25">
      <c r="O604172" s="9"/>
    </row>
    <row r="604193" spans="15:15" x14ac:dyDescent="0.25">
      <c r="O604193" s="9"/>
    </row>
    <row r="604214" spans="15:15" x14ac:dyDescent="0.25">
      <c r="O604214" s="9"/>
    </row>
    <row r="604235" spans="15:15" x14ac:dyDescent="0.25">
      <c r="O604235" s="9"/>
    </row>
    <row r="604256" spans="15:15" x14ac:dyDescent="0.25">
      <c r="O604256" s="9"/>
    </row>
    <row r="604277" spans="15:15" x14ac:dyDescent="0.25">
      <c r="O604277" s="9"/>
    </row>
    <row r="604298" spans="15:15" x14ac:dyDescent="0.25">
      <c r="O604298" s="9"/>
    </row>
    <row r="604319" spans="15:15" x14ac:dyDescent="0.25">
      <c r="O604319" s="9"/>
    </row>
    <row r="604340" spans="15:15" x14ac:dyDescent="0.25">
      <c r="O604340" s="9"/>
    </row>
    <row r="604361" spans="15:15" x14ac:dyDescent="0.25">
      <c r="O604361" s="9"/>
    </row>
    <row r="604382" spans="15:15" x14ac:dyDescent="0.25">
      <c r="O604382" s="9"/>
    </row>
    <row r="604403" spans="15:15" x14ac:dyDescent="0.25">
      <c r="O604403" s="9"/>
    </row>
    <row r="604424" spans="15:15" x14ac:dyDescent="0.25">
      <c r="O604424" s="9"/>
    </row>
    <row r="604445" spans="15:15" x14ac:dyDescent="0.25">
      <c r="O604445" s="9"/>
    </row>
    <row r="604466" spans="15:15" x14ac:dyDescent="0.25">
      <c r="O604466" s="9"/>
    </row>
    <row r="604487" spans="15:15" x14ac:dyDescent="0.25">
      <c r="O604487" s="9"/>
    </row>
    <row r="604508" spans="15:15" x14ac:dyDescent="0.25">
      <c r="O604508" s="9"/>
    </row>
    <row r="604529" spans="15:15" x14ac:dyDescent="0.25">
      <c r="O604529" s="9"/>
    </row>
    <row r="604550" spans="15:15" x14ac:dyDescent="0.25">
      <c r="O604550" s="9"/>
    </row>
    <row r="604571" spans="15:15" x14ac:dyDescent="0.25">
      <c r="O604571" s="9"/>
    </row>
    <row r="604592" spans="15:15" x14ac:dyDescent="0.25">
      <c r="O604592" s="9"/>
    </row>
    <row r="604613" spans="15:15" x14ac:dyDescent="0.25">
      <c r="O604613" s="9"/>
    </row>
    <row r="604634" spans="15:15" x14ac:dyDescent="0.25">
      <c r="O604634" s="9"/>
    </row>
    <row r="604655" spans="15:15" x14ac:dyDescent="0.25">
      <c r="O604655" s="9"/>
    </row>
    <row r="604676" spans="15:15" x14ac:dyDescent="0.25">
      <c r="O604676" s="9"/>
    </row>
    <row r="604697" spans="15:15" x14ac:dyDescent="0.25">
      <c r="O604697" s="9"/>
    </row>
    <row r="604718" spans="15:15" x14ac:dyDescent="0.25">
      <c r="O604718" s="9"/>
    </row>
    <row r="604739" spans="15:15" x14ac:dyDescent="0.25">
      <c r="O604739" s="9"/>
    </row>
    <row r="604760" spans="15:15" x14ac:dyDescent="0.25">
      <c r="O604760" s="9"/>
    </row>
    <row r="604781" spans="15:15" x14ac:dyDescent="0.25">
      <c r="O604781" s="9"/>
    </row>
    <row r="604802" spans="15:15" x14ac:dyDescent="0.25">
      <c r="O604802" s="9"/>
    </row>
    <row r="604823" spans="15:15" x14ac:dyDescent="0.25">
      <c r="O604823" s="9"/>
    </row>
    <row r="604844" spans="15:15" x14ac:dyDescent="0.25">
      <c r="O604844" s="9"/>
    </row>
    <row r="604865" spans="15:15" x14ac:dyDescent="0.25">
      <c r="O604865" s="9"/>
    </row>
    <row r="604886" spans="15:15" x14ac:dyDescent="0.25">
      <c r="O604886" s="9"/>
    </row>
    <row r="604907" spans="15:15" x14ac:dyDescent="0.25">
      <c r="O604907" s="9"/>
    </row>
    <row r="604928" spans="15:15" x14ac:dyDescent="0.25">
      <c r="O604928" s="9"/>
    </row>
    <row r="604949" spans="15:15" x14ac:dyDescent="0.25">
      <c r="O604949" s="9"/>
    </row>
    <row r="604970" spans="15:15" x14ac:dyDescent="0.25">
      <c r="O604970" s="9"/>
    </row>
    <row r="604991" spans="15:15" x14ac:dyDescent="0.25">
      <c r="O604991" s="9"/>
    </row>
    <row r="605012" spans="15:15" x14ac:dyDescent="0.25">
      <c r="O605012" s="9"/>
    </row>
    <row r="605033" spans="15:15" x14ac:dyDescent="0.25">
      <c r="O605033" s="9"/>
    </row>
    <row r="605054" spans="15:15" x14ac:dyDescent="0.25">
      <c r="O605054" s="9"/>
    </row>
    <row r="605075" spans="15:15" x14ac:dyDescent="0.25">
      <c r="O605075" s="9"/>
    </row>
    <row r="605096" spans="15:15" x14ac:dyDescent="0.25">
      <c r="O605096" s="9"/>
    </row>
    <row r="605117" spans="15:15" x14ac:dyDescent="0.25">
      <c r="O605117" s="9"/>
    </row>
    <row r="605138" spans="15:15" x14ac:dyDescent="0.25">
      <c r="O605138" s="9"/>
    </row>
    <row r="605159" spans="15:15" x14ac:dyDescent="0.25">
      <c r="O605159" s="9"/>
    </row>
    <row r="605180" spans="15:15" x14ac:dyDescent="0.25">
      <c r="O605180" s="9"/>
    </row>
    <row r="605201" spans="15:15" x14ac:dyDescent="0.25">
      <c r="O605201" s="9"/>
    </row>
    <row r="605222" spans="15:15" x14ac:dyDescent="0.25">
      <c r="O605222" s="9"/>
    </row>
    <row r="605243" spans="15:15" x14ac:dyDescent="0.25">
      <c r="O605243" s="9"/>
    </row>
    <row r="605264" spans="15:15" x14ac:dyDescent="0.25">
      <c r="O605264" s="9"/>
    </row>
    <row r="605285" spans="15:15" x14ac:dyDescent="0.25">
      <c r="O605285" s="9"/>
    </row>
    <row r="605306" spans="15:15" x14ac:dyDescent="0.25">
      <c r="O605306" s="9"/>
    </row>
    <row r="605327" spans="15:15" x14ac:dyDescent="0.25">
      <c r="O605327" s="9"/>
    </row>
    <row r="605348" spans="15:15" x14ac:dyDescent="0.25">
      <c r="O605348" s="9"/>
    </row>
    <row r="605369" spans="15:15" x14ac:dyDescent="0.25">
      <c r="O605369" s="9"/>
    </row>
    <row r="605390" spans="15:15" x14ac:dyDescent="0.25">
      <c r="O605390" s="9"/>
    </row>
    <row r="605411" spans="15:15" x14ac:dyDescent="0.25">
      <c r="O605411" s="9"/>
    </row>
    <row r="605432" spans="15:15" x14ac:dyDescent="0.25">
      <c r="O605432" s="9"/>
    </row>
    <row r="605453" spans="15:15" x14ac:dyDescent="0.25">
      <c r="O605453" s="9"/>
    </row>
    <row r="605474" spans="15:15" x14ac:dyDescent="0.25">
      <c r="O605474" s="9"/>
    </row>
    <row r="605495" spans="15:15" x14ac:dyDescent="0.25">
      <c r="O605495" s="9"/>
    </row>
    <row r="605516" spans="15:15" x14ac:dyDescent="0.25">
      <c r="O605516" s="9"/>
    </row>
    <row r="605537" spans="15:15" x14ac:dyDescent="0.25">
      <c r="O605537" s="9"/>
    </row>
    <row r="605558" spans="15:15" x14ac:dyDescent="0.25">
      <c r="O605558" s="9"/>
    </row>
    <row r="605579" spans="15:15" x14ac:dyDescent="0.25">
      <c r="O605579" s="9"/>
    </row>
    <row r="605600" spans="15:15" x14ac:dyDescent="0.25">
      <c r="O605600" s="9"/>
    </row>
    <row r="605621" spans="15:15" x14ac:dyDescent="0.25">
      <c r="O605621" s="9"/>
    </row>
    <row r="605642" spans="15:15" x14ac:dyDescent="0.25">
      <c r="O605642" s="9"/>
    </row>
    <row r="605663" spans="15:15" x14ac:dyDescent="0.25">
      <c r="O605663" s="9"/>
    </row>
    <row r="605684" spans="15:15" x14ac:dyDescent="0.25">
      <c r="O605684" s="9"/>
    </row>
    <row r="605705" spans="15:15" x14ac:dyDescent="0.25">
      <c r="O605705" s="9"/>
    </row>
    <row r="605726" spans="15:15" x14ac:dyDescent="0.25">
      <c r="O605726" s="9"/>
    </row>
    <row r="605747" spans="15:15" x14ac:dyDescent="0.25">
      <c r="O605747" s="9"/>
    </row>
    <row r="605768" spans="15:15" x14ac:dyDescent="0.25">
      <c r="O605768" s="9"/>
    </row>
    <row r="605789" spans="15:15" x14ac:dyDescent="0.25">
      <c r="O605789" s="9"/>
    </row>
    <row r="605810" spans="15:15" x14ac:dyDescent="0.25">
      <c r="O605810" s="9"/>
    </row>
    <row r="605831" spans="15:15" x14ac:dyDescent="0.25">
      <c r="O605831" s="9"/>
    </row>
    <row r="605852" spans="15:15" x14ac:dyDescent="0.25">
      <c r="O605852" s="9"/>
    </row>
    <row r="605873" spans="15:15" x14ac:dyDescent="0.25">
      <c r="O605873" s="9"/>
    </row>
    <row r="605894" spans="15:15" x14ac:dyDescent="0.25">
      <c r="O605894" s="9"/>
    </row>
    <row r="605915" spans="15:15" x14ac:dyDescent="0.25">
      <c r="O605915" s="9"/>
    </row>
    <row r="605936" spans="15:15" x14ac:dyDescent="0.25">
      <c r="O605936" s="9"/>
    </row>
    <row r="605957" spans="15:15" x14ac:dyDescent="0.25">
      <c r="O605957" s="9"/>
    </row>
    <row r="605978" spans="15:15" x14ac:dyDescent="0.25">
      <c r="O605978" s="9"/>
    </row>
    <row r="605999" spans="15:15" x14ac:dyDescent="0.25">
      <c r="O605999" s="9"/>
    </row>
    <row r="606020" spans="15:15" x14ac:dyDescent="0.25">
      <c r="O606020" s="9"/>
    </row>
    <row r="606041" spans="15:15" x14ac:dyDescent="0.25">
      <c r="O606041" s="9"/>
    </row>
    <row r="606062" spans="15:15" x14ac:dyDescent="0.25">
      <c r="O606062" s="9"/>
    </row>
    <row r="606083" spans="15:15" x14ac:dyDescent="0.25">
      <c r="O606083" s="9"/>
    </row>
    <row r="606104" spans="15:15" x14ac:dyDescent="0.25">
      <c r="O606104" s="9"/>
    </row>
    <row r="606125" spans="15:15" x14ac:dyDescent="0.25">
      <c r="O606125" s="9"/>
    </row>
    <row r="606146" spans="15:15" x14ac:dyDescent="0.25">
      <c r="O606146" s="9"/>
    </row>
    <row r="606167" spans="15:15" x14ac:dyDescent="0.25">
      <c r="O606167" s="9"/>
    </row>
    <row r="606188" spans="15:15" x14ac:dyDescent="0.25">
      <c r="O606188" s="9"/>
    </row>
    <row r="606209" spans="15:15" x14ac:dyDescent="0.25">
      <c r="O606209" s="9"/>
    </row>
    <row r="606230" spans="15:15" x14ac:dyDescent="0.25">
      <c r="O606230" s="9"/>
    </row>
    <row r="606251" spans="15:15" x14ac:dyDescent="0.25">
      <c r="O606251" s="9"/>
    </row>
    <row r="606272" spans="15:15" x14ac:dyDescent="0.25">
      <c r="O606272" s="9"/>
    </row>
    <row r="606293" spans="15:15" x14ac:dyDescent="0.25">
      <c r="O606293" s="9"/>
    </row>
    <row r="606314" spans="15:15" x14ac:dyDescent="0.25">
      <c r="O606314" s="9"/>
    </row>
    <row r="606335" spans="15:15" x14ac:dyDescent="0.25">
      <c r="O606335" s="9"/>
    </row>
    <row r="606356" spans="15:15" x14ac:dyDescent="0.25">
      <c r="O606356" s="9"/>
    </row>
    <row r="606377" spans="15:15" x14ac:dyDescent="0.25">
      <c r="O606377" s="9"/>
    </row>
    <row r="606398" spans="15:15" x14ac:dyDescent="0.25">
      <c r="O606398" s="9"/>
    </row>
    <row r="606419" spans="15:15" x14ac:dyDescent="0.25">
      <c r="O606419" s="9"/>
    </row>
    <row r="606440" spans="15:15" x14ac:dyDescent="0.25">
      <c r="O606440" s="9"/>
    </row>
    <row r="606461" spans="15:15" x14ac:dyDescent="0.25">
      <c r="O606461" s="9"/>
    </row>
    <row r="606482" spans="15:15" x14ac:dyDescent="0.25">
      <c r="O606482" s="9"/>
    </row>
    <row r="606503" spans="15:15" x14ac:dyDescent="0.25">
      <c r="O606503" s="9"/>
    </row>
    <row r="606524" spans="15:15" x14ac:dyDescent="0.25">
      <c r="O606524" s="9"/>
    </row>
    <row r="606545" spans="15:15" x14ac:dyDescent="0.25">
      <c r="O606545" s="9"/>
    </row>
    <row r="606566" spans="15:15" x14ac:dyDescent="0.25">
      <c r="O606566" s="9"/>
    </row>
    <row r="606587" spans="15:15" x14ac:dyDescent="0.25">
      <c r="O606587" s="9"/>
    </row>
    <row r="606608" spans="15:15" x14ac:dyDescent="0.25">
      <c r="O606608" s="9"/>
    </row>
    <row r="606629" spans="15:15" x14ac:dyDescent="0.25">
      <c r="O606629" s="9"/>
    </row>
    <row r="606650" spans="15:15" x14ac:dyDescent="0.25">
      <c r="O606650" s="9"/>
    </row>
    <row r="606671" spans="15:15" x14ac:dyDescent="0.25">
      <c r="O606671" s="9"/>
    </row>
    <row r="606692" spans="15:15" x14ac:dyDescent="0.25">
      <c r="O606692" s="9"/>
    </row>
    <row r="606713" spans="15:15" x14ac:dyDescent="0.25">
      <c r="O606713" s="9"/>
    </row>
    <row r="606734" spans="15:15" x14ac:dyDescent="0.25">
      <c r="O606734" s="9"/>
    </row>
    <row r="606755" spans="15:15" x14ac:dyDescent="0.25">
      <c r="O606755" s="9"/>
    </row>
    <row r="606776" spans="15:15" x14ac:dyDescent="0.25">
      <c r="O606776" s="9"/>
    </row>
    <row r="606797" spans="15:15" x14ac:dyDescent="0.25">
      <c r="O606797" s="9"/>
    </row>
    <row r="606818" spans="15:15" x14ac:dyDescent="0.25">
      <c r="O606818" s="9"/>
    </row>
    <row r="606839" spans="15:15" x14ac:dyDescent="0.25">
      <c r="O606839" s="9"/>
    </row>
    <row r="606860" spans="15:15" x14ac:dyDescent="0.25">
      <c r="O606860" s="9"/>
    </row>
    <row r="606881" spans="15:15" x14ac:dyDescent="0.25">
      <c r="O606881" s="9"/>
    </row>
    <row r="606902" spans="15:15" x14ac:dyDescent="0.25">
      <c r="O606902" s="9"/>
    </row>
    <row r="606923" spans="15:15" x14ac:dyDescent="0.25">
      <c r="O606923" s="9"/>
    </row>
    <row r="606944" spans="15:15" x14ac:dyDescent="0.25">
      <c r="O606944" s="9"/>
    </row>
    <row r="606965" spans="15:15" x14ac:dyDescent="0.25">
      <c r="O606965" s="9"/>
    </row>
    <row r="606986" spans="15:15" x14ac:dyDescent="0.25">
      <c r="O606986" s="9"/>
    </row>
    <row r="607007" spans="15:15" x14ac:dyDescent="0.25">
      <c r="O607007" s="9"/>
    </row>
    <row r="607028" spans="15:15" x14ac:dyDescent="0.25">
      <c r="O607028" s="9"/>
    </row>
    <row r="607049" spans="15:15" x14ac:dyDescent="0.25">
      <c r="O607049" s="9"/>
    </row>
    <row r="607070" spans="15:15" x14ac:dyDescent="0.25">
      <c r="O607070" s="9"/>
    </row>
    <row r="607091" spans="15:15" x14ac:dyDescent="0.25">
      <c r="O607091" s="9"/>
    </row>
    <row r="607112" spans="15:15" x14ac:dyDescent="0.25">
      <c r="O607112" s="9"/>
    </row>
    <row r="607133" spans="15:15" x14ac:dyDescent="0.25">
      <c r="O607133" s="9"/>
    </row>
    <row r="607154" spans="15:15" x14ac:dyDescent="0.25">
      <c r="O607154" s="9"/>
    </row>
    <row r="607175" spans="15:15" x14ac:dyDescent="0.25">
      <c r="O607175" s="9"/>
    </row>
    <row r="607196" spans="15:15" x14ac:dyDescent="0.25">
      <c r="O607196" s="9"/>
    </row>
    <row r="607217" spans="15:15" x14ac:dyDescent="0.25">
      <c r="O607217" s="9"/>
    </row>
    <row r="607238" spans="15:15" x14ac:dyDescent="0.25">
      <c r="O607238" s="9"/>
    </row>
    <row r="607259" spans="15:15" x14ac:dyDescent="0.25">
      <c r="O607259" s="9"/>
    </row>
    <row r="607280" spans="15:15" x14ac:dyDescent="0.25">
      <c r="O607280" s="9"/>
    </row>
    <row r="607301" spans="15:15" x14ac:dyDescent="0.25">
      <c r="O607301" s="9"/>
    </row>
    <row r="607322" spans="15:15" x14ac:dyDescent="0.25">
      <c r="O607322" s="9"/>
    </row>
    <row r="607343" spans="15:15" x14ac:dyDescent="0.25">
      <c r="O607343" s="9"/>
    </row>
    <row r="607364" spans="15:15" x14ac:dyDescent="0.25">
      <c r="O607364" s="9"/>
    </row>
    <row r="607385" spans="15:15" x14ac:dyDescent="0.25">
      <c r="O607385" s="9"/>
    </row>
    <row r="607406" spans="15:15" x14ac:dyDescent="0.25">
      <c r="O607406" s="9"/>
    </row>
    <row r="607427" spans="15:15" x14ac:dyDescent="0.25">
      <c r="O607427" s="9"/>
    </row>
    <row r="607448" spans="15:15" x14ac:dyDescent="0.25">
      <c r="O607448" s="9"/>
    </row>
    <row r="607469" spans="15:15" x14ac:dyDescent="0.25">
      <c r="O607469" s="9"/>
    </row>
    <row r="607490" spans="15:15" x14ac:dyDescent="0.25">
      <c r="O607490" s="9"/>
    </row>
    <row r="607511" spans="15:15" x14ac:dyDescent="0.25">
      <c r="O607511" s="9"/>
    </row>
    <row r="607532" spans="15:15" x14ac:dyDescent="0.25">
      <c r="O607532" s="9"/>
    </row>
    <row r="607553" spans="15:15" x14ac:dyDescent="0.25">
      <c r="O607553" s="9"/>
    </row>
    <row r="607574" spans="15:15" x14ac:dyDescent="0.25">
      <c r="O607574" s="9"/>
    </row>
    <row r="607595" spans="15:15" x14ac:dyDescent="0.25">
      <c r="O607595" s="9"/>
    </row>
    <row r="607616" spans="15:15" x14ac:dyDescent="0.25">
      <c r="O607616" s="9"/>
    </row>
    <row r="607637" spans="15:15" x14ac:dyDescent="0.25">
      <c r="O607637" s="9"/>
    </row>
    <row r="607658" spans="15:15" x14ac:dyDescent="0.25">
      <c r="O607658" s="9"/>
    </row>
    <row r="607679" spans="15:15" x14ac:dyDescent="0.25">
      <c r="O607679" s="9"/>
    </row>
    <row r="607700" spans="15:15" x14ac:dyDescent="0.25">
      <c r="O607700" s="9"/>
    </row>
    <row r="607721" spans="15:15" x14ac:dyDescent="0.25">
      <c r="O607721" s="9"/>
    </row>
    <row r="607742" spans="15:15" x14ac:dyDescent="0.25">
      <c r="O607742" s="9"/>
    </row>
    <row r="607763" spans="15:15" x14ac:dyDescent="0.25">
      <c r="O607763" s="9"/>
    </row>
    <row r="607784" spans="15:15" x14ac:dyDescent="0.25">
      <c r="O607784" s="9"/>
    </row>
    <row r="607805" spans="15:15" x14ac:dyDescent="0.25">
      <c r="O607805" s="9"/>
    </row>
    <row r="607826" spans="15:15" x14ac:dyDescent="0.25">
      <c r="O607826" s="9"/>
    </row>
    <row r="607847" spans="15:15" x14ac:dyDescent="0.25">
      <c r="O607847" s="9"/>
    </row>
    <row r="607868" spans="15:15" x14ac:dyDescent="0.25">
      <c r="O607868" s="9"/>
    </row>
    <row r="607889" spans="15:15" x14ac:dyDescent="0.25">
      <c r="O607889" s="9"/>
    </row>
    <row r="607910" spans="15:15" x14ac:dyDescent="0.25">
      <c r="O607910" s="9"/>
    </row>
    <row r="607931" spans="15:15" x14ac:dyDescent="0.25">
      <c r="O607931" s="9"/>
    </row>
    <row r="607952" spans="15:15" x14ac:dyDescent="0.25">
      <c r="O607952" s="9"/>
    </row>
    <row r="607973" spans="15:15" x14ac:dyDescent="0.25">
      <c r="O607973" s="9"/>
    </row>
    <row r="607994" spans="15:15" x14ac:dyDescent="0.25">
      <c r="O607994" s="9"/>
    </row>
    <row r="608015" spans="15:15" x14ac:dyDescent="0.25">
      <c r="O608015" s="9"/>
    </row>
    <row r="608036" spans="15:15" x14ac:dyDescent="0.25">
      <c r="O608036" s="9"/>
    </row>
    <row r="608057" spans="15:15" x14ac:dyDescent="0.25">
      <c r="O608057" s="9"/>
    </row>
    <row r="608078" spans="15:15" x14ac:dyDescent="0.25">
      <c r="O608078" s="9"/>
    </row>
    <row r="608099" spans="15:15" x14ac:dyDescent="0.25">
      <c r="O608099" s="9"/>
    </row>
    <row r="608120" spans="15:15" x14ac:dyDescent="0.25">
      <c r="O608120" s="9"/>
    </row>
    <row r="608141" spans="15:15" x14ac:dyDescent="0.25">
      <c r="O608141" s="9"/>
    </row>
    <row r="608162" spans="15:15" x14ac:dyDescent="0.25">
      <c r="O608162" s="9"/>
    </row>
    <row r="608183" spans="15:15" x14ac:dyDescent="0.25">
      <c r="O608183" s="9"/>
    </row>
    <row r="608204" spans="15:15" x14ac:dyDescent="0.25">
      <c r="O608204" s="9"/>
    </row>
    <row r="608225" spans="15:15" x14ac:dyDescent="0.25">
      <c r="O608225" s="9"/>
    </row>
    <row r="608246" spans="15:15" x14ac:dyDescent="0.25">
      <c r="O608246" s="9"/>
    </row>
    <row r="608267" spans="15:15" x14ac:dyDescent="0.25">
      <c r="O608267" s="9"/>
    </row>
    <row r="608288" spans="15:15" x14ac:dyDescent="0.25">
      <c r="O608288" s="9"/>
    </row>
    <row r="608309" spans="15:15" x14ac:dyDescent="0.25">
      <c r="O608309" s="9"/>
    </row>
    <row r="608330" spans="15:15" x14ac:dyDescent="0.25">
      <c r="O608330" s="9"/>
    </row>
    <row r="608351" spans="15:15" x14ac:dyDescent="0.25">
      <c r="O608351" s="9"/>
    </row>
    <row r="608372" spans="15:15" x14ac:dyDescent="0.25">
      <c r="O608372" s="9"/>
    </row>
    <row r="608393" spans="15:15" x14ac:dyDescent="0.25">
      <c r="O608393" s="9"/>
    </row>
    <row r="608414" spans="15:15" x14ac:dyDescent="0.25">
      <c r="O608414" s="9"/>
    </row>
    <row r="608435" spans="15:15" x14ac:dyDescent="0.25">
      <c r="O608435" s="9"/>
    </row>
    <row r="608456" spans="15:15" x14ac:dyDescent="0.25">
      <c r="O608456" s="9"/>
    </row>
    <row r="608477" spans="15:15" x14ac:dyDescent="0.25">
      <c r="O608477" s="9"/>
    </row>
    <row r="608498" spans="15:15" x14ac:dyDescent="0.25">
      <c r="O608498" s="9"/>
    </row>
    <row r="608519" spans="15:15" x14ac:dyDescent="0.25">
      <c r="O608519" s="9"/>
    </row>
    <row r="608540" spans="15:15" x14ac:dyDescent="0.25">
      <c r="O608540" s="9"/>
    </row>
    <row r="608561" spans="15:15" x14ac:dyDescent="0.25">
      <c r="O608561" s="9"/>
    </row>
    <row r="608582" spans="15:15" x14ac:dyDescent="0.25">
      <c r="O608582" s="9"/>
    </row>
    <row r="608603" spans="15:15" x14ac:dyDescent="0.25">
      <c r="O608603" s="9"/>
    </row>
    <row r="608624" spans="15:15" x14ac:dyDescent="0.25">
      <c r="O608624" s="9"/>
    </row>
    <row r="608645" spans="15:15" x14ac:dyDescent="0.25">
      <c r="O608645" s="9"/>
    </row>
    <row r="608666" spans="15:15" x14ac:dyDescent="0.25">
      <c r="O608666" s="9"/>
    </row>
    <row r="608687" spans="15:15" x14ac:dyDescent="0.25">
      <c r="O608687" s="9"/>
    </row>
    <row r="608708" spans="15:15" x14ac:dyDescent="0.25">
      <c r="O608708" s="9"/>
    </row>
    <row r="608729" spans="15:15" x14ac:dyDescent="0.25">
      <c r="O608729" s="9"/>
    </row>
    <row r="608750" spans="15:15" x14ac:dyDescent="0.25">
      <c r="O608750" s="9"/>
    </row>
    <row r="608771" spans="15:15" x14ac:dyDescent="0.25">
      <c r="O608771" s="9"/>
    </row>
    <row r="608792" spans="15:15" x14ac:dyDescent="0.25">
      <c r="O608792" s="9"/>
    </row>
    <row r="608813" spans="15:15" x14ac:dyDescent="0.25">
      <c r="O608813" s="9"/>
    </row>
    <row r="608834" spans="15:15" x14ac:dyDescent="0.25">
      <c r="O608834" s="9"/>
    </row>
    <row r="608855" spans="15:15" x14ac:dyDescent="0.25">
      <c r="O608855" s="9"/>
    </row>
    <row r="608876" spans="15:15" x14ac:dyDescent="0.25">
      <c r="O608876" s="9"/>
    </row>
    <row r="608897" spans="15:15" x14ac:dyDescent="0.25">
      <c r="O608897" s="9"/>
    </row>
    <row r="608918" spans="15:15" x14ac:dyDescent="0.25">
      <c r="O608918" s="9"/>
    </row>
    <row r="608939" spans="15:15" x14ac:dyDescent="0.25">
      <c r="O608939" s="9"/>
    </row>
    <row r="608960" spans="15:15" x14ac:dyDescent="0.25">
      <c r="O608960" s="9"/>
    </row>
    <row r="608981" spans="15:15" x14ac:dyDescent="0.25">
      <c r="O608981" s="9"/>
    </row>
    <row r="609002" spans="15:15" x14ac:dyDescent="0.25">
      <c r="O609002" s="9"/>
    </row>
    <row r="609023" spans="15:15" x14ac:dyDescent="0.25">
      <c r="O609023" s="9"/>
    </row>
    <row r="609044" spans="15:15" x14ac:dyDescent="0.25">
      <c r="O609044" s="9"/>
    </row>
    <row r="609065" spans="15:15" x14ac:dyDescent="0.25">
      <c r="O609065" s="9"/>
    </row>
    <row r="609086" spans="15:15" x14ac:dyDescent="0.25">
      <c r="O609086" s="9"/>
    </row>
    <row r="609107" spans="15:15" x14ac:dyDescent="0.25">
      <c r="O609107" s="9"/>
    </row>
    <row r="609128" spans="15:15" x14ac:dyDescent="0.25">
      <c r="O609128" s="9"/>
    </row>
    <row r="609149" spans="15:15" x14ac:dyDescent="0.25">
      <c r="O609149" s="9"/>
    </row>
    <row r="609170" spans="15:15" x14ac:dyDescent="0.25">
      <c r="O609170" s="9"/>
    </row>
    <row r="609191" spans="15:15" x14ac:dyDescent="0.25">
      <c r="O609191" s="9"/>
    </row>
    <row r="609212" spans="15:15" x14ac:dyDescent="0.25">
      <c r="O609212" s="9"/>
    </row>
    <row r="609233" spans="15:15" x14ac:dyDescent="0.25">
      <c r="O609233" s="9"/>
    </row>
    <row r="609254" spans="15:15" x14ac:dyDescent="0.25">
      <c r="O609254" s="9"/>
    </row>
    <row r="609275" spans="15:15" x14ac:dyDescent="0.25">
      <c r="O609275" s="9"/>
    </row>
    <row r="609296" spans="15:15" x14ac:dyDescent="0.25">
      <c r="O609296" s="9"/>
    </row>
    <row r="609317" spans="15:15" x14ac:dyDescent="0.25">
      <c r="O609317" s="9"/>
    </row>
    <row r="609338" spans="15:15" x14ac:dyDescent="0.25">
      <c r="O609338" s="9"/>
    </row>
    <row r="609359" spans="15:15" x14ac:dyDescent="0.25">
      <c r="O609359" s="9"/>
    </row>
    <row r="609380" spans="15:15" x14ac:dyDescent="0.25">
      <c r="O609380" s="9"/>
    </row>
    <row r="609401" spans="15:15" x14ac:dyDescent="0.25">
      <c r="O609401" s="9"/>
    </row>
    <row r="609422" spans="15:15" x14ac:dyDescent="0.25">
      <c r="O609422" s="9"/>
    </row>
    <row r="609443" spans="15:15" x14ac:dyDescent="0.25">
      <c r="O609443" s="9"/>
    </row>
    <row r="609464" spans="15:15" x14ac:dyDescent="0.25">
      <c r="O609464" s="9"/>
    </row>
    <row r="609485" spans="15:15" x14ac:dyDescent="0.25">
      <c r="O609485" s="9"/>
    </row>
    <row r="609506" spans="15:15" x14ac:dyDescent="0.25">
      <c r="O609506" s="9"/>
    </row>
    <row r="609527" spans="15:15" x14ac:dyDescent="0.25">
      <c r="O609527" s="9"/>
    </row>
    <row r="609548" spans="15:15" x14ac:dyDescent="0.25">
      <c r="O609548" s="9"/>
    </row>
    <row r="609569" spans="15:15" x14ac:dyDescent="0.25">
      <c r="O609569" s="9"/>
    </row>
    <row r="609590" spans="15:15" x14ac:dyDescent="0.25">
      <c r="O609590" s="9"/>
    </row>
    <row r="609611" spans="15:15" x14ac:dyDescent="0.25">
      <c r="O609611" s="9"/>
    </row>
    <row r="609632" spans="15:15" x14ac:dyDescent="0.25">
      <c r="O609632" s="9"/>
    </row>
    <row r="609653" spans="15:15" x14ac:dyDescent="0.25">
      <c r="O609653" s="9"/>
    </row>
    <row r="609674" spans="15:15" x14ac:dyDescent="0.25">
      <c r="O609674" s="9"/>
    </row>
    <row r="609695" spans="15:15" x14ac:dyDescent="0.25">
      <c r="O609695" s="9"/>
    </row>
    <row r="609716" spans="15:15" x14ac:dyDescent="0.25">
      <c r="O609716" s="9"/>
    </row>
    <row r="609737" spans="15:15" x14ac:dyDescent="0.25">
      <c r="O609737" s="9"/>
    </row>
    <row r="609758" spans="15:15" x14ac:dyDescent="0.25">
      <c r="O609758" s="9"/>
    </row>
    <row r="609779" spans="15:15" x14ac:dyDescent="0.25">
      <c r="O609779" s="9"/>
    </row>
    <row r="609800" spans="15:15" x14ac:dyDescent="0.25">
      <c r="O609800" s="9"/>
    </row>
    <row r="609821" spans="15:15" x14ac:dyDescent="0.25">
      <c r="O609821" s="9"/>
    </row>
    <row r="609842" spans="15:15" x14ac:dyDescent="0.25">
      <c r="O609842" s="9"/>
    </row>
    <row r="609863" spans="15:15" x14ac:dyDescent="0.25">
      <c r="O609863" s="9"/>
    </row>
    <row r="609884" spans="15:15" x14ac:dyDescent="0.25">
      <c r="O609884" s="9"/>
    </row>
    <row r="609905" spans="15:15" x14ac:dyDescent="0.25">
      <c r="O609905" s="9"/>
    </row>
    <row r="609926" spans="15:15" x14ac:dyDescent="0.25">
      <c r="O609926" s="9"/>
    </row>
    <row r="609947" spans="15:15" x14ac:dyDescent="0.25">
      <c r="O609947" s="9"/>
    </row>
    <row r="609968" spans="15:15" x14ac:dyDescent="0.25">
      <c r="O609968" s="9"/>
    </row>
    <row r="609989" spans="15:15" x14ac:dyDescent="0.25">
      <c r="O609989" s="9"/>
    </row>
    <row r="610010" spans="15:15" x14ac:dyDescent="0.25">
      <c r="O610010" s="9"/>
    </row>
    <row r="610031" spans="15:15" x14ac:dyDescent="0.25">
      <c r="O610031" s="9"/>
    </row>
    <row r="610052" spans="15:15" x14ac:dyDescent="0.25">
      <c r="O610052" s="9"/>
    </row>
    <row r="610073" spans="15:15" x14ac:dyDescent="0.25">
      <c r="O610073" s="9"/>
    </row>
    <row r="610094" spans="15:15" x14ac:dyDescent="0.25">
      <c r="O610094" s="9"/>
    </row>
    <row r="610115" spans="15:15" x14ac:dyDescent="0.25">
      <c r="O610115" s="9"/>
    </row>
    <row r="610136" spans="15:15" x14ac:dyDescent="0.25">
      <c r="O610136" s="9"/>
    </row>
    <row r="610157" spans="15:15" x14ac:dyDescent="0.25">
      <c r="O610157" s="9"/>
    </row>
    <row r="610178" spans="15:15" x14ac:dyDescent="0.25">
      <c r="O610178" s="9"/>
    </row>
    <row r="610199" spans="15:15" x14ac:dyDescent="0.25">
      <c r="O610199" s="9"/>
    </row>
    <row r="610220" spans="15:15" x14ac:dyDescent="0.25">
      <c r="O610220" s="9"/>
    </row>
    <row r="610241" spans="15:15" x14ac:dyDescent="0.25">
      <c r="O610241" s="9"/>
    </row>
    <row r="610262" spans="15:15" x14ac:dyDescent="0.25">
      <c r="O610262" s="9"/>
    </row>
    <row r="610283" spans="15:15" x14ac:dyDescent="0.25">
      <c r="O610283" s="9"/>
    </row>
    <row r="610304" spans="15:15" x14ac:dyDescent="0.25">
      <c r="O610304" s="9"/>
    </row>
    <row r="610325" spans="15:15" x14ac:dyDescent="0.25">
      <c r="O610325" s="9"/>
    </row>
    <row r="610346" spans="15:15" x14ac:dyDescent="0.25">
      <c r="O610346" s="9"/>
    </row>
    <row r="610367" spans="15:15" x14ac:dyDescent="0.25">
      <c r="O610367" s="9"/>
    </row>
    <row r="610388" spans="15:15" x14ac:dyDescent="0.25">
      <c r="O610388" s="9"/>
    </row>
    <row r="610409" spans="15:15" x14ac:dyDescent="0.25">
      <c r="O610409" s="9"/>
    </row>
    <row r="610430" spans="15:15" x14ac:dyDescent="0.25">
      <c r="O610430" s="9"/>
    </row>
    <row r="610451" spans="15:15" x14ac:dyDescent="0.25">
      <c r="O610451" s="9"/>
    </row>
    <row r="610472" spans="15:15" x14ac:dyDescent="0.25">
      <c r="O610472" s="9"/>
    </row>
    <row r="610493" spans="15:15" x14ac:dyDescent="0.25">
      <c r="O610493" s="9"/>
    </row>
    <row r="610514" spans="15:15" x14ac:dyDescent="0.25">
      <c r="O610514" s="9"/>
    </row>
    <row r="610535" spans="15:15" x14ac:dyDescent="0.25">
      <c r="O610535" s="9"/>
    </row>
    <row r="610556" spans="15:15" x14ac:dyDescent="0.25">
      <c r="O610556" s="9"/>
    </row>
    <row r="610577" spans="15:15" x14ac:dyDescent="0.25">
      <c r="O610577" s="9"/>
    </row>
    <row r="610598" spans="15:15" x14ac:dyDescent="0.25">
      <c r="O610598" s="9"/>
    </row>
    <row r="610619" spans="15:15" x14ac:dyDescent="0.25">
      <c r="O610619" s="9"/>
    </row>
    <row r="610640" spans="15:15" x14ac:dyDescent="0.25">
      <c r="O610640" s="9"/>
    </row>
    <row r="610661" spans="15:15" x14ac:dyDescent="0.25">
      <c r="O610661" s="9"/>
    </row>
    <row r="610682" spans="15:15" x14ac:dyDescent="0.25">
      <c r="O610682" s="9"/>
    </row>
    <row r="610703" spans="15:15" x14ac:dyDescent="0.25">
      <c r="O610703" s="9"/>
    </row>
    <row r="610724" spans="15:15" x14ac:dyDescent="0.25">
      <c r="O610724" s="9"/>
    </row>
    <row r="610745" spans="15:15" x14ac:dyDescent="0.25">
      <c r="O610745" s="9"/>
    </row>
    <row r="610766" spans="15:15" x14ac:dyDescent="0.25">
      <c r="O610766" s="9"/>
    </row>
    <row r="610787" spans="15:15" x14ac:dyDescent="0.25">
      <c r="O610787" s="9"/>
    </row>
    <row r="610808" spans="15:15" x14ac:dyDescent="0.25">
      <c r="O610808" s="9"/>
    </row>
    <row r="610829" spans="15:15" x14ac:dyDescent="0.25">
      <c r="O610829" s="9"/>
    </row>
    <row r="610850" spans="15:15" x14ac:dyDescent="0.25">
      <c r="O610850" s="9"/>
    </row>
    <row r="610871" spans="15:15" x14ac:dyDescent="0.25">
      <c r="O610871" s="9"/>
    </row>
    <row r="610892" spans="15:15" x14ac:dyDescent="0.25">
      <c r="O610892" s="9"/>
    </row>
    <row r="610913" spans="15:15" x14ac:dyDescent="0.25">
      <c r="O610913" s="9"/>
    </row>
    <row r="610934" spans="15:15" x14ac:dyDescent="0.25">
      <c r="O610934" s="9"/>
    </row>
    <row r="610955" spans="15:15" x14ac:dyDescent="0.25">
      <c r="O610955" s="9"/>
    </row>
    <row r="610976" spans="15:15" x14ac:dyDescent="0.25">
      <c r="O610976" s="9"/>
    </row>
    <row r="610997" spans="15:15" x14ac:dyDescent="0.25">
      <c r="O610997" s="9"/>
    </row>
    <row r="611018" spans="15:15" x14ac:dyDescent="0.25">
      <c r="O611018" s="9"/>
    </row>
    <row r="611039" spans="15:15" x14ac:dyDescent="0.25">
      <c r="O611039" s="9"/>
    </row>
    <row r="611060" spans="15:15" x14ac:dyDescent="0.25">
      <c r="O611060" s="9"/>
    </row>
    <row r="611081" spans="15:15" x14ac:dyDescent="0.25">
      <c r="O611081" s="9"/>
    </row>
    <row r="611102" spans="15:15" x14ac:dyDescent="0.25">
      <c r="O611102" s="9"/>
    </row>
    <row r="611123" spans="15:15" x14ac:dyDescent="0.25">
      <c r="O611123" s="9"/>
    </row>
    <row r="611144" spans="15:15" x14ac:dyDescent="0.25">
      <c r="O611144" s="9"/>
    </row>
    <row r="611165" spans="15:15" x14ac:dyDescent="0.25">
      <c r="O611165" s="9"/>
    </row>
    <row r="611186" spans="15:15" x14ac:dyDescent="0.25">
      <c r="O611186" s="9"/>
    </row>
    <row r="611207" spans="15:15" x14ac:dyDescent="0.25">
      <c r="O611207" s="9"/>
    </row>
    <row r="611228" spans="15:15" x14ac:dyDescent="0.25">
      <c r="O611228" s="9"/>
    </row>
    <row r="611249" spans="15:15" x14ac:dyDescent="0.25">
      <c r="O611249" s="9"/>
    </row>
    <row r="611270" spans="15:15" x14ac:dyDescent="0.25">
      <c r="O611270" s="9"/>
    </row>
    <row r="611291" spans="15:15" x14ac:dyDescent="0.25">
      <c r="O611291" s="9"/>
    </row>
    <row r="611312" spans="15:15" x14ac:dyDescent="0.25">
      <c r="O611312" s="9"/>
    </row>
    <row r="611333" spans="15:15" x14ac:dyDescent="0.25">
      <c r="O611333" s="9"/>
    </row>
    <row r="611354" spans="15:15" x14ac:dyDescent="0.25">
      <c r="O611354" s="9"/>
    </row>
    <row r="611375" spans="15:15" x14ac:dyDescent="0.25">
      <c r="O611375" s="9"/>
    </row>
    <row r="611396" spans="15:15" x14ac:dyDescent="0.25">
      <c r="O611396" s="9"/>
    </row>
    <row r="611417" spans="15:15" x14ac:dyDescent="0.25">
      <c r="O611417" s="9"/>
    </row>
    <row r="611438" spans="15:15" x14ac:dyDescent="0.25">
      <c r="O611438" s="9"/>
    </row>
    <row r="611459" spans="15:15" x14ac:dyDescent="0.25">
      <c r="O611459" s="9"/>
    </row>
    <row r="611480" spans="15:15" x14ac:dyDescent="0.25">
      <c r="O611480" s="9"/>
    </row>
    <row r="611501" spans="15:15" x14ac:dyDescent="0.25">
      <c r="O611501" s="9"/>
    </row>
    <row r="611522" spans="15:15" x14ac:dyDescent="0.25">
      <c r="O611522" s="9"/>
    </row>
    <row r="611543" spans="15:15" x14ac:dyDescent="0.25">
      <c r="O611543" s="9"/>
    </row>
    <row r="611564" spans="15:15" x14ac:dyDescent="0.25">
      <c r="O611564" s="9"/>
    </row>
    <row r="611585" spans="15:15" x14ac:dyDescent="0.25">
      <c r="O611585" s="9"/>
    </row>
    <row r="611606" spans="15:15" x14ac:dyDescent="0.25">
      <c r="O611606" s="9"/>
    </row>
    <row r="611627" spans="15:15" x14ac:dyDescent="0.25">
      <c r="O611627" s="9"/>
    </row>
    <row r="611648" spans="15:15" x14ac:dyDescent="0.25">
      <c r="O611648" s="9"/>
    </row>
    <row r="611669" spans="15:15" x14ac:dyDescent="0.25">
      <c r="O611669" s="9"/>
    </row>
    <row r="611690" spans="15:15" x14ac:dyDescent="0.25">
      <c r="O611690" s="9"/>
    </row>
    <row r="611711" spans="15:15" x14ac:dyDescent="0.25">
      <c r="O611711" s="9"/>
    </row>
    <row r="611732" spans="15:15" x14ac:dyDescent="0.25">
      <c r="O611732" s="9"/>
    </row>
    <row r="611753" spans="15:15" x14ac:dyDescent="0.25">
      <c r="O611753" s="9"/>
    </row>
    <row r="611774" spans="15:15" x14ac:dyDescent="0.25">
      <c r="O611774" s="9"/>
    </row>
    <row r="611795" spans="15:15" x14ac:dyDescent="0.25">
      <c r="O611795" s="9"/>
    </row>
    <row r="611816" spans="15:15" x14ac:dyDescent="0.25">
      <c r="O611816" s="9"/>
    </row>
    <row r="611837" spans="15:15" x14ac:dyDescent="0.25">
      <c r="O611837" s="9"/>
    </row>
    <row r="611858" spans="15:15" x14ac:dyDescent="0.25">
      <c r="O611858" s="9"/>
    </row>
    <row r="611879" spans="15:15" x14ac:dyDescent="0.25">
      <c r="O611879" s="9"/>
    </row>
    <row r="611900" spans="15:15" x14ac:dyDescent="0.25">
      <c r="O611900" s="9"/>
    </row>
    <row r="611921" spans="15:15" x14ac:dyDescent="0.25">
      <c r="O611921" s="9"/>
    </row>
    <row r="611942" spans="15:15" x14ac:dyDescent="0.25">
      <c r="O611942" s="9"/>
    </row>
    <row r="611963" spans="15:15" x14ac:dyDescent="0.25">
      <c r="O611963" s="9"/>
    </row>
    <row r="611984" spans="15:15" x14ac:dyDescent="0.25">
      <c r="O611984" s="9"/>
    </row>
    <row r="612005" spans="15:15" x14ac:dyDescent="0.25">
      <c r="O612005" s="9"/>
    </row>
    <row r="612026" spans="15:15" x14ac:dyDescent="0.25">
      <c r="O612026" s="9"/>
    </row>
    <row r="612047" spans="15:15" x14ac:dyDescent="0.25">
      <c r="O612047" s="9"/>
    </row>
    <row r="612068" spans="15:15" x14ac:dyDescent="0.25">
      <c r="O612068" s="9"/>
    </row>
    <row r="612089" spans="15:15" x14ac:dyDescent="0.25">
      <c r="O612089" s="9"/>
    </row>
    <row r="612110" spans="15:15" x14ac:dyDescent="0.25">
      <c r="O612110" s="9"/>
    </row>
    <row r="612131" spans="15:15" x14ac:dyDescent="0.25">
      <c r="O612131" s="9"/>
    </row>
    <row r="612152" spans="15:15" x14ac:dyDescent="0.25">
      <c r="O612152" s="9"/>
    </row>
    <row r="612173" spans="15:15" x14ac:dyDescent="0.25">
      <c r="O612173" s="9"/>
    </row>
    <row r="612194" spans="15:15" x14ac:dyDescent="0.25">
      <c r="O612194" s="9"/>
    </row>
    <row r="612215" spans="15:15" x14ac:dyDescent="0.25">
      <c r="O612215" s="9"/>
    </row>
    <row r="612236" spans="15:15" x14ac:dyDescent="0.25">
      <c r="O612236" s="9"/>
    </row>
    <row r="612257" spans="15:15" x14ac:dyDescent="0.25">
      <c r="O612257" s="9"/>
    </row>
    <row r="612278" spans="15:15" x14ac:dyDescent="0.25">
      <c r="O612278" s="9"/>
    </row>
    <row r="612299" spans="15:15" x14ac:dyDescent="0.25">
      <c r="O612299" s="9"/>
    </row>
    <row r="612320" spans="15:15" x14ac:dyDescent="0.25">
      <c r="O612320" s="9"/>
    </row>
    <row r="612341" spans="15:15" x14ac:dyDescent="0.25">
      <c r="O612341" s="9"/>
    </row>
    <row r="612362" spans="15:15" x14ac:dyDescent="0.25">
      <c r="O612362" s="9"/>
    </row>
    <row r="612383" spans="15:15" x14ac:dyDescent="0.25">
      <c r="O612383" s="9"/>
    </row>
    <row r="612404" spans="15:15" x14ac:dyDescent="0.25">
      <c r="O612404" s="9"/>
    </row>
    <row r="612425" spans="15:15" x14ac:dyDescent="0.25">
      <c r="O612425" s="9"/>
    </row>
    <row r="612446" spans="15:15" x14ac:dyDescent="0.25">
      <c r="O612446" s="9"/>
    </row>
    <row r="612467" spans="15:15" x14ac:dyDescent="0.25">
      <c r="O612467" s="9"/>
    </row>
    <row r="612488" spans="15:15" x14ac:dyDescent="0.25">
      <c r="O612488" s="9"/>
    </row>
    <row r="612509" spans="15:15" x14ac:dyDescent="0.25">
      <c r="O612509" s="9"/>
    </row>
    <row r="612530" spans="15:15" x14ac:dyDescent="0.25">
      <c r="O612530" s="9"/>
    </row>
    <row r="612551" spans="15:15" x14ac:dyDescent="0.25">
      <c r="O612551" s="9"/>
    </row>
    <row r="612572" spans="15:15" x14ac:dyDescent="0.25">
      <c r="O612572" s="9"/>
    </row>
    <row r="612593" spans="15:15" x14ac:dyDescent="0.25">
      <c r="O612593" s="9"/>
    </row>
    <row r="612614" spans="15:15" x14ac:dyDescent="0.25">
      <c r="O612614" s="9"/>
    </row>
    <row r="612635" spans="15:15" x14ac:dyDescent="0.25">
      <c r="O612635" s="9"/>
    </row>
    <row r="612656" spans="15:15" x14ac:dyDescent="0.25">
      <c r="O612656" s="9"/>
    </row>
    <row r="612677" spans="15:15" x14ac:dyDescent="0.25">
      <c r="O612677" s="9"/>
    </row>
    <row r="612698" spans="15:15" x14ac:dyDescent="0.25">
      <c r="O612698" s="9"/>
    </row>
    <row r="612719" spans="15:15" x14ac:dyDescent="0.25">
      <c r="O612719" s="9"/>
    </row>
    <row r="612740" spans="15:15" x14ac:dyDescent="0.25">
      <c r="O612740" s="9"/>
    </row>
    <row r="612761" spans="15:15" x14ac:dyDescent="0.25">
      <c r="O612761" s="9"/>
    </row>
    <row r="612782" spans="15:15" x14ac:dyDescent="0.25">
      <c r="O612782" s="9"/>
    </row>
    <row r="612803" spans="15:15" x14ac:dyDescent="0.25">
      <c r="O612803" s="9"/>
    </row>
    <row r="612824" spans="15:15" x14ac:dyDescent="0.25">
      <c r="O612824" s="9"/>
    </row>
    <row r="612845" spans="15:15" x14ac:dyDescent="0.25">
      <c r="O612845" s="9"/>
    </row>
    <row r="612866" spans="15:15" x14ac:dyDescent="0.25">
      <c r="O612866" s="9"/>
    </row>
    <row r="612887" spans="15:15" x14ac:dyDescent="0.25">
      <c r="O612887" s="9"/>
    </row>
    <row r="612908" spans="15:15" x14ac:dyDescent="0.25">
      <c r="O612908" s="9"/>
    </row>
    <row r="612929" spans="15:15" x14ac:dyDescent="0.25">
      <c r="O612929" s="9"/>
    </row>
    <row r="612950" spans="15:15" x14ac:dyDescent="0.25">
      <c r="O612950" s="9"/>
    </row>
    <row r="612971" spans="15:15" x14ac:dyDescent="0.25">
      <c r="O612971" s="9"/>
    </row>
    <row r="612992" spans="15:15" x14ac:dyDescent="0.25">
      <c r="O612992" s="9"/>
    </row>
    <row r="613013" spans="15:15" x14ac:dyDescent="0.25">
      <c r="O613013" s="9"/>
    </row>
    <row r="613034" spans="15:15" x14ac:dyDescent="0.25">
      <c r="O613034" s="9"/>
    </row>
    <row r="613055" spans="15:15" x14ac:dyDescent="0.25">
      <c r="O613055" s="9"/>
    </row>
    <row r="613076" spans="15:15" x14ac:dyDescent="0.25">
      <c r="O613076" s="9"/>
    </row>
    <row r="613097" spans="15:15" x14ac:dyDescent="0.25">
      <c r="O613097" s="9"/>
    </row>
    <row r="613118" spans="15:15" x14ac:dyDescent="0.25">
      <c r="O613118" s="9"/>
    </row>
    <row r="613139" spans="15:15" x14ac:dyDescent="0.25">
      <c r="O613139" s="9"/>
    </row>
    <row r="613160" spans="15:15" x14ac:dyDescent="0.25">
      <c r="O613160" s="9"/>
    </row>
    <row r="613181" spans="15:15" x14ac:dyDescent="0.25">
      <c r="O613181" s="9"/>
    </row>
    <row r="613202" spans="15:15" x14ac:dyDescent="0.25">
      <c r="O613202" s="9"/>
    </row>
    <row r="613223" spans="15:15" x14ac:dyDescent="0.25">
      <c r="O613223" s="9"/>
    </row>
    <row r="613244" spans="15:15" x14ac:dyDescent="0.25">
      <c r="O613244" s="9"/>
    </row>
    <row r="613265" spans="15:15" x14ac:dyDescent="0.25">
      <c r="O613265" s="9"/>
    </row>
    <row r="613286" spans="15:15" x14ac:dyDescent="0.25">
      <c r="O613286" s="9"/>
    </row>
    <row r="613307" spans="15:15" x14ac:dyDescent="0.25">
      <c r="O613307" s="9"/>
    </row>
    <row r="613328" spans="15:15" x14ac:dyDescent="0.25">
      <c r="O613328" s="9"/>
    </row>
    <row r="613349" spans="15:15" x14ac:dyDescent="0.25">
      <c r="O613349" s="9"/>
    </row>
    <row r="613370" spans="15:15" x14ac:dyDescent="0.25">
      <c r="O613370" s="9"/>
    </row>
    <row r="613391" spans="15:15" x14ac:dyDescent="0.25">
      <c r="O613391" s="9"/>
    </row>
    <row r="613412" spans="15:15" x14ac:dyDescent="0.25">
      <c r="O613412" s="9"/>
    </row>
    <row r="613433" spans="15:15" x14ac:dyDescent="0.25">
      <c r="O613433" s="9"/>
    </row>
    <row r="613454" spans="15:15" x14ac:dyDescent="0.25">
      <c r="O613454" s="9"/>
    </row>
    <row r="613475" spans="15:15" x14ac:dyDescent="0.25">
      <c r="O613475" s="9"/>
    </row>
    <row r="613496" spans="15:15" x14ac:dyDescent="0.25">
      <c r="O613496" s="9"/>
    </row>
    <row r="613517" spans="15:15" x14ac:dyDescent="0.25">
      <c r="O613517" s="9"/>
    </row>
    <row r="613538" spans="15:15" x14ac:dyDescent="0.25">
      <c r="O613538" s="9"/>
    </row>
    <row r="613559" spans="15:15" x14ac:dyDescent="0.25">
      <c r="O613559" s="9"/>
    </row>
    <row r="613580" spans="15:15" x14ac:dyDescent="0.25">
      <c r="O613580" s="9"/>
    </row>
    <row r="613601" spans="15:15" x14ac:dyDescent="0.25">
      <c r="O613601" s="9"/>
    </row>
    <row r="613622" spans="15:15" x14ac:dyDescent="0.25">
      <c r="O613622" s="9"/>
    </row>
    <row r="613643" spans="15:15" x14ac:dyDescent="0.25">
      <c r="O613643" s="9"/>
    </row>
    <row r="613664" spans="15:15" x14ac:dyDescent="0.25">
      <c r="O613664" s="9"/>
    </row>
    <row r="613685" spans="15:15" x14ac:dyDescent="0.25">
      <c r="O613685" s="9"/>
    </row>
    <row r="613706" spans="15:15" x14ac:dyDescent="0.25">
      <c r="O613706" s="9"/>
    </row>
    <row r="613727" spans="15:15" x14ac:dyDescent="0.25">
      <c r="O613727" s="9"/>
    </row>
    <row r="613748" spans="15:15" x14ac:dyDescent="0.25">
      <c r="O613748" s="9"/>
    </row>
    <row r="613769" spans="15:15" x14ac:dyDescent="0.25">
      <c r="O613769" s="9"/>
    </row>
    <row r="613790" spans="15:15" x14ac:dyDescent="0.25">
      <c r="O613790" s="9"/>
    </row>
    <row r="613811" spans="15:15" x14ac:dyDescent="0.25">
      <c r="O613811" s="9"/>
    </row>
    <row r="613832" spans="15:15" x14ac:dyDescent="0.25">
      <c r="O613832" s="9"/>
    </row>
    <row r="613853" spans="15:15" x14ac:dyDescent="0.25">
      <c r="O613853" s="9"/>
    </row>
    <row r="613874" spans="15:15" x14ac:dyDescent="0.25">
      <c r="O613874" s="9"/>
    </row>
    <row r="613895" spans="15:15" x14ac:dyDescent="0.25">
      <c r="O613895" s="9"/>
    </row>
    <row r="613916" spans="15:15" x14ac:dyDescent="0.25">
      <c r="O613916" s="9"/>
    </row>
    <row r="613937" spans="15:15" x14ac:dyDescent="0.25">
      <c r="O613937" s="9"/>
    </row>
    <row r="613958" spans="15:15" x14ac:dyDescent="0.25">
      <c r="O613958" s="9"/>
    </row>
    <row r="613979" spans="15:15" x14ac:dyDescent="0.25">
      <c r="O613979" s="9"/>
    </row>
    <row r="614000" spans="15:15" x14ac:dyDescent="0.25">
      <c r="O614000" s="9"/>
    </row>
    <row r="614021" spans="15:15" x14ac:dyDescent="0.25">
      <c r="O614021" s="9"/>
    </row>
    <row r="614042" spans="15:15" x14ac:dyDescent="0.25">
      <c r="O614042" s="9"/>
    </row>
    <row r="614063" spans="15:15" x14ac:dyDescent="0.25">
      <c r="O614063" s="9"/>
    </row>
    <row r="614084" spans="15:15" x14ac:dyDescent="0.25">
      <c r="O614084" s="9"/>
    </row>
    <row r="614105" spans="15:15" x14ac:dyDescent="0.25">
      <c r="O614105" s="9"/>
    </row>
    <row r="614126" spans="15:15" x14ac:dyDescent="0.25">
      <c r="O614126" s="9"/>
    </row>
    <row r="614147" spans="15:15" x14ac:dyDescent="0.25">
      <c r="O614147" s="9"/>
    </row>
    <row r="614168" spans="15:15" x14ac:dyDescent="0.25">
      <c r="O614168" s="9"/>
    </row>
    <row r="614189" spans="15:15" x14ac:dyDescent="0.25">
      <c r="O614189" s="9"/>
    </row>
    <row r="614210" spans="15:15" x14ac:dyDescent="0.25">
      <c r="O614210" s="9"/>
    </row>
    <row r="614231" spans="15:15" x14ac:dyDescent="0.25">
      <c r="O614231" s="9"/>
    </row>
    <row r="614252" spans="15:15" x14ac:dyDescent="0.25">
      <c r="O614252" s="9"/>
    </row>
    <row r="614273" spans="15:15" x14ac:dyDescent="0.25">
      <c r="O614273" s="9"/>
    </row>
    <row r="614294" spans="15:15" x14ac:dyDescent="0.25">
      <c r="O614294" s="9"/>
    </row>
    <row r="614315" spans="15:15" x14ac:dyDescent="0.25">
      <c r="O614315" s="9"/>
    </row>
    <row r="614336" spans="15:15" x14ac:dyDescent="0.25">
      <c r="O614336" s="9"/>
    </row>
    <row r="614357" spans="15:15" x14ac:dyDescent="0.25">
      <c r="O614357" s="9"/>
    </row>
    <row r="614378" spans="15:15" x14ac:dyDescent="0.25">
      <c r="O614378" s="9"/>
    </row>
    <row r="614399" spans="15:15" x14ac:dyDescent="0.25">
      <c r="O614399" s="9"/>
    </row>
    <row r="614420" spans="15:15" x14ac:dyDescent="0.25">
      <c r="O614420" s="9"/>
    </row>
    <row r="614441" spans="15:15" x14ac:dyDescent="0.25">
      <c r="O614441" s="9"/>
    </row>
    <row r="614462" spans="15:15" x14ac:dyDescent="0.25">
      <c r="O614462" s="9"/>
    </row>
    <row r="614483" spans="15:15" x14ac:dyDescent="0.25">
      <c r="O614483" s="9"/>
    </row>
    <row r="614504" spans="15:15" x14ac:dyDescent="0.25">
      <c r="O614504" s="9"/>
    </row>
    <row r="614525" spans="15:15" x14ac:dyDescent="0.25">
      <c r="O614525" s="9"/>
    </row>
    <row r="614546" spans="15:15" x14ac:dyDescent="0.25">
      <c r="O614546" s="9"/>
    </row>
    <row r="614567" spans="15:15" x14ac:dyDescent="0.25">
      <c r="O614567" s="9"/>
    </row>
    <row r="614588" spans="15:15" x14ac:dyDescent="0.25">
      <c r="O614588" s="9"/>
    </row>
    <row r="614609" spans="15:15" x14ac:dyDescent="0.25">
      <c r="O614609" s="9"/>
    </row>
    <row r="614630" spans="15:15" x14ac:dyDescent="0.25">
      <c r="O614630" s="9"/>
    </row>
    <row r="614651" spans="15:15" x14ac:dyDescent="0.25">
      <c r="O614651" s="9"/>
    </row>
    <row r="614672" spans="15:15" x14ac:dyDescent="0.25">
      <c r="O614672" s="9"/>
    </row>
    <row r="614693" spans="15:15" x14ac:dyDescent="0.25">
      <c r="O614693" s="9"/>
    </row>
    <row r="614714" spans="15:15" x14ac:dyDescent="0.25">
      <c r="O614714" s="9"/>
    </row>
    <row r="614735" spans="15:15" x14ac:dyDescent="0.25">
      <c r="O614735" s="9"/>
    </row>
    <row r="614756" spans="15:15" x14ac:dyDescent="0.25">
      <c r="O614756" s="9"/>
    </row>
    <row r="614777" spans="15:15" x14ac:dyDescent="0.25">
      <c r="O614777" s="9"/>
    </row>
    <row r="614798" spans="15:15" x14ac:dyDescent="0.25">
      <c r="O614798" s="9"/>
    </row>
    <row r="614819" spans="15:15" x14ac:dyDescent="0.25">
      <c r="O614819" s="9"/>
    </row>
    <row r="614840" spans="15:15" x14ac:dyDescent="0.25">
      <c r="O614840" s="9"/>
    </row>
    <row r="614861" spans="15:15" x14ac:dyDescent="0.25">
      <c r="O614861" s="9"/>
    </row>
    <row r="614882" spans="15:15" x14ac:dyDescent="0.25">
      <c r="O614882" s="9"/>
    </row>
    <row r="614903" spans="15:15" x14ac:dyDescent="0.25">
      <c r="O614903" s="9"/>
    </row>
    <row r="614924" spans="15:15" x14ac:dyDescent="0.25">
      <c r="O614924" s="9"/>
    </row>
    <row r="614945" spans="15:15" x14ac:dyDescent="0.25">
      <c r="O614945" s="9"/>
    </row>
    <row r="614966" spans="15:15" x14ac:dyDescent="0.25">
      <c r="O614966" s="9"/>
    </row>
    <row r="614987" spans="15:15" x14ac:dyDescent="0.25">
      <c r="O614987" s="9"/>
    </row>
    <row r="615008" spans="15:15" x14ac:dyDescent="0.25">
      <c r="O615008" s="9"/>
    </row>
    <row r="615029" spans="15:15" x14ac:dyDescent="0.25">
      <c r="O615029" s="9"/>
    </row>
    <row r="615050" spans="15:15" x14ac:dyDescent="0.25">
      <c r="O615050" s="9"/>
    </row>
    <row r="615071" spans="15:15" x14ac:dyDescent="0.25">
      <c r="O615071" s="9"/>
    </row>
    <row r="615092" spans="15:15" x14ac:dyDescent="0.25">
      <c r="O615092" s="9"/>
    </row>
    <row r="615113" spans="15:15" x14ac:dyDescent="0.25">
      <c r="O615113" s="9"/>
    </row>
    <row r="615134" spans="15:15" x14ac:dyDescent="0.25">
      <c r="O615134" s="9"/>
    </row>
    <row r="615155" spans="15:15" x14ac:dyDescent="0.25">
      <c r="O615155" s="9"/>
    </row>
    <row r="615176" spans="15:15" x14ac:dyDescent="0.25">
      <c r="O615176" s="9"/>
    </row>
    <row r="615197" spans="15:15" x14ac:dyDescent="0.25">
      <c r="O615197" s="9"/>
    </row>
    <row r="615218" spans="15:15" x14ac:dyDescent="0.25">
      <c r="O615218" s="9"/>
    </row>
    <row r="615239" spans="15:15" x14ac:dyDescent="0.25">
      <c r="O615239" s="9"/>
    </row>
    <row r="615260" spans="15:15" x14ac:dyDescent="0.25">
      <c r="O615260" s="9"/>
    </row>
    <row r="615281" spans="15:15" x14ac:dyDescent="0.25">
      <c r="O615281" s="9"/>
    </row>
    <row r="615302" spans="15:15" x14ac:dyDescent="0.25">
      <c r="O615302" s="9"/>
    </row>
    <row r="615323" spans="15:15" x14ac:dyDescent="0.25">
      <c r="O615323" s="9"/>
    </row>
    <row r="615344" spans="15:15" x14ac:dyDescent="0.25">
      <c r="O615344" s="9"/>
    </row>
    <row r="615365" spans="15:15" x14ac:dyDescent="0.25">
      <c r="O615365" s="9"/>
    </row>
    <row r="615386" spans="15:15" x14ac:dyDescent="0.25">
      <c r="O615386" s="9"/>
    </row>
    <row r="615407" spans="15:15" x14ac:dyDescent="0.25">
      <c r="O615407" s="9"/>
    </row>
    <row r="615428" spans="15:15" x14ac:dyDescent="0.25">
      <c r="O615428" s="9"/>
    </row>
    <row r="615449" spans="15:15" x14ac:dyDescent="0.25">
      <c r="O615449" s="9"/>
    </row>
    <row r="615470" spans="15:15" x14ac:dyDescent="0.25">
      <c r="O615470" s="9"/>
    </row>
    <row r="615491" spans="15:15" x14ac:dyDescent="0.25">
      <c r="O615491" s="9"/>
    </row>
    <row r="615512" spans="15:15" x14ac:dyDescent="0.25">
      <c r="O615512" s="9"/>
    </row>
    <row r="615533" spans="15:15" x14ac:dyDescent="0.25">
      <c r="O615533" s="9"/>
    </row>
    <row r="615554" spans="15:15" x14ac:dyDescent="0.25">
      <c r="O615554" s="9"/>
    </row>
    <row r="615575" spans="15:15" x14ac:dyDescent="0.25">
      <c r="O615575" s="9"/>
    </row>
    <row r="615596" spans="15:15" x14ac:dyDescent="0.25">
      <c r="O615596" s="9"/>
    </row>
    <row r="615617" spans="15:15" x14ac:dyDescent="0.25">
      <c r="O615617" s="9"/>
    </row>
    <row r="615638" spans="15:15" x14ac:dyDescent="0.25">
      <c r="O615638" s="9"/>
    </row>
    <row r="615659" spans="15:15" x14ac:dyDescent="0.25">
      <c r="O615659" s="9"/>
    </row>
    <row r="615680" spans="15:15" x14ac:dyDescent="0.25">
      <c r="O615680" s="9"/>
    </row>
    <row r="615701" spans="15:15" x14ac:dyDescent="0.25">
      <c r="O615701" s="9"/>
    </row>
    <row r="615722" spans="15:15" x14ac:dyDescent="0.25">
      <c r="O615722" s="9"/>
    </row>
    <row r="615743" spans="15:15" x14ac:dyDescent="0.25">
      <c r="O615743" s="9"/>
    </row>
    <row r="615764" spans="15:15" x14ac:dyDescent="0.25">
      <c r="O615764" s="9"/>
    </row>
    <row r="615785" spans="15:15" x14ac:dyDescent="0.25">
      <c r="O615785" s="9"/>
    </row>
    <row r="615806" spans="15:15" x14ac:dyDescent="0.25">
      <c r="O615806" s="9"/>
    </row>
    <row r="615827" spans="15:15" x14ac:dyDescent="0.25">
      <c r="O615827" s="9"/>
    </row>
    <row r="615848" spans="15:15" x14ac:dyDescent="0.25">
      <c r="O615848" s="9"/>
    </row>
    <row r="615869" spans="15:15" x14ac:dyDescent="0.25">
      <c r="O615869" s="9"/>
    </row>
    <row r="615890" spans="15:15" x14ac:dyDescent="0.25">
      <c r="O615890" s="9"/>
    </row>
    <row r="615911" spans="15:15" x14ac:dyDescent="0.25">
      <c r="O615911" s="9"/>
    </row>
    <row r="615932" spans="15:15" x14ac:dyDescent="0.25">
      <c r="O615932" s="9"/>
    </row>
    <row r="615953" spans="15:15" x14ac:dyDescent="0.25">
      <c r="O615953" s="9"/>
    </row>
    <row r="615974" spans="15:15" x14ac:dyDescent="0.25">
      <c r="O615974" s="9"/>
    </row>
    <row r="615995" spans="15:15" x14ac:dyDescent="0.25">
      <c r="O615995" s="9"/>
    </row>
    <row r="616016" spans="15:15" x14ac:dyDescent="0.25">
      <c r="O616016" s="9"/>
    </row>
    <row r="616037" spans="15:15" x14ac:dyDescent="0.25">
      <c r="O616037" s="9"/>
    </row>
    <row r="616058" spans="15:15" x14ac:dyDescent="0.25">
      <c r="O616058" s="9"/>
    </row>
    <row r="616079" spans="15:15" x14ac:dyDescent="0.25">
      <c r="O616079" s="9"/>
    </row>
    <row r="616100" spans="15:15" x14ac:dyDescent="0.25">
      <c r="O616100" s="9"/>
    </row>
    <row r="616121" spans="15:15" x14ac:dyDescent="0.25">
      <c r="O616121" s="9"/>
    </row>
    <row r="616142" spans="15:15" x14ac:dyDescent="0.25">
      <c r="O616142" s="9"/>
    </row>
    <row r="616163" spans="15:15" x14ac:dyDescent="0.25">
      <c r="O616163" s="9"/>
    </row>
    <row r="616184" spans="15:15" x14ac:dyDescent="0.25">
      <c r="O616184" s="9"/>
    </row>
    <row r="616205" spans="15:15" x14ac:dyDescent="0.25">
      <c r="O616205" s="9"/>
    </row>
    <row r="616226" spans="15:15" x14ac:dyDescent="0.25">
      <c r="O616226" s="9"/>
    </row>
    <row r="616247" spans="15:15" x14ac:dyDescent="0.25">
      <c r="O616247" s="9"/>
    </row>
    <row r="616268" spans="15:15" x14ac:dyDescent="0.25">
      <c r="O616268" s="9"/>
    </row>
    <row r="616289" spans="15:15" x14ac:dyDescent="0.25">
      <c r="O616289" s="9"/>
    </row>
    <row r="616310" spans="15:15" x14ac:dyDescent="0.25">
      <c r="O616310" s="9"/>
    </row>
    <row r="616331" spans="15:15" x14ac:dyDescent="0.25">
      <c r="O616331" s="9"/>
    </row>
    <row r="616352" spans="15:15" x14ac:dyDescent="0.25">
      <c r="O616352" s="9"/>
    </row>
    <row r="616373" spans="15:15" x14ac:dyDescent="0.25">
      <c r="O616373" s="9"/>
    </row>
    <row r="616394" spans="15:15" x14ac:dyDescent="0.25">
      <c r="O616394" s="9"/>
    </row>
    <row r="616415" spans="15:15" x14ac:dyDescent="0.25">
      <c r="O616415" s="9"/>
    </row>
    <row r="616436" spans="15:15" x14ac:dyDescent="0.25">
      <c r="O616436" s="9"/>
    </row>
    <row r="616457" spans="15:15" x14ac:dyDescent="0.25">
      <c r="O616457" s="9"/>
    </row>
    <row r="616478" spans="15:15" x14ac:dyDescent="0.25">
      <c r="O616478" s="9"/>
    </row>
    <row r="616499" spans="15:15" x14ac:dyDescent="0.25">
      <c r="O616499" s="9"/>
    </row>
    <row r="616520" spans="15:15" x14ac:dyDescent="0.25">
      <c r="O616520" s="9"/>
    </row>
    <row r="616541" spans="15:15" x14ac:dyDescent="0.25">
      <c r="O616541" s="9"/>
    </row>
    <row r="616562" spans="15:15" x14ac:dyDescent="0.25">
      <c r="O616562" s="9"/>
    </row>
    <row r="616583" spans="15:15" x14ac:dyDescent="0.25">
      <c r="O616583" s="9"/>
    </row>
    <row r="616604" spans="15:15" x14ac:dyDescent="0.25">
      <c r="O616604" s="9"/>
    </row>
    <row r="616625" spans="15:15" x14ac:dyDescent="0.25">
      <c r="O616625" s="9"/>
    </row>
    <row r="616646" spans="15:15" x14ac:dyDescent="0.25">
      <c r="O616646" s="9"/>
    </row>
    <row r="616667" spans="15:15" x14ac:dyDescent="0.25">
      <c r="O616667" s="9"/>
    </row>
    <row r="616688" spans="15:15" x14ac:dyDescent="0.25">
      <c r="O616688" s="9"/>
    </row>
    <row r="616709" spans="15:15" x14ac:dyDescent="0.25">
      <c r="O616709" s="9"/>
    </row>
    <row r="616730" spans="15:15" x14ac:dyDescent="0.25">
      <c r="O616730" s="9"/>
    </row>
    <row r="616751" spans="15:15" x14ac:dyDescent="0.25">
      <c r="O616751" s="9"/>
    </row>
    <row r="616772" spans="15:15" x14ac:dyDescent="0.25">
      <c r="O616772" s="9"/>
    </row>
    <row r="616793" spans="15:15" x14ac:dyDescent="0.25">
      <c r="O616793" s="9"/>
    </row>
    <row r="616814" spans="15:15" x14ac:dyDescent="0.25">
      <c r="O616814" s="9"/>
    </row>
    <row r="616835" spans="15:15" x14ac:dyDescent="0.25">
      <c r="O616835" s="9"/>
    </row>
    <row r="616856" spans="15:15" x14ac:dyDescent="0.25">
      <c r="O616856" s="9"/>
    </row>
    <row r="616877" spans="15:15" x14ac:dyDescent="0.25">
      <c r="O616877" s="9"/>
    </row>
    <row r="616898" spans="15:15" x14ac:dyDescent="0.25">
      <c r="O616898" s="9"/>
    </row>
    <row r="616919" spans="15:15" x14ac:dyDescent="0.25">
      <c r="O616919" s="9"/>
    </row>
    <row r="616940" spans="15:15" x14ac:dyDescent="0.25">
      <c r="O616940" s="9"/>
    </row>
    <row r="616961" spans="15:15" x14ac:dyDescent="0.25">
      <c r="O616961" s="9"/>
    </row>
    <row r="616982" spans="15:15" x14ac:dyDescent="0.25">
      <c r="O616982" s="9"/>
    </row>
    <row r="617003" spans="15:15" x14ac:dyDescent="0.25">
      <c r="O617003" s="9"/>
    </row>
    <row r="617024" spans="15:15" x14ac:dyDescent="0.25">
      <c r="O617024" s="9"/>
    </row>
    <row r="617045" spans="15:15" x14ac:dyDescent="0.25">
      <c r="O617045" s="9"/>
    </row>
    <row r="617066" spans="15:15" x14ac:dyDescent="0.25">
      <c r="O617066" s="9"/>
    </row>
    <row r="617087" spans="15:15" x14ac:dyDescent="0.25">
      <c r="O617087" s="9"/>
    </row>
    <row r="617108" spans="15:15" x14ac:dyDescent="0.25">
      <c r="O617108" s="9"/>
    </row>
    <row r="617129" spans="15:15" x14ac:dyDescent="0.25">
      <c r="O617129" s="9"/>
    </row>
    <row r="617150" spans="15:15" x14ac:dyDescent="0.25">
      <c r="O617150" s="9"/>
    </row>
    <row r="617171" spans="15:15" x14ac:dyDescent="0.25">
      <c r="O617171" s="9"/>
    </row>
    <row r="617192" spans="15:15" x14ac:dyDescent="0.25">
      <c r="O617192" s="9"/>
    </row>
    <row r="617213" spans="15:15" x14ac:dyDescent="0.25">
      <c r="O617213" s="9"/>
    </row>
    <row r="617234" spans="15:15" x14ac:dyDescent="0.25">
      <c r="O617234" s="9"/>
    </row>
    <row r="617255" spans="15:15" x14ac:dyDescent="0.25">
      <c r="O617255" s="9"/>
    </row>
    <row r="617276" spans="15:15" x14ac:dyDescent="0.25">
      <c r="O617276" s="9"/>
    </row>
    <row r="617297" spans="15:15" x14ac:dyDescent="0.25">
      <c r="O617297" s="9"/>
    </row>
    <row r="617318" spans="15:15" x14ac:dyDescent="0.25">
      <c r="O617318" s="9"/>
    </row>
    <row r="617339" spans="15:15" x14ac:dyDescent="0.25">
      <c r="O617339" s="9"/>
    </row>
    <row r="617360" spans="15:15" x14ac:dyDescent="0.25">
      <c r="O617360" s="9"/>
    </row>
    <row r="617381" spans="15:15" x14ac:dyDescent="0.25">
      <c r="O617381" s="9"/>
    </row>
    <row r="617402" spans="15:15" x14ac:dyDescent="0.25">
      <c r="O617402" s="9"/>
    </row>
    <row r="617423" spans="15:15" x14ac:dyDescent="0.25">
      <c r="O617423" s="9"/>
    </row>
    <row r="617444" spans="15:15" x14ac:dyDescent="0.25">
      <c r="O617444" s="9"/>
    </row>
    <row r="617465" spans="15:15" x14ac:dyDescent="0.25">
      <c r="O617465" s="9"/>
    </row>
    <row r="617486" spans="15:15" x14ac:dyDescent="0.25">
      <c r="O617486" s="9"/>
    </row>
    <row r="617507" spans="15:15" x14ac:dyDescent="0.25">
      <c r="O617507" s="9"/>
    </row>
    <row r="617528" spans="15:15" x14ac:dyDescent="0.25">
      <c r="O617528" s="9"/>
    </row>
    <row r="617549" spans="15:15" x14ac:dyDescent="0.25">
      <c r="O617549" s="9"/>
    </row>
    <row r="617570" spans="15:15" x14ac:dyDescent="0.25">
      <c r="O617570" s="9"/>
    </row>
    <row r="617591" spans="15:15" x14ac:dyDescent="0.25">
      <c r="O617591" s="9"/>
    </row>
    <row r="617612" spans="15:15" x14ac:dyDescent="0.25">
      <c r="O617612" s="9"/>
    </row>
    <row r="617633" spans="15:15" x14ac:dyDescent="0.25">
      <c r="O617633" s="9"/>
    </row>
    <row r="617654" spans="15:15" x14ac:dyDescent="0.25">
      <c r="O617654" s="9"/>
    </row>
    <row r="617675" spans="15:15" x14ac:dyDescent="0.25">
      <c r="O617675" s="9"/>
    </row>
    <row r="617696" spans="15:15" x14ac:dyDescent="0.25">
      <c r="O617696" s="9"/>
    </row>
    <row r="617717" spans="15:15" x14ac:dyDescent="0.25">
      <c r="O617717" s="9"/>
    </row>
    <row r="617738" spans="15:15" x14ac:dyDescent="0.25">
      <c r="O617738" s="9"/>
    </row>
    <row r="617759" spans="15:15" x14ac:dyDescent="0.25">
      <c r="O617759" s="9"/>
    </row>
    <row r="617780" spans="15:15" x14ac:dyDescent="0.25">
      <c r="O617780" s="9"/>
    </row>
    <row r="617801" spans="15:15" x14ac:dyDescent="0.25">
      <c r="O617801" s="9"/>
    </row>
    <row r="617822" spans="15:15" x14ac:dyDescent="0.25">
      <c r="O617822" s="9"/>
    </row>
    <row r="617843" spans="15:15" x14ac:dyDescent="0.25">
      <c r="O617843" s="9"/>
    </row>
    <row r="617864" spans="15:15" x14ac:dyDescent="0.25">
      <c r="O617864" s="9"/>
    </row>
    <row r="617885" spans="15:15" x14ac:dyDescent="0.25">
      <c r="O617885" s="9"/>
    </row>
    <row r="617906" spans="15:15" x14ac:dyDescent="0.25">
      <c r="O617906" s="9"/>
    </row>
    <row r="617927" spans="15:15" x14ac:dyDescent="0.25">
      <c r="O617927" s="9"/>
    </row>
    <row r="617948" spans="15:15" x14ac:dyDescent="0.25">
      <c r="O617948" s="9"/>
    </row>
    <row r="617969" spans="15:15" x14ac:dyDescent="0.25">
      <c r="O617969" s="9"/>
    </row>
    <row r="617990" spans="15:15" x14ac:dyDescent="0.25">
      <c r="O617990" s="9"/>
    </row>
    <row r="618011" spans="15:15" x14ac:dyDescent="0.25">
      <c r="O618011" s="9"/>
    </row>
    <row r="618032" spans="15:15" x14ac:dyDescent="0.25">
      <c r="O618032" s="9"/>
    </row>
    <row r="618053" spans="15:15" x14ac:dyDescent="0.25">
      <c r="O618053" s="9"/>
    </row>
    <row r="618074" spans="15:15" x14ac:dyDescent="0.25">
      <c r="O618074" s="9"/>
    </row>
    <row r="618095" spans="15:15" x14ac:dyDescent="0.25">
      <c r="O618095" s="9"/>
    </row>
    <row r="618116" spans="15:15" x14ac:dyDescent="0.25">
      <c r="O618116" s="9"/>
    </row>
    <row r="618137" spans="15:15" x14ac:dyDescent="0.25">
      <c r="O618137" s="9"/>
    </row>
    <row r="618158" spans="15:15" x14ac:dyDescent="0.25">
      <c r="O618158" s="9"/>
    </row>
    <row r="618179" spans="15:15" x14ac:dyDescent="0.25">
      <c r="O618179" s="9"/>
    </row>
    <row r="618200" spans="15:15" x14ac:dyDescent="0.25">
      <c r="O618200" s="9"/>
    </row>
    <row r="618221" spans="15:15" x14ac:dyDescent="0.25">
      <c r="O618221" s="9"/>
    </row>
    <row r="618242" spans="15:15" x14ac:dyDescent="0.25">
      <c r="O618242" s="9"/>
    </row>
    <row r="618263" spans="15:15" x14ac:dyDescent="0.25">
      <c r="O618263" s="9"/>
    </row>
    <row r="618284" spans="15:15" x14ac:dyDescent="0.25">
      <c r="O618284" s="9"/>
    </row>
    <row r="618305" spans="15:15" x14ac:dyDescent="0.25">
      <c r="O618305" s="9"/>
    </row>
    <row r="618326" spans="15:15" x14ac:dyDescent="0.25">
      <c r="O618326" s="9"/>
    </row>
    <row r="618347" spans="15:15" x14ac:dyDescent="0.25">
      <c r="O618347" s="9"/>
    </row>
    <row r="618368" spans="15:15" x14ac:dyDescent="0.25">
      <c r="O618368" s="9"/>
    </row>
    <row r="618389" spans="15:15" x14ac:dyDescent="0.25">
      <c r="O618389" s="9"/>
    </row>
    <row r="618410" spans="15:15" x14ac:dyDescent="0.25">
      <c r="O618410" s="9"/>
    </row>
    <row r="618431" spans="15:15" x14ac:dyDescent="0.25">
      <c r="O618431" s="9"/>
    </row>
    <row r="618452" spans="15:15" x14ac:dyDescent="0.25">
      <c r="O618452" s="9"/>
    </row>
    <row r="618473" spans="15:15" x14ac:dyDescent="0.25">
      <c r="O618473" s="9"/>
    </row>
    <row r="618494" spans="15:15" x14ac:dyDescent="0.25">
      <c r="O618494" s="9"/>
    </row>
    <row r="618515" spans="15:15" x14ac:dyDescent="0.25">
      <c r="O618515" s="9"/>
    </row>
    <row r="618536" spans="15:15" x14ac:dyDescent="0.25">
      <c r="O618536" s="9"/>
    </row>
    <row r="618557" spans="15:15" x14ac:dyDescent="0.25">
      <c r="O618557" s="9"/>
    </row>
    <row r="618578" spans="15:15" x14ac:dyDescent="0.25">
      <c r="O618578" s="9"/>
    </row>
    <row r="618599" spans="15:15" x14ac:dyDescent="0.25">
      <c r="O618599" s="9"/>
    </row>
    <row r="618620" spans="15:15" x14ac:dyDescent="0.25">
      <c r="O618620" s="9"/>
    </row>
    <row r="618641" spans="15:15" x14ac:dyDescent="0.25">
      <c r="O618641" s="9"/>
    </row>
    <row r="618662" spans="15:15" x14ac:dyDescent="0.25">
      <c r="O618662" s="9"/>
    </row>
    <row r="618683" spans="15:15" x14ac:dyDescent="0.25">
      <c r="O618683" s="9"/>
    </row>
    <row r="618704" spans="15:15" x14ac:dyDescent="0.25">
      <c r="O618704" s="9"/>
    </row>
    <row r="618725" spans="15:15" x14ac:dyDescent="0.25">
      <c r="O618725" s="9"/>
    </row>
    <row r="618746" spans="15:15" x14ac:dyDescent="0.25">
      <c r="O618746" s="9"/>
    </row>
    <row r="618767" spans="15:15" x14ac:dyDescent="0.25">
      <c r="O618767" s="9"/>
    </row>
    <row r="618788" spans="15:15" x14ac:dyDescent="0.25">
      <c r="O618788" s="9"/>
    </row>
    <row r="618809" spans="15:15" x14ac:dyDescent="0.25">
      <c r="O618809" s="9"/>
    </row>
    <row r="618830" spans="15:15" x14ac:dyDescent="0.25">
      <c r="O618830" s="9"/>
    </row>
    <row r="618851" spans="15:15" x14ac:dyDescent="0.25">
      <c r="O618851" s="9"/>
    </row>
    <row r="618872" spans="15:15" x14ac:dyDescent="0.25">
      <c r="O618872" s="9"/>
    </row>
    <row r="618893" spans="15:15" x14ac:dyDescent="0.25">
      <c r="O618893" s="9"/>
    </row>
    <row r="618914" spans="15:15" x14ac:dyDescent="0.25">
      <c r="O618914" s="9"/>
    </row>
    <row r="618935" spans="15:15" x14ac:dyDescent="0.25">
      <c r="O618935" s="9"/>
    </row>
    <row r="618956" spans="15:15" x14ac:dyDescent="0.25">
      <c r="O618956" s="9"/>
    </row>
    <row r="618977" spans="15:15" x14ac:dyDescent="0.25">
      <c r="O618977" s="9"/>
    </row>
    <row r="618998" spans="15:15" x14ac:dyDescent="0.25">
      <c r="O618998" s="9"/>
    </row>
    <row r="619019" spans="15:15" x14ac:dyDescent="0.25">
      <c r="O619019" s="9"/>
    </row>
    <row r="619040" spans="15:15" x14ac:dyDescent="0.25">
      <c r="O619040" s="9"/>
    </row>
    <row r="619061" spans="15:15" x14ac:dyDescent="0.25">
      <c r="O619061" s="9"/>
    </row>
    <row r="619082" spans="15:15" x14ac:dyDescent="0.25">
      <c r="O619082" s="9"/>
    </row>
    <row r="619103" spans="15:15" x14ac:dyDescent="0.25">
      <c r="O619103" s="9"/>
    </row>
    <row r="619124" spans="15:15" x14ac:dyDescent="0.25">
      <c r="O619124" s="9"/>
    </row>
    <row r="619145" spans="15:15" x14ac:dyDescent="0.25">
      <c r="O619145" s="9"/>
    </row>
    <row r="619166" spans="15:15" x14ac:dyDescent="0.25">
      <c r="O619166" s="9"/>
    </row>
    <row r="619187" spans="15:15" x14ac:dyDescent="0.25">
      <c r="O619187" s="9"/>
    </row>
    <row r="619208" spans="15:15" x14ac:dyDescent="0.25">
      <c r="O619208" s="9"/>
    </row>
    <row r="619229" spans="15:15" x14ac:dyDescent="0.25">
      <c r="O619229" s="9"/>
    </row>
    <row r="619250" spans="15:15" x14ac:dyDescent="0.25">
      <c r="O619250" s="9"/>
    </row>
    <row r="619271" spans="15:15" x14ac:dyDescent="0.25">
      <c r="O619271" s="9"/>
    </row>
    <row r="619292" spans="15:15" x14ac:dyDescent="0.25">
      <c r="O619292" s="9"/>
    </row>
    <row r="619313" spans="15:15" x14ac:dyDescent="0.25">
      <c r="O619313" s="9"/>
    </row>
    <row r="619334" spans="15:15" x14ac:dyDescent="0.25">
      <c r="O619334" s="9"/>
    </row>
    <row r="619355" spans="15:15" x14ac:dyDescent="0.25">
      <c r="O619355" s="9"/>
    </row>
    <row r="619376" spans="15:15" x14ac:dyDescent="0.25">
      <c r="O619376" s="9"/>
    </row>
    <row r="619397" spans="15:15" x14ac:dyDescent="0.25">
      <c r="O619397" s="9"/>
    </row>
    <row r="619418" spans="15:15" x14ac:dyDescent="0.25">
      <c r="O619418" s="9"/>
    </row>
    <row r="619439" spans="15:15" x14ac:dyDescent="0.25">
      <c r="O619439" s="9"/>
    </row>
    <row r="619460" spans="15:15" x14ac:dyDescent="0.25">
      <c r="O619460" s="9"/>
    </row>
    <row r="619481" spans="15:15" x14ac:dyDescent="0.25">
      <c r="O619481" s="9"/>
    </row>
    <row r="619502" spans="15:15" x14ac:dyDescent="0.25">
      <c r="O619502" s="9"/>
    </row>
    <row r="619523" spans="15:15" x14ac:dyDescent="0.25">
      <c r="O619523" s="9"/>
    </row>
    <row r="619544" spans="15:15" x14ac:dyDescent="0.25">
      <c r="O619544" s="9"/>
    </row>
    <row r="619565" spans="15:15" x14ac:dyDescent="0.25">
      <c r="O619565" s="9"/>
    </row>
    <row r="619586" spans="15:15" x14ac:dyDescent="0.25">
      <c r="O619586" s="9"/>
    </row>
    <row r="619607" spans="15:15" x14ac:dyDescent="0.25">
      <c r="O619607" s="9"/>
    </row>
    <row r="619628" spans="15:15" x14ac:dyDescent="0.25">
      <c r="O619628" s="9"/>
    </row>
    <row r="619649" spans="15:15" x14ac:dyDescent="0.25">
      <c r="O619649" s="9"/>
    </row>
    <row r="619670" spans="15:15" x14ac:dyDescent="0.25">
      <c r="O619670" s="9"/>
    </row>
    <row r="619691" spans="15:15" x14ac:dyDescent="0.25">
      <c r="O619691" s="9"/>
    </row>
    <row r="619712" spans="15:15" x14ac:dyDescent="0.25">
      <c r="O619712" s="9"/>
    </row>
    <row r="619733" spans="15:15" x14ac:dyDescent="0.25">
      <c r="O619733" s="9"/>
    </row>
    <row r="619754" spans="15:15" x14ac:dyDescent="0.25">
      <c r="O619754" s="9"/>
    </row>
    <row r="619775" spans="15:15" x14ac:dyDescent="0.25">
      <c r="O619775" s="9"/>
    </row>
    <row r="619796" spans="15:15" x14ac:dyDescent="0.25">
      <c r="O619796" s="9"/>
    </row>
    <row r="619817" spans="15:15" x14ac:dyDescent="0.25">
      <c r="O619817" s="9"/>
    </row>
    <row r="619838" spans="15:15" x14ac:dyDescent="0.25">
      <c r="O619838" s="9"/>
    </row>
    <row r="619859" spans="15:15" x14ac:dyDescent="0.25">
      <c r="O619859" s="9"/>
    </row>
    <row r="619880" spans="15:15" x14ac:dyDescent="0.25">
      <c r="O619880" s="9"/>
    </row>
    <row r="619901" spans="15:15" x14ac:dyDescent="0.25">
      <c r="O619901" s="9"/>
    </row>
    <row r="619922" spans="15:15" x14ac:dyDescent="0.25">
      <c r="O619922" s="9"/>
    </row>
    <row r="619943" spans="15:15" x14ac:dyDescent="0.25">
      <c r="O619943" s="9"/>
    </row>
    <row r="619964" spans="15:15" x14ac:dyDescent="0.25">
      <c r="O619964" s="9"/>
    </row>
    <row r="619985" spans="15:15" x14ac:dyDescent="0.25">
      <c r="O619985" s="9"/>
    </row>
    <row r="620006" spans="15:15" x14ac:dyDescent="0.25">
      <c r="O620006" s="9"/>
    </row>
    <row r="620027" spans="15:15" x14ac:dyDescent="0.25">
      <c r="O620027" s="9"/>
    </row>
    <row r="620048" spans="15:15" x14ac:dyDescent="0.25">
      <c r="O620048" s="9"/>
    </row>
    <row r="620069" spans="15:15" x14ac:dyDescent="0.25">
      <c r="O620069" s="9"/>
    </row>
    <row r="620090" spans="15:15" x14ac:dyDescent="0.25">
      <c r="O620090" s="9"/>
    </row>
    <row r="620111" spans="15:15" x14ac:dyDescent="0.25">
      <c r="O620111" s="9"/>
    </row>
    <row r="620132" spans="15:15" x14ac:dyDescent="0.25">
      <c r="O620132" s="9"/>
    </row>
    <row r="620153" spans="15:15" x14ac:dyDescent="0.25">
      <c r="O620153" s="9"/>
    </row>
    <row r="620174" spans="15:15" x14ac:dyDescent="0.25">
      <c r="O620174" s="9"/>
    </row>
    <row r="620195" spans="15:15" x14ac:dyDescent="0.25">
      <c r="O620195" s="9"/>
    </row>
    <row r="620216" spans="15:15" x14ac:dyDescent="0.25">
      <c r="O620216" s="9"/>
    </row>
    <row r="620237" spans="15:15" x14ac:dyDescent="0.25">
      <c r="O620237" s="9"/>
    </row>
    <row r="620258" spans="15:15" x14ac:dyDescent="0.25">
      <c r="O620258" s="9"/>
    </row>
    <row r="620279" spans="15:15" x14ac:dyDescent="0.25">
      <c r="O620279" s="9"/>
    </row>
    <row r="620300" spans="15:15" x14ac:dyDescent="0.25">
      <c r="O620300" s="9"/>
    </row>
    <row r="620321" spans="15:15" x14ac:dyDescent="0.25">
      <c r="O620321" s="9"/>
    </row>
    <row r="620342" spans="15:15" x14ac:dyDescent="0.25">
      <c r="O620342" s="9"/>
    </row>
    <row r="620363" spans="15:15" x14ac:dyDescent="0.25">
      <c r="O620363" s="9"/>
    </row>
    <row r="620384" spans="15:15" x14ac:dyDescent="0.25">
      <c r="O620384" s="9"/>
    </row>
    <row r="620405" spans="15:15" x14ac:dyDescent="0.25">
      <c r="O620405" s="9"/>
    </row>
    <row r="620426" spans="15:15" x14ac:dyDescent="0.25">
      <c r="O620426" s="9"/>
    </row>
    <row r="620447" spans="15:15" x14ac:dyDescent="0.25">
      <c r="O620447" s="9"/>
    </row>
    <row r="620468" spans="15:15" x14ac:dyDescent="0.25">
      <c r="O620468" s="9"/>
    </row>
    <row r="620489" spans="15:15" x14ac:dyDescent="0.25">
      <c r="O620489" s="9"/>
    </row>
    <row r="620510" spans="15:15" x14ac:dyDescent="0.25">
      <c r="O620510" s="9"/>
    </row>
    <row r="620531" spans="15:15" x14ac:dyDescent="0.25">
      <c r="O620531" s="9"/>
    </row>
    <row r="620552" spans="15:15" x14ac:dyDescent="0.25">
      <c r="O620552" s="9"/>
    </row>
    <row r="620573" spans="15:15" x14ac:dyDescent="0.25">
      <c r="O620573" s="9"/>
    </row>
    <row r="620594" spans="15:15" x14ac:dyDescent="0.25">
      <c r="O620594" s="9"/>
    </row>
    <row r="620615" spans="15:15" x14ac:dyDescent="0.25">
      <c r="O620615" s="9"/>
    </row>
    <row r="620636" spans="15:15" x14ac:dyDescent="0.25">
      <c r="O620636" s="9"/>
    </row>
    <row r="620657" spans="15:15" x14ac:dyDescent="0.25">
      <c r="O620657" s="9"/>
    </row>
    <row r="620678" spans="15:15" x14ac:dyDescent="0.25">
      <c r="O620678" s="9"/>
    </row>
    <row r="620699" spans="15:15" x14ac:dyDescent="0.25">
      <c r="O620699" s="9"/>
    </row>
    <row r="620720" spans="15:15" x14ac:dyDescent="0.25">
      <c r="O620720" s="9"/>
    </row>
    <row r="620741" spans="15:15" x14ac:dyDescent="0.25">
      <c r="O620741" s="9"/>
    </row>
    <row r="620762" spans="15:15" x14ac:dyDescent="0.25">
      <c r="O620762" s="9"/>
    </row>
    <row r="620783" spans="15:15" x14ac:dyDescent="0.25">
      <c r="O620783" s="9"/>
    </row>
    <row r="620804" spans="15:15" x14ac:dyDescent="0.25">
      <c r="O620804" s="9"/>
    </row>
    <row r="620825" spans="15:15" x14ac:dyDescent="0.25">
      <c r="O620825" s="9"/>
    </row>
    <row r="620846" spans="15:15" x14ac:dyDescent="0.25">
      <c r="O620846" s="9"/>
    </row>
    <row r="620867" spans="15:15" x14ac:dyDescent="0.25">
      <c r="O620867" s="9"/>
    </row>
    <row r="620888" spans="15:15" x14ac:dyDescent="0.25">
      <c r="O620888" s="9"/>
    </row>
    <row r="620909" spans="15:15" x14ac:dyDescent="0.25">
      <c r="O620909" s="9"/>
    </row>
    <row r="620930" spans="15:15" x14ac:dyDescent="0.25">
      <c r="O620930" s="9"/>
    </row>
    <row r="620951" spans="15:15" x14ac:dyDescent="0.25">
      <c r="O620951" s="9"/>
    </row>
    <row r="620972" spans="15:15" x14ac:dyDescent="0.25">
      <c r="O620972" s="9"/>
    </row>
    <row r="620993" spans="15:15" x14ac:dyDescent="0.25">
      <c r="O620993" s="9"/>
    </row>
    <row r="621014" spans="15:15" x14ac:dyDescent="0.25">
      <c r="O621014" s="9"/>
    </row>
    <row r="621035" spans="15:15" x14ac:dyDescent="0.25">
      <c r="O621035" s="9"/>
    </row>
    <row r="621056" spans="15:15" x14ac:dyDescent="0.25">
      <c r="O621056" s="9"/>
    </row>
    <row r="621077" spans="15:15" x14ac:dyDescent="0.25">
      <c r="O621077" s="9"/>
    </row>
    <row r="621098" spans="15:15" x14ac:dyDescent="0.25">
      <c r="O621098" s="9"/>
    </row>
    <row r="621119" spans="15:15" x14ac:dyDescent="0.25">
      <c r="O621119" s="9"/>
    </row>
    <row r="621140" spans="15:15" x14ac:dyDescent="0.25">
      <c r="O621140" s="9"/>
    </row>
    <row r="621161" spans="15:15" x14ac:dyDescent="0.25">
      <c r="O621161" s="9"/>
    </row>
    <row r="621182" spans="15:15" x14ac:dyDescent="0.25">
      <c r="O621182" s="9"/>
    </row>
    <row r="621203" spans="15:15" x14ac:dyDescent="0.25">
      <c r="O621203" s="9"/>
    </row>
    <row r="621224" spans="15:15" x14ac:dyDescent="0.25">
      <c r="O621224" s="9"/>
    </row>
    <row r="621245" spans="15:15" x14ac:dyDescent="0.25">
      <c r="O621245" s="9"/>
    </row>
    <row r="621266" spans="15:15" x14ac:dyDescent="0.25">
      <c r="O621266" s="9"/>
    </row>
    <row r="621287" spans="15:15" x14ac:dyDescent="0.25">
      <c r="O621287" s="9"/>
    </row>
    <row r="621308" spans="15:15" x14ac:dyDescent="0.25">
      <c r="O621308" s="9"/>
    </row>
    <row r="621329" spans="15:15" x14ac:dyDescent="0.25">
      <c r="O621329" s="9"/>
    </row>
    <row r="621350" spans="15:15" x14ac:dyDescent="0.25">
      <c r="O621350" s="9"/>
    </row>
    <row r="621371" spans="15:15" x14ac:dyDescent="0.25">
      <c r="O621371" s="9"/>
    </row>
    <row r="621392" spans="15:15" x14ac:dyDescent="0.25">
      <c r="O621392" s="9"/>
    </row>
    <row r="621413" spans="15:15" x14ac:dyDescent="0.25">
      <c r="O621413" s="9"/>
    </row>
    <row r="621434" spans="15:15" x14ac:dyDescent="0.25">
      <c r="O621434" s="9"/>
    </row>
    <row r="621455" spans="15:15" x14ac:dyDescent="0.25">
      <c r="O621455" s="9"/>
    </row>
    <row r="621476" spans="15:15" x14ac:dyDescent="0.25">
      <c r="O621476" s="9"/>
    </row>
    <row r="621497" spans="15:15" x14ac:dyDescent="0.25">
      <c r="O621497" s="9"/>
    </row>
    <row r="621518" spans="15:15" x14ac:dyDescent="0.25">
      <c r="O621518" s="9"/>
    </row>
    <row r="621539" spans="15:15" x14ac:dyDescent="0.25">
      <c r="O621539" s="9"/>
    </row>
    <row r="621560" spans="15:15" x14ac:dyDescent="0.25">
      <c r="O621560" s="9"/>
    </row>
    <row r="621581" spans="15:15" x14ac:dyDescent="0.25">
      <c r="O621581" s="9"/>
    </row>
    <row r="621602" spans="15:15" x14ac:dyDescent="0.25">
      <c r="O621602" s="9"/>
    </row>
    <row r="621623" spans="15:15" x14ac:dyDescent="0.25">
      <c r="O621623" s="9"/>
    </row>
    <row r="621644" spans="15:15" x14ac:dyDescent="0.25">
      <c r="O621644" s="9"/>
    </row>
    <row r="621665" spans="15:15" x14ac:dyDescent="0.25">
      <c r="O621665" s="9"/>
    </row>
    <row r="621686" spans="15:15" x14ac:dyDescent="0.25">
      <c r="O621686" s="9"/>
    </row>
    <row r="621707" spans="15:15" x14ac:dyDescent="0.25">
      <c r="O621707" s="9"/>
    </row>
    <row r="621728" spans="15:15" x14ac:dyDescent="0.25">
      <c r="O621728" s="9"/>
    </row>
    <row r="621749" spans="15:15" x14ac:dyDescent="0.25">
      <c r="O621749" s="9"/>
    </row>
    <row r="621770" spans="15:15" x14ac:dyDescent="0.25">
      <c r="O621770" s="9"/>
    </row>
    <row r="621791" spans="15:15" x14ac:dyDescent="0.25">
      <c r="O621791" s="9"/>
    </row>
    <row r="621812" spans="15:15" x14ac:dyDescent="0.25">
      <c r="O621812" s="9"/>
    </row>
    <row r="621833" spans="15:15" x14ac:dyDescent="0.25">
      <c r="O621833" s="9"/>
    </row>
    <row r="621854" spans="15:15" x14ac:dyDescent="0.25">
      <c r="O621854" s="9"/>
    </row>
    <row r="621875" spans="15:15" x14ac:dyDescent="0.25">
      <c r="O621875" s="9"/>
    </row>
    <row r="621896" spans="15:15" x14ac:dyDescent="0.25">
      <c r="O621896" s="9"/>
    </row>
    <row r="621917" spans="15:15" x14ac:dyDescent="0.25">
      <c r="O621917" s="9"/>
    </row>
    <row r="621938" spans="15:15" x14ac:dyDescent="0.25">
      <c r="O621938" s="9"/>
    </row>
    <row r="621959" spans="15:15" x14ac:dyDescent="0.25">
      <c r="O621959" s="9"/>
    </row>
    <row r="621980" spans="15:15" x14ac:dyDescent="0.25">
      <c r="O621980" s="9"/>
    </row>
    <row r="622001" spans="15:15" x14ac:dyDescent="0.25">
      <c r="O622001" s="9"/>
    </row>
    <row r="622022" spans="15:15" x14ac:dyDescent="0.25">
      <c r="O622022" s="9"/>
    </row>
    <row r="622043" spans="15:15" x14ac:dyDescent="0.25">
      <c r="O622043" s="9"/>
    </row>
    <row r="622064" spans="15:15" x14ac:dyDescent="0.25">
      <c r="O622064" s="9"/>
    </row>
    <row r="622085" spans="15:15" x14ac:dyDescent="0.25">
      <c r="O622085" s="9"/>
    </row>
    <row r="622106" spans="15:15" x14ac:dyDescent="0.25">
      <c r="O622106" s="9"/>
    </row>
    <row r="622127" spans="15:15" x14ac:dyDescent="0.25">
      <c r="O622127" s="9"/>
    </row>
    <row r="622148" spans="15:15" x14ac:dyDescent="0.25">
      <c r="O622148" s="9"/>
    </row>
    <row r="622169" spans="15:15" x14ac:dyDescent="0.25">
      <c r="O622169" s="9"/>
    </row>
    <row r="622190" spans="15:15" x14ac:dyDescent="0.25">
      <c r="O622190" s="9"/>
    </row>
    <row r="622211" spans="15:15" x14ac:dyDescent="0.25">
      <c r="O622211" s="9"/>
    </row>
    <row r="622232" spans="15:15" x14ac:dyDescent="0.25">
      <c r="O622232" s="9"/>
    </row>
    <row r="622253" spans="15:15" x14ac:dyDescent="0.25">
      <c r="O622253" s="9"/>
    </row>
    <row r="622274" spans="15:15" x14ac:dyDescent="0.25">
      <c r="O622274" s="9"/>
    </row>
    <row r="622295" spans="15:15" x14ac:dyDescent="0.25">
      <c r="O622295" s="9"/>
    </row>
    <row r="622316" spans="15:15" x14ac:dyDescent="0.25">
      <c r="O622316" s="9"/>
    </row>
    <row r="622337" spans="15:15" x14ac:dyDescent="0.25">
      <c r="O622337" s="9"/>
    </row>
    <row r="622358" spans="15:15" x14ac:dyDescent="0.25">
      <c r="O622358" s="9"/>
    </row>
    <row r="622379" spans="15:15" x14ac:dyDescent="0.25">
      <c r="O622379" s="9"/>
    </row>
    <row r="622400" spans="15:15" x14ac:dyDescent="0.25">
      <c r="O622400" s="9"/>
    </row>
    <row r="622421" spans="15:15" x14ac:dyDescent="0.25">
      <c r="O622421" s="9"/>
    </row>
    <row r="622442" spans="15:15" x14ac:dyDescent="0.25">
      <c r="O622442" s="9"/>
    </row>
    <row r="622463" spans="15:15" x14ac:dyDescent="0.25">
      <c r="O622463" s="9"/>
    </row>
    <row r="622484" spans="15:15" x14ac:dyDescent="0.25">
      <c r="O622484" s="9"/>
    </row>
    <row r="622505" spans="15:15" x14ac:dyDescent="0.25">
      <c r="O622505" s="9"/>
    </row>
    <row r="622526" spans="15:15" x14ac:dyDescent="0.25">
      <c r="O622526" s="9"/>
    </row>
    <row r="622547" spans="15:15" x14ac:dyDescent="0.25">
      <c r="O622547" s="9"/>
    </row>
    <row r="622568" spans="15:15" x14ac:dyDescent="0.25">
      <c r="O622568" s="9"/>
    </row>
    <row r="622589" spans="15:15" x14ac:dyDescent="0.25">
      <c r="O622589" s="9"/>
    </row>
    <row r="622610" spans="15:15" x14ac:dyDescent="0.25">
      <c r="O622610" s="9"/>
    </row>
    <row r="622631" spans="15:15" x14ac:dyDescent="0.25">
      <c r="O622631" s="9"/>
    </row>
    <row r="622652" spans="15:15" x14ac:dyDescent="0.25">
      <c r="O622652" s="9"/>
    </row>
    <row r="622673" spans="15:15" x14ac:dyDescent="0.25">
      <c r="O622673" s="9"/>
    </row>
    <row r="622694" spans="15:15" x14ac:dyDescent="0.25">
      <c r="O622694" s="9"/>
    </row>
    <row r="622715" spans="15:15" x14ac:dyDescent="0.25">
      <c r="O622715" s="9"/>
    </row>
    <row r="622736" spans="15:15" x14ac:dyDescent="0.25">
      <c r="O622736" s="9"/>
    </row>
    <row r="622757" spans="15:15" x14ac:dyDescent="0.25">
      <c r="O622757" s="9"/>
    </row>
    <row r="622778" spans="15:15" x14ac:dyDescent="0.25">
      <c r="O622778" s="9"/>
    </row>
    <row r="622799" spans="15:15" x14ac:dyDescent="0.25">
      <c r="O622799" s="9"/>
    </row>
    <row r="622820" spans="15:15" x14ac:dyDescent="0.25">
      <c r="O622820" s="9"/>
    </row>
    <row r="622841" spans="15:15" x14ac:dyDescent="0.25">
      <c r="O622841" s="9"/>
    </row>
    <row r="622862" spans="15:15" x14ac:dyDescent="0.25">
      <c r="O622862" s="9"/>
    </row>
    <row r="622883" spans="15:15" x14ac:dyDescent="0.25">
      <c r="O622883" s="9"/>
    </row>
    <row r="622904" spans="15:15" x14ac:dyDescent="0.25">
      <c r="O622904" s="9"/>
    </row>
    <row r="622925" spans="15:15" x14ac:dyDescent="0.25">
      <c r="O622925" s="9"/>
    </row>
    <row r="622946" spans="15:15" x14ac:dyDescent="0.25">
      <c r="O622946" s="9"/>
    </row>
    <row r="622967" spans="15:15" x14ac:dyDescent="0.25">
      <c r="O622967" s="9"/>
    </row>
    <row r="622988" spans="15:15" x14ac:dyDescent="0.25">
      <c r="O622988" s="9"/>
    </row>
    <row r="623009" spans="15:15" x14ac:dyDescent="0.25">
      <c r="O623009" s="9"/>
    </row>
    <row r="623030" spans="15:15" x14ac:dyDescent="0.25">
      <c r="O623030" s="9"/>
    </row>
    <row r="623051" spans="15:15" x14ac:dyDescent="0.25">
      <c r="O623051" s="9"/>
    </row>
    <row r="623072" spans="15:15" x14ac:dyDescent="0.25">
      <c r="O623072" s="9"/>
    </row>
    <row r="623093" spans="15:15" x14ac:dyDescent="0.25">
      <c r="O623093" s="9"/>
    </row>
    <row r="623114" spans="15:15" x14ac:dyDescent="0.25">
      <c r="O623114" s="9"/>
    </row>
    <row r="623135" spans="15:15" x14ac:dyDescent="0.25">
      <c r="O623135" s="9"/>
    </row>
    <row r="623156" spans="15:15" x14ac:dyDescent="0.25">
      <c r="O623156" s="9"/>
    </row>
    <row r="623177" spans="15:15" x14ac:dyDescent="0.25">
      <c r="O623177" s="9"/>
    </row>
    <row r="623198" spans="15:15" x14ac:dyDescent="0.25">
      <c r="O623198" s="9"/>
    </row>
    <row r="623219" spans="15:15" x14ac:dyDescent="0.25">
      <c r="O623219" s="9"/>
    </row>
    <row r="623240" spans="15:15" x14ac:dyDescent="0.25">
      <c r="O623240" s="9"/>
    </row>
    <row r="623261" spans="15:15" x14ac:dyDescent="0.25">
      <c r="O623261" s="9"/>
    </row>
    <row r="623282" spans="15:15" x14ac:dyDescent="0.25">
      <c r="O623282" s="9"/>
    </row>
    <row r="623303" spans="15:15" x14ac:dyDescent="0.25">
      <c r="O623303" s="9"/>
    </row>
    <row r="623324" spans="15:15" x14ac:dyDescent="0.25">
      <c r="O623324" s="9"/>
    </row>
    <row r="623345" spans="15:15" x14ac:dyDescent="0.25">
      <c r="O623345" s="9"/>
    </row>
    <row r="623366" spans="15:15" x14ac:dyDescent="0.25">
      <c r="O623366" s="9"/>
    </row>
    <row r="623387" spans="15:15" x14ac:dyDescent="0.25">
      <c r="O623387" s="9"/>
    </row>
    <row r="623408" spans="15:15" x14ac:dyDescent="0.25">
      <c r="O623408" s="9"/>
    </row>
    <row r="623429" spans="15:15" x14ac:dyDescent="0.25">
      <c r="O623429" s="9"/>
    </row>
    <row r="623450" spans="15:15" x14ac:dyDescent="0.25">
      <c r="O623450" s="9"/>
    </row>
    <row r="623471" spans="15:15" x14ac:dyDescent="0.25">
      <c r="O623471" s="9"/>
    </row>
    <row r="623492" spans="15:15" x14ac:dyDescent="0.25">
      <c r="O623492" s="9"/>
    </row>
    <row r="623513" spans="15:15" x14ac:dyDescent="0.25">
      <c r="O623513" s="9"/>
    </row>
    <row r="623534" spans="15:15" x14ac:dyDescent="0.25">
      <c r="O623534" s="9"/>
    </row>
    <row r="623555" spans="15:15" x14ac:dyDescent="0.25">
      <c r="O623555" s="9"/>
    </row>
    <row r="623576" spans="15:15" x14ac:dyDescent="0.25">
      <c r="O623576" s="9"/>
    </row>
    <row r="623597" spans="15:15" x14ac:dyDescent="0.25">
      <c r="O623597" s="9"/>
    </row>
    <row r="623618" spans="15:15" x14ac:dyDescent="0.25">
      <c r="O623618" s="9"/>
    </row>
    <row r="623639" spans="15:15" x14ac:dyDescent="0.25">
      <c r="O623639" s="9"/>
    </row>
    <row r="623660" spans="15:15" x14ac:dyDescent="0.25">
      <c r="O623660" s="9"/>
    </row>
    <row r="623681" spans="15:15" x14ac:dyDescent="0.25">
      <c r="O623681" s="9"/>
    </row>
    <row r="623702" spans="15:15" x14ac:dyDescent="0.25">
      <c r="O623702" s="9"/>
    </row>
    <row r="623723" spans="15:15" x14ac:dyDescent="0.25">
      <c r="O623723" s="9"/>
    </row>
    <row r="623744" spans="15:15" x14ac:dyDescent="0.25">
      <c r="O623744" s="9"/>
    </row>
    <row r="623765" spans="15:15" x14ac:dyDescent="0.25">
      <c r="O623765" s="9"/>
    </row>
    <row r="623786" spans="15:15" x14ac:dyDescent="0.25">
      <c r="O623786" s="9"/>
    </row>
    <row r="623807" spans="15:15" x14ac:dyDescent="0.25">
      <c r="O623807" s="9"/>
    </row>
    <row r="623828" spans="15:15" x14ac:dyDescent="0.25">
      <c r="O623828" s="9"/>
    </row>
    <row r="623849" spans="15:15" x14ac:dyDescent="0.25">
      <c r="O623849" s="9"/>
    </row>
    <row r="623870" spans="15:15" x14ac:dyDescent="0.25">
      <c r="O623870" s="9"/>
    </row>
    <row r="623891" spans="15:15" x14ac:dyDescent="0.25">
      <c r="O623891" s="9"/>
    </row>
    <row r="623912" spans="15:15" x14ac:dyDescent="0.25">
      <c r="O623912" s="9"/>
    </row>
    <row r="623933" spans="15:15" x14ac:dyDescent="0.25">
      <c r="O623933" s="9"/>
    </row>
    <row r="623954" spans="15:15" x14ac:dyDescent="0.25">
      <c r="O623954" s="9"/>
    </row>
    <row r="623975" spans="15:15" x14ac:dyDescent="0.25">
      <c r="O623975" s="9"/>
    </row>
    <row r="623996" spans="15:15" x14ac:dyDescent="0.25">
      <c r="O623996" s="9"/>
    </row>
    <row r="624017" spans="15:15" x14ac:dyDescent="0.25">
      <c r="O624017" s="9"/>
    </row>
    <row r="624038" spans="15:15" x14ac:dyDescent="0.25">
      <c r="O624038" s="9"/>
    </row>
    <row r="624059" spans="15:15" x14ac:dyDescent="0.25">
      <c r="O624059" s="9"/>
    </row>
    <row r="624080" spans="15:15" x14ac:dyDescent="0.25">
      <c r="O624080" s="9"/>
    </row>
    <row r="624101" spans="15:15" x14ac:dyDescent="0.25">
      <c r="O624101" s="9"/>
    </row>
    <row r="624122" spans="15:15" x14ac:dyDescent="0.25">
      <c r="O624122" s="9"/>
    </row>
    <row r="624143" spans="15:15" x14ac:dyDescent="0.25">
      <c r="O624143" s="9"/>
    </row>
    <row r="624164" spans="15:15" x14ac:dyDescent="0.25">
      <c r="O624164" s="9"/>
    </row>
    <row r="624185" spans="15:15" x14ac:dyDescent="0.25">
      <c r="O624185" s="9"/>
    </row>
    <row r="624206" spans="15:15" x14ac:dyDescent="0.25">
      <c r="O624206" s="9"/>
    </row>
    <row r="624227" spans="15:15" x14ac:dyDescent="0.25">
      <c r="O624227" s="9"/>
    </row>
    <row r="624248" spans="15:15" x14ac:dyDescent="0.25">
      <c r="O624248" s="9"/>
    </row>
    <row r="624269" spans="15:15" x14ac:dyDescent="0.25">
      <c r="O624269" s="9"/>
    </row>
    <row r="624290" spans="15:15" x14ac:dyDescent="0.25">
      <c r="O624290" s="9"/>
    </row>
    <row r="624311" spans="15:15" x14ac:dyDescent="0.25">
      <c r="O624311" s="9"/>
    </row>
    <row r="624332" spans="15:15" x14ac:dyDescent="0.25">
      <c r="O624332" s="9"/>
    </row>
    <row r="624353" spans="15:15" x14ac:dyDescent="0.25">
      <c r="O624353" s="9"/>
    </row>
    <row r="624374" spans="15:15" x14ac:dyDescent="0.25">
      <c r="O624374" s="9"/>
    </row>
    <row r="624395" spans="15:15" x14ac:dyDescent="0.25">
      <c r="O624395" s="9"/>
    </row>
    <row r="624416" spans="15:15" x14ac:dyDescent="0.25">
      <c r="O624416" s="9"/>
    </row>
    <row r="624437" spans="15:15" x14ac:dyDescent="0.25">
      <c r="O624437" s="9"/>
    </row>
    <row r="624458" spans="15:15" x14ac:dyDescent="0.25">
      <c r="O624458" s="9"/>
    </row>
    <row r="624479" spans="15:15" x14ac:dyDescent="0.25">
      <c r="O624479" s="9"/>
    </row>
    <row r="624500" spans="15:15" x14ac:dyDescent="0.25">
      <c r="O624500" s="9"/>
    </row>
    <row r="624521" spans="15:15" x14ac:dyDescent="0.25">
      <c r="O624521" s="9"/>
    </row>
    <row r="624542" spans="15:15" x14ac:dyDescent="0.25">
      <c r="O624542" s="9"/>
    </row>
    <row r="624563" spans="15:15" x14ac:dyDescent="0.25">
      <c r="O624563" s="9"/>
    </row>
    <row r="624584" spans="15:15" x14ac:dyDescent="0.25">
      <c r="O624584" s="9"/>
    </row>
    <row r="624605" spans="15:15" x14ac:dyDescent="0.25">
      <c r="O624605" s="9"/>
    </row>
    <row r="624626" spans="15:15" x14ac:dyDescent="0.25">
      <c r="O624626" s="9"/>
    </row>
    <row r="624647" spans="15:15" x14ac:dyDescent="0.25">
      <c r="O624647" s="9"/>
    </row>
    <row r="624668" spans="15:15" x14ac:dyDescent="0.25">
      <c r="O624668" s="9"/>
    </row>
    <row r="624689" spans="15:15" x14ac:dyDescent="0.25">
      <c r="O624689" s="9"/>
    </row>
    <row r="624710" spans="15:15" x14ac:dyDescent="0.25">
      <c r="O624710" s="9"/>
    </row>
    <row r="624731" spans="15:15" x14ac:dyDescent="0.25">
      <c r="O624731" s="9"/>
    </row>
    <row r="624752" spans="15:15" x14ac:dyDescent="0.25">
      <c r="O624752" s="9"/>
    </row>
    <row r="624773" spans="15:15" x14ac:dyDescent="0.25">
      <c r="O624773" s="9"/>
    </row>
    <row r="624794" spans="15:15" x14ac:dyDescent="0.25">
      <c r="O624794" s="9"/>
    </row>
    <row r="624815" spans="15:15" x14ac:dyDescent="0.25">
      <c r="O624815" s="9"/>
    </row>
    <row r="624836" spans="15:15" x14ac:dyDescent="0.25">
      <c r="O624836" s="9"/>
    </row>
    <row r="624857" spans="15:15" x14ac:dyDescent="0.25">
      <c r="O624857" s="9"/>
    </row>
    <row r="624878" spans="15:15" x14ac:dyDescent="0.25">
      <c r="O624878" s="9"/>
    </row>
    <row r="624899" spans="15:15" x14ac:dyDescent="0.25">
      <c r="O624899" s="9"/>
    </row>
    <row r="624920" spans="15:15" x14ac:dyDescent="0.25">
      <c r="O624920" s="9"/>
    </row>
    <row r="624941" spans="15:15" x14ac:dyDescent="0.25">
      <c r="O624941" s="9"/>
    </row>
    <row r="624962" spans="15:15" x14ac:dyDescent="0.25">
      <c r="O624962" s="9"/>
    </row>
    <row r="624983" spans="15:15" x14ac:dyDescent="0.25">
      <c r="O624983" s="9"/>
    </row>
    <row r="625004" spans="15:15" x14ac:dyDescent="0.25">
      <c r="O625004" s="9"/>
    </row>
    <row r="625025" spans="15:15" x14ac:dyDescent="0.25">
      <c r="O625025" s="9"/>
    </row>
    <row r="625046" spans="15:15" x14ac:dyDescent="0.25">
      <c r="O625046" s="9"/>
    </row>
    <row r="625067" spans="15:15" x14ac:dyDescent="0.25">
      <c r="O625067" s="9"/>
    </row>
    <row r="625088" spans="15:15" x14ac:dyDescent="0.25">
      <c r="O625088" s="9"/>
    </row>
    <row r="625109" spans="15:15" x14ac:dyDescent="0.25">
      <c r="O625109" s="9"/>
    </row>
    <row r="625130" spans="15:15" x14ac:dyDescent="0.25">
      <c r="O625130" s="9"/>
    </row>
    <row r="625151" spans="15:15" x14ac:dyDescent="0.25">
      <c r="O625151" s="9"/>
    </row>
    <row r="625172" spans="15:15" x14ac:dyDescent="0.25">
      <c r="O625172" s="9"/>
    </row>
    <row r="625193" spans="15:15" x14ac:dyDescent="0.25">
      <c r="O625193" s="9"/>
    </row>
    <row r="625214" spans="15:15" x14ac:dyDescent="0.25">
      <c r="O625214" s="9"/>
    </row>
    <row r="625235" spans="15:15" x14ac:dyDescent="0.25">
      <c r="O625235" s="9"/>
    </row>
    <row r="625256" spans="15:15" x14ac:dyDescent="0.25">
      <c r="O625256" s="9"/>
    </row>
    <row r="625277" spans="15:15" x14ac:dyDescent="0.25">
      <c r="O625277" s="9"/>
    </row>
    <row r="625298" spans="15:15" x14ac:dyDescent="0.25">
      <c r="O625298" s="9"/>
    </row>
    <row r="625319" spans="15:15" x14ac:dyDescent="0.25">
      <c r="O625319" s="9"/>
    </row>
    <row r="625340" spans="15:15" x14ac:dyDescent="0.25">
      <c r="O625340" s="9"/>
    </row>
    <row r="625361" spans="15:15" x14ac:dyDescent="0.25">
      <c r="O625361" s="9"/>
    </row>
    <row r="625382" spans="15:15" x14ac:dyDescent="0.25">
      <c r="O625382" s="9"/>
    </row>
    <row r="625403" spans="15:15" x14ac:dyDescent="0.25">
      <c r="O625403" s="9"/>
    </row>
    <row r="625424" spans="15:15" x14ac:dyDescent="0.25">
      <c r="O625424" s="9"/>
    </row>
    <row r="625445" spans="15:15" x14ac:dyDescent="0.25">
      <c r="O625445" s="9"/>
    </row>
    <row r="625466" spans="15:15" x14ac:dyDescent="0.25">
      <c r="O625466" s="9"/>
    </row>
    <row r="625487" spans="15:15" x14ac:dyDescent="0.25">
      <c r="O625487" s="9"/>
    </row>
    <row r="625508" spans="15:15" x14ac:dyDescent="0.25">
      <c r="O625508" s="9"/>
    </row>
    <row r="625529" spans="15:15" x14ac:dyDescent="0.25">
      <c r="O625529" s="9"/>
    </row>
    <row r="625550" spans="15:15" x14ac:dyDescent="0.25">
      <c r="O625550" s="9"/>
    </row>
    <row r="625571" spans="15:15" x14ac:dyDescent="0.25">
      <c r="O625571" s="9"/>
    </row>
    <row r="625592" spans="15:15" x14ac:dyDescent="0.25">
      <c r="O625592" s="9"/>
    </row>
    <row r="625613" spans="15:15" x14ac:dyDescent="0.25">
      <c r="O625613" s="9"/>
    </row>
    <row r="625634" spans="15:15" x14ac:dyDescent="0.25">
      <c r="O625634" s="9"/>
    </row>
    <row r="625655" spans="15:15" x14ac:dyDescent="0.25">
      <c r="O625655" s="9"/>
    </row>
    <row r="625676" spans="15:15" x14ac:dyDescent="0.25">
      <c r="O625676" s="9"/>
    </row>
    <row r="625697" spans="15:15" x14ac:dyDescent="0.25">
      <c r="O625697" s="9"/>
    </row>
    <row r="625718" spans="15:15" x14ac:dyDescent="0.25">
      <c r="O625718" s="9"/>
    </row>
    <row r="625739" spans="15:15" x14ac:dyDescent="0.25">
      <c r="O625739" s="9"/>
    </row>
    <row r="625760" spans="15:15" x14ac:dyDescent="0.25">
      <c r="O625760" s="9"/>
    </row>
    <row r="625781" spans="15:15" x14ac:dyDescent="0.25">
      <c r="O625781" s="9"/>
    </row>
    <row r="625802" spans="15:15" x14ac:dyDescent="0.25">
      <c r="O625802" s="9"/>
    </row>
    <row r="625823" spans="15:15" x14ac:dyDescent="0.25">
      <c r="O625823" s="9"/>
    </row>
    <row r="625844" spans="15:15" x14ac:dyDescent="0.25">
      <c r="O625844" s="9"/>
    </row>
    <row r="625865" spans="15:15" x14ac:dyDescent="0.25">
      <c r="O625865" s="9"/>
    </row>
    <row r="625886" spans="15:15" x14ac:dyDescent="0.25">
      <c r="O625886" s="9"/>
    </row>
    <row r="625907" spans="15:15" x14ac:dyDescent="0.25">
      <c r="O625907" s="9"/>
    </row>
    <row r="625928" spans="15:15" x14ac:dyDescent="0.25">
      <c r="O625928" s="9"/>
    </row>
    <row r="625949" spans="15:15" x14ac:dyDescent="0.25">
      <c r="O625949" s="9"/>
    </row>
    <row r="625970" spans="15:15" x14ac:dyDescent="0.25">
      <c r="O625970" s="9"/>
    </row>
    <row r="625991" spans="15:15" x14ac:dyDescent="0.25">
      <c r="O625991" s="9"/>
    </row>
    <row r="626012" spans="15:15" x14ac:dyDescent="0.25">
      <c r="O626012" s="9"/>
    </row>
    <row r="626033" spans="15:15" x14ac:dyDescent="0.25">
      <c r="O626033" s="9"/>
    </row>
    <row r="626054" spans="15:15" x14ac:dyDescent="0.25">
      <c r="O626054" s="9"/>
    </row>
    <row r="626075" spans="15:15" x14ac:dyDescent="0.25">
      <c r="O626075" s="9"/>
    </row>
    <row r="626096" spans="15:15" x14ac:dyDescent="0.25">
      <c r="O626096" s="9"/>
    </row>
    <row r="626117" spans="15:15" x14ac:dyDescent="0.25">
      <c r="O626117" s="9"/>
    </row>
    <row r="626138" spans="15:15" x14ac:dyDescent="0.25">
      <c r="O626138" s="9"/>
    </row>
    <row r="626159" spans="15:15" x14ac:dyDescent="0.25">
      <c r="O626159" s="9"/>
    </row>
    <row r="626180" spans="15:15" x14ac:dyDescent="0.25">
      <c r="O626180" s="9"/>
    </row>
    <row r="626201" spans="15:15" x14ac:dyDescent="0.25">
      <c r="O626201" s="9"/>
    </row>
    <row r="626222" spans="15:15" x14ac:dyDescent="0.25">
      <c r="O626222" s="9"/>
    </row>
    <row r="626243" spans="15:15" x14ac:dyDescent="0.25">
      <c r="O626243" s="9"/>
    </row>
    <row r="626264" spans="15:15" x14ac:dyDescent="0.25">
      <c r="O626264" s="9"/>
    </row>
    <row r="626285" spans="15:15" x14ac:dyDescent="0.25">
      <c r="O626285" s="9"/>
    </row>
    <row r="626306" spans="15:15" x14ac:dyDescent="0.25">
      <c r="O626306" s="9"/>
    </row>
    <row r="626327" spans="15:15" x14ac:dyDescent="0.25">
      <c r="O626327" s="9"/>
    </row>
    <row r="626348" spans="15:15" x14ac:dyDescent="0.25">
      <c r="O626348" s="9"/>
    </row>
    <row r="626369" spans="15:15" x14ac:dyDescent="0.25">
      <c r="O626369" s="9"/>
    </row>
    <row r="626390" spans="15:15" x14ac:dyDescent="0.25">
      <c r="O626390" s="9"/>
    </row>
    <row r="626411" spans="15:15" x14ac:dyDescent="0.25">
      <c r="O626411" s="9"/>
    </row>
    <row r="626432" spans="15:15" x14ac:dyDescent="0.25">
      <c r="O626432" s="9"/>
    </row>
    <row r="626453" spans="15:15" x14ac:dyDescent="0.25">
      <c r="O626453" s="9"/>
    </row>
    <row r="626474" spans="15:15" x14ac:dyDescent="0.25">
      <c r="O626474" s="9"/>
    </row>
    <row r="626495" spans="15:15" x14ac:dyDescent="0.25">
      <c r="O626495" s="9"/>
    </row>
    <row r="626516" spans="15:15" x14ac:dyDescent="0.25">
      <c r="O626516" s="9"/>
    </row>
    <row r="626537" spans="15:15" x14ac:dyDescent="0.25">
      <c r="O626537" s="9"/>
    </row>
    <row r="626558" spans="15:15" x14ac:dyDescent="0.25">
      <c r="O626558" s="9"/>
    </row>
    <row r="626579" spans="15:15" x14ac:dyDescent="0.25">
      <c r="O626579" s="9"/>
    </row>
    <row r="626600" spans="15:15" x14ac:dyDescent="0.25">
      <c r="O626600" s="9"/>
    </row>
    <row r="626621" spans="15:15" x14ac:dyDescent="0.25">
      <c r="O626621" s="9"/>
    </row>
    <row r="626642" spans="15:15" x14ac:dyDescent="0.25">
      <c r="O626642" s="9"/>
    </row>
    <row r="626663" spans="15:15" x14ac:dyDescent="0.25">
      <c r="O626663" s="9"/>
    </row>
    <row r="626684" spans="15:15" x14ac:dyDescent="0.25">
      <c r="O626684" s="9"/>
    </row>
    <row r="626705" spans="15:15" x14ac:dyDescent="0.25">
      <c r="O626705" s="9"/>
    </row>
    <row r="626726" spans="15:15" x14ac:dyDescent="0.25">
      <c r="O626726" s="9"/>
    </row>
    <row r="626747" spans="15:15" x14ac:dyDescent="0.25">
      <c r="O626747" s="9"/>
    </row>
    <row r="626768" spans="15:15" x14ac:dyDescent="0.25">
      <c r="O626768" s="9"/>
    </row>
    <row r="626789" spans="15:15" x14ac:dyDescent="0.25">
      <c r="O626789" s="9"/>
    </row>
    <row r="626810" spans="15:15" x14ac:dyDescent="0.25">
      <c r="O626810" s="9"/>
    </row>
    <row r="626831" spans="15:15" x14ac:dyDescent="0.25">
      <c r="O626831" s="9"/>
    </row>
    <row r="626852" spans="15:15" x14ac:dyDescent="0.25">
      <c r="O626852" s="9"/>
    </row>
    <row r="626873" spans="15:15" x14ac:dyDescent="0.25">
      <c r="O626873" s="9"/>
    </row>
    <row r="626894" spans="15:15" x14ac:dyDescent="0.25">
      <c r="O626894" s="9"/>
    </row>
    <row r="626915" spans="15:15" x14ac:dyDescent="0.25">
      <c r="O626915" s="9"/>
    </row>
    <row r="626936" spans="15:15" x14ac:dyDescent="0.25">
      <c r="O626936" s="9"/>
    </row>
    <row r="626957" spans="15:15" x14ac:dyDescent="0.25">
      <c r="O626957" s="9"/>
    </row>
    <row r="626978" spans="15:15" x14ac:dyDescent="0.25">
      <c r="O626978" s="9"/>
    </row>
    <row r="626999" spans="15:15" x14ac:dyDescent="0.25">
      <c r="O626999" s="9"/>
    </row>
    <row r="627020" spans="15:15" x14ac:dyDescent="0.25">
      <c r="O627020" s="9"/>
    </row>
    <row r="627041" spans="15:15" x14ac:dyDescent="0.25">
      <c r="O627041" s="9"/>
    </row>
    <row r="627062" spans="15:15" x14ac:dyDescent="0.25">
      <c r="O627062" s="9"/>
    </row>
    <row r="627083" spans="15:15" x14ac:dyDescent="0.25">
      <c r="O627083" s="9"/>
    </row>
    <row r="627104" spans="15:15" x14ac:dyDescent="0.25">
      <c r="O627104" s="9"/>
    </row>
    <row r="627125" spans="15:15" x14ac:dyDescent="0.25">
      <c r="O627125" s="9"/>
    </row>
    <row r="627146" spans="15:15" x14ac:dyDescent="0.25">
      <c r="O627146" s="9"/>
    </row>
    <row r="627167" spans="15:15" x14ac:dyDescent="0.25">
      <c r="O627167" s="9"/>
    </row>
    <row r="627188" spans="15:15" x14ac:dyDescent="0.25">
      <c r="O627188" s="9"/>
    </row>
    <row r="627209" spans="15:15" x14ac:dyDescent="0.25">
      <c r="O627209" s="9"/>
    </row>
    <row r="627230" spans="15:15" x14ac:dyDescent="0.25">
      <c r="O627230" s="9"/>
    </row>
    <row r="627251" spans="15:15" x14ac:dyDescent="0.25">
      <c r="O627251" s="9"/>
    </row>
    <row r="627272" spans="15:15" x14ac:dyDescent="0.25">
      <c r="O627272" s="9"/>
    </row>
    <row r="627293" spans="15:15" x14ac:dyDescent="0.25">
      <c r="O627293" s="9"/>
    </row>
    <row r="627314" spans="15:15" x14ac:dyDescent="0.25">
      <c r="O627314" s="9"/>
    </row>
    <row r="627335" spans="15:15" x14ac:dyDescent="0.25">
      <c r="O627335" s="9"/>
    </row>
    <row r="627356" spans="15:15" x14ac:dyDescent="0.25">
      <c r="O627356" s="9"/>
    </row>
    <row r="627377" spans="15:15" x14ac:dyDescent="0.25">
      <c r="O627377" s="9"/>
    </row>
    <row r="627398" spans="15:15" x14ac:dyDescent="0.25">
      <c r="O627398" s="9"/>
    </row>
    <row r="627419" spans="15:15" x14ac:dyDescent="0.25">
      <c r="O627419" s="9"/>
    </row>
    <row r="627440" spans="15:15" x14ac:dyDescent="0.25">
      <c r="O627440" s="9"/>
    </row>
    <row r="627461" spans="15:15" x14ac:dyDescent="0.25">
      <c r="O627461" s="9"/>
    </row>
    <row r="627482" spans="15:15" x14ac:dyDescent="0.25">
      <c r="O627482" s="9"/>
    </row>
    <row r="627503" spans="15:15" x14ac:dyDescent="0.25">
      <c r="O627503" s="9"/>
    </row>
    <row r="627524" spans="15:15" x14ac:dyDescent="0.25">
      <c r="O627524" s="9"/>
    </row>
    <row r="627545" spans="15:15" x14ac:dyDescent="0.25">
      <c r="O627545" s="9"/>
    </row>
    <row r="627566" spans="15:15" x14ac:dyDescent="0.25">
      <c r="O627566" s="9"/>
    </row>
    <row r="627587" spans="15:15" x14ac:dyDescent="0.25">
      <c r="O627587" s="9"/>
    </row>
    <row r="627608" spans="15:15" x14ac:dyDescent="0.25">
      <c r="O627608" s="9"/>
    </row>
    <row r="627629" spans="15:15" x14ac:dyDescent="0.25">
      <c r="O627629" s="9"/>
    </row>
    <row r="627650" spans="15:15" x14ac:dyDescent="0.25">
      <c r="O627650" s="9"/>
    </row>
    <row r="627671" spans="15:15" x14ac:dyDescent="0.25">
      <c r="O627671" s="9"/>
    </row>
    <row r="627692" spans="15:15" x14ac:dyDescent="0.25">
      <c r="O627692" s="9"/>
    </row>
    <row r="627713" spans="15:15" x14ac:dyDescent="0.25">
      <c r="O627713" s="9"/>
    </row>
    <row r="627734" spans="15:15" x14ac:dyDescent="0.25">
      <c r="O627734" s="9"/>
    </row>
    <row r="627755" spans="15:15" x14ac:dyDescent="0.25">
      <c r="O627755" s="9"/>
    </row>
    <row r="627776" spans="15:15" x14ac:dyDescent="0.25">
      <c r="O627776" s="9"/>
    </row>
    <row r="627797" spans="15:15" x14ac:dyDescent="0.25">
      <c r="O627797" s="9"/>
    </row>
    <row r="627818" spans="15:15" x14ac:dyDescent="0.25">
      <c r="O627818" s="9"/>
    </row>
    <row r="627839" spans="15:15" x14ac:dyDescent="0.25">
      <c r="O627839" s="9"/>
    </row>
    <row r="627860" spans="15:15" x14ac:dyDescent="0.25">
      <c r="O627860" s="9"/>
    </row>
    <row r="627881" spans="15:15" x14ac:dyDescent="0.25">
      <c r="O627881" s="9"/>
    </row>
    <row r="627902" spans="15:15" x14ac:dyDescent="0.25">
      <c r="O627902" s="9"/>
    </row>
    <row r="627923" spans="15:15" x14ac:dyDescent="0.25">
      <c r="O627923" s="9"/>
    </row>
    <row r="627944" spans="15:15" x14ac:dyDescent="0.25">
      <c r="O627944" s="9"/>
    </row>
    <row r="627965" spans="15:15" x14ac:dyDescent="0.25">
      <c r="O627965" s="9"/>
    </row>
    <row r="627986" spans="15:15" x14ac:dyDescent="0.25">
      <c r="O627986" s="9"/>
    </row>
    <row r="628007" spans="15:15" x14ac:dyDescent="0.25">
      <c r="O628007" s="9"/>
    </row>
    <row r="628028" spans="15:15" x14ac:dyDescent="0.25">
      <c r="O628028" s="9"/>
    </row>
    <row r="628049" spans="15:15" x14ac:dyDescent="0.25">
      <c r="O628049" s="9"/>
    </row>
    <row r="628070" spans="15:15" x14ac:dyDescent="0.25">
      <c r="O628070" s="9"/>
    </row>
    <row r="628091" spans="15:15" x14ac:dyDescent="0.25">
      <c r="O628091" s="9"/>
    </row>
    <row r="628112" spans="15:15" x14ac:dyDescent="0.25">
      <c r="O628112" s="9"/>
    </row>
    <row r="628133" spans="15:15" x14ac:dyDescent="0.25">
      <c r="O628133" s="9"/>
    </row>
    <row r="628154" spans="15:15" x14ac:dyDescent="0.25">
      <c r="O628154" s="9"/>
    </row>
    <row r="628175" spans="15:15" x14ac:dyDescent="0.25">
      <c r="O628175" s="9"/>
    </row>
    <row r="628196" spans="15:15" x14ac:dyDescent="0.25">
      <c r="O628196" s="9"/>
    </row>
    <row r="628217" spans="15:15" x14ac:dyDescent="0.25">
      <c r="O628217" s="9"/>
    </row>
    <row r="628238" spans="15:15" x14ac:dyDescent="0.25">
      <c r="O628238" s="9"/>
    </row>
    <row r="628259" spans="15:15" x14ac:dyDescent="0.25">
      <c r="O628259" s="9"/>
    </row>
    <row r="628280" spans="15:15" x14ac:dyDescent="0.25">
      <c r="O628280" s="9"/>
    </row>
    <row r="628301" spans="15:15" x14ac:dyDescent="0.25">
      <c r="O628301" s="9"/>
    </row>
    <row r="628322" spans="15:15" x14ac:dyDescent="0.25">
      <c r="O628322" s="9"/>
    </row>
    <row r="628343" spans="15:15" x14ac:dyDescent="0.25">
      <c r="O628343" s="9"/>
    </row>
    <row r="628364" spans="15:15" x14ac:dyDescent="0.25">
      <c r="O628364" s="9"/>
    </row>
    <row r="628385" spans="15:15" x14ac:dyDescent="0.25">
      <c r="O628385" s="9"/>
    </row>
    <row r="628406" spans="15:15" x14ac:dyDescent="0.25">
      <c r="O628406" s="9"/>
    </row>
    <row r="628427" spans="15:15" x14ac:dyDescent="0.25">
      <c r="O628427" s="9"/>
    </row>
    <row r="628448" spans="15:15" x14ac:dyDescent="0.25">
      <c r="O628448" s="9"/>
    </row>
    <row r="628469" spans="15:15" x14ac:dyDescent="0.25">
      <c r="O628469" s="9"/>
    </row>
    <row r="628490" spans="15:15" x14ac:dyDescent="0.25">
      <c r="O628490" s="9"/>
    </row>
    <row r="628511" spans="15:15" x14ac:dyDescent="0.25">
      <c r="O628511" s="9"/>
    </row>
    <row r="628532" spans="15:15" x14ac:dyDescent="0.25">
      <c r="O628532" s="9"/>
    </row>
    <row r="628553" spans="15:15" x14ac:dyDescent="0.25">
      <c r="O628553" s="9"/>
    </row>
    <row r="628574" spans="15:15" x14ac:dyDescent="0.25">
      <c r="O628574" s="9"/>
    </row>
    <row r="628595" spans="15:15" x14ac:dyDescent="0.25">
      <c r="O628595" s="9"/>
    </row>
    <row r="628616" spans="15:15" x14ac:dyDescent="0.25">
      <c r="O628616" s="9"/>
    </row>
    <row r="628637" spans="15:15" x14ac:dyDescent="0.25">
      <c r="O628637" s="9"/>
    </row>
    <row r="628658" spans="15:15" x14ac:dyDescent="0.25">
      <c r="O628658" s="9"/>
    </row>
    <row r="628679" spans="15:15" x14ac:dyDescent="0.25">
      <c r="O628679" s="9"/>
    </row>
    <row r="628700" spans="15:15" x14ac:dyDescent="0.25">
      <c r="O628700" s="9"/>
    </row>
    <row r="628721" spans="15:15" x14ac:dyDescent="0.25">
      <c r="O628721" s="9"/>
    </row>
    <row r="628742" spans="15:15" x14ac:dyDescent="0.25">
      <c r="O628742" s="9"/>
    </row>
    <row r="628763" spans="15:15" x14ac:dyDescent="0.25">
      <c r="O628763" s="9"/>
    </row>
    <row r="628784" spans="15:15" x14ac:dyDescent="0.25">
      <c r="O628784" s="9"/>
    </row>
    <row r="628805" spans="15:15" x14ac:dyDescent="0.25">
      <c r="O628805" s="9"/>
    </row>
    <row r="628826" spans="15:15" x14ac:dyDescent="0.25">
      <c r="O628826" s="9"/>
    </row>
    <row r="628847" spans="15:15" x14ac:dyDescent="0.25">
      <c r="O628847" s="9"/>
    </row>
    <row r="628868" spans="15:15" x14ac:dyDescent="0.25">
      <c r="O628868" s="9"/>
    </row>
    <row r="628889" spans="15:15" x14ac:dyDescent="0.25">
      <c r="O628889" s="9"/>
    </row>
    <row r="628910" spans="15:15" x14ac:dyDescent="0.25">
      <c r="O628910" s="9"/>
    </row>
    <row r="628931" spans="15:15" x14ac:dyDescent="0.25">
      <c r="O628931" s="9"/>
    </row>
    <row r="628952" spans="15:15" x14ac:dyDescent="0.25">
      <c r="O628952" s="9"/>
    </row>
    <row r="628973" spans="15:15" x14ac:dyDescent="0.25">
      <c r="O628973" s="9"/>
    </row>
    <row r="628994" spans="15:15" x14ac:dyDescent="0.25">
      <c r="O628994" s="9"/>
    </row>
    <row r="629015" spans="15:15" x14ac:dyDescent="0.25">
      <c r="O629015" s="9"/>
    </row>
    <row r="629036" spans="15:15" x14ac:dyDescent="0.25">
      <c r="O629036" s="9"/>
    </row>
    <row r="629057" spans="15:15" x14ac:dyDescent="0.25">
      <c r="O629057" s="9"/>
    </row>
    <row r="629078" spans="15:15" x14ac:dyDescent="0.25">
      <c r="O629078" s="9"/>
    </row>
    <row r="629099" spans="15:15" x14ac:dyDescent="0.25">
      <c r="O629099" s="9"/>
    </row>
    <row r="629120" spans="15:15" x14ac:dyDescent="0.25">
      <c r="O629120" s="9"/>
    </row>
    <row r="629141" spans="15:15" x14ac:dyDescent="0.25">
      <c r="O629141" s="9"/>
    </row>
    <row r="629162" spans="15:15" x14ac:dyDescent="0.25">
      <c r="O629162" s="9"/>
    </row>
    <row r="629183" spans="15:15" x14ac:dyDescent="0.25">
      <c r="O629183" s="9"/>
    </row>
    <row r="629204" spans="15:15" x14ac:dyDescent="0.25">
      <c r="O629204" s="9"/>
    </row>
    <row r="629225" spans="15:15" x14ac:dyDescent="0.25">
      <c r="O629225" s="9"/>
    </row>
    <row r="629246" spans="15:15" x14ac:dyDescent="0.25">
      <c r="O629246" s="9"/>
    </row>
    <row r="629267" spans="15:15" x14ac:dyDescent="0.25">
      <c r="O629267" s="9"/>
    </row>
    <row r="629288" spans="15:15" x14ac:dyDescent="0.25">
      <c r="O629288" s="9"/>
    </row>
    <row r="629309" spans="15:15" x14ac:dyDescent="0.25">
      <c r="O629309" s="9"/>
    </row>
    <row r="629330" spans="15:15" x14ac:dyDescent="0.25">
      <c r="O629330" s="9"/>
    </row>
    <row r="629351" spans="15:15" x14ac:dyDescent="0.25">
      <c r="O629351" s="9"/>
    </row>
    <row r="629372" spans="15:15" x14ac:dyDescent="0.25">
      <c r="O629372" s="9"/>
    </row>
    <row r="629393" spans="15:15" x14ac:dyDescent="0.25">
      <c r="O629393" s="9"/>
    </row>
    <row r="629414" spans="15:15" x14ac:dyDescent="0.25">
      <c r="O629414" s="9"/>
    </row>
    <row r="629435" spans="15:15" x14ac:dyDescent="0.25">
      <c r="O629435" s="9"/>
    </row>
    <row r="629456" spans="15:15" x14ac:dyDescent="0.25">
      <c r="O629456" s="9"/>
    </row>
    <row r="629477" spans="15:15" x14ac:dyDescent="0.25">
      <c r="O629477" s="9"/>
    </row>
    <row r="629498" spans="15:15" x14ac:dyDescent="0.25">
      <c r="O629498" s="9"/>
    </row>
    <row r="629519" spans="15:15" x14ac:dyDescent="0.25">
      <c r="O629519" s="9"/>
    </row>
    <row r="629540" spans="15:15" x14ac:dyDescent="0.25">
      <c r="O629540" s="9"/>
    </row>
    <row r="629561" spans="15:15" x14ac:dyDescent="0.25">
      <c r="O629561" s="9"/>
    </row>
    <row r="629582" spans="15:15" x14ac:dyDescent="0.25">
      <c r="O629582" s="9"/>
    </row>
    <row r="629603" spans="15:15" x14ac:dyDescent="0.25">
      <c r="O629603" s="9"/>
    </row>
    <row r="629624" spans="15:15" x14ac:dyDescent="0.25">
      <c r="O629624" s="9"/>
    </row>
    <row r="629645" spans="15:15" x14ac:dyDescent="0.25">
      <c r="O629645" s="9"/>
    </row>
    <row r="629666" spans="15:15" x14ac:dyDescent="0.25">
      <c r="O629666" s="9"/>
    </row>
    <row r="629687" spans="15:15" x14ac:dyDescent="0.25">
      <c r="O629687" s="9"/>
    </row>
    <row r="629708" spans="15:15" x14ac:dyDescent="0.25">
      <c r="O629708" s="9"/>
    </row>
    <row r="629729" spans="15:15" x14ac:dyDescent="0.25">
      <c r="O629729" s="9"/>
    </row>
    <row r="629750" spans="15:15" x14ac:dyDescent="0.25">
      <c r="O629750" s="9"/>
    </row>
    <row r="629771" spans="15:15" x14ac:dyDescent="0.25">
      <c r="O629771" s="9"/>
    </row>
    <row r="629792" spans="15:15" x14ac:dyDescent="0.25">
      <c r="O629792" s="9"/>
    </row>
    <row r="629813" spans="15:15" x14ac:dyDescent="0.25">
      <c r="O629813" s="9"/>
    </row>
    <row r="629834" spans="15:15" x14ac:dyDescent="0.25">
      <c r="O629834" s="9"/>
    </row>
    <row r="629855" spans="15:15" x14ac:dyDescent="0.25">
      <c r="O629855" s="9"/>
    </row>
    <row r="629876" spans="15:15" x14ac:dyDescent="0.25">
      <c r="O629876" s="9"/>
    </row>
    <row r="629897" spans="15:15" x14ac:dyDescent="0.25">
      <c r="O629897" s="9"/>
    </row>
    <row r="629918" spans="15:15" x14ac:dyDescent="0.25">
      <c r="O629918" s="9"/>
    </row>
    <row r="629939" spans="15:15" x14ac:dyDescent="0.25">
      <c r="O629939" s="9"/>
    </row>
    <row r="629960" spans="15:15" x14ac:dyDescent="0.25">
      <c r="O629960" s="9"/>
    </row>
    <row r="629981" spans="15:15" x14ac:dyDescent="0.25">
      <c r="O629981" s="9"/>
    </row>
    <row r="630002" spans="15:15" x14ac:dyDescent="0.25">
      <c r="O630002" s="9"/>
    </row>
    <row r="630023" spans="15:15" x14ac:dyDescent="0.25">
      <c r="O630023" s="9"/>
    </row>
    <row r="630044" spans="15:15" x14ac:dyDescent="0.25">
      <c r="O630044" s="9"/>
    </row>
    <row r="630065" spans="15:15" x14ac:dyDescent="0.25">
      <c r="O630065" s="9"/>
    </row>
    <row r="630086" spans="15:15" x14ac:dyDescent="0.25">
      <c r="O630086" s="9"/>
    </row>
    <row r="630107" spans="15:15" x14ac:dyDescent="0.25">
      <c r="O630107" s="9"/>
    </row>
    <row r="630128" spans="15:15" x14ac:dyDescent="0.25">
      <c r="O630128" s="9"/>
    </row>
    <row r="630149" spans="15:15" x14ac:dyDescent="0.25">
      <c r="O630149" s="9"/>
    </row>
    <row r="630170" spans="15:15" x14ac:dyDescent="0.25">
      <c r="O630170" s="9"/>
    </row>
    <row r="630191" spans="15:15" x14ac:dyDescent="0.25">
      <c r="O630191" s="9"/>
    </row>
    <row r="630212" spans="15:15" x14ac:dyDescent="0.25">
      <c r="O630212" s="9"/>
    </row>
    <row r="630233" spans="15:15" x14ac:dyDescent="0.25">
      <c r="O630233" s="9"/>
    </row>
    <row r="630254" spans="15:15" x14ac:dyDescent="0.25">
      <c r="O630254" s="9"/>
    </row>
    <row r="630275" spans="15:15" x14ac:dyDescent="0.25">
      <c r="O630275" s="9"/>
    </row>
    <row r="630296" spans="15:15" x14ac:dyDescent="0.25">
      <c r="O630296" s="9"/>
    </row>
    <row r="630317" spans="15:15" x14ac:dyDescent="0.25">
      <c r="O630317" s="9"/>
    </row>
    <row r="630338" spans="15:15" x14ac:dyDescent="0.25">
      <c r="O630338" s="9"/>
    </row>
    <row r="630359" spans="15:15" x14ac:dyDescent="0.25">
      <c r="O630359" s="9"/>
    </row>
    <row r="630380" spans="15:15" x14ac:dyDescent="0.25">
      <c r="O630380" s="9"/>
    </row>
    <row r="630401" spans="15:15" x14ac:dyDescent="0.25">
      <c r="O630401" s="9"/>
    </row>
    <row r="630422" spans="15:15" x14ac:dyDescent="0.25">
      <c r="O630422" s="9"/>
    </row>
    <row r="630443" spans="15:15" x14ac:dyDescent="0.25">
      <c r="O630443" s="9"/>
    </row>
    <row r="630464" spans="15:15" x14ac:dyDescent="0.25">
      <c r="O630464" s="9"/>
    </row>
    <row r="630485" spans="15:15" x14ac:dyDescent="0.25">
      <c r="O630485" s="9"/>
    </row>
    <row r="630506" spans="15:15" x14ac:dyDescent="0.25">
      <c r="O630506" s="9"/>
    </row>
    <row r="630527" spans="15:15" x14ac:dyDescent="0.25">
      <c r="O630527" s="9"/>
    </row>
    <row r="630548" spans="15:15" x14ac:dyDescent="0.25">
      <c r="O630548" s="9"/>
    </row>
    <row r="630569" spans="15:15" x14ac:dyDescent="0.25">
      <c r="O630569" s="9"/>
    </row>
    <row r="630590" spans="15:15" x14ac:dyDescent="0.25">
      <c r="O630590" s="9"/>
    </row>
    <row r="630611" spans="15:15" x14ac:dyDescent="0.25">
      <c r="O630611" s="9"/>
    </row>
    <row r="630632" spans="15:15" x14ac:dyDescent="0.25">
      <c r="O630632" s="9"/>
    </row>
    <row r="630653" spans="15:15" x14ac:dyDescent="0.25">
      <c r="O630653" s="9"/>
    </row>
    <row r="630674" spans="15:15" x14ac:dyDescent="0.25">
      <c r="O630674" s="9"/>
    </row>
    <row r="630695" spans="15:15" x14ac:dyDescent="0.25">
      <c r="O630695" s="9"/>
    </row>
    <row r="630716" spans="15:15" x14ac:dyDescent="0.25">
      <c r="O630716" s="9"/>
    </row>
    <row r="630737" spans="15:15" x14ac:dyDescent="0.25">
      <c r="O630737" s="9"/>
    </row>
    <row r="630758" spans="15:15" x14ac:dyDescent="0.25">
      <c r="O630758" s="9"/>
    </row>
    <row r="630779" spans="15:15" x14ac:dyDescent="0.25">
      <c r="O630779" s="9"/>
    </row>
    <row r="630800" spans="15:15" x14ac:dyDescent="0.25">
      <c r="O630800" s="9"/>
    </row>
    <row r="630821" spans="15:15" x14ac:dyDescent="0.25">
      <c r="O630821" s="9"/>
    </row>
    <row r="630842" spans="15:15" x14ac:dyDescent="0.25">
      <c r="O630842" s="9"/>
    </row>
    <row r="630863" spans="15:15" x14ac:dyDescent="0.25">
      <c r="O630863" s="9"/>
    </row>
    <row r="630884" spans="15:15" x14ac:dyDescent="0.25">
      <c r="O630884" s="9"/>
    </row>
    <row r="630905" spans="15:15" x14ac:dyDescent="0.25">
      <c r="O630905" s="9"/>
    </row>
    <row r="630926" spans="15:15" x14ac:dyDescent="0.25">
      <c r="O630926" s="9"/>
    </row>
    <row r="630947" spans="15:15" x14ac:dyDescent="0.25">
      <c r="O630947" s="9"/>
    </row>
    <row r="630968" spans="15:15" x14ac:dyDescent="0.25">
      <c r="O630968" s="9"/>
    </row>
    <row r="630989" spans="15:15" x14ac:dyDescent="0.25">
      <c r="O630989" s="9"/>
    </row>
    <row r="631010" spans="15:15" x14ac:dyDescent="0.25">
      <c r="O631010" s="9"/>
    </row>
    <row r="631031" spans="15:15" x14ac:dyDescent="0.25">
      <c r="O631031" s="9"/>
    </row>
    <row r="631052" spans="15:15" x14ac:dyDescent="0.25">
      <c r="O631052" s="9"/>
    </row>
    <row r="631073" spans="15:15" x14ac:dyDescent="0.25">
      <c r="O631073" s="9"/>
    </row>
    <row r="631094" spans="15:15" x14ac:dyDescent="0.25">
      <c r="O631094" s="9"/>
    </row>
    <row r="631115" spans="15:15" x14ac:dyDescent="0.25">
      <c r="O631115" s="9"/>
    </row>
    <row r="631136" spans="15:15" x14ac:dyDescent="0.25">
      <c r="O631136" s="9"/>
    </row>
    <row r="631157" spans="15:15" x14ac:dyDescent="0.25">
      <c r="O631157" s="9"/>
    </row>
    <row r="631178" spans="15:15" x14ac:dyDescent="0.25">
      <c r="O631178" s="9"/>
    </row>
    <row r="631199" spans="15:15" x14ac:dyDescent="0.25">
      <c r="O631199" s="9"/>
    </row>
    <row r="631220" spans="15:15" x14ac:dyDescent="0.25">
      <c r="O631220" s="9"/>
    </row>
    <row r="631241" spans="15:15" x14ac:dyDescent="0.25">
      <c r="O631241" s="9"/>
    </row>
    <row r="631262" spans="15:15" x14ac:dyDescent="0.25">
      <c r="O631262" s="9"/>
    </row>
    <row r="631283" spans="15:15" x14ac:dyDescent="0.25">
      <c r="O631283" s="9"/>
    </row>
    <row r="631304" spans="15:15" x14ac:dyDescent="0.25">
      <c r="O631304" s="9"/>
    </row>
    <row r="631325" spans="15:15" x14ac:dyDescent="0.25">
      <c r="O631325" s="9"/>
    </row>
    <row r="631346" spans="15:15" x14ac:dyDescent="0.25">
      <c r="O631346" s="9"/>
    </row>
    <row r="631367" spans="15:15" x14ac:dyDescent="0.25">
      <c r="O631367" s="9"/>
    </row>
    <row r="631388" spans="15:15" x14ac:dyDescent="0.25">
      <c r="O631388" s="9"/>
    </row>
    <row r="631409" spans="15:15" x14ac:dyDescent="0.25">
      <c r="O631409" s="9"/>
    </row>
    <row r="631430" spans="15:15" x14ac:dyDescent="0.25">
      <c r="O631430" s="9"/>
    </row>
    <row r="631451" spans="15:15" x14ac:dyDescent="0.25">
      <c r="O631451" s="9"/>
    </row>
    <row r="631472" spans="15:15" x14ac:dyDescent="0.25">
      <c r="O631472" s="9"/>
    </row>
    <row r="631493" spans="15:15" x14ac:dyDescent="0.25">
      <c r="O631493" s="9"/>
    </row>
    <row r="631514" spans="15:15" x14ac:dyDescent="0.25">
      <c r="O631514" s="9"/>
    </row>
    <row r="631535" spans="15:15" x14ac:dyDescent="0.25">
      <c r="O631535" s="9"/>
    </row>
    <row r="631556" spans="15:15" x14ac:dyDescent="0.25">
      <c r="O631556" s="9"/>
    </row>
    <row r="631577" spans="15:15" x14ac:dyDescent="0.25">
      <c r="O631577" s="9"/>
    </row>
    <row r="631598" spans="15:15" x14ac:dyDescent="0.25">
      <c r="O631598" s="9"/>
    </row>
    <row r="631619" spans="15:15" x14ac:dyDescent="0.25">
      <c r="O631619" s="9"/>
    </row>
    <row r="631640" spans="15:15" x14ac:dyDescent="0.25">
      <c r="O631640" s="9"/>
    </row>
    <row r="631661" spans="15:15" x14ac:dyDescent="0.25">
      <c r="O631661" s="9"/>
    </row>
    <row r="631682" spans="15:15" x14ac:dyDescent="0.25">
      <c r="O631682" s="9"/>
    </row>
    <row r="631703" spans="15:15" x14ac:dyDescent="0.25">
      <c r="O631703" s="9"/>
    </row>
    <row r="631724" spans="15:15" x14ac:dyDescent="0.25">
      <c r="O631724" s="9"/>
    </row>
    <row r="631745" spans="15:15" x14ac:dyDescent="0.25">
      <c r="O631745" s="9"/>
    </row>
    <row r="631766" spans="15:15" x14ac:dyDescent="0.25">
      <c r="O631766" s="9"/>
    </row>
    <row r="631787" spans="15:15" x14ac:dyDescent="0.25">
      <c r="O631787" s="9"/>
    </row>
    <row r="631808" spans="15:15" x14ac:dyDescent="0.25">
      <c r="O631808" s="9"/>
    </row>
    <row r="631829" spans="15:15" x14ac:dyDescent="0.25">
      <c r="O631829" s="9"/>
    </row>
    <row r="631850" spans="15:15" x14ac:dyDescent="0.25">
      <c r="O631850" s="9"/>
    </row>
    <row r="631871" spans="15:15" x14ac:dyDescent="0.25">
      <c r="O631871" s="9"/>
    </row>
    <row r="631892" spans="15:15" x14ac:dyDescent="0.25">
      <c r="O631892" s="9"/>
    </row>
    <row r="631913" spans="15:15" x14ac:dyDescent="0.25">
      <c r="O631913" s="9"/>
    </row>
    <row r="631934" spans="15:15" x14ac:dyDescent="0.25">
      <c r="O631934" s="9"/>
    </row>
    <row r="631955" spans="15:15" x14ac:dyDescent="0.25">
      <c r="O631955" s="9"/>
    </row>
    <row r="631976" spans="15:15" x14ac:dyDescent="0.25">
      <c r="O631976" s="9"/>
    </row>
    <row r="631997" spans="15:15" x14ac:dyDescent="0.25">
      <c r="O631997" s="9"/>
    </row>
    <row r="632018" spans="15:15" x14ac:dyDescent="0.25">
      <c r="O632018" s="9"/>
    </row>
    <row r="632039" spans="15:15" x14ac:dyDescent="0.25">
      <c r="O632039" s="9"/>
    </row>
    <row r="632060" spans="15:15" x14ac:dyDescent="0.25">
      <c r="O632060" s="9"/>
    </row>
    <row r="632081" spans="15:15" x14ac:dyDescent="0.25">
      <c r="O632081" s="9"/>
    </row>
    <row r="632102" spans="15:15" x14ac:dyDescent="0.25">
      <c r="O632102" s="9"/>
    </row>
    <row r="632123" spans="15:15" x14ac:dyDescent="0.25">
      <c r="O632123" s="9"/>
    </row>
    <row r="632144" spans="15:15" x14ac:dyDescent="0.25">
      <c r="O632144" s="9"/>
    </row>
    <row r="632165" spans="15:15" x14ac:dyDescent="0.25">
      <c r="O632165" s="9"/>
    </row>
    <row r="632186" spans="15:15" x14ac:dyDescent="0.25">
      <c r="O632186" s="9"/>
    </row>
    <row r="632207" spans="15:15" x14ac:dyDescent="0.25">
      <c r="O632207" s="9"/>
    </row>
    <row r="632228" spans="15:15" x14ac:dyDescent="0.25">
      <c r="O632228" s="9"/>
    </row>
    <row r="632249" spans="15:15" x14ac:dyDescent="0.25">
      <c r="O632249" s="9"/>
    </row>
    <row r="632270" spans="15:15" x14ac:dyDescent="0.25">
      <c r="O632270" s="9"/>
    </row>
    <row r="632291" spans="15:15" x14ac:dyDescent="0.25">
      <c r="O632291" s="9"/>
    </row>
    <row r="632312" spans="15:15" x14ac:dyDescent="0.25">
      <c r="O632312" s="9"/>
    </row>
    <row r="632333" spans="15:15" x14ac:dyDescent="0.25">
      <c r="O632333" s="9"/>
    </row>
    <row r="632354" spans="15:15" x14ac:dyDescent="0.25">
      <c r="O632354" s="9"/>
    </row>
    <row r="632375" spans="15:15" x14ac:dyDescent="0.25">
      <c r="O632375" s="9"/>
    </row>
    <row r="632396" spans="15:15" x14ac:dyDescent="0.25">
      <c r="O632396" s="9"/>
    </row>
    <row r="632417" spans="15:15" x14ac:dyDescent="0.25">
      <c r="O632417" s="9"/>
    </row>
    <row r="632438" spans="15:15" x14ac:dyDescent="0.25">
      <c r="O632438" s="9"/>
    </row>
    <row r="632459" spans="15:15" x14ac:dyDescent="0.25">
      <c r="O632459" s="9"/>
    </row>
    <row r="632480" spans="15:15" x14ac:dyDescent="0.25">
      <c r="O632480" s="9"/>
    </row>
    <row r="632501" spans="15:15" x14ac:dyDescent="0.25">
      <c r="O632501" s="9"/>
    </row>
    <row r="632522" spans="15:15" x14ac:dyDescent="0.25">
      <c r="O632522" s="9"/>
    </row>
    <row r="632543" spans="15:15" x14ac:dyDescent="0.25">
      <c r="O632543" s="9"/>
    </row>
    <row r="632564" spans="15:15" x14ac:dyDescent="0.25">
      <c r="O632564" s="9"/>
    </row>
    <row r="632585" spans="15:15" x14ac:dyDescent="0.25">
      <c r="O632585" s="9"/>
    </row>
    <row r="632606" spans="15:15" x14ac:dyDescent="0.25">
      <c r="O632606" s="9"/>
    </row>
    <row r="632627" spans="15:15" x14ac:dyDescent="0.25">
      <c r="O632627" s="9"/>
    </row>
    <row r="632648" spans="15:15" x14ac:dyDescent="0.25">
      <c r="O632648" s="9"/>
    </row>
    <row r="632669" spans="15:15" x14ac:dyDescent="0.25">
      <c r="O632669" s="9"/>
    </row>
    <row r="632690" spans="15:15" x14ac:dyDescent="0.25">
      <c r="O632690" s="9"/>
    </row>
    <row r="632711" spans="15:15" x14ac:dyDescent="0.25">
      <c r="O632711" s="9"/>
    </row>
    <row r="632732" spans="15:15" x14ac:dyDescent="0.25">
      <c r="O632732" s="9"/>
    </row>
    <row r="632753" spans="15:15" x14ac:dyDescent="0.25">
      <c r="O632753" s="9"/>
    </row>
    <row r="632774" spans="15:15" x14ac:dyDescent="0.25">
      <c r="O632774" s="9"/>
    </row>
    <row r="632795" spans="15:15" x14ac:dyDescent="0.25">
      <c r="O632795" s="9"/>
    </row>
    <row r="632816" spans="15:15" x14ac:dyDescent="0.25">
      <c r="O632816" s="9"/>
    </row>
    <row r="632837" spans="15:15" x14ac:dyDescent="0.25">
      <c r="O632837" s="9"/>
    </row>
    <row r="632858" spans="15:15" x14ac:dyDescent="0.25">
      <c r="O632858" s="9"/>
    </row>
    <row r="632879" spans="15:15" x14ac:dyDescent="0.25">
      <c r="O632879" s="9"/>
    </row>
    <row r="632900" spans="15:15" x14ac:dyDescent="0.25">
      <c r="O632900" s="9"/>
    </row>
    <row r="632921" spans="15:15" x14ac:dyDescent="0.25">
      <c r="O632921" s="9"/>
    </row>
    <row r="632942" spans="15:15" x14ac:dyDescent="0.25">
      <c r="O632942" s="9"/>
    </row>
    <row r="632963" spans="15:15" x14ac:dyDescent="0.25">
      <c r="O632963" s="9"/>
    </row>
    <row r="632984" spans="15:15" x14ac:dyDescent="0.25">
      <c r="O632984" s="9"/>
    </row>
    <row r="633005" spans="15:15" x14ac:dyDescent="0.25">
      <c r="O633005" s="9"/>
    </row>
    <row r="633026" spans="15:15" x14ac:dyDescent="0.25">
      <c r="O633026" s="9"/>
    </row>
    <row r="633047" spans="15:15" x14ac:dyDescent="0.25">
      <c r="O633047" s="9"/>
    </row>
    <row r="633068" spans="15:15" x14ac:dyDescent="0.25">
      <c r="O633068" s="9"/>
    </row>
    <row r="633089" spans="15:15" x14ac:dyDescent="0.25">
      <c r="O633089" s="9"/>
    </row>
    <row r="633110" spans="15:15" x14ac:dyDescent="0.25">
      <c r="O633110" s="9"/>
    </row>
    <row r="633131" spans="15:15" x14ac:dyDescent="0.25">
      <c r="O633131" s="9"/>
    </row>
    <row r="633152" spans="15:15" x14ac:dyDescent="0.25">
      <c r="O633152" s="9"/>
    </row>
    <row r="633173" spans="15:15" x14ac:dyDescent="0.25">
      <c r="O633173" s="9"/>
    </row>
    <row r="633194" spans="15:15" x14ac:dyDescent="0.25">
      <c r="O633194" s="9"/>
    </row>
    <row r="633215" spans="15:15" x14ac:dyDescent="0.25">
      <c r="O633215" s="9"/>
    </row>
    <row r="633236" spans="15:15" x14ac:dyDescent="0.25">
      <c r="O633236" s="9"/>
    </row>
    <row r="633257" spans="15:15" x14ac:dyDescent="0.25">
      <c r="O633257" s="9"/>
    </row>
    <row r="633278" spans="15:15" x14ac:dyDescent="0.25">
      <c r="O633278" s="9"/>
    </row>
    <row r="633299" spans="15:15" x14ac:dyDescent="0.25">
      <c r="O633299" s="9"/>
    </row>
    <row r="633320" spans="15:15" x14ac:dyDescent="0.25">
      <c r="O633320" s="9"/>
    </row>
    <row r="633341" spans="15:15" x14ac:dyDescent="0.25">
      <c r="O633341" s="9"/>
    </row>
    <row r="633362" spans="15:15" x14ac:dyDescent="0.25">
      <c r="O633362" s="9"/>
    </row>
    <row r="633383" spans="15:15" x14ac:dyDescent="0.25">
      <c r="O633383" s="9"/>
    </row>
    <row r="633404" spans="15:15" x14ac:dyDescent="0.25">
      <c r="O633404" s="9"/>
    </row>
    <row r="633425" spans="15:15" x14ac:dyDescent="0.25">
      <c r="O633425" s="9"/>
    </row>
    <row r="633446" spans="15:15" x14ac:dyDescent="0.25">
      <c r="O633446" s="9"/>
    </row>
    <row r="633467" spans="15:15" x14ac:dyDescent="0.25">
      <c r="O633467" s="9"/>
    </row>
    <row r="633488" spans="15:15" x14ac:dyDescent="0.25">
      <c r="O633488" s="9"/>
    </row>
    <row r="633509" spans="15:15" x14ac:dyDescent="0.25">
      <c r="O633509" s="9"/>
    </row>
    <row r="633530" spans="15:15" x14ac:dyDescent="0.25">
      <c r="O633530" s="9"/>
    </row>
    <row r="633551" spans="15:15" x14ac:dyDescent="0.25">
      <c r="O633551" s="9"/>
    </row>
    <row r="633572" spans="15:15" x14ac:dyDescent="0.25">
      <c r="O633572" s="9"/>
    </row>
    <row r="633593" spans="15:15" x14ac:dyDescent="0.25">
      <c r="O633593" s="9"/>
    </row>
    <row r="633614" spans="15:15" x14ac:dyDescent="0.25">
      <c r="O633614" s="9"/>
    </row>
    <row r="633635" spans="15:15" x14ac:dyDescent="0.25">
      <c r="O633635" s="9"/>
    </row>
    <row r="633656" spans="15:15" x14ac:dyDescent="0.25">
      <c r="O633656" s="9"/>
    </row>
    <row r="633677" spans="15:15" x14ac:dyDescent="0.25">
      <c r="O633677" s="9"/>
    </row>
    <row r="633698" spans="15:15" x14ac:dyDescent="0.25">
      <c r="O633698" s="9"/>
    </row>
    <row r="633719" spans="15:15" x14ac:dyDescent="0.25">
      <c r="O633719" s="9"/>
    </row>
    <row r="633740" spans="15:15" x14ac:dyDescent="0.25">
      <c r="O633740" s="9"/>
    </row>
    <row r="633761" spans="15:15" x14ac:dyDescent="0.25">
      <c r="O633761" s="9"/>
    </row>
    <row r="633782" spans="15:15" x14ac:dyDescent="0.25">
      <c r="O633782" s="9"/>
    </row>
    <row r="633803" spans="15:15" x14ac:dyDescent="0.25">
      <c r="O633803" s="9"/>
    </row>
    <row r="633824" spans="15:15" x14ac:dyDescent="0.25">
      <c r="O633824" s="9"/>
    </row>
    <row r="633845" spans="15:15" x14ac:dyDescent="0.25">
      <c r="O633845" s="9"/>
    </row>
    <row r="633866" spans="15:15" x14ac:dyDescent="0.25">
      <c r="O633866" s="9"/>
    </row>
    <row r="633887" spans="15:15" x14ac:dyDescent="0.25">
      <c r="O633887" s="9"/>
    </row>
    <row r="633908" spans="15:15" x14ac:dyDescent="0.25">
      <c r="O633908" s="9"/>
    </row>
    <row r="633929" spans="15:15" x14ac:dyDescent="0.25">
      <c r="O633929" s="9"/>
    </row>
    <row r="633950" spans="15:15" x14ac:dyDescent="0.25">
      <c r="O633950" s="9"/>
    </row>
    <row r="633971" spans="15:15" x14ac:dyDescent="0.25">
      <c r="O633971" s="9"/>
    </row>
    <row r="633992" spans="15:15" x14ac:dyDescent="0.25">
      <c r="O633992" s="9"/>
    </row>
    <row r="634013" spans="15:15" x14ac:dyDescent="0.25">
      <c r="O634013" s="9"/>
    </row>
    <row r="634034" spans="15:15" x14ac:dyDescent="0.25">
      <c r="O634034" s="9"/>
    </row>
    <row r="634055" spans="15:15" x14ac:dyDescent="0.25">
      <c r="O634055" s="9"/>
    </row>
    <row r="634076" spans="15:15" x14ac:dyDescent="0.25">
      <c r="O634076" s="9"/>
    </row>
    <row r="634097" spans="15:15" x14ac:dyDescent="0.25">
      <c r="O634097" s="9"/>
    </row>
    <row r="634118" spans="15:15" x14ac:dyDescent="0.25">
      <c r="O634118" s="9"/>
    </row>
    <row r="634139" spans="15:15" x14ac:dyDescent="0.25">
      <c r="O634139" s="9"/>
    </row>
    <row r="634160" spans="15:15" x14ac:dyDescent="0.25">
      <c r="O634160" s="9"/>
    </row>
    <row r="634181" spans="15:15" x14ac:dyDescent="0.25">
      <c r="O634181" s="9"/>
    </row>
    <row r="634202" spans="15:15" x14ac:dyDescent="0.25">
      <c r="O634202" s="9"/>
    </row>
    <row r="634223" spans="15:15" x14ac:dyDescent="0.25">
      <c r="O634223" s="9"/>
    </row>
    <row r="634244" spans="15:15" x14ac:dyDescent="0.25">
      <c r="O634244" s="9"/>
    </row>
    <row r="634265" spans="15:15" x14ac:dyDescent="0.25">
      <c r="O634265" s="9"/>
    </row>
    <row r="634286" spans="15:15" x14ac:dyDescent="0.25">
      <c r="O634286" s="9"/>
    </row>
    <row r="634307" spans="15:15" x14ac:dyDescent="0.25">
      <c r="O634307" s="9"/>
    </row>
    <row r="634328" spans="15:15" x14ac:dyDescent="0.25">
      <c r="O634328" s="9"/>
    </row>
    <row r="634349" spans="15:15" x14ac:dyDescent="0.25">
      <c r="O634349" s="9"/>
    </row>
    <row r="634370" spans="15:15" x14ac:dyDescent="0.25">
      <c r="O634370" s="9"/>
    </row>
    <row r="634391" spans="15:15" x14ac:dyDescent="0.25">
      <c r="O634391" s="9"/>
    </row>
    <row r="634412" spans="15:15" x14ac:dyDescent="0.25">
      <c r="O634412" s="9"/>
    </row>
    <row r="634433" spans="15:15" x14ac:dyDescent="0.25">
      <c r="O634433" s="9"/>
    </row>
    <row r="634454" spans="15:15" x14ac:dyDescent="0.25">
      <c r="O634454" s="9"/>
    </row>
    <row r="634475" spans="15:15" x14ac:dyDescent="0.25">
      <c r="O634475" s="9"/>
    </row>
    <row r="634496" spans="15:15" x14ac:dyDescent="0.25">
      <c r="O634496" s="9"/>
    </row>
    <row r="634517" spans="15:15" x14ac:dyDescent="0.25">
      <c r="O634517" s="9"/>
    </row>
    <row r="634538" spans="15:15" x14ac:dyDescent="0.25">
      <c r="O634538" s="9"/>
    </row>
    <row r="634559" spans="15:15" x14ac:dyDescent="0.25">
      <c r="O634559" s="9"/>
    </row>
    <row r="634580" spans="15:15" x14ac:dyDescent="0.25">
      <c r="O634580" s="9"/>
    </row>
    <row r="634601" spans="15:15" x14ac:dyDescent="0.25">
      <c r="O634601" s="9"/>
    </row>
    <row r="634622" spans="15:15" x14ac:dyDescent="0.25">
      <c r="O634622" s="9"/>
    </row>
    <row r="634643" spans="15:15" x14ac:dyDescent="0.25">
      <c r="O634643" s="9"/>
    </row>
    <row r="634664" spans="15:15" x14ac:dyDescent="0.25">
      <c r="O634664" s="9"/>
    </row>
    <row r="634685" spans="15:15" x14ac:dyDescent="0.25">
      <c r="O634685" s="9"/>
    </row>
    <row r="634706" spans="15:15" x14ac:dyDescent="0.25">
      <c r="O634706" s="9"/>
    </row>
    <row r="634727" spans="15:15" x14ac:dyDescent="0.25">
      <c r="O634727" s="9"/>
    </row>
    <row r="634748" spans="15:15" x14ac:dyDescent="0.25">
      <c r="O634748" s="9"/>
    </row>
    <row r="634769" spans="15:15" x14ac:dyDescent="0.25">
      <c r="O634769" s="9"/>
    </row>
    <row r="634790" spans="15:15" x14ac:dyDescent="0.25">
      <c r="O634790" s="9"/>
    </row>
    <row r="634811" spans="15:15" x14ac:dyDescent="0.25">
      <c r="O634811" s="9"/>
    </row>
    <row r="634832" spans="15:15" x14ac:dyDescent="0.25">
      <c r="O634832" s="9"/>
    </row>
    <row r="634853" spans="15:15" x14ac:dyDescent="0.25">
      <c r="O634853" s="9"/>
    </row>
    <row r="634874" spans="15:15" x14ac:dyDescent="0.25">
      <c r="O634874" s="9"/>
    </row>
    <row r="634895" spans="15:15" x14ac:dyDescent="0.25">
      <c r="O634895" s="9"/>
    </row>
    <row r="634916" spans="15:15" x14ac:dyDescent="0.25">
      <c r="O634916" s="9"/>
    </row>
    <row r="634937" spans="15:15" x14ac:dyDescent="0.25">
      <c r="O634937" s="9"/>
    </row>
    <row r="634958" spans="15:15" x14ac:dyDescent="0.25">
      <c r="O634958" s="9"/>
    </row>
    <row r="634979" spans="15:15" x14ac:dyDescent="0.25">
      <c r="O634979" s="9"/>
    </row>
    <row r="635000" spans="15:15" x14ac:dyDescent="0.25">
      <c r="O635000" s="9"/>
    </row>
    <row r="635021" spans="15:15" x14ac:dyDescent="0.25">
      <c r="O635021" s="9"/>
    </row>
    <row r="635042" spans="15:15" x14ac:dyDescent="0.25">
      <c r="O635042" s="9"/>
    </row>
    <row r="635063" spans="15:15" x14ac:dyDescent="0.25">
      <c r="O635063" s="9"/>
    </row>
    <row r="635084" spans="15:15" x14ac:dyDescent="0.25">
      <c r="O635084" s="9"/>
    </row>
    <row r="635105" spans="15:15" x14ac:dyDescent="0.25">
      <c r="O635105" s="9"/>
    </row>
    <row r="635126" spans="15:15" x14ac:dyDescent="0.25">
      <c r="O635126" s="9"/>
    </row>
    <row r="635147" spans="15:15" x14ac:dyDescent="0.25">
      <c r="O635147" s="9"/>
    </row>
    <row r="635168" spans="15:15" x14ac:dyDescent="0.25">
      <c r="O635168" s="9"/>
    </row>
    <row r="635189" spans="15:15" x14ac:dyDescent="0.25">
      <c r="O635189" s="9"/>
    </row>
    <row r="635210" spans="15:15" x14ac:dyDescent="0.25">
      <c r="O635210" s="9"/>
    </row>
    <row r="635231" spans="15:15" x14ac:dyDescent="0.25">
      <c r="O635231" s="9"/>
    </row>
    <row r="635252" spans="15:15" x14ac:dyDescent="0.25">
      <c r="O635252" s="9"/>
    </row>
    <row r="635273" spans="15:15" x14ac:dyDescent="0.25">
      <c r="O635273" s="9"/>
    </row>
    <row r="635294" spans="15:15" x14ac:dyDescent="0.25">
      <c r="O635294" s="9"/>
    </row>
    <row r="635315" spans="15:15" x14ac:dyDescent="0.25">
      <c r="O635315" s="9"/>
    </row>
    <row r="635336" spans="15:15" x14ac:dyDescent="0.25">
      <c r="O635336" s="9"/>
    </row>
    <row r="635357" spans="15:15" x14ac:dyDescent="0.25">
      <c r="O635357" s="9"/>
    </row>
    <row r="635378" spans="15:15" x14ac:dyDescent="0.25">
      <c r="O635378" s="9"/>
    </row>
    <row r="635399" spans="15:15" x14ac:dyDescent="0.25">
      <c r="O635399" s="9"/>
    </row>
    <row r="635420" spans="15:15" x14ac:dyDescent="0.25">
      <c r="O635420" s="9"/>
    </row>
    <row r="635441" spans="15:15" x14ac:dyDescent="0.25">
      <c r="O635441" s="9"/>
    </row>
    <row r="635462" spans="15:15" x14ac:dyDescent="0.25">
      <c r="O635462" s="9"/>
    </row>
    <row r="635483" spans="15:15" x14ac:dyDescent="0.25">
      <c r="O635483" s="9"/>
    </row>
    <row r="635504" spans="15:15" x14ac:dyDescent="0.25">
      <c r="O635504" s="9"/>
    </row>
    <row r="635525" spans="15:15" x14ac:dyDescent="0.25">
      <c r="O635525" s="9"/>
    </row>
    <row r="635546" spans="15:15" x14ac:dyDescent="0.25">
      <c r="O635546" s="9"/>
    </row>
    <row r="635567" spans="15:15" x14ac:dyDescent="0.25">
      <c r="O635567" s="9"/>
    </row>
    <row r="635588" spans="15:15" x14ac:dyDescent="0.25">
      <c r="O635588" s="9"/>
    </row>
    <row r="635609" spans="15:15" x14ac:dyDescent="0.25">
      <c r="O635609" s="9"/>
    </row>
    <row r="635630" spans="15:15" x14ac:dyDescent="0.25">
      <c r="O635630" s="9"/>
    </row>
    <row r="635651" spans="15:15" x14ac:dyDescent="0.25">
      <c r="O635651" s="9"/>
    </row>
    <row r="635672" spans="15:15" x14ac:dyDescent="0.25">
      <c r="O635672" s="9"/>
    </row>
    <row r="635693" spans="15:15" x14ac:dyDescent="0.25">
      <c r="O635693" s="9"/>
    </row>
    <row r="635714" spans="15:15" x14ac:dyDescent="0.25">
      <c r="O635714" s="9"/>
    </row>
    <row r="635735" spans="15:15" x14ac:dyDescent="0.25">
      <c r="O635735" s="9"/>
    </row>
    <row r="635756" spans="15:15" x14ac:dyDescent="0.25">
      <c r="O635756" s="9"/>
    </row>
    <row r="635777" spans="15:15" x14ac:dyDescent="0.25">
      <c r="O635777" s="9"/>
    </row>
    <row r="635798" spans="15:15" x14ac:dyDescent="0.25">
      <c r="O635798" s="9"/>
    </row>
    <row r="635819" spans="15:15" x14ac:dyDescent="0.25">
      <c r="O635819" s="9"/>
    </row>
    <row r="635840" spans="15:15" x14ac:dyDescent="0.25">
      <c r="O635840" s="9"/>
    </row>
    <row r="635861" spans="15:15" x14ac:dyDescent="0.25">
      <c r="O635861" s="9"/>
    </row>
    <row r="635882" spans="15:15" x14ac:dyDescent="0.25">
      <c r="O635882" s="9"/>
    </row>
    <row r="635903" spans="15:15" x14ac:dyDescent="0.25">
      <c r="O635903" s="9"/>
    </row>
    <row r="635924" spans="15:15" x14ac:dyDescent="0.25">
      <c r="O635924" s="9"/>
    </row>
    <row r="635945" spans="15:15" x14ac:dyDescent="0.25">
      <c r="O635945" s="9"/>
    </row>
    <row r="635966" spans="15:15" x14ac:dyDescent="0.25">
      <c r="O635966" s="9"/>
    </row>
    <row r="635987" spans="15:15" x14ac:dyDescent="0.25">
      <c r="O635987" s="9"/>
    </row>
    <row r="636008" spans="15:15" x14ac:dyDescent="0.25">
      <c r="O636008" s="9"/>
    </row>
    <row r="636029" spans="15:15" x14ac:dyDescent="0.25">
      <c r="O636029" s="9"/>
    </row>
    <row r="636050" spans="15:15" x14ac:dyDescent="0.25">
      <c r="O636050" s="9"/>
    </row>
    <row r="636071" spans="15:15" x14ac:dyDescent="0.25">
      <c r="O636071" s="9"/>
    </row>
    <row r="636092" spans="15:15" x14ac:dyDescent="0.25">
      <c r="O636092" s="9"/>
    </row>
    <row r="636113" spans="15:15" x14ac:dyDescent="0.25">
      <c r="O636113" s="9"/>
    </row>
    <row r="636134" spans="15:15" x14ac:dyDescent="0.25">
      <c r="O636134" s="9"/>
    </row>
    <row r="636155" spans="15:15" x14ac:dyDescent="0.25">
      <c r="O636155" s="9"/>
    </row>
    <row r="636176" spans="15:15" x14ac:dyDescent="0.25">
      <c r="O636176" s="9"/>
    </row>
    <row r="636197" spans="15:15" x14ac:dyDescent="0.25">
      <c r="O636197" s="9"/>
    </row>
    <row r="636218" spans="15:15" x14ac:dyDescent="0.25">
      <c r="O636218" s="9"/>
    </row>
    <row r="636239" spans="15:15" x14ac:dyDescent="0.25">
      <c r="O636239" s="9"/>
    </row>
    <row r="636260" spans="15:15" x14ac:dyDescent="0.25">
      <c r="O636260" s="9"/>
    </row>
    <row r="636281" spans="15:15" x14ac:dyDescent="0.25">
      <c r="O636281" s="9"/>
    </row>
    <row r="636302" spans="15:15" x14ac:dyDescent="0.25">
      <c r="O636302" s="9"/>
    </row>
    <row r="636323" spans="15:15" x14ac:dyDescent="0.25">
      <c r="O636323" s="9"/>
    </row>
    <row r="636344" spans="15:15" x14ac:dyDescent="0.25">
      <c r="O636344" s="9"/>
    </row>
    <row r="636365" spans="15:15" x14ac:dyDescent="0.25">
      <c r="O636365" s="9"/>
    </row>
    <row r="636386" spans="15:15" x14ac:dyDescent="0.25">
      <c r="O636386" s="9"/>
    </row>
    <row r="636407" spans="15:15" x14ac:dyDescent="0.25">
      <c r="O636407" s="9"/>
    </row>
    <row r="636428" spans="15:15" x14ac:dyDescent="0.25">
      <c r="O636428" s="9"/>
    </row>
    <row r="636449" spans="15:15" x14ac:dyDescent="0.25">
      <c r="O636449" s="9"/>
    </row>
    <row r="636470" spans="15:15" x14ac:dyDescent="0.25">
      <c r="O636470" s="9"/>
    </row>
    <row r="636491" spans="15:15" x14ac:dyDescent="0.25">
      <c r="O636491" s="9"/>
    </row>
    <row r="636512" spans="15:15" x14ac:dyDescent="0.25">
      <c r="O636512" s="9"/>
    </row>
    <row r="636533" spans="15:15" x14ac:dyDescent="0.25">
      <c r="O636533" s="9"/>
    </row>
    <row r="636554" spans="15:15" x14ac:dyDescent="0.25">
      <c r="O636554" s="9"/>
    </row>
    <row r="636575" spans="15:15" x14ac:dyDescent="0.25">
      <c r="O636575" s="9"/>
    </row>
    <row r="636596" spans="15:15" x14ac:dyDescent="0.25">
      <c r="O636596" s="9"/>
    </row>
    <row r="636617" spans="15:15" x14ac:dyDescent="0.25">
      <c r="O636617" s="9"/>
    </row>
    <row r="636638" spans="15:15" x14ac:dyDescent="0.25">
      <c r="O636638" s="9"/>
    </row>
    <row r="636659" spans="15:15" x14ac:dyDescent="0.25">
      <c r="O636659" s="9"/>
    </row>
    <row r="636680" spans="15:15" x14ac:dyDescent="0.25">
      <c r="O636680" s="9"/>
    </row>
    <row r="636701" spans="15:15" x14ac:dyDescent="0.25">
      <c r="O636701" s="9"/>
    </row>
    <row r="636722" spans="15:15" x14ac:dyDescent="0.25">
      <c r="O636722" s="9"/>
    </row>
    <row r="636743" spans="15:15" x14ac:dyDescent="0.25">
      <c r="O636743" s="9"/>
    </row>
    <row r="636764" spans="15:15" x14ac:dyDescent="0.25">
      <c r="O636764" s="9"/>
    </row>
    <row r="636785" spans="15:15" x14ac:dyDescent="0.25">
      <c r="O636785" s="9"/>
    </row>
    <row r="636806" spans="15:15" x14ac:dyDescent="0.25">
      <c r="O636806" s="9"/>
    </row>
    <row r="636827" spans="15:15" x14ac:dyDescent="0.25">
      <c r="O636827" s="9"/>
    </row>
    <row r="636848" spans="15:15" x14ac:dyDescent="0.25">
      <c r="O636848" s="9"/>
    </row>
    <row r="636869" spans="15:15" x14ac:dyDescent="0.25">
      <c r="O636869" s="9"/>
    </row>
    <row r="636890" spans="15:15" x14ac:dyDescent="0.25">
      <c r="O636890" s="9"/>
    </row>
    <row r="636911" spans="15:15" x14ac:dyDescent="0.25">
      <c r="O636911" s="9"/>
    </row>
    <row r="636932" spans="15:15" x14ac:dyDescent="0.25">
      <c r="O636932" s="9"/>
    </row>
    <row r="636953" spans="15:15" x14ac:dyDescent="0.25">
      <c r="O636953" s="9"/>
    </row>
    <row r="636974" spans="15:15" x14ac:dyDescent="0.25">
      <c r="O636974" s="9"/>
    </row>
    <row r="636995" spans="15:15" x14ac:dyDescent="0.25">
      <c r="O636995" s="9"/>
    </row>
    <row r="637016" spans="15:15" x14ac:dyDescent="0.25">
      <c r="O637016" s="9"/>
    </row>
    <row r="637037" spans="15:15" x14ac:dyDescent="0.25">
      <c r="O637037" s="9"/>
    </row>
    <row r="637058" spans="15:15" x14ac:dyDescent="0.25">
      <c r="O637058" s="9"/>
    </row>
    <row r="637079" spans="15:15" x14ac:dyDescent="0.25">
      <c r="O637079" s="9"/>
    </row>
    <row r="637100" spans="15:15" x14ac:dyDescent="0.25">
      <c r="O637100" s="9"/>
    </row>
    <row r="637121" spans="15:15" x14ac:dyDescent="0.25">
      <c r="O637121" s="9"/>
    </row>
    <row r="637142" spans="15:15" x14ac:dyDescent="0.25">
      <c r="O637142" s="9"/>
    </row>
    <row r="637163" spans="15:15" x14ac:dyDescent="0.25">
      <c r="O637163" s="9"/>
    </row>
    <row r="637184" spans="15:15" x14ac:dyDescent="0.25">
      <c r="O637184" s="9"/>
    </row>
    <row r="637205" spans="15:15" x14ac:dyDescent="0.25">
      <c r="O637205" s="9"/>
    </row>
    <row r="637226" spans="15:15" x14ac:dyDescent="0.25">
      <c r="O637226" s="9"/>
    </row>
    <row r="637247" spans="15:15" x14ac:dyDescent="0.25">
      <c r="O637247" s="9"/>
    </row>
    <row r="637268" spans="15:15" x14ac:dyDescent="0.25">
      <c r="O637268" s="9"/>
    </row>
    <row r="637289" spans="15:15" x14ac:dyDescent="0.25">
      <c r="O637289" s="9"/>
    </row>
    <row r="637310" spans="15:15" x14ac:dyDescent="0.25">
      <c r="O637310" s="9"/>
    </row>
    <row r="637331" spans="15:15" x14ac:dyDescent="0.25">
      <c r="O637331" s="9"/>
    </row>
    <row r="637352" spans="15:15" x14ac:dyDescent="0.25">
      <c r="O637352" s="9"/>
    </row>
    <row r="637373" spans="15:15" x14ac:dyDescent="0.25">
      <c r="O637373" s="9"/>
    </row>
    <row r="637394" spans="15:15" x14ac:dyDescent="0.25">
      <c r="O637394" s="9"/>
    </row>
    <row r="637415" spans="15:15" x14ac:dyDescent="0.25">
      <c r="O637415" s="9"/>
    </row>
    <row r="637436" spans="15:15" x14ac:dyDescent="0.25">
      <c r="O637436" s="9"/>
    </row>
    <row r="637457" spans="15:15" x14ac:dyDescent="0.25">
      <c r="O637457" s="9"/>
    </row>
    <row r="637478" spans="15:15" x14ac:dyDescent="0.25">
      <c r="O637478" s="9"/>
    </row>
    <row r="637499" spans="15:15" x14ac:dyDescent="0.25">
      <c r="O637499" s="9"/>
    </row>
    <row r="637520" spans="15:15" x14ac:dyDescent="0.25">
      <c r="O637520" s="9"/>
    </row>
    <row r="637541" spans="15:15" x14ac:dyDescent="0.25">
      <c r="O637541" s="9"/>
    </row>
    <row r="637562" spans="15:15" x14ac:dyDescent="0.25">
      <c r="O637562" s="9"/>
    </row>
    <row r="637583" spans="15:15" x14ac:dyDescent="0.25">
      <c r="O637583" s="9"/>
    </row>
    <row r="637604" spans="15:15" x14ac:dyDescent="0.25">
      <c r="O637604" s="9"/>
    </row>
    <row r="637625" spans="15:15" x14ac:dyDescent="0.25">
      <c r="O637625" s="9"/>
    </row>
    <row r="637646" spans="15:15" x14ac:dyDescent="0.25">
      <c r="O637646" s="9"/>
    </row>
    <row r="637667" spans="15:15" x14ac:dyDescent="0.25">
      <c r="O637667" s="9"/>
    </row>
    <row r="637688" spans="15:15" x14ac:dyDescent="0.25">
      <c r="O637688" s="9"/>
    </row>
    <row r="637709" spans="15:15" x14ac:dyDescent="0.25">
      <c r="O637709" s="9"/>
    </row>
    <row r="637730" spans="15:15" x14ac:dyDescent="0.25">
      <c r="O637730" s="9"/>
    </row>
    <row r="637751" spans="15:15" x14ac:dyDescent="0.25">
      <c r="O637751" s="9"/>
    </row>
    <row r="637772" spans="15:15" x14ac:dyDescent="0.25">
      <c r="O637772" s="9"/>
    </row>
    <row r="637793" spans="15:15" x14ac:dyDescent="0.25">
      <c r="O637793" s="9"/>
    </row>
    <row r="637814" spans="15:15" x14ac:dyDescent="0.25">
      <c r="O637814" s="9"/>
    </row>
    <row r="637835" spans="15:15" x14ac:dyDescent="0.25">
      <c r="O637835" s="9"/>
    </row>
    <row r="637856" spans="15:15" x14ac:dyDescent="0.25">
      <c r="O637856" s="9"/>
    </row>
    <row r="637877" spans="15:15" x14ac:dyDescent="0.25">
      <c r="O637877" s="9"/>
    </row>
    <row r="637898" spans="15:15" x14ac:dyDescent="0.25">
      <c r="O637898" s="9"/>
    </row>
    <row r="637919" spans="15:15" x14ac:dyDescent="0.25">
      <c r="O637919" s="9"/>
    </row>
    <row r="637940" spans="15:15" x14ac:dyDescent="0.25">
      <c r="O637940" s="9"/>
    </row>
    <row r="637961" spans="15:15" x14ac:dyDescent="0.25">
      <c r="O637961" s="9"/>
    </row>
    <row r="637982" spans="15:15" x14ac:dyDescent="0.25">
      <c r="O637982" s="9"/>
    </row>
    <row r="638003" spans="15:15" x14ac:dyDescent="0.25">
      <c r="O638003" s="9"/>
    </row>
    <row r="638024" spans="15:15" x14ac:dyDescent="0.25">
      <c r="O638024" s="9"/>
    </row>
    <row r="638045" spans="15:15" x14ac:dyDescent="0.25">
      <c r="O638045" s="9"/>
    </row>
    <row r="638066" spans="15:15" x14ac:dyDescent="0.25">
      <c r="O638066" s="9"/>
    </row>
    <row r="638087" spans="15:15" x14ac:dyDescent="0.25">
      <c r="O638087" s="9"/>
    </row>
    <row r="638108" spans="15:15" x14ac:dyDescent="0.25">
      <c r="O638108" s="9"/>
    </row>
    <row r="638129" spans="15:15" x14ac:dyDescent="0.25">
      <c r="O638129" s="9"/>
    </row>
    <row r="638150" spans="15:15" x14ac:dyDescent="0.25">
      <c r="O638150" s="9"/>
    </row>
    <row r="638171" spans="15:15" x14ac:dyDescent="0.25">
      <c r="O638171" s="9"/>
    </row>
    <row r="638192" spans="15:15" x14ac:dyDescent="0.25">
      <c r="O638192" s="9"/>
    </row>
    <row r="638213" spans="15:15" x14ac:dyDescent="0.25">
      <c r="O638213" s="9"/>
    </row>
    <row r="638234" spans="15:15" x14ac:dyDescent="0.25">
      <c r="O638234" s="9"/>
    </row>
    <row r="638255" spans="15:15" x14ac:dyDescent="0.25">
      <c r="O638255" s="9"/>
    </row>
    <row r="638276" spans="15:15" x14ac:dyDescent="0.25">
      <c r="O638276" s="9"/>
    </row>
    <row r="638297" spans="15:15" x14ac:dyDescent="0.25">
      <c r="O638297" s="9"/>
    </row>
    <row r="638318" spans="15:15" x14ac:dyDescent="0.25">
      <c r="O638318" s="9"/>
    </row>
    <row r="638339" spans="15:15" x14ac:dyDescent="0.25">
      <c r="O638339" s="9"/>
    </row>
    <row r="638360" spans="15:15" x14ac:dyDescent="0.25">
      <c r="O638360" s="9"/>
    </row>
    <row r="638381" spans="15:15" x14ac:dyDescent="0.25">
      <c r="O638381" s="9"/>
    </row>
    <row r="638402" spans="15:15" x14ac:dyDescent="0.25">
      <c r="O638402" s="9"/>
    </row>
    <row r="638423" spans="15:15" x14ac:dyDescent="0.25">
      <c r="O638423" s="9"/>
    </row>
    <row r="638444" spans="15:15" x14ac:dyDescent="0.25">
      <c r="O638444" s="9"/>
    </row>
    <row r="638465" spans="15:15" x14ac:dyDescent="0.25">
      <c r="O638465" s="9"/>
    </row>
    <row r="638486" spans="15:15" x14ac:dyDescent="0.25">
      <c r="O638486" s="9"/>
    </row>
    <row r="638507" spans="15:15" x14ac:dyDescent="0.25">
      <c r="O638507" s="9"/>
    </row>
    <row r="638528" spans="15:15" x14ac:dyDescent="0.25">
      <c r="O638528" s="9"/>
    </row>
    <row r="638549" spans="15:15" x14ac:dyDescent="0.25">
      <c r="O638549" s="9"/>
    </row>
    <row r="638570" spans="15:15" x14ac:dyDescent="0.25">
      <c r="O638570" s="9"/>
    </row>
    <row r="638591" spans="15:15" x14ac:dyDescent="0.25">
      <c r="O638591" s="9"/>
    </row>
    <row r="638612" spans="15:15" x14ac:dyDescent="0.25">
      <c r="O638612" s="9"/>
    </row>
    <row r="638633" spans="15:15" x14ac:dyDescent="0.25">
      <c r="O638633" s="9"/>
    </row>
    <row r="638654" spans="15:15" x14ac:dyDescent="0.25">
      <c r="O638654" s="9"/>
    </row>
    <row r="638675" spans="15:15" x14ac:dyDescent="0.25">
      <c r="O638675" s="9"/>
    </row>
    <row r="638696" spans="15:15" x14ac:dyDescent="0.25">
      <c r="O638696" s="9"/>
    </row>
    <row r="638717" spans="15:15" x14ac:dyDescent="0.25">
      <c r="O638717" s="9"/>
    </row>
    <row r="638738" spans="15:15" x14ac:dyDescent="0.25">
      <c r="O638738" s="9"/>
    </row>
    <row r="638759" spans="15:15" x14ac:dyDescent="0.25">
      <c r="O638759" s="9"/>
    </row>
    <row r="638780" spans="15:15" x14ac:dyDescent="0.25">
      <c r="O638780" s="9"/>
    </row>
    <row r="638801" spans="15:15" x14ac:dyDescent="0.25">
      <c r="O638801" s="9"/>
    </row>
    <row r="638822" spans="15:15" x14ac:dyDescent="0.25">
      <c r="O638822" s="9"/>
    </row>
    <row r="638843" spans="15:15" x14ac:dyDescent="0.25">
      <c r="O638843" s="9"/>
    </row>
    <row r="638864" spans="15:15" x14ac:dyDescent="0.25">
      <c r="O638864" s="9"/>
    </row>
    <row r="638885" spans="15:15" x14ac:dyDescent="0.25">
      <c r="O638885" s="9"/>
    </row>
    <row r="638906" spans="15:15" x14ac:dyDescent="0.25">
      <c r="O638906" s="9"/>
    </row>
    <row r="638927" spans="15:15" x14ac:dyDescent="0.25">
      <c r="O638927" s="9"/>
    </row>
    <row r="638948" spans="15:15" x14ac:dyDescent="0.25">
      <c r="O638948" s="9"/>
    </row>
    <row r="638969" spans="15:15" x14ac:dyDescent="0.25">
      <c r="O638969" s="9"/>
    </row>
    <row r="638990" spans="15:15" x14ac:dyDescent="0.25">
      <c r="O638990" s="9"/>
    </row>
    <row r="639011" spans="15:15" x14ac:dyDescent="0.25">
      <c r="O639011" s="9"/>
    </row>
    <row r="639032" spans="15:15" x14ac:dyDescent="0.25">
      <c r="O639032" s="9"/>
    </row>
    <row r="639053" spans="15:15" x14ac:dyDescent="0.25">
      <c r="O639053" s="9"/>
    </row>
    <row r="639074" spans="15:15" x14ac:dyDescent="0.25">
      <c r="O639074" s="9"/>
    </row>
    <row r="639095" spans="15:15" x14ac:dyDescent="0.25">
      <c r="O639095" s="9"/>
    </row>
    <row r="639116" spans="15:15" x14ac:dyDescent="0.25">
      <c r="O639116" s="9"/>
    </row>
    <row r="639137" spans="15:15" x14ac:dyDescent="0.25">
      <c r="O639137" s="9"/>
    </row>
    <row r="639158" spans="15:15" x14ac:dyDescent="0.25">
      <c r="O639158" s="9"/>
    </row>
    <row r="639179" spans="15:15" x14ac:dyDescent="0.25">
      <c r="O639179" s="9"/>
    </row>
    <row r="639200" spans="15:15" x14ac:dyDescent="0.25">
      <c r="O639200" s="9"/>
    </row>
    <row r="639221" spans="15:15" x14ac:dyDescent="0.25">
      <c r="O639221" s="9"/>
    </row>
    <row r="639242" spans="15:15" x14ac:dyDescent="0.25">
      <c r="O639242" s="9"/>
    </row>
    <row r="639263" spans="15:15" x14ac:dyDescent="0.25">
      <c r="O639263" s="9"/>
    </row>
    <row r="639284" spans="15:15" x14ac:dyDescent="0.25">
      <c r="O639284" s="9"/>
    </row>
    <row r="639305" spans="15:15" x14ac:dyDescent="0.25">
      <c r="O639305" s="9"/>
    </row>
    <row r="639326" spans="15:15" x14ac:dyDescent="0.25">
      <c r="O639326" s="9"/>
    </row>
    <row r="639347" spans="15:15" x14ac:dyDescent="0.25">
      <c r="O639347" s="9"/>
    </row>
    <row r="639368" spans="15:15" x14ac:dyDescent="0.25">
      <c r="O639368" s="9"/>
    </row>
    <row r="639389" spans="15:15" x14ac:dyDescent="0.25">
      <c r="O639389" s="9"/>
    </row>
    <row r="639410" spans="15:15" x14ac:dyDescent="0.25">
      <c r="O639410" s="9"/>
    </row>
    <row r="639431" spans="15:15" x14ac:dyDescent="0.25">
      <c r="O639431" s="9"/>
    </row>
    <row r="639452" spans="15:15" x14ac:dyDescent="0.25">
      <c r="O639452" s="9"/>
    </row>
    <row r="639473" spans="15:15" x14ac:dyDescent="0.25">
      <c r="O639473" s="9"/>
    </row>
    <row r="639494" spans="15:15" x14ac:dyDescent="0.25">
      <c r="O639494" s="9"/>
    </row>
    <row r="639515" spans="15:15" x14ac:dyDescent="0.25">
      <c r="O639515" s="9"/>
    </row>
    <row r="639536" spans="15:15" x14ac:dyDescent="0.25">
      <c r="O639536" s="9"/>
    </row>
    <row r="639557" spans="15:15" x14ac:dyDescent="0.25">
      <c r="O639557" s="9"/>
    </row>
    <row r="639578" spans="15:15" x14ac:dyDescent="0.25">
      <c r="O639578" s="9"/>
    </row>
    <row r="639599" spans="15:15" x14ac:dyDescent="0.25">
      <c r="O639599" s="9"/>
    </row>
    <row r="639620" spans="15:15" x14ac:dyDescent="0.25">
      <c r="O639620" s="9"/>
    </row>
    <row r="639641" spans="15:15" x14ac:dyDescent="0.25">
      <c r="O639641" s="9"/>
    </row>
    <row r="639662" spans="15:15" x14ac:dyDescent="0.25">
      <c r="O639662" s="9"/>
    </row>
    <row r="639683" spans="15:15" x14ac:dyDescent="0.25">
      <c r="O639683" s="9"/>
    </row>
    <row r="639704" spans="15:15" x14ac:dyDescent="0.25">
      <c r="O639704" s="9"/>
    </row>
    <row r="639725" spans="15:15" x14ac:dyDescent="0.25">
      <c r="O639725" s="9"/>
    </row>
    <row r="639746" spans="15:15" x14ac:dyDescent="0.25">
      <c r="O639746" s="9"/>
    </row>
    <row r="639767" spans="15:15" x14ac:dyDescent="0.25">
      <c r="O639767" s="9"/>
    </row>
    <row r="639788" spans="15:15" x14ac:dyDescent="0.25">
      <c r="O639788" s="9"/>
    </row>
    <row r="639809" spans="15:15" x14ac:dyDescent="0.25">
      <c r="O639809" s="9"/>
    </row>
    <row r="639830" spans="15:15" x14ac:dyDescent="0.25">
      <c r="O639830" s="9"/>
    </row>
    <row r="639851" spans="15:15" x14ac:dyDescent="0.25">
      <c r="O639851" s="9"/>
    </row>
    <row r="639872" spans="15:15" x14ac:dyDescent="0.25">
      <c r="O639872" s="9"/>
    </row>
    <row r="639893" spans="15:15" x14ac:dyDescent="0.25">
      <c r="O639893" s="9"/>
    </row>
    <row r="639914" spans="15:15" x14ac:dyDescent="0.25">
      <c r="O639914" s="9"/>
    </row>
    <row r="639935" spans="15:15" x14ac:dyDescent="0.25">
      <c r="O639935" s="9"/>
    </row>
    <row r="639956" spans="15:15" x14ac:dyDescent="0.25">
      <c r="O639956" s="9"/>
    </row>
    <row r="639977" spans="15:15" x14ac:dyDescent="0.25">
      <c r="O639977" s="9"/>
    </row>
    <row r="639998" spans="15:15" x14ac:dyDescent="0.25">
      <c r="O639998" s="9"/>
    </row>
    <row r="640019" spans="15:15" x14ac:dyDescent="0.25">
      <c r="O640019" s="9"/>
    </row>
    <row r="640040" spans="15:15" x14ac:dyDescent="0.25">
      <c r="O640040" s="9"/>
    </row>
    <row r="640061" spans="15:15" x14ac:dyDescent="0.25">
      <c r="O640061" s="9"/>
    </row>
    <row r="640082" spans="15:15" x14ac:dyDescent="0.25">
      <c r="O640082" s="9"/>
    </row>
    <row r="640103" spans="15:15" x14ac:dyDescent="0.25">
      <c r="O640103" s="9"/>
    </row>
    <row r="640124" spans="15:15" x14ac:dyDescent="0.25">
      <c r="O640124" s="9"/>
    </row>
    <row r="640145" spans="15:15" x14ac:dyDescent="0.25">
      <c r="O640145" s="9"/>
    </row>
    <row r="640166" spans="15:15" x14ac:dyDescent="0.25">
      <c r="O640166" s="9"/>
    </row>
    <row r="640187" spans="15:15" x14ac:dyDescent="0.25">
      <c r="O640187" s="9"/>
    </row>
    <row r="640208" spans="15:15" x14ac:dyDescent="0.25">
      <c r="O640208" s="9"/>
    </row>
    <row r="640229" spans="15:15" x14ac:dyDescent="0.25">
      <c r="O640229" s="9"/>
    </row>
    <row r="640250" spans="15:15" x14ac:dyDescent="0.25">
      <c r="O640250" s="9"/>
    </row>
    <row r="640271" spans="15:15" x14ac:dyDescent="0.25">
      <c r="O640271" s="9"/>
    </row>
    <row r="640292" spans="15:15" x14ac:dyDescent="0.25">
      <c r="O640292" s="9"/>
    </row>
    <row r="640313" spans="15:15" x14ac:dyDescent="0.25">
      <c r="O640313" s="9"/>
    </row>
    <row r="640334" spans="15:15" x14ac:dyDescent="0.25">
      <c r="O640334" s="9"/>
    </row>
    <row r="640355" spans="15:15" x14ac:dyDescent="0.25">
      <c r="O640355" s="9"/>
    </row>
    <row r="640376" spans="15:15" x14ac:dyDescent="0.25">
      <c r="O640376" s="9"/>
    </row>
    <row r="640397" spans="15:15" x14ac:dyDescent="0.25">
      <c r="O640397" s="9"/>
    </row>
    <row r="640418" spans="15:15" x14ac:dyDescent="0.25">
      <c r="O640418" s="9"/>
    </row>
    <row r="640439" spans="15:15" x14ac:dyDescent="0.25">
      <c r="O640439" s="9"/>
    </row>
    <row r="640460" spans="15:15" x14ac:dyDescent="0.25">
      <c r="O640460" s="9"/>
    </row>
    <row r="640481" spans="15:15" x14ac:dyDescent="0.25">
      <c r="O640481" s="9"/>
    </row>
    <row r="640502" spans="15:15" x14ac:dyDescent="0.25">
      <c r="O640502" s="9"/>
    </row>
    <row r="640523" spans="15:15" x14ac:dyDescent="0.25">
      <c r="O640523" s="9"/>
    </row>
    <row r="640544" spans="15:15" x14ac:dyDescent="0.25">
      <c r="O640544" s="9"/>
    </row>
    <row r="640565" spans="15:15" x14ac:dyDescent="0.25">
      <c r="O640565" s="9"/>
    </row>
    <row r="640586" spans="15:15" x14ac:dyDescent="0.25">
      <c r="O640586" s="9"/>
    </row>
    <row r="640607" spans="15:15" x14ac:dyDescent="0.25">
      <c r="O640607" s="9"/>
    </row>
    <row r="640628" spans="15:15" x14ac:dyDescent="0.25">
      <c r="O640628" s="9"/>
    </row>
    <row r="640649" spans="15:15" x14ac:dyDescent="0.25">
      <c r="O640649" s="9"/>
    </row>
    <row r="640670" spans="15:15" x14ac:dyDescent="0.25">
      <c r="O640670" s="9"/>
    </row>
    <row r="640691" spans="15:15" x14ac:dyDescent="0.25">
      <c r="O640691" s="9"/>
    </row>
    <row r="640712" spans="15:15" x14ac:dyDescent="0.25">
      <c r="O640712" s="9"/>
    </row>
    <row r="640733" spans="15:15" x14ac:dyDescent="0.25">
      <c r="O640733" s="9"/>
    </row>
    <row r="640754" spans="15:15" x14ac:dyDescent="0.25">
      <c r="O640754" s="9"/>
    </row>
    <row r="640775" spans="15:15" x14ac:dyDescent="0.25">
      <c r="O640775" s="9"/>
    </row>
    <row r="640796" spans="15:15" x14ac:dyDescent="0.25">
      <c r="O640796" s="9"/>
    </row>
    <row r="640817" spans="15:15" x14ac:dyDescent="0.25">
      <c r="O640817" s="9"/>
    </row>
    <row r="640838" spans="15:15" x14ac:dyDescent="0.25">
      <c r="O640838" s="9"/>
    </row>
    <row r="640859" spans="15:15" x14ac:dyDescent="0.25">
      <c r="O640859" s="9"/>
    </row>
    <row r="640880" spans="15:15" x14ac:dyDescent="0.25">
      <c r="O640880" s="9"/>
    </row>
    <row r="640901" spans="15:15" x14ac:dyDescent="0.25">
      <c r="O640901" s="9"/>
    </row>
    <row r="640922" spans="15:15" x14ac:dyDescent="0.25">
      <c r="O640922" s="9"/>
    </row>
    <row r="640943" spans="15:15" x14ac:dyDescent="0.25">
      <c r="O640943" s="9"/>
    </row>
    <row r="640964" spans="15:15" x14ac:dyDescent="0.25">
      <c r="O640964" s="9"/>
    </row>
    <row r="640985" spans="15:15" x14ac:dyDescent="0.25">
      <c r="O640985" s="9"/>
    </row>
    <row r="641006" spans="15:15" x14ac:dyDescent="0.25">
      <c r="O641006" s="9"/>
    </row>
    <row r="641027" spans="15:15" x14ac:dyDescent="0.25">
      <c r="O641027" s="9"/>
    </row>
    <row r="641048" spans="15:15" x14ac:dyDescent="0.25">
      <c r="O641048" s="9"/>
    </row>
    <row r="641069" spans="15:15" x14ac:dyDescent="0.25">
      <c r="O641069" s="9"/>
    </row>
    <row r="641090" spans="15:15" x14ac:dyDescent="0.25">
      <c r="O641090" s="9"/>
    </row>
    <row r="641111" spans="15:15" x14ac:dyDescent="0.25">
      <c r="O641111" s="9"/>
    </row>
    <row r="641132" spans="15:15" x14ac:dyDescent="0.25">
      <c r="O641132" s="9"/>
    </row>
    <row r="641153" spans="15:15" x14ac:dyDescent="0.25">
      <c r="O641153" s="9"/>
    </row>
    <row r="641174" spans="15:15" x14ac:dyDescent="0.25">
      <c r="O641174" s="9"/>
    </row>
    <row r="641195" spans="15:15" x14ac:dyDescent="0.25">
      <c r="O641195" s="9"/>
    </row>
    <row r="641216" spans="15:15" x14ac:dyDescent="0.25">
      <c r="O641216" s="9"/>
    </row>
    <row r="641237" spans="15:15" x14ac:dyDescent="0.25">
      <c r="O641237" s="9"/>
    </row>
    <row r="641258" spans="15:15" x14ac:dyDescent="0.25">
      <c r="O641258" s="9"/>
    </row>
    <row r="641279" spans="15:15" x14ac:dyDescent="0.25">
      <c r="O641279" s="9"/>
    </row>
    <row r="641300" spans="15:15" x14ac:dyDescent="0.25">
      <c r="O641300" s="9"/>
    </row>
    <row r="641321" spans="15:15" x14ac:dyDescent="0.25">
      <c r="O641321" s="9"/>
    </row>
    <row r="641342" spans="15:15" x14ac:dyDescent="0.25">
      <c r="O641342" s="9"/>
    </row>
    <row r="641363" spans="15:15" x14ac:dyDescent="0.25">
      <c r="O641363" s="9"/>
    </row>
    <row r="641384" spans="15:15" x14ac:dyDescent="0.25">
      <c r="O641384" s="9"/>
    </row>
    <row r="641405" spans="15:15" x14ac:dyDescent="0.25">
      <c r="O641405" s="9"/>
    </row>
    <row r="641426" spans="15:15" x14ac:dyDescent="0.25">
      <c r="O641426" s="9"/>
    </row>
    <row r="641447" spans="15:15" x14ac:dyDescent="0.25">
      <c r="O641447" s="9"/>
    </row>
    <row r="641468" spans="15:15" x14ac:dyDescent="0.25">
      <c r="O641468" s="9"/>
    </row>
    <row r="641489" spans="15:15" x14ac:dyDescent="0.25">
      <c r="O641489" s="9"/>
    </row>
    <row r="641510" spans="15:15" x14ac:dyDescent="0.25">
      <c r="O641510" s="9"/>
    </row>
    <row r="641531" spans="15:15" x14ac:dyDescent="0.25">
      <c r="O641531" s="9"/>
    </row>
    <row r="641552" spans="15:15" x14ac:dyDescent="0.25">
      <c r="O641552" s="9"/>
    </row>
    <row r="641573" spans="15:15" x14ac:dyDescent="0.25">
      <c r="O641573" s="9"/>
    </row>
    <row r="641594" spans="15:15" x14ac:dyDescent="0.25">
      <c r="O641594" s="9"/>
    </row>
    <row r="641615" spans="15:15" x14ac:dyDescent="0.25">
      <c r="O641615" s="9"/>
    </row>
    <row r="641636" spans="15:15" x14ac:dyDescent="0.25">
      <c r="O641636" s="9"/>
    </row>
    <row r="641657" spans="15:15" x14ac:dyDescent="0.25">
      <c r="O641657" s="9"/>
    </row>
    <row r="641678" spans="15:15" x14ac:dyDescent="0.25">
      <c r="O641678" s="9"/>
    </row>
    <row r="641699" spans="15:15" x14ac:dyDescent="0.25">
      <c r="O641699" s="9"/>
    </row>
    <row r="641720" spans="15:15" x14ac:dyDescent="0.25">
      <c r="O641720" s="9"/>
    </row>
    <row r="641741" spans="15:15" x14ac:dyDescent="0.25">
      <c r="O641741" s="9"/>
    </row>
    <row r="641762" spans="15:15" x14ac:dyDescent="0.25">
      <c r="O641762" s="9"/>
    </row>
    <row r="641783" spans="15:15" x14ac:dyDescent="0.25">
      <c r="O641783" s="9"/>
    </row>
    <row r="641804" spans="15:15" x14ac:dyDescent="0.25">
      <c r="O641804" s="9"/>
    </row>
    <row r="641825" spans="15:15" x14ac:dyDescent="0.25">
      <c r="O641825" s="9"/>
    </row>
    <row r="641846" spans="15:15" x14ac:dyDescent="0.25">
      <c r="O641846" s="9"/>
    </row>
    <row r="641867" spans="15:15" x14ac:dyDescent="0.25">
      <c r="O641867" s="9"/>
    </row>
    <row r="641888" spans="15:15" x14ac:dyDescent="0.25">
      <c r="O641888" s="9"/>
    </row>
    <row r="641909" spans="15:15" x14ac:dyDescent="0.25">
      <c r="O641909" s="9"/>
    </row>
    <row r="641930" spans="15:15" x14ac:dyDescent="0.25">
      <c r="O641930" s="9"/>
    </row>
    <row r="641951" spans="15:15" x14ac:dyDescent="0.25">
      <c r="O641951" s="9"/>
    </row>
    <row r="641972" spans="15:15" x14ac:dyDescent="0.25">
      <c r="O641972" s="9"/>
    </row>
    <row r="641993" spans="15:15" x14ac:dyDescent="0.25">
      <c r="O641993" s="9"/>
    </row>
    <row r="642014" spans="15:15" x14ac:dyDescent="0.25">
      <c r="O642014" s="9"/>
    </row>
    <row r="642035" spans="15:15" x14ac:dyDescent="0.25">
      <c r="O642035" s="9"/>
    </row>
    <row r="642056" spans="15:15" x14ac:dyDescent="0.25">
      <c r="O642056" s="9"/>
    </row>
    <row r="642077" spans="15:15" x14ac:dyDescent="0.25">
      <c r="O642077" s="9"/>
    </row>
    <row r="642098" spans="15:15" x14ac:dyDescent="0.25">
      <c r="O642098" s="9"/>
    </row>
    <row r="642119" spans="15:15" x14ac:dyDescent="0.25">
      <c r="O642119" s="9"/>
    </row>
    <row r="642140" spans="15:15" x14ac:dyDescent="0.25">
      <c r="O642140" s="9"/>
    </row>
    <row r="642161" spans="15:15" x14ac:dyDescent="0.25">
      <c r="O642161" s="9"/>
    </row>
    <row r="642182" spans="15:15" x14ac:dyDescent="0.25">
      <c r="O642182" s="9"/>
    </row>
    <row r="642203" spans="15:15" x14ac:dyDescent="0.25">
      <c r="O642203" s="9"/>
    </row>
    <row r="642224" spans="15:15" x14ac:dyDescent="0.25">
      <c r="O642224" s="9"/>
    </row>
    <row r="642245" spans="15:15" x14ac:dyDescent="0.25">
      <c r="O642245" s="9"/>
    </row>
    <row r="642266" spans="15:15" x14ac:dyDescent="0.25">
      <c r="O642266" s="9"/>
    </row>
    <row r="642287" spans="15:15" x14ac:dyDescent="0.25">
      <c r="O642287" s="9"/>
    </row>
    <row r="642308" spans="15:15" x14ac:dyDescent="0.25">
      <c r="O642308" s="9"/>
    </row>
    <row r="642329" spans="15:15" x14ac:dyDescent="0.25">
      <c r="O642329" s="9"/>
    </row>
    <row r="642350" spans="15:15" x14ac:dyDescent="0.25">
      <c r="O642350" s="9"/>
    </row>
    <row r="642371" spans="15:15" x14ac:dyDescent="0.25">
      <c r="O642371" s="9"/>
    </row>
    <row r="642392" spans="15:15" x14ac:dyDescent="0.25">
      <c r="O642392" s="9"/>
    </row>
    <row r="642413" spans="15:15" x14ac:dyDescent="0.25">
      <c r="O642413" s="9"/>
    </row>
    <row r="642434" spans="15:15" x14ac:dyDescent="0.25">
      <c r="O642434" s="9"/>
    </row>
    <row r="642455" spans="15:15" x14ac:dyDescent="0.25">
      <c r="O642455" s="9"/>
    </row>
    <row r="642476" spans="15:15" x14ac:dyDescent="0.25">
      <c r="O642476" s="9"/>
    </row>
    <row r="642497" spans="15:15" x14ac:dyDescent="0.25">
      <c r="O642497" s="9"/>
    </row>
    <row r="642518" spans="15:15" x14ac:dyDescent="0.25">
      <c r="O642518" s="9"/>
    </row>
    <row r="642539" spans="15:15" x14ac:dyDescent="0.25">
      <c r="O642539" s="9"/>
    </row>
    <row r="642560" spans="15:15" x14ac:dyDescent="0.25">
      <c r="O642560" s="9"/>
    </row>
    <row r="642581" spans="15:15" x14ac:dyDescent="0.25">
      <c r="O642581" s="9"/>
    </row>
    <row r="642602" spans="15:15" x14ac:dyDescent="0.25">
      <c r="O642602" s="9"/>
    </row>
    <row r="642623" spans="15:15" x14ac:dyDescent="0.25">
      <c r="O642623" s="9"/>
    </row>
    <row r="642644" spans="15:15" x14ac:dyDescent="0.25">
      <c r="O642644" s="9"/>
    </row>
    <row r="642665" spans="15:15" x14ac:dyDescent="0.25">
      <c r="O642665" s="9"/>
    </row>
    <row r="642686" spans="15:15" x14ac:dyDescent="0.25">
      <c r="O642686" s="9"/>
    </row>
    <row r="642707" spans="15:15" x14ac:dyDescent="0.25">
      <c r="O642707" s="9"/>
    </row>
    <row r="642728" spans="15:15" x14ac:dyDescent="0.25">
      <c r="O642728" s="9"/>
    </row>
    <row r="642749" spans="15:15" x14ac:dyDescent="0.25">
      <c r="O642749" s="9"/>
    </row>
    <row r="642770" spans="15:15" x14ac:dyDescent="0.25">
      <c r="O642770" s="9"/>
    </row>
    <row r="642791" spans="15:15" x14ac:dyDescent="0.25">
      <c r="O642791" s="9"/>
    </row>
    <row r="642812" spans="15:15" x14ac:dyDescent="0.25">
      <c r="O642812" s="9"/>
    </row>
    <row r="642833" spans="15:15" x14ac:dyDescent="0.25">
      <c r="O642833" s="9"/>
    </row>
    <row r="642854" spans="15:15" x14ac:dyDescent="0.25">
      <c r="O642854" s="9"/>
    </row>
    <row r="642875" spans="15:15" x14ac:dyDescent="0.25">
      <c r="O642875" s="9"/>
    </row>
    <row r="642896" spans="15:15" x14ac:dyDescent="0.25">
      <c r="O642896" s="9"/>
    </row>
    <row r="642917" spans="15:15" x14ac:dyDescent="0.25">
      <c r="O642917" s="9"/>
    </row>
    <row r="642938" spans="15:15" x14ac:dyDescent="0.25">
      <c r="O642938" s="9"/>
    </row>
    <row r="642959" spans="15:15" x14ac:dyDescent="0.25">
      <c r="O642959" s="9"/>
    </row>
    <row r="642980" spans="15:15" x14ac:dyDescent="0.25">
      <c r="O642980" s="9"/>
    </row>
    <row r="643001" spans="15:15" x14ac:dyDescent="0.25">
      <c r="O643001" s="9"/>
    </row>
    <row r="643022" spans="15:15" x14ac:dyDescent="0.25">
      <c r="O643022" s="9"/>
    </row>
    <row r="643043" spans="15:15" x14ac:dyDescent="0.25">
      <c r="O643043" s="9"/>
    </row>
    <row r="643064" spans="15:15" x14ac:dyDescent="0.25">
      <c r="O643064" s="9"/>
    </row>
    <row r="643085" spans="15:15" x14ac:dyDescent="0.25">
      <c r="O643085" s="9"/>
    </row>
    <row r="643106" spans="15:15" x14ac:dyDescent="0.25">
      <c r="O643106" s="9"/>
    </row>
    <row r="643127" spans="15:15" x14ac:dyDescent="0.25">
      <c r="O643127" s="9"/>
    </row>
    <row r="643148" spans="15:15" x14ac:dyDescent="0.25">
      <c r="O643148" s="9"/>
    </row>
    <row r="643169" spans="15:15" x14ac:dyDescent="0.25">
      <c r="O643169" s="9"/>
    </row>
    <row r="643190" spans="15:15" x14ac:dyDescent="0.25">
      <c r="O643190" s="9"/>
    </row>
    <row r="643211" spans="15:15" x14ac:dyDescent="0.25">
      <c r="O643211" s="9"/>
    </row>
    <row r="643232" spans="15:15" x14ac:dyDescent="0.25">
      <c r="O643232" s="9"/>
    </row>
    <row r="643253" spans="15:15" x14ac:dyDescent="0.25">
      <c r="O643253" s="9"/>
    </row>
    <row r="643274" spans="15:15" x14ac:dyDescent="0.25">
      <c r="O643274" s="9"/>
    </row>
    <row r="643295" spans="15:15" x14ac:dyDescent="0.25">
      <c r="O643295" s="9"/>
    </row>
    <row r="643316" spans="15:15" x14ac:dyDescent="0.25">
      <c r="O643316" s="9"/>
    </row>
    <row r="643337" spans="15:15" x14ac:dyDescent="0.25">
      <c r="O643337" s="9"/>
    </row>
    <row r="643358" spans="15:15" x14ac:dyDescent="0.25">
      <c r="O643358" s="9"/>
    </row>
    <row r="643379" spans="15:15" x14ac:dyDescent="0.25">
      <c r="O643379" s="9"/>
    </row>
    <row r="643400" spans="15:15" x14ac:dyDescent="0.25">
      <c r="O643400" s="9"/>
    </row>
    <row r="643421" spans="15:15" x14ac:dyDescent="0.25">
      <c r="O643421" s="9"/>
    </row>
    <row r="643442" spans="15:15" x14ac:dyDescent="0.25">
      <c r="O643442" s="9"/>
    </row>
    <row r="643463" spans="15:15" x14ac:dyDescent="0.25">
      <c r="O643463" s="9"/>
    </row>
    <row r="643484" spans="15:15" x14ac:dyDescent="0.25">
      <c r="O643484" s="9"/>
    </row>
    <row r="643505" spans="15:15" x14ac:dyDescent="0.25">
      <c r="O643505" s="9"/>
    </row>
    <row r="643526" spans="15:15" x14ac:dyDescent="0.25">
      <c r="O643526" s="9"/>
    </row>
    <row r="643547" spans="15:15" x14ac:dyDescent="0.25">
      <c r="O643547" s="9"/>
    </row>
    <row r="643568" spans="15:15" x14ac:dyDescent="0.25">
      <c r="O643568" s="9"/>
    </row>
    <row r="643589" spans="15:15" x14ac:dyDescent="0.25">
      <c r="O643589" s="9"/>
    </row>
    <row r="643610" spans="15:15" x14ac:dyDescent="0.25">
      <c r="O643610" s="9"/>
    </row>
    <row r="643631" spans="15:15" x14ac:dyDescent="0.25">
      <c r="O643631" s="9"/>
    </row>
    <row r="643652" spans="15:15" x14ac:dyDescent="0.25">
      <c r="O643652" s="9"/>
    </row>
    <row r="643673" spans="15:15" x14ac:dyDescent="0.25">
      <c r="O643673" s="9"/>
    </row>
    <row r="643694" spans="15:15" x14ac:dyDescent="0.25">
      <c r="O643694" s="9"/>
    </row>
    <row r="643715" spans="15:15" x14ac:dyDescent="0.25">
      <c r="O643715" s="9"/>
    </row>
    <row r="643736" spans="15:15" x14ac:dyDescent="0.25">
      <c r="O643736" s="9"/>
    </row>
    <row r="643757" spans="15:15" x14ac:dyDescent="0.25">
      <c r="O643757" s="9"/>
    </row>
    <row r="643778" spans="15:15" x14ac:dyDescent="0.25">
      <c r="O643778" s="9"/>
    </row>
    <row r="643799" spans="15:15" x14ac:dyDescent="0.25">
      <c r="O643799" s="9"/>
    </row>
    <row r="643820" spans="15:15" x14ac:dyDescent="0.25">
      <c r="O643820" s="9"/>
    </row>
    <row r="643841" spans="15:15" x14ac:dyDescent="0.25">
      <c r="O643841" s="9"/>
    </row>
    <row r="643862" spans="15:15" x14ac:dyDescent="0.25">
      <c r="O643862" s="9"/>
    </row>
    <row r="643883" spans="15:15" x14ac:dyDescent="0.25">
      <c r="O643883" s="9"/>
    </row>
    <row r="643904" spans="15:15" x14ac:dyDescent="0.25">
      <c r="O643904" s="9"/>
    </row>
    <row r="643925" spans="15:15" x14ac:dyDescent="0.25">
      <c r="O643925" s="9"/>
    </row>
    <row r="643946" spans="15:15" x14ac:dyDescent="0.25">
      <c r="O643946" s="9"/>
    </row>
    <row r="643967" spans="15:15" x14ac:dyDescent="0.25">
      <c r="O643967" s="9"/>
    </row>
    <row r="643988" spans="15:15" x14ac:dyDescent="0.25">
      <c r="O643988" s="9"/>
    </row>
    <row r="644009" spans="15:15" x14ac:dyDescent="0.25">
      <c r="O644009" s="9"/>
    </row>
    <row r="644030" spans="15:15" x14ac:dyDescent="0.25">
      <c r="O644030" s="9"/>
    </row>
    <row r="644051" spans="15:15" x14ac:dyDescent="0.25">
      <c r="O644051" s="9"/>
    </row>
    <row r="644072" spans="15:15" x14ac:dyDescent="0.25">
      <c r="O644072" s="9"/>
    </row>
    <row r="644093" spans="15:15" x14ac:dyDescent="0.25">
      <c r="O644093" s="9"/>
    </row>
    <row r="644114" spans="15:15" x14ac:dyDescent="0.25">
      <c r="O644114" s="9"/>
    </row>
    <row r="644135" spans="15:15" x14ac:dyDescent="0.25">
      <c r="O644135" s="9"/>
    </row>
    <row r="644156" spans="15:15" x14ac:dyDescent="0.25">
      <c r="O644156" s="9"/>
    </row>
    <row r="644177" spans="15:15" x14ac:dyDescent="0.25">
      <c r="O644177" s="9"/>
    </row>
    <row r="644198" spans="15:15" x14ac:dyDescent="0.25">
      <c r="O644198" s="9"/>
    </row>
    <row r="644219" spans="15:15" x14ac:dyDescent="0.25">
      <c r="O644219" s="9"/>
    </row>
    <row r="644240" spans="15:15" x14ac:dyDescent="0.25">
      <c r="O644240" s="9"/>
    </row>
    <row r="644261" spans="15:15" x14ac:dyDescent="0.25">
      <c r="O644261" s="9"/>
    </row>
    <row r="644282" spans="15:15" x14ac:dyDescent="0.25">
      <c r="O644282" s="9"/>
    </row>
    <row r="644303" spans="15:15" x14ac:dyDescent="0.25">
      <c r="O644303" s="9"/>
    </row>
    <row r="644324" spans="15:15" x14ac:dyDescent="0.25">
      <c r="O644324" s="9"/>
    </row>
    <row r="644345" spans="15:15" x14ac:dyDescent="0.25">
      <c r="O644345" s="9"/>
    </row>
    <row r="644366" spans="15:15" x14ac:dyDescent="0.25">
      <c r="O644366" s="9"/>
    </row>
    <row r="644387" spans="15:15" x14ac:dyDescent="0.25">
      <c r="O644387" s="9"/>
    </row>
    <row r="644408" spans="15:15" x14ac:dyDescent="0.25">
      <c r="O644408" s="9"/>
    </row>
    <row r="644429" spans="15:15" x14ac:dyDescent="0.25">
      <c r="O644429" s="9"/>
    </row>
    <row r="644450" spans="15:15" x14ac:dyDescent="0.25">
      <c r="O644450" s="9"/>
    </row>
    <row r="644471" spans="15:15" x14ac:dyDescent="0.25">
      <c r="O644471" s="9"/>
    </row>
    <row r="644492" spans="15:15" x14ac:dyDescent="0.25">
      <c r="O644492" s="9"/>
    </row>
    <row r="644513" spans="15:15" x14ac:dyDescent="0.25">
      <c r="O644513" s="9"/>
    </row>
    <row r="644534" spans="15:15" x14ac:dyDescent="0.25">
      <c r="O644534" s="9"/>
    </row>
    <row r="644555" spans="15:15" x14ac:dyDescent="0.25">
      <c r="O644555" s="9"/>
    </row>
    <row r="644576" spans="15:15" x14ac:dyDescent="0.25">
      <c r="O644576" s="9"/>
    </row>
    <row r="644597" spans="15:15" x14ac:dyDescent="0.25">
      <c r="O644597" s="9"/>
    </row>
    <row r="644618" spans="15:15" x14ac:dyDescent="0.25">
      <c r="O644618" s="9"/>
    </row>
    <row r="644639" spans="15:15" x14ac:dyDescent="0.25">
      <c r="O644639" s="9"/>
    </row>
    <row r="644660" spans="15:15" x14ac:dyDescent="0.25">
      <c r="O644660" s="9"/>
    </row>
    <row r="644681" spans="15:15" x14ac:dyDescent="0.25">
      <c r="O644681" s="9"/>
    </row>
    <row r="644702" spans="15:15" x14ac:dyDescent="0.25">
      <c r="O644702" s="9"/>
    </row>
    <row r="644723" spans="15:15" x14ac:dyDescent="0.25">
      <c r="O644723" s="9"/>
    </row>
    <row r="644744" spans="15:15" x14ac:dyDescent="0.25">
      <c r="O644744" s="9"/>
    </row>
    <row r="644765" spans="15:15" x14ac:dyDescent="0.25">
      <c r="O644765" s="9"/>
    </row>
    <row r="644786" spans="15:15" x14ac:dyDescent="0.25">
      <c r="O644786" s="9"/>
    </row>
    <row r="644807" spans="15:15" x14ac:dyDescent="0.25">
      <c r="O644807" s="9"/>
    </row>
    <row r="644828" spans="15:15" x14ac:dyDescent="0.25">
      <c r="O644828" s="9"/>
    </row>
    <row r="644849" spans="15:15" x14ac:dyDescent="0.25">
      <c r="O644849" s="9"/>
    </row>
    <row r="644870" spans="15:15" x14ac:dyDescent="0.25">
      <c r="O644870" s="9"/>
    </row>
    <row r="644891" spans="15:15" x14ac:dyDescent="0.25">
      <c r="O644891" s="9"/>
    </row>
    <row r="644912" spans="15:15" x14ac:dyDescent="0.25">
      <c r="O644912" s="9"/>
    </row>
    <row r="644933" spans="15:15" x14ac:dyDescent="0.25">
      <c r="O644933" s="9"/>
    </row>
    <row r="644954" spans="15:15" x14ac:dyDescent="0.25">
      <c r="O644954" s="9"/>
    </row>
    <row r="644975" spans="15:15" x14ac:dyDescent="0.25">
      <c r="O644975" s="9"/>
    </row>
    <row r="644996" spans="15:15" x14ac:dyDescent="0.25">
      <c r="O644996" s="9"/>
    </row>
    <row r="645017" spans="15:15" x14ac:dyDescent="0.25">
      <c r="O645017" s="9"/>
    </row>
    <row r="645038" spans="15:15" x14ac:dyDescent="0.25">
      <c r="O645038" s="9"/>
    </row>
    <row r="645059" spans="15:15" x14ac:dyDescent="0.25">
      <c r="O645059" s="9"/>
    </row>
    <row r="645080" spans="15:15" x14ac:dyDescent="0.25">
      <c r="O645080" s="9"/>
    </row>
    <row r="645101" spans="15:15" x14ac:dyDescent="0.25">
      <c r="O645101" s="9"/>
    </row>
    <row r="645122" spans="15:15" x14ac:dyDescent="0.25">
      <c r="O645122" s="9"/>
    </row>
    <row r="645143" spans="15:15" x14ac:dyDescent="0.25">
      <c r="O645143" s="9"/>
    </row>
    <row r="645164" spans="15:15" x14ac:dyDescent="0.25">
      <c r="O645164" s="9"/>
    </row>
    <row r="645185" spans="15:15" x14ac:dyDescent="0.25">
      <c r="O645185" s="9"/>
    </row>
    <row r="645206" spans="15:15" x14ac:dyDescent="0.25">
      <c r="O645206" s="9"/>
    </row>
    <row r="645227" spans="15:15" x14ac:dyDescent="0.25">
      <c r="O645227" s="9"/>
    </row>
    <row r="645248" spans="15:15" x14ac:dyDescent="0.25">
      <c r="O645248" s="9"/>
    </row>
    <row r="645269" spans="15:15" x14ac:dyDescent="0.25">
      <c r="O645269" s="9"/>
    </row>
    <row r="645290" spans="15:15" x14ac:dyDescent="0.25">
      <c r="O645290" s="9"/>
    </row>
    <row r="645311" spans="15:15" x14ac:dyDescent="0.25">
      <c r="O645311" s="9"/>
    </row>
    <row r="645332" spans="15:15" x14ac:dyDescent="0.25">
      <c r="O645332" s="9"/>
    </row>
    <row r="645353" spans="15:15" x14ac:dyDescent="0.25">
      <c r="O645353" s="9"/>
    </row>
    <row r="645374" spans="15:15" x14ac:dyDescent="0.25">
      <c r="O645374" s="9"/>
    </row>
    <row r="645395" spans="15:15" x14ac:dyDescent="0.25">
      <c r="O645395" s="9"/>
    </row>
    <row r="645416" spans="15:15" x14ac:dyDescent="0.25">
      <c r="O645416" s="9"/>
    </row>
    <row r="645437" spans="15:15" x14ac:dyDescent="0.25">
      <c r="O645437" s="9"/>
    </row>
    <row r="645458" spans="15:15" x14ac:dyDescent="0.25">
      <c r="O645458" s="9"/>
    </row>
    <row r="645479" spans="15:15" x14ac:dyDescent="0.25">
      <c r="O645479" s="9"/>
    </row>
    <row r="645500" spans="15:15" x14ac:dyDescent="0.25">
      <c r="O645500" s="9"/>
    </row>
    <row r="645521" spans="15:15" x14ac:dyDescent="0.25">
      <c r="O645521" s="9"/>
    </row>
    <row r="645542" spans="15:15" x14ac:dyDescent="0.25">
      <c r="O645542" s="9"/>
    </row>
    <row r="645563" spans="15:15" x14ac:dyDescent="0.25">
      <c r="O645563" s="9"/>
    </row>
    <row r="645584" spans="15:15" x14ac:dyDescent="0.25">
      <c r="O645584" s="9"/>
    </row>
    <row r="645605" spans="15:15" x14ac:dyDescent="0.25">
      <c r="O645605" s="9"/>
    </row>
    <row r="645626" spans="15:15" x14ac:dyDescent="0.25">
      <c r="O645626" s="9"/>
    </row>
    <row r="645647" spans="15:15" x14ac:dyDescent="0.25">
      <c r="O645647" s="9"/>
    </row>
    <row r="645668" spans="15:15" x14ac:dyDescent="0.25">
      <c r="O645668" s="9"/>
    </row>
    <row r="645689" spans="15:15" x14ac:dyDescent="0.25">
      <c r="O645689" s="9"/>
    </row>
    <row r="645710" spans="15:15" x14ac:dyDescent="0.25">
      <c r="O645710" s="9"/>
    </row>
    <row r="645731" spans="15:15" x14ac:dyDescent="0.25">
      <c r="O645731" s="9"/>
    </row>
    <row r="645752" spans="15:15" x14ac:dyDescent="0.25">
      <c r="O645752" s="9"/>
    </row>
    <row r="645773" spans="15:15" x14ac:dyDescent="0.25">
      <c r="O645773" s="9"/>
    </row>
    <row r="645794" spans="15:15" x14ac:dyDescent="0.25">
      <c r="O645794" s="9"/>
    </row>
    <row r="645815" spans="15:15" x14ac:dyDescent="0.25">
      <c r="O645815" s="9"/>
    </row>
    <row r="645836" spans="15:15" x14ac:dyDescent="0.25">
      <c r="O645836" s="9"/>
    </row>
    <row r="645857" spans="15:15" x14ac:dyDescent="0.25">
      <c r="O645857" s="9"/>
    </row>
    <row r="645878" spans="15:15" x14ac:dyDescent="0.25">
      <c r="O645878" s="9"/>
    </row>
    <row r="645899" spans="15:15" x14ac:dyDescent="0.25">
      <c r="O645899" s="9"/>
    </row>
    <row r="645920" spans="15:15" x14ac:dyDescent="0.25">
      <c r="O645920" s="9"/>
    </row>
    <row r="645941" spans="15:15" x14ac:dyDescent="0.25">
      <c r="O645941" s="9"/>
    </row>
    <row r="645962" spans="15:15" x14ac:dyDescent="0.25">
      <c r="O645962" s="9"/>
    </row>
    <row r="645983" spans="15:15" x14ac:dyDescent="0.25">
      <c r="O645983" s="9"/>
    </row>
    <row r="646004" spans="15:15" x14ac:dyDescent="0.25">
      <c r="O646004" s="9"/>
    </row>
    <row r="646025" spans="15:15" x14ac:dyDescent="0.25">
      <c r="O646025" s="9"/>
    </row>
    <row r="646046" spans="15:15" x14ac:dyDescent="0.25">
      <c r="O646046" s="9"/>
    </row>
    <row r="646067" spans="15:15" x14ac:dyDescent="0.25">
      <c r="O646067" s="9"/>
    </row>
    <row r="646088" spans="15:15" x14ac:dyDescent="0.25">
      <c r="O646088" s="9"/>
    </row>
    <row r="646109" spans="15:15" x14ac:dyDescent="0.25">
      <c r="O646109" s="9"/>
    </row>
    <row r="646130" spans="15:15" x14ac:dyDescent="0.25">
      <c r="O646130" s="9"/>
    </row>
    <row r="646151" spans="15:15" x14ac:dyDescent="0.25">
      <c r="O646151" s="9"/>
    </row>
    <row r="646172" spans="15:15" x14ac:dyDescent="0.25">
      <c r="O646172" s="9"/>
    </row>
    <row r="646193" spans="15:15" x14ac:dyDescent="0.25">
      <c r="O646193" s="9"/>
    </row>
    <row r="646214" spans="15:15" x14ac:dyDescent="0.25">
      <c r="O646214" s="9"/>
    </row>
    <row r="646235" spans="15:15" x14ac:dyDescent="0.25">
      <c r="O646235" s="9"/>
    </row>
    <row r="646256" spans="15:15" x14ac:dyDescent="0.25">
      <c r="O646256" s="9"/>
    </row>
    <row r="646277" spans="15:15" x14ac:dyDescent="0.25">
      <c r="O646277" s="9"/>
    </row>
    <row r="646298" spans="15:15" x14ac:dyDescent="0.25">
      <c r="O646298" s="9"/>
    </row>
    <row r="646319" spans="15:15" x14ac:dyDescent="0.25">
      <c r="O646319" s="9"/>
    </row>
    <row r="646340" spans="15:15" x14ac:dyDescent="0.25">
      <c r="O646340" s="9"/>
    </row>
    <row r="646361" spans="15:15" x14ac:dyDescent="0.25">
      <c r="O646361" s="9"/>
    </row>
    <row r="646382" spans="15:15" x14ac:dyDescent="0.25">
      <c r="O646382" s="9"/>
    </row>
    <row r="646403" spans="15:15" x14ac:dyDescent="0.25">
      <c r="O646403" s="9"/>
    </row>
    <row r="646424" spans="15:15" x14ac:dyDescent="0.25">
      <c r="O646424" s="9"/>
    </row>
    <row r="646445" spans="15:15" x14ac:dyDescent="0.25">
      <c r="O646445" s="9"/>
    </row>
    <row r="646466" spans="15:15" x14ac:dyDescent="0.25">
      <c r="O646466" s="9"/>
    </row>
    <row r="646487" spans="15:15" x14ac:dyDescent="0.25">
      <c r="O646487" s="9"/>
    </row>
    <row r="646508" spans="15:15" x14ac:dyDescent="0.25">
      <c r="O646508" s="9"/>
    </row>
    <row r="646529" spans="15:15" x14ac:dyDescent="0.25">
      <c r="O646529" s="9"/>
    </row>
    <row r="646550" spans="15:15" x14ac:dyDescent="0.25">
      <c r="O646550" s="9"/>
    </row>
    <row r="646571" spans="15:15" x14ac:dyDescent="0.25">
      <c r="O646571" s="9"/>
    </row>
    <row r="646592" spans="15:15" x14ac:dyDescent="0.25">
      <c r="O646592" s="9"/>
    </row>
    <row r="646613" spans="15:15" x14ac:dyDescent="0.25">
      <c r="O646613" s="9"/>
    </row>
    <row r="646634" spans="15:15" x14ac:dyDescent="0.25">
      <c r="O646634" s="9"/>
    </row>
    <row r="646655" spans="15:15" x14ac:dyDescent="0.25">
      <c r="O646655" s="9"/>
    </row>
    <row r="646676" spans="15:15" x14ac:dyDescent="0.25">
      <c r="O646676" s="9"/>
    </row>
    <row r="646697" spans="15:15" x14ac:dyDescent="0.25">
      <c r="O646697" s="9"/>
    </row>
    <row r="646718" spans="15:15" x14ac:dyDescent="0.25">
      <c r="O646718" s="9"/>
    </row>
    <row r="646739" spans="15:15" x14ac:dyDescent="0.25">
      <c r="O646739" s="9"/>
    </row>
    <row r="646760" spans="15:15" x14ac:dyDescent="0.25">
      <c r="O646760" s="9"/>
    </row>
    <row r="646781" spans="15:15" x14ac:dyDescent="0.25">
      <c r="O646781" s="9"/>
    </row>
    <row r="646802" spans="15:15" x14ac:dyDescent="0.25">
      <c r="O646802" s="9"/>
    </row>
    <row r="646823" spans="15:15" x14ac:dyDescent="0.25">
      <c r="O646823" s="9"/>
    </row>
    <row r="646844" spans="15:15" x14ac:dyDescent="0.25">
      <c r="O646844" s="9"/>
    </row>
    <row r="646865" spans="15:15" x14ac:dyDescent="0.25">
      <c r="O646865" s="9"/>
    </row>
    <row r="646886" spans="15:15" x14ac:dyDescent="0.25">
      <c r="O646886" s="9"/>
    </row>
    <row r="646907" spans="15:15" x14ac:dyDescent="0.25">
      <c r="O646907" s="9"/>
    </row>
    <row r="646928" spans="15:15" x14ac:dyDescent="0.25">
      <c r="O646928" s="9"/>
    </row>
    <row r="646949" spans="15:15" x14ac:dyDescent="0.25">
      <c r="O646949" s="9"/>
    </row>
    <row r="646970" spans="15:15" x14ac:dyDescent="0.25">
      <c r="O646970" s="9"/>
    </row>
    <row r="646991" spans="15:15" x14ac:dyDescent="0.25">
      <c r="O646991" s="9"/>
    </row>
    <row r="647012" spans="15:15" x14ac:dyDescent="0.25">
      <c r="O647012" s="9"/>
    </row>
    <row r="647033" spans="15:15" x14ac:dyDescent="0.25">
      <c r="O647033" s="9"/>
    </row>
    <row r="647054" spans="15:15" x14ac:dyDescent="0.25">
      <c r="O647054" s="9"/>
    </row>
    <row r="647075" spans="15:15" x14ac:dyDescent="0.25">
      <c r="O647075" s="9"/>
    </row>
    <row r="647096" spans="15:15" x14ac:dyDescent="0.25">
      <c r="O647096" s="9"/>
    </row>
    <row r="647117" spans="15:15" x14ac:dyDescent="0.25">
      <c r="O647117" s="9"/>
    </row>
    <row r="647138" spans="15:15" x14ac:dyDescent="0.25">
      <c r="O647138" s="9"/>
    </row>
    <row r="647159" spans="15:15" x14ac:dyDescent="0.25">
      <c r="O647159" s="9"/>
    </row>
    <row r="647180" spans="15:15" x14ac:dyDescent="0.25">
      <c r="O647180" s="9"/>
    </row>
    <row r="647201" spans="15:15" x14ac:dyDescent="0.25">
      <c r="O647201" s="9"/>
    </row>
    <row r="647222" spans="15:15" x14ac:dyDescent="0.25">
      <c r="O647222" s="9"/>
    </row>
    <row r="647243" spans="15:15" x14ac:dyDescent="0.25">
      <c r="O647243" s="9"/>
    </row>
    <row r="647264" spans="15:15" x14ac:dyDescent="0.25">
      <c r="O647264" s="9"/>
    </row>
    <row r="647285" spans="15:15" x14ac:dyDescent="0.25">
      <c r="O647285" s="9"/>
    </row>
    <row r="647306" spans="15:15" x14ac:dyDescent="0.25">
      <c r="O647306" s="9"/>
    </row>
    <row r="647327" spans="15:15" x14ac:dyDescent="0.25">
      <c r="O647327" s="9"/>
    </row>
    <row r="647348" spans="15:15" x14ac:dyDescent="0.25">
      <c r="O647348" s="9"/>
    </row>
    <row r="647369" spans="15:15" x14ac:dyDescent="0.25">
      <c r="O647369" s="9"/>
    </row>
    <row r="647390" spans="15:15" x14ac:dyDescent="0.25">
      <c r="O647390" s="9"/>
    </row>
    <row r="647411" spans="15:15" x14ac:dyDescent="0.25">
      <c r="O647411" s="9"/>
    </row>
    <row r="647432" spans="15:15" x14ac:dyDescent="0.25">
      <c r="O647432" s="9"/>
    </row>
    <row r="647453" spans="15:15" x14ac:dyDescent="0.25">
      <c r="O647453" s="9"/>
    </row>
    <row r="647474" spans="15:15" x14ac:dyDescent="0.25">
      <c r="O647474" s="9"/>
    </row>
    <row r="647495" spans="15:15" x14ac:dyDescent="0.25">
      <c r="O647495" s="9"/>
    </row>
    <row r="647516" spans="15:15" x14ac:dyDescent="0.25">
      <c r="O647516" s="9"/>
    </row>
    <row r="647537" spans="15:15" x14ac:dyDescent="0.25">
      <c r="O647537" s="9"/>
    </row>
    <row r="647558" spans="15:15" x14ac:dyDescent="0.25">
      <c r="O647558" s="9"/>
    </row>
    <row r="647579" spans="15:15" x14ac:dyDescent="0.25">
      <c r="O647579" s="9"/>
    </row>
    <row r="647600" spans="15:15" x14ac:dyDescent="0.25">
      <c r="O647600" s="9"/>
    </row>
    <row r="647621" spans="15:15" x14ac:dyDescent="0.25">
      <c r="O647621" s="9"/>
    </row>
    <row r="647642" spans="15:15" x14ac:dyDescent="0.25">
      <c r="O647642" s="9"/>
    </row>
    <row r="647663" spans="15:15" x14ac:dyDescent="0.25">
      <c r="O647663" s="9"/>
    </row>
    <row r="647684" spans="15:15" x14ac:dyDescent="0.25">
      <c r="O647684" s="9"/>
    </row>
    <row r="647705" spans="15:15" x14ac:dyDescent="0.25">
      <c r="O647705" s="9"/>
    </row>
    <row r="647726" spans="15:15" x14ac:dyDescent="0.25">
      <c r="O647726" s="9"/>
    </row>
    <row r="647747" spans="15:15" x14ac:dyDescent="0.25">
      <c r="O647747" s="9"/>
    </row>
    <row r="647768" spans="15:15" x14ac:dyDescent="0.25">
      <c r="O647768" s="9"/>
    </row>
    <row r="647789" spans="15:15" x14ac:dyDescent="0.25">
      <c r="O647789" s="9"/>
    </row>
    <row r="647810" spans="15:15" x14ac:dyDescent="0.25">
      <c r="O647810" s="9"/>
    </row>
    <row r="647831" spans="15:15" x14ac:dyDescent="0.25">
      <c r="O647831" s="9"/>
    </row>
    <row r="647852" spans="15:15" x14ac:dyDescent="0.25">
      <c r="O647852" s="9"/>
    </row>
    <row r="647873" spans="15:15" x14ac:dyDescent="0.25">
      <c r="O647873" s="9"/>
    </row>
    <row r="647894" spans="15:15" x14ac:dyDescent="0.25">
      <c r="O647894" s="9"/>
    </row>
    <row r="647915" spans="15:15" x14ac:dyDescent="0.25">
      <c r="O647915" s="9"/>
    </row>
    <row r="647936" spans="15:15" x14ac:dyDescent="0.25">
      <c r="O647936" s="9"/>
    </row>
    <row r="647957" spans="15:15" x14ac:dyDescent="0.25">
      <c r="O647957" s="9"/>
    </row>
    <row r="647978" spans="15:15" x14ac:dyDescent="0.25">
      <c r="O647978" s="9"/>
    </row>
    <row r="647999" spans="15:15" x14ac:dyDescent="0.25">
      <c r="O647999" s="9"/>
    </row>
    <row r="648020" spans="15:15" x14ac:dyDescent="0.25">
      <c r="O648020" s="9"/>
    </row>
    <row r="648041" spans="15:15" x14ac:dyDescent="0.25">
      <c r="O648041" s="9"/>
    </row>
    <row r="648062" spans="15:15" x14ac:dyDescent="0.25">
      <c r="O648062" s="9"/>
    </row>
    <row r="648083" spans="15:15" x14ac:dyDescent="0.25">
      <c r="O648083" s="9"/>
    </row>
    <row r="648104" spans="15:15" x14ac:dyDescent="0.25">
      <c r="O648104" s="9"/>
    </row>
    <row r="648125" spans="15:15" x14ac:dyDescent="0.25">
      <c r="O648125" s="9"/>
    </row>
    <row r="648146" spans="15:15" x14ac:dyDescent="0.25">
      <c r="O648146" s="9"/>
    </row>
    <row r="648167" spans="15:15" x14ac:dyDescent="0.25">
      <c r="O648167" s="9"/>
    </row>
    <row r="648188" spans="15:15" x14ac:dyDescent="0.25">
      <c r="O648188" s="9"/>
    </row>
    <row r="648209" spans="15:15" x14ac:dyDescent="0.25">
      <c r="O648209" s="9"/>
    </row>
    <row r="648230" spans="15:15" x14ac:dyDescent="0.25">
      <c r="O648230" s="9"/>
    </row>
    <row r="648251" spans="15:15" x14ac:dyDescent="0.25">
      <c r="O648251" s="9"/>
    </row>
    <row r="648272" spans="15:15" x14ac:dyDescent="0.25">
      <c r="O648272" s="9"/>
    </row>
    <row r="648293" spans="15:15" x14ac:dyDescent="0.25">
      <c r="O648293" s="9"/>
    </row>
    <row r="648314" spans="15:15" x14ac:dyDescent="0.25">
      <c r="O648314" s="9"/>
    </row>
    <row r="648335" spans="15:15" x14ac:dyDescent="0.25">
      <c r="O648335" s="9"/>
    </row>
    <row r="648356" spans="15:15" x14ac:dyDescent="0.25">
      <c r="O648356" s="9"/>
    </row>
    <row r="648377" spans="15:15" x14ac:dyDescent="0.25">
      <c r="O648377" s="9"/>
    </row>
    <row r="648398" spans="15:15" x14ac:dyDescent="0.25">
      <c r="O648398" s="9"/>
    </row>
    <row r="648419" spans="15:15" x14ac:dyDescent="0.25">
      <c r="O648419" s="9"/>
    </row>
    <row r="648440" spans="15:15" x14ac:dyDescent="0.25">
      <c r="O648440" s="9"/>
    </row>
    <row r="648461" spans="15:15" x14ac:dyDescent="0.25">
      <c r="O648461" s="9"/>
    </row>
    <row r="648482" spans="15:15" x14ac:dyDescent="0.25">
      <c r="O648482" s="9"/>
    </row>
    <row r="648503" spans="15:15" x14ac:dyDescent="0.25">
      <c r="O648503" s="9"/>
    </row>
    <row r="648524" spans="15:15" x14ac:dyDescent="0.25">
      <c r="O648524" s="9"/>
    </row>
    <row r="648545" spans="15:15" x14ac:dyDescent="0.25">
      <c r="O648545" s="9"/>
    </row>
    <row r="648566" spans="15:15" x14ac:dyDescent="0.25">
      <c r="O648566" s="9"/>
    </row>
    <row r="648587" spans="15:15" x14ac:dyDescent="0.25">
      <c r="O648587" s="9"/>
    </row>
    <row r="648608" spans="15:15" x14ac:dyDescent="0.25">
      <c r="O648608" s="9"/>
    </row>
    <row r="648629" spans="15:15" x14ac:dyDescent="0.25">
      <c r="O648629" s="9"/>
    </row>
    <row r="648650" spans="15:15" x14ac:dyDescent="0.25">
      <c r="O648650" s="9"/>
    </row>
    <row r="648671" spans="15:15" x14ac:dyDescent="0.25">
      <c r="O648671" s="9"/>
    </row>
    <row r="648692" spans="15:15" x14ac:dyDescent="0.25">
      <c r="O648692" s="9"/>
    </row>
    <row r="648713" spans="15:15" x14ac:dyDescent="0.25">
      <c r="O648713" s="9"/>
    </row>
    <row r="648734" spans="15:15" x14ac:dyDescent="0.25">
      <c r="O648734" s="9"/>
    </row>
    <row r="648755" spans="15:15" x14ac:dyDescent="0.25">
      <c r="O648755" s="9"/>
    </row>
    <row r="648776" spans="15:15" x14ac:dyDescent="0.25">
      <c r="O648776" s="9"/>
    </row>
    <row r="648797" spans="15:15" x14ac:dyDescent="0.25">
      <c r="O648797" s="9"/>
    </row>
    <row r="648818" spans="15:15" x14ac:dyDescent="0.25">
      <c r="O648818" s="9"/>
    </row>
    <row r="648839" spans="15:15" x14ac:dyDescent="0.25">
      <c r="O648839" s="9"/>
    </row>
    <row r="648860" spans="15:15" x14ac:dyDescent="0.25">
      <c r="O648860" s="9"/>
    </row>
    <row r="648881" spans="15:15" x14ac:dyDescent="0.25">
      <c r="O648881" s="9"/>
    </row>
    <row r="648902" spans="15:15" x14ac:dyDescent="0.25">
      <c r="O648902" s="9"/>
    </row>
    <row r="648923" spans="15:15" x14ac:dyDescent="0.25">
      <c r="O648923" s="9"/>
    </row>
    <row r="648944" spans="15:15" x14ac:dyDescent="0.25">
      <c r="O648944" s="9"/>
    </row>
    <row r="648965" spans="15:15" x14ac:dyDescent="0.25">
      <c r="O648965" s="9"/>
    </row>
    <row r="648986" spans="15:15" x14ac:dyDescent="0.25">
      <c r="O648986" s="9"/>
    </row>
    <row r="649007" spans="15:15" x14ac:dyDescent="0.25">
      <c r="O649007" s="9"/>
    </row>
    <row r="649028" spans="15:15" x14ac:dyDescent="0.25">
      <c r="O649028" s="9"/>
    </row>
    <row r="649049" spans="15:15" x14ac:dyDescent="0.25">
      <c r="O649049" s="9"/>
    </row>
    <row r="649070" spans="15:15" x14ac:dyDescent="0.25">
      <c r="O649070" s="9"/>
    </row>
    <row r="649091" spans="15:15" x14ac:dyDescent="0.25">
      <c r="O649091" s="9"/>
    </row>
    <row r="649112" spans="15:15" x14ac:dyDescent="0.25">
      <c r="O649112" s="9"/>
    </row>
    <row r="649133" spans="15:15" x14ac:dyDescent="0.25">
      <c r="O649133" s="9"/>
    </row>
    <row r="649154" spans="15:15" x14ac:dyDescent="0.25">
      <c r="O649154" s="9"/>
    </row>
    <row r="649175" spans="15:15" x14ac:dyDescent="0.25">
      <c r="O649175" s="9"/>
    </row>
    <row r="649196" spans="15:15" x14ac:dyDescent="0.25">
      <c r="O649196" s="9"/>
    </row>
    <row r="649217" spans="15:15" x14ac:dyDescent="0.25">
      <c r="O649217" s="9"/>
    </row>
    <row r="649238" spans="15:15" x14ac:dyDescent="0.25">
      <c r="O649238" s="9"/>
    </row>
    <row r="649259" spans="15:15" x14ac:dyDescent="0.25">
      <c r="O649259" s="9"/>
    </row>
    <row r="649280" spans="15:15" x14ac:dyDescent="0.25">
      <c r="O649280" s="9"/>
    </row>
    <row r="649301" spans="15:15" x14ac:dyDescent="0.25">
      <c r="O649301" s="9"/>
    </row>
    <row r="649322" spans="15:15" x14ac:dyDescent="0.25">
      <c r="O649322" s="9"/>
    </row>
    <row r="649343" spans="15:15" x14ac:dyDescent="0.25">
      <c r="O649343" s="9"/>
    </row>
    <row r="649364" spans="15:15" x14ac:dyDescent="0.25">
      <c r="O649364" s="9"/>
    </row>
    <row r="649385" spans="15:15" x14ac:dyDescent="0.25">
      <c r="O649385" s="9"/>
    </row>
    <row r="649406" spans="15:15" x14ac:dyDescent="0.25">
      <c r="O649406" s="9"/>
    </row>
    <row r="649427" spans="15:15" x14ac:dyDescent="0.25">
      <c r="O649427" s="9"/>
    </row>
    <row r="649448" spans="15:15" x14ac:dyDescent="0.25">
      <c r="O649448" s="9"/>
    </row>
    <row r="649469" spans="15:15" x14ac:dyDescent="0.25">
      <c r="O649469" s="9"/>
    </row>
    <row r="649490" spans="15:15" x14ac:dyDescent="0.25">
      <c r="O649490" s="9"/>
    </row>
    <row r="649511" spans="15:15" x14ac:dyDescent="0.25">
      <c r="O649511" s="9"/>
    </row>
    <row r="649532" spans="15:15" x14ac:dyDescent="0.25">
      <c r="O649532" s="9"/>
    </row>
    <row r="649553" spans="15:15" x14ac:dyDescent="0.25">
      <c r="O649553" s="9"/>
    </row>
    <row r="649574" spans="15:15" x14ac:dyDescent="0.25">
      <c r="O649574" s="9"/>
    </row>
    <row r="649595" spans="15:15" x14ac:dyDescent="0.25">
      <c r="O649595" s="9"/>
    </row>
    <row r="649616" spans="15:15" x14ac:dyDescent="0.25">
      <c r="O649616" s="9"/>
    </row>
    <row r="649637" spans="15:15" x14ac:dyDescent="0.25">
      <c r="O649637" s="9"/>
    </row>
    <row r="649658" spans="15:15" x14ac:dyDescent="0.25">
      <c r="O649658" s="9"/>
    </row>
    <row r="649679" spans="15:15" x14ac:dyDescent="0.25">
      <c r="O649679" s="9"/>
    </row>
    <row r="649700" spans="15:15" x14ac:dyDescent="0.25">
      <c r="O649700" s="9"/>
    </row>
    <row r="649721" spans="15:15" x14ac:dyDescent="0.25">
      <c r="O649721" s="9"/>
    </row>
    <row r="649742" spans="15:15" x14ac:dyDescent="0.25">
      <c r="O649742" s="9"/>
    </row>
    <row r="649763" spans="15:15" x14ac:dyDescent="0.25">
      <c r="O649763" s="9"/>
    </row>
    <row r="649784" spans="15:15" x14ac:dyDescent="0.25">
      <c r="O649784" s="9"/>
    </row>
    <row r="649805" spans="15:15" x14ac:dyDescent="0.25">
      <c r="O649805" s="9"/>
    </row>
    <row r="649826" spans="15:15" x14ac:dyDescent="0.25">
      <c r="O649826" s="9"/>
    </row>
    <row r="649847" spans="15:15" x14ac:dyDescent="0.25">
      <c r="O649847" s="9"/>
    </row>
    <row r="649868" spans="15:15" x14ac:dyDescent="0.25">
      <c r="O649868" s="9"/>
    </row>
    <row r="649889" spans="15:15" x14ac:dyDescent="0.25">
      <c r="O649889" s="9"/>
    </row>
    <row r="649910" spans="15:15" x14ac:dyDescent="0.25">
      <c r="O649910" s="9"/>
    </row>
    <row r="649931" spans="15:15" x14ac:dyDescent="0.25">
      <c r="O649931" s="9"/>
    </row>
    <row r="649952" spans="15:15" x14ac:dyDescent="0.25">
      <c r="O649952" s="9"/>
    </row>
    <row r="649973" spans="15:15" x14ac:dyDescent="0.25">
      <c r="O649973" s="9"/>
    </row>
    <row r="649994" spans="15:15" x14ac:dyDescent="0.25">
      <c r="O649994" s="9"/>
    </row>
    <row r="650015" spans="15:15" x14ac:dyDescent="0.25">
      <c r="O650015" s="9"/>
    </row>
    <row r="650036" spans="15:15" x14ac:dyDescent="0.25">
      <c r="O650036" s="9"/>
    </row>
    <row r="650057" spans="15:15" x14ac:dyDescent="0.25">
      <c r="O650057" s="9"/>
    </row>
    <row r="650078" spans="15:15" x14ac:dyDescent="0.25">
      <c r="O650078" s="9"/>
    </row>
    <row r="650099" spans="15:15" x14ac:dyDescent="0.25">
      <c r="O650099" s="9"/>
    </row>
    <row r="650120" spans="15:15" x14ac:dyDescent="0.25">
      <c r="O650120" s="9"/>
    </row>
    <row r="650141" spans="15:15" x14ac:dyDescent="0.25">
      <c r="O650141" s="9"/>
    </row>
    <row r="650162" spans="15:15" x14ac:dyDescent="0.25">
      <c r="O650162" s="9"/>
    </row>
    <row r="650183" spans="15:15" x14ac:dyDescent="0.25">
      <c r="O650183" s="9"/>
    </row>
    <row r="650204" spans="15:15" x14ac:dyDescent="0.25">
      <c r="O650204" s="9"/>
    </row>
    <row r="650225" spans="15:15" x14ac:dyDescent="0.25">
      <c r="O650225" s="9"/>
    </row>
    <row r="650246" spans="15:15" x14ac:dyDescent="0.25">
      <c r="O650246" s="9"/>
    </row>
    <row r="650267" spans="15:15" x14ac:dyDescent="0.25">
      <c r="O650267" s="9"/>
    </row>
    <row r="650288" spans="15:15" x14ac:dyDescent="0.25">
      <c r="O650288" s="9"/>
    </row>
    <row r="650309" spans="15:15" x14ac:dyDescent="0.25">
      <c r="O650309" s="9"/>
    </row>
    <row r="650330" spans="15:15" x14ac:dyDescent="0.25">
      <c r="O650330" s="9"/>
    </row>
    <row r="650351" spans="15:15" x14ac:dyDescent="0.25">
      <c r="O650351" s="9"/>
    </row>
    <row r="650372" spans="15:15" x14ac:dyDescent="0.25">
      <c r="O650372" s="9"/>
    </row>
    <row r="650393" spans="15:15" x14ac:dyDescent="0.25">
      <c r="O650393" s="9"/>
    </row>
    <row r="650414" spans="15:15" x14ac:dyDescent="0.25">
      <c r="O650414" s="9"/>
    </row>
    <row r="650435" spans="15:15" x14ac:dyDescent="0.25">
      <c r="O650435" s="9"/>
    </row>
    <row r="650456" spans="15:15" x14ac:dyDescent="0.25">
      <c r="O650456" s="9"/>
    </row>
    <row r="650477" spans="15:15" x14ac:dyDescent="0.25">
      <c r="O650477" s="9"/>
    </row>
    <row r="650498" spans="15:15" x14ac:dyDescent="0.25">
      <c r="O650498" s="9"/>
    </row>
    <row r="650519" spans="15:15" x14ac:dyDescent="0.25">
      <c r="O650519" s="9"/>
    </row>
    <row r="650540" spans="15:15" x14ac:dyDescent="0.25">
      <c r="O650540" s="9"/>
    </row>
    <row r="650561" spans="15:15" x14ac:dyDescent="0.25">
      <c r="O650561" s="9"/>
    </row>
    <row r="650582" spans="15:15" x14ac:dyDescent="0.25">
      <c r="O650582" s="9"/>
    </row>
    <row r="650603" spans="15:15" x14ac:dyDescent="0.25">
      <c r="O650603" s="9"/>
    </row>
    <row r="650624" spans="15:15" x14ac:dyDescent="0.25">
      <c r="O650624" s="9"/>
    </row>
    <row r="650645" spans="15:15" x14ac:dyDescent="0.25">
      <c r="O650645" s="9"/>
    </row>
    <row r="650666" spans="15:15" x14ac:dyDescent="0.25">
      <c r="O650666" s="9"/>
    </row>
    <row r="650687" spans="15:15" x14ac:dyDescent="0.25">
      <c r="O650687" s="9"/>
    </row>
    <row r="650708" spans="15:15" x14ac:dyDescent="0.25">
      <c r="O650708" s="9"/>
    </row>
    <row r="650729" spans="15:15" x14ac:dyDescent="0.25">
      <c r="O650729" s="9"/>
    </row>
    <row r="650750" spans="15:15" x14ac:dyDescent="0.25">
      <c r="O650750" s="9"/>
    </row>
    <row r="650771" spans="15:15" x14ac:dyDescent="0.25">
      <c r="O650771" s="9"/>
    </row>
    <row r="650792" spans="15:15" x14ac:dyDescent="0.25">
      <c r="O650792" s="9"/>
    </row>
    <row r="650813" spans="15:15" x14ac:dyDescent="0.25">
      <c r="O650813" s="9"/>
    </row>
    <row r="650834" spans="15:15" x14ac:dyDescent="0.25">
      <c r="O650834" s="9"/>
    </row>
    <row r="650855" spans="15:15" x14ac:dyDescent="0.25">
      <c r="O650855" s="9"/>
    </row>
    <row r="650876" spans="15:15" x14ac:dyDescent="0.25">
      <c r="O650876" s="9"/>
    </row>
    <row r="650897" spans="15:15" x14ac:dyDescent="0.25">
      <c r="O650897" s="9"/>
    </row>
    <row r="650918" spans="15:15" x14ac:dyDescent="0.25">
      <c r="O650918" s="9"/>
    </row>
    <row r="650939" spans="15:15" x14ac:dyDescent="0.25">
      <c r="O650939" s="9"/>
    </row>
    <row r="650960" spans="15:15" x14ac:dyDescent="0.25">
      <c r="O650960" s="9"/>
    </row>
    <row r="650981" spans="15:15" x14ac:dyDescent="0.25">
      <c r="O650981" s="9"/>
    </row>
    <row r="651002" spans="15:15" x14ac:dyDescent="0.25">
      <c r="O651002" s="9"/>
    </row>
    <row r="651023" spans="15:15" x14ac:dyDescent="0.25">
      <c r="O651023" s="9"/>
    </row>
    <row r="651044" spans="15:15" x14ac:dyDescent="0.25">
      <c r="O651044" s="9"/>
    </row>
    <row r="651065" spans="15:15" x14ac:dyDescent="0.25">
      <c r="O651065" s="9"/>
    </row>
    <row r="651086" spans="15:15" x14ac:dyDescent="0.25">
      <c r="O651086" s="9"/>
    </row>
    <row r="651107" spans="15:15" x14ac:dyDescent="0.25">
      <c r="O651107" s="9"/>
    </row>
    <row r="651128" spans="15:15" x14ac:dyDescent="0.25">
      <c r="O651128" s="9"/>
    </row>
    <row r="651149" spans="15:15" x14ac:dyDescent="0.25">
      <c r="O651149" s="9"/>
    </row>
    <row r="651170" spans="15:15" x14ac:dyDescent="0.25">
      <c r="O651170" s="9"/>
    </row>
    <row r="651191" spans="15:15" x14ac:dyDescent="0.25">
      <c r="O651191" s="9"/>
    </row>
    <row r="651212" spans="15:15" x14ac:dyDescent="0.25">
      <c r="O651212" s="9"/>
    </row>
    <row r="651233" spans="15:15" x14ac:dyDescent="0.25">
      <c r="O651233" s="9"/>
    </row>
    <row r="651254" spans="15:15" x14ac:dyDescent="0.25">
      <c r="O651254" s="9"/>
    </row>
    <row r="651275" spans="15:15" x14ac:dyDescent="0.25">
      <c r="O651275" s="9"/>
    </row>
    <row r="651296" spans="15:15" x14ac:dyDescent="0.25">
      <c r="O651296" s="9"/>
    </row>
    <row r="651317" spans="15:15" x14ac:dyDescent="0.25">
      <c r="O651317" s="9"/>
    </row>
    <row r="651338" spans="15:15" x14ac:dyDescent="0.25">
      <c r="O651338" s="9"/>
    </row>
    <row r="651359" spans="15:15" x14ac:dyDescent="0.25">
      <c r="O651359" s="9"/>
    </row>
    <row r="651380" spans="15:15" x14ac:dyDescent="0.25">
      <c r="O651380" s="9"/>
    </row>
    <row r="651401" spans="15:15" x14ac:dyDescent="0.25">
      <c r="O651401" s="9"/>
    </row>
    <row r="651422" spans="15:15" x14ac:dyDescent="0.25">
      <c r="O651422" s="9"/>
    </row>
    <row r="651443" spans="15:15" x14ac:dyDescent="0.25">
      <c r="O651443" s="9"/>
    </row>
    <row r="651464" spans="15:15" x14ac:dyDescent="0.25">
      <c r="O651464" s="9"/>
    </row>
    <row r="651485" spans="15:15" x14ac:dyDescent="0.25">
      <c r="O651485" s="9"/>
    </row>
    <row r="651506" spans="15:15" x14ac:dyDescent="0.25">
      <c r="O651506" s="9"/>
    </row>
    <row r="651527" spans="15:15" x14ac:dyDescent="0.25">
      <c r="O651527" s="9"/>
    </row>
    <row r="651548" spans="15:15" x14ac:dyDescent="0.25">
      <c r="O651548" s="9"/>
    </row>
    <row r="651569" spans="15:15" x14ac:dyDescent="0.25">
      <c r="O651569" s="9"/>
    </row>
    <row r="651590" spans="15:15" x14ac:dyDescent="0.25">
      <c r="O651590" s="9"/>
    </row>
    <row r="651611" spans="15:15" x14ac:dyDescent="0.25">
      <c r="O651611" s="9"/>
    </row>
    <row r="651632" spans="15:15" x14ac:dyDescent="0.25">
      <c r="O651632" s="9"/>
    </row>
    <row r="651653" spans="15:15" x14ac:dyDescent="0.25">
      <c r="O651653" s="9"/>
    </row>
    <row r="651674" spans="15:15" x14ac:dyDescent="0.25">
      <c r="O651674" s="9"/>
    </row>
    <row r="651695" spans="15:15" x14ac:dyDescent="0.25">
      <c r="O651695" s="9"/>
    </row>
    <row r="651716" spans="15:15" x14ac:dyDescent="0.25">
      <c r="O651716" s="9"/>
    </row>
    <row r="651737" spans="15:15" x14ac:dyDescent="0.25">
      <c r="O651737" s="9"/>
    </row>
    <row r="651758" spans="15:15" x14ac:dyDescent="0.25">
      <c r="O651758" s="9"/>
    </row>
    <row r="651779" spans="15:15" x14ac:dyDescent="0.25">
      <c r="O651779" s="9"/>
    </row>
    <row r="651800" spans="15:15" x14ac:dyDescent="0.25">
      <c r="O651800" s="9"/>
    </row>
    <row r="651821" spans="15:15" x14ac:dyDescent="0.25">
      <c r="O651821" s="9"/>
    </row>
    <row r="651842" spans="15:15" x14ac:dyDescent="0.25">
      <c r="O651842" s="9"/>
    </row>
    <row r="651863" spans="15:15" x14ac:dyDescent="0.25">
      <c r="O651863" s="9"/>
    </row>
    <row r="651884" spans="15:15" x14ac:dyDescent="0.25">
      <c r="O651884" s="9"/>
    </row>
    <row r="651905" spans="15:15" x14ac:dyDescent="0.25">
      <c r="O651905" s="9"/>
    </row>
    <row r="651926" spans="15:15" x14ac:dyDescent="0.25">
      <c r="O651926" s="9"/>
    </row>
    <row r="651947" spans="15:15" x14ac:dyDescent="0.25">
      <c r="O651947" s="9"/>
    </row>
    <row r="651968" spans="15:15" x14ac:dyDescent="0.25">
      <c r="O651968" s="9"/>
    </row>
    <row r="651989" spans="15:15" x14ac:dyDescent="0.25">
      <c r="O651989" s="9"/>
    </row>
    <row r="652010" spans="15:15" x14ac:dyDescent="0.25">
      <c r="O652010" s="9"/>
    </row>
    <row r="652031" spans="15:15" x14ac:dyDescent="0.25">
      <c r="O652031" s="9"/>
    </row>
    <row r="652052" spans="15:15" x14ac:dyDescent="0.25">
      <c r="O652052" s="9"/>
    </row>
    <row r="652073" spans="15:15" x14ac:dyDescent="0.25">
      <c r="O652073" s="9"/>
    </row>
    <row r="652094" spans="15:15" x14ac:dyDescent="0.25">
      <c r="O652094" s="9"/>
    </row>
    <row r="652115" spans="15:15" x14ac:dyDescent="0.25">
      <c r="O652115" s="9"/>
    </row>
    <row r="652136" spans="15:15" x14ac:dyDescent="0.25">
      <c r="O652136" s="9"/>
    </row>
    <row r="652157" spans="15:15" x14ac:dyDescent="0.25">
      <c r="O652157" s="9"/>
    </row>
    <row r="652178" spans="15:15" x14ac:dyDescent="0.25">
      <c r="O652178" s="9"/>
    </row>
    <row r="652199" spans="15:15" x14ac:dyDescent="0.25">
      <c r="O652199" s="9"/>
    </row>
    <row r="652220" spans="15:15" x14ac:dyDescent="0.25">
      <c r="O652220" s="9"/>
    </row>
    <row r="652241" spans="15:15" x14ac:dyDescent="0.25">
      <c r="O652241" s="9"/>
    </row>
    <row r="652262" spans="15:15" x14ac:dyDescent="0.25">
      <c r="O652262" s="9"/>
    </row>
    <row r="652283" spans="15:15" x14ac:dyDescent="0.25">
      <c r="O652283" s="9"/>
    </row>
    <row r="652304" spans="15:15" x14ac:dyDescent="0.25">
      <c r="O652304" s="9"/>
    </row>
    <row r="652325" spans="15:15" x14ac:dyDescent="0.25">
      <c r="O652325" s="9"/>
    </row>
    <row r="652346" spans="15:15" x14ac:dyDescent="0.25">
      <c r="O652346" s="9"/>
    </row>
    <row r="652367" spans="15:15" x14ac:dyDescent="0.25">
      <c r="O652367" s="9"/>
    </row>
    <row r="652388" spans="15:15" x14ac:dyDescent="0.25">
      <c r="O652388" s="9"/>
    </row>
    <row r="652409" spans="15:15" x14ac:dyDescent="0.25">
      <c r="O652409" s="9"/>
    </row>
    <row r="652430" spans="15:15" x14ac:dyDescent="0.25">
      <c r="O652430" s="9"/>
    </row>
    <row r="652451" spans="15:15" x14ac:dyDescent="0.25">
      <c r="O652451" s="9"/>
    </row>
    <row r="652472" spans="15:15" x14ac:dyDescent="0.25">
      <c r="O652472" s="9"/>
    </row>
    <row r="652493" spans="15:15" x14ac:dyDescent="0.25">
      <c r="O652493" s="9"/>
    </row>
    <row r="652514" spans="15:15" x14ac:dyDescent="0.25">
      <c r="O652514" s="9"/>
    </row>
    <row r="652535" spans="15:15" x14ac:dyDescent="0.25">
      <c r="O652535" s="9"/>
    </row>
    <row r="652556" spans="15:15" x14ac:dyDescent="0.25">
      <c r="O652556" s="9"/>
    </row>
    <row r="652577" spans="15:15" x14ac:dyDescent="0.25">
      <c r="O652577" s="9"/>
    </row>
    <row r="652598" spans="15:15" x14ac:dyDescent="0.25">
      <c r="O652598" s="9"/>
    </row>
    <row r="652619" spans="15:15" x14ac:dyDescent="0.25">
      <c r="O652619" s="9"/>
    </row>
    <row r="652640" spans="15:15" x14ac:dyDescent="0.25">
      <c r="O652640" s="9"/>
    </row>
    <row r="652661" spans="15:15" x14ac:dyDescent="0.25">
      <c r="O652661" s="9"/>
    </row>
    <row r="652682" spans="15:15" x14ac:dyDescent="0.25">
      <c r="O652682" s="9"/>
    </row>
    <row r="652703" spans="15:15" x14ac:dyDescent="0.25">
      <c r="O652703" s="9"/>
    </row>
    <row r="652724" spans="15:15" x14ac:dyDescent="0.25">
      <c r="O652724" s="9"/>
    </row>
    <row r="652745" spans="15:15" x14ac:dyDescent="0.25">
      <c r="O652745" s="9"/>
    </row>
    <row r="652766" spans="15:15" x14ac:dyDescent="0.25">
      <c r="O652766" s="9"/>
    </row>
    <row r="652787" spans="15:15" x14ac:dyDescent="0.25">
      <c r="O652787" s="9"/>
    </row>
    <row r="652808" spans="15:15" x14ac:dyDescent="0.25">
      <c r="O652808" s="9"/>
    </row>
    <row r="652829" spans="15:15" x14ac:dyDescent="0.25">
      <c r="O652829" s="9"/>
    </row>
    <row r="652850" spans="15:15" x14ac:dyDescent="0.25">
      <c r="O652850" s="9"/>
    </row>
    <row r="652871" spans="15:15" x14ac:dyDescent="0.25">
      <c r="O652871" s="9"/>
    </row>
    <row r="652892" spans="15:15" x14ac:dyDescent="0.25">
      <c r="O652892" s="9"/>
    </row>
    <row r="652913" spans="15:15" x14ac:dyDescent="0.25">
      <c r="O652913" s="9"/>
    </row>
    <row r="652934" spans="15:15" x14ac:dyDescent="0.25">
      <c r="O652934" s="9"/>
    </row>
    <row r="652955" spans="15:15" x14ac:dyDescent="0.25">
      <c r="O652955" s="9"/>
    </row>
    <row r="652976" spans="15:15" x14ac:dyDescent="0.25">
      <c r="O652976" s="9"/>
    </row>
    <row r="652997" spans="15:15" x14ac:dyDescent="0.25">
      <c r="O652997" s="9"/>
    </row>
    <row r="653018" spans="15:15" x14ac:dyDescent="0.25">
      <c r="O653018" s="9"/>
    </row>
    <row r="653039" spans="15:15" x14ac:dyDescent="0.25">
      <c r="O653039" s="9"/>
    </row>
    <row r="653060" spans="15:15" x14ac:dyDescent="0.25">
      <c r="O653060" s="9"/>
    </row>
    <row r="653081" spans="15:15" x14ac:dyDescent="0.25">
      <c r="O653081" s="9"/>
    </row>
    <row r="653102" spans="15:15" x14ac:dyDescent="0.25">
      <c r="O653102" s="9"/>
    </row>
    <row r="653123" spans="15:15" x14ac:dyDescent="0.25">
      <c r="O653123" s="9"/>
    </row>
    <row r="653144" spans="15:15" x14ac:dyDescent="0.25">
      <c r="O653144" s="9"/>
    </row>
    <row r="653165" spans="15:15" x14ac:dyDescent="0.25">
      <c r="O653165" s="9"/>
    </row>
    <row r="653186" spans="15:15" x14ac:dyDescent="0.25">
      <c r="O653186" s="9"/>
    </row>
    <row r="653207" spans="15:15" x14ac:dyDescent="0.25">
      <c r="O653207" s="9"/>
    </row>
    <row r="653228" spans="15:15" x14ac:dyDescent="0.25">
      <c r="O653228" s="9"/>
    </row>
    <row r="653249" spans="15:15" x14ac:dyDescent="0.25">
      <c r="O653249" s="9"/>
    </row>
    <row r="653270" spans="15:15" x14ac:dyDescent="0.25">
      <c r="O653270" s="9"/>
    </row>
    <row r="653291" spans="15:15" x14ac:dyDescent="0.25">
      <c r="O653291" s="9"/>
    </row>
    <row r="653312" spans="15:15" x14ac:dyDescent="0.25">
      <c r="O653312" s="9"/>
    </row>
    <row r="653333" spans="15:15" x14ac:dyDescent="0.25">
      <c r="O653333" s="9"/>
    </row>
    <row r="653354" spans="15:15" x14ac:dyDescent="0.25">
      <c r="O653354" s="9"/>
    </row>
    <row r="653375" spans="15:15" x14ac:dyDescent="0.25">
      <c r="O653375" s="9"/>
    </row>
    <row r="653396" spans="15:15" x14ac:dyDescent="0.25">
      <c r="O653396" s="9"/>
    </row>
    <row r="653417" spans="15:15" x14ac:dyDescent="0.25">
      <c r="O653417" s="9"/>
    </row>
    <row r="653438" spans="15:15" x14ac:dyDescent="0.25">
      <c r="O653438" s="9"/>
    </row>
    <row r="653459" spans="15:15" x14ac:dyDescent="0.25">
      <c r="O653459" s="9"/>
    </row>
    <row r="653480" spans="15:15" x14ac:dyDescent="0.25">
      <c r="O653480" s="9"/>
    </row>
    <row r="653501" spans="15:15" x14ac:dyDescent="0.25">
      <c r="O653501" s="9"/>
    </row>
    <row r="653522" spans="15:15" x14ac:dyDescent="0.25">
      <c r="O653522" s="9"/>
    </row>
    <row r="653543" spans="15:15" x14ac:dyDescent="0.25">
      <c r="O653543" s="9"/>
    </row>
    <row r="653564" spans="15:15" x14ac:dyDescent="0.25">
      <c r="O653564" s="9"/>
    </row>
    <row r="653585" spans="15:15" x14ac:dyDescent="0.25">
      <c r="O653585" s="9"/>
    </row>
    <row r="653606" spans="15:15" x14ac:dyDescent="0.25">
      <c r="O653606" s="9"/>
    </row>
    <row r="653627" spans="15:15" x14ac:dyDescent="0.25">
      <c r="O653627" s="9"/>
    </row>
    <row r="653648" spans="15:15" x14ac:dyDescent="0.25">
      <c r="O653648" s="9"/>
    </row>
    <row r="653669" spans="15:15" x14ac:dyDescent="0.25">
      <c r="O653669" s="9"/>
    </row>
    <row r="653690" spans="15:15" x14ac:dyDescent="0.25">
      <c r="O653690" s="9"/>
    </row>
    <row r="653711" spans="15:15" x14ac:dyDescent="0.25">
      <c r="O653711" s="9"/>
    </row>
    <row r="653732" spans="15:15" x14ac:dyDescent="0.25">
      <c r="O653732" s="9"/>
    </row>
    <row r="653753" spans="15:15" x14ac:dyDescent="0.25">
      <c r="O653753" s="9"/>
    </row>
    <row r="653774" spans="15:15" x14ac:dyDescent="0.25">
      <c r="O653774" s="9"/>
    </row>
    <row r="653795" spans="15:15" x14ac:dyDescent="0.25">
      <c r="O653795" s="9"/>
    </row>
    <row r="653816" spans="15:15" x14ac:dyDescent="0.25">
      <c r="O653816" s="9"/>
    </row>
    <row r="653837" spans="15:15" x14ac:dyDescent="0.25">
      <c r="O653837" s="9"/>
    </row>
    <row r="653858" spans="15:15" x14ac:dyDescent="0.25">
      <c r="O653858" s="9"/>
    </row>
    <row r="653879" spans="15:15" x14ac:dyDescent="0.25">
      <c r="O653879" s="9"/>
    </row>
    <row r="653900" spans="15:15" x14ac:dyDescent="0.25">
      <c r="O653900" s="9"/>
    </row>
    <row r="653921" spans="15:15" x14ac:dyDescent="0.25">
      <c r="O653921" s="9"/>
    </row>
    <row r="653942" spans="15:15" x14ac:dyDescent="0.25">
      <c r="O653942" s="9"/>
    </row>
    <row r="653963" spans="15:15" x14ac:dyDescent="0.25">
      <c r="O653963" s="9"/>
    </row>
    <row r="653984" spans="15:15" x14ac:dyDescent="0.25">
      <c r="O653984" s="9"/>
    </row>
    <row r="654005" spans="15:15" x14ac:dyDescent="0.25">
      <c r="O654005" s="9"/>
    </row>
    <row r="654026" spans="15:15" x14ac:dyDescent="0.25">
      <c r="O654026" s="9"/>
    </row>
    <row r="654047" spans="15:15" x14ac:dyDescent="0.25">
      <c r="O654047" s="9"/>
    </row>
    <row r="654068" spans="15:15" x14ac:dyDescent="0.25">
      <c r="O654068" s="9"/>
    </row>
    <row r="654089" spans="15:15" x14ac:dyDescent="0.25">
      <c r="O654089" s="9"/>
    </row>
    <row r="654110" spans="15:15" x14ac:dyDescent="0.25">
      <c r="O654110" s="9"/>
    </row>
    <row r="654131" spans="15:15" x14ac:dyDescent="0.25">
      <c r="O654131" s="9"/>
    </row>
    <row r="654152" spans="15:15" x14ac:dyDescent="0.25">
      <c r="O654152" s="9"/>
    </row>
    <row r="654173" spans="15:15" x14ac:dyDescent="0.25">
      <c r="O654173" s="9"/>
    </row>
    <row r="654194" spans="15:15" x14ac:dyDescent="0.25">
      <c r="O654194" s="9"/>
    </row>
    <row r="654215" spans="15:15" x14ac:dyDescent="0.25">
      <c r="O654215" s="9"/>
    </row>
    <row r="654236" spans="15:15" x14ac:dyDescent="0.25">
      <c r="O654236" s="9"/>
    </row>
    <row r="654257" spans="15:15" x14ac:dyDescent="0.25">
      <c r="O654257" s="9"/>
    </row>
    <row r="654278" spans="15:15" x14ac:dyDescent="0.25">
      <c r="O654278" s="9"/>
    </row>
    <row r="654299" spans="15:15" x14ac:dyDescent="0.25">
      <c r="O654299" s="9"/>
    </row>
    <row r="654320" spans="15:15" x14ac:dyDescent="0.25">
      <c r="O654320" s="9"/>
    </row>
    <row r="654341" spans="15:15" x14ac:dyDescent="0.25">
      <c r="O654341" s="9"/>
    </row>
    <row r="654362" spans="15:15" x14ac:dyDescent="0.25">
      <c r="O654362" s="9"/>
    </row>
    <row r="654383" spans="15:15" x14ac:dyDescent="0.25">
      <c r="O654383" s="9"/>
    </row>
    <row r="654404" spans="15:15" x14ac:dyDescent="0.25">
      <c r="O654404" s="9"/>
    </row>
    <row r="654425" spans="15:15" x14ac:dyDescent="0.25">
      <c r="O654425" s="9"/>
    </row>
    <row r="654446" spans="15:15" x14ac:dyDescent="0.25">
      <c r="O654446" s="9"/>
    </row>
    <row r="654467" spans="15:15" x14ac:dyDescent="0.25">
      <c r="O654467" s="9"/>
    </row>
    <row r="654488" spans="15:15" x14ac:dyDescent="0.25">
      <c r="O654488" s="9"/>
    </row>
    <row r="654509" spans="15:15" x14ac:dyDescent="0.25">
      <c r="O654509" s="9"/>
    </row>
    <row r="654530" spans="15:15" x14ac:dyDescent="0.25">
      <c r="O654530" s="9"/>
    </row>
    <row r="654551" spans="15:15" x14ac:dyDescent="0.25">
      <c r="O654551" s="9"/>
    </row>
    <row r="654572" spans="15:15" x14ac:dyDescent="0.25">
      <c r="O654572" s="9"/>
    </row>
    <row r="654593" spans="15:15" x14ac:dyDescent="0.25">
      <c r="O654593" s="9"/>
    </row>
    <row r="654614" spans="15:15" x14ac:dyDescent="0.25">
      <c r="O654614" s="9"/>
    </row>
    <row r="654635" spans="15:15" x14ac:dyDescent="0.25">
      <c r="O654635" s="9"/>
    </row>
    <row r="654656" spans="15:15" x14ac:dyDescent="0.25">
      <c r="O654656" s="9"/>
    </row>
    <row r="654677" spans="15:15" x14ac:dyDescent="0.25">
      <c r="O654677" s="9"/>
    </row>
    <row r="654698" spans="15:15" x14ac:dyDescent="0.25">
      <c r="O654698" s="9"/>
    </row>
    <row r="654719" spans="15:15" x14ac:dyDescent="0.25">
      <c r="O654719" s="9"/>
    </row>
    <row r="654740" spans="15:15" x14ac:dyDescent="0.25">
      <c r="O654740" s="9"/>
    </row>
    <row r="654761" spans="15:15" x14ac:dyDescent="0.25">
      <c r="O654761" s="9"/>
    </row>
    <row r="654782" spans="15:15" x14ac:dyDescent="0.25">
      <c r="O654782" s="9"/>
    </row>
    <row r="654803" spans="15:15" x14ac:dyDescent="0.25">
      <c r="O654803" s="9"/>
    </row>
    <row r="654824" spans="15:15" x14ac:dyDescent="0.25">
      <c r="O654824" s="9"/>
    </row>
    <row r="654845" spans="15:15" x14ac:dyDescent="0.25">
      <c r="O654845" s="9"/>
    </row>
    <row r="654866" spans="15:15" x14ac:dyDescent="0.25">
      <c r="O654866" s="9"/>
    </row>
    <row r="654887" spans="15:15" x14ac:dyDescent="0.25">
      <c r="O654887" s="9"/>
    </row>
    <row r="654908" spans="15:15" x14ac:dyDescent="0.25">
      <c r="O654908" s="9"/>
    </row>
    <row r="654929" spans="15:15" x14ac:dyDescent="0.25">
      <c r="O654929" s="9"/>
    </row>
    <row r="654950" spans="15:15" x14ac:dyDescent="0.25">
      <c r="O654950" s="9"/>
    </row>
    <row r="654971" spans="15:15" x14ac:dyDescent="0.25">
      <c r="O654971" s="9"/>
    </row>
    <row r="654992" spans="15:15" x14ac:dyDescent="0.25">
      <c r="O654992" s="9"/>
    </row>
    <row r="655013" spans="15:15" x14ac:dyDescent="0.25">
      <c r="O655013" s="9"/>
    </row>
    <row r="655034" spans="15:15" x14ac:dyDescent="0.25">
      <c r="O655034" s="9"/>
    </row>
    <row r="655055" spans="15:15" x14ac:dyDescent="0.25">
      <c r="O655055" s="9"/>
    </row>
    <row r="655076" spans="15:15" x14ac:dyDescent="0.25">
      <c r="O655076" s="9"/>
    </row>
    <row r="655097" spans="15:15" x14ac:dyDescent="0.25">
      <c r="O655097" s="9"/>
    </row>
    <row r="655118" spans="15:15" x14ac:dyDescent="0.25">
      <c r="O655118" s="9"/>
    </row>
    <row r="655139" spans="15:15" x14ac:dyDescent="0.25">
      <c r="O655139" s="9"/>
    </row>
    <row r="655160" spans="15:15" x14ac:dyDescent="0.25">
      <c r="O655160" s="9"/>
    </row>
    <row r="655181" spans="15:15" x14ac:dyDescent="0.25">
      <c r="O655181" s="9"/>
    </row>
    <row r="655202" spans="15:15" x14ac:dyDescent="0.25">
      <c r="O655202" s="9"/>
    </row>
    <row r="655223" spans="15:15" x14ac:dyDescent="0.25">
      <c r="O655223" s="9"/>
    </row>
    <row r="655244" spans="15:15" x14ac:dyDescent="0.25">
      <c r="O655244" s="9"/>
    </row>
    <row r="655265" spans="15:15" x14ac:dyDescent="0.25">
      <c r="O655265" s="9"/>
    </row>
    <row r="655286" spans="15:15" x14ac:dyDescent="0.25">
      <c r="O655286" s="9"/>
    </row>
    <row r="655307" spans="15:15" x14ac:dyDescent="0.25">
      <c r="O655307" s="9"/>
    </row>
    <row r="655328" spans="15:15" x14ac:dyDescent="0.25">
      <c r="O655328" s="9"/>
    </row>
    <row r="655349" spans="15:15" x14ac:dyDescent="0.25">
      <c r="O655349" s="9"/>
    </row>
    <row r="655370" spans="15:15" x14ac:dyDescent="0.25">
      <c r="O655370" s="9"/>
    </row>
    <row r="655391" spans="15:15" x14ac:dyDescent="0.25">
      <c r="O655391" s="9"/>
    </row>
    <row r="655412" spans="15:15" x14ac:dyDescent="0.25">
      <c r="O655412" s="9"/>
    </row>
    <row r="655433" spans="15:15" x14ac:dyDescent="0.25">
      <c r="O655433" s="9"/>
    </row>
    <row r="655454" spans="15:15" x14ac:dyDescent="0.25">
      <c r="O655454" s="9"/>
    </row>
    <row r="655475" spans="15:15" x14ac:dyDescent="0.25">
      <c r="O655475" s="9"/>
    </row>
    <row r="655496" spans="15:15" x14ac:dyDescent="0.25">
      <c r="O655496" s="9"/>
    </row>
    <row r="655517" spans="15:15" x14ac:dyDescent="0.25">
      <c r="O655517" s="9"/>
    </row>
    <row r="655538" spans="15:15" x14ac:dyDescent="0.25">
      <c r="O655538" s="9"/>
    </row>
    <row r="655559" spans="15:15" x14ac:dyDescent="0.25">
      <c r="O655559" s="9"/>
    </row>
    <row r="655580" spans="15:15" x14ac:dyDescent="0.25">
      <c r="O655580" s="9"/>
    </row>
    <row r="655601" spans="15:15" x14ac:dyDescent="0.25">
      <c r="O655601" s="9"/>
    </row>
    <row r="655622" spans="15:15" x14ac:dyDescent="0.25">
      <c r="O655622" s="9"/>
    </row>
    <row r="655643" spans="15:15" x14ac:dyDescent="0.25">
      <c r="O655643" s="9"/>
    </row>
    <row r="655664" spans="15:15" x14ac:dyDescent="0.25">
      <c r="O655664" s="9"/>
    </row>
    <row r="655685" spans="15:15" x14ac:dyDescent="0.25">
      <c r="O655685" s="9"/>
    </row>
    <row r="655706" spans="15:15" x14ac:dyDescent="0.25">
      <c r="O655706" s="9"/>
    </row>
    <row r="655727" spans="15:15" x14ac:dyDescent="0.25">
      <c r="O655727" s="9"/>
    </row>
    <row r="655748" spans="15:15" x14ac:dyDescent="0.25">
      <c r="O655748" s="9"/>
    </row>
    <row r="655769" spans="15:15" x14ac:dyDescent="0.25">
      <c r="O655769" s="9"/>
    </row>
    <row r="655790" spans="15:15" x14ac:dyDescent="0.25">
      <c r="O655790" s="9"/>
    </row>
    <row r="655811" spans="15:15" x14ac:dyDescent="0.25">
      <c r="O655811" s="9"/>
    </row>
    <row r="655832" spans="15:15" x14ac:dyDescent="0.25">
      <c r="O655832" s="9"/>
    </row>
    <row r="655853" spans="15:15" x14ac:dyDescent="0.25">
      <c r="O655853" s="9"/>
    </row>
    <row r="655874" spans="15:15" x14ac:dyDescent="0.25">
      <c r="O655874" s="9"/>
    </row>
    <row r="655895" spans="15:15" x14ac:dyDescent="0.25">
      <c r="O655895" s="9"/>
    </row>
    <row r="655916" spans="15:15" x14ac:dyDescent="0.25">
      <c r="O655916" s="9"/>
    </row>
    <row r="655937" spans="15:15" x14ac:dyDescent="0.25">
      <c r="O655937" s="9"/>
    </row>
    <row r="655958" spans="15:15" x14ac:dyDescent="0.25">
      <c r="O655958" s="9"/>
    </row>
    <row r="655979" spans="15:15" x14ac:dyDescent="0.25">
      <c r="O655979" s="9"/>
    </row>
    <row r="656000" spans="15:15" x14ac:dyDescent="0.25">
      <c r="O656000" s="9"/>
    </row>
    <row r="656021" spans="15:15" x14ac:dyDescent="0.25">
      <c r="O656021" s="9"/>
    </row>
    <row r="656042" spans="15:15" x14ac:dyDescent="0.25">
      <c r="O656042" s="9"/>
    </row>
    <row r="656063" spans="15:15" x14ac:dyDescent="0.25">
      <c r="O656063" s="9"/>
    </row>
    <row r="656084" spans="15:15" x14ac:dyDescent="0.25">
      <c r="O656084" s="9"/>
    </row>
    <row r="656105" spans="15:15" x14ac:dyDescent="0.25">
      <c r="O656105" s="9"/>
    </row>
    <row r="656126" spans="15:15" x14ac:dyDescent="0.25">
      <c r="O656126" s="9"/>
    </row>
    <row r="656147" spans="15:15" x14ac:dyDescent="0.25">
      <c r="O656147" s="9"/>
    </row>
    <row r="656168" spans="15:15" x14ac:dyDescent="0.25">
      <c r="O656168" s="9"/>
    </row>
    <row r="656189" spans="15:15" x14ac:dyDescent="0.25">
      <c r="O656189" s="9"/>
    </row>
    <row r="656210" spans="15:15" x14ac:dyDescent="0.25">
      <c r="O656210" s="9"/>
    </row>
    <row r="656231" spans="15:15" x14ac:dyDescent="0.25">
      <c r="O656231" s="9"/>
    </row>
    <row r="656252" spans="15:15" x14ac:dyDescent="0.25">
      <c r="O656252" s="9"/>
    </row>
    <row r="656273" spans="15:15" x14ac:dyDescent="0.25">
      <c r="O656273" s="9"/>
    </row>
    <row r="656294" spans="15:15" x14ac:dyDescent="0.25">
      <c r="O656294" s="9"/>
    </row>
    <row r="656315" spans="15:15" x14ac:dyDescent="0.25">
      <c r="O656315" s="9"/>
    </row>
    <row r="656336" spans="15:15" x14ac:dyDescent="0.25">
      <c r="O656336" s="9"/>
    </row>
    <row r="656357" spans="15:15" x14ac:dyDescent="0.25">
      <c r="O656357" s="9"/>
    </row>
    <row r="656378" spans="15:15" x14ac:dyDescent="0.25">
      <c r="O656378" s="9"/>
    </row>
    <row r="656399" spans="15:15" x14ac:dyDescent="0.25">
      <c r="O656399" s="9"/>
    </row>
    <row r="656420" spans="15:15" x14ac:dyDescent="0.25">
      <c r="O656420" s="9"/>
    </row>
    <row r="656441" spans="15:15" x14ac:dyDescent="0.25">
      <c r="O656441" s="9"/>
    </row>
    <row r="656462" spans="15:15" x14ac:dyDescent="0.25">
      <c r="O656462" s="9"/>
    </row>
    <row r="656483" spans="15:15" x14ac:dyDescent="0.25">
      <c r="O656483" s="9"/>
    </row>
    <row r="656504" spans="15:15" x14ac:dyDescent="0.25">
      <c r="O656504" s="9"/>
    </row>
    <row r="656525" spans="15:15" x14ac:dyDescent="0.25">
      <c r="O656525" s="9"/>
    </row>
    <row r="656546" spans="15:15" x14ac:dyDescent="0.25">
      <c r="O656546" s="9"/>
    </row>
    <row r="656567" spans="15:15" x14ac:dyDescent="0.25">
      <c r="O656567" s="9"/>
    </row>
    <row r="656588" spans="15:15" x14ac:dyDescent="0.25">
      <c r="O656588" s="9"/>
    </row>
    <row r="656609" spans="15:15" x14ac:dyDescent="0.25">
      <c r="O656609" s="9"/>
    </row>
    <row r="656630" spans="15:15" x14ac:dyDescent="0.25">
      <c r="O656630" s="9"/>
    </row>
    <row r="656651" spans="15:15" x14ac:dyDescent="0.25">
      <c r="O656651" s="9"/>
    </row>
    <row r="656672" spans="15:15" x14ac:dyDescent="0.25">
      <c r="O656672" s="9"/>
    </row>
    <row r="656693" spans="15:15" x14ac:dyDescent="0.25">
      <c r="O656693" s="9"/>
    </row>
    <row r="656714" spans="15:15" x14ac:dyDescent="0.25">
      <c r="O656714" s="9"/>
    </row>
    <row r="656735" spans="15:15" x14ac:dyDescent="0.25">
      <c r="O656735" s="9"/>
    </row>
    <row r="656756" spans="15:15" x14ac:dyDescent="0.25">
      <c r="O656756" s="9"/>
    </row>
    <row r="656777" spans="15:15" x14ac:dyDescent="0.25">
      <c r="O656777" s="9"/>
    </row>
    <row r="656798" spans="15:15" x14ac:dyDescent="0.25">
      <c r="O656798" s="9"/>
    </row>
    <row r="656819" spans="15:15" x14ac:dyDescent="0.25">
      <c r="O656819" s="9"/>
    </row>
    <row r="656840" spans="15:15" x14ac:dyDescent="0.25">
      <c r="O656840" s="9"/>
    </row>
    <row r="656861" spans="15:15" x14ac:dyDescent="0.25">
      <c r="O656861" s="9"/>
    </row>
    <row r="656882" spans="15:15" x14ac:dyDescent="0.25">
      <c r="O656882" s="9"/>
    </row>
    <row r="656903" spans="15:15" x14ac:dyDescent="0.25">
      <c r="O656903" s="9"/>
    </row>
    <row r="656924" spans="15:15" x14ac:dyDescent="0.25">
      <c r="O656924" s="9"/>
    </row>
    <row r="656945" spans="15:15" x14ac:dyDescent="0.25">
      <c r="O656945" s="9"/>
    </row>
    <row r="656966" spans="15:15" x14ac:dyDescent="0.25">
      <c r="O656966" s="9"/>
    </row>
    <row r="656987" spans="15:15" x14ac:dyDescent="0.25">
      <c r="O656987" s="9"/>
    </row>
    <row r="657008" spans="15:15" x14ac:dyDescent="0.25">
      <c r="O657008" s="9"/>
    </row>
    <row r="657029" spans="15:15" x14ac:dyDescent="0.25">
      <c r="O657029" s="9"/>
    </row>
    <row r="657050" spans="15:15" x14ac:dyDescent="0.25">
      <c r="O657050" s="9"/>
    </row>
    <row r="657071" spans="15:15" x14ac:dyDescent="0.25">
      <c r="O657071" s="9"/>
    </row>
    <row r="657092" spans="15:15" x14ac:dyDescent="0.25">
      <c r="O657092" s="9"/>
    </row>
    <row r="657113" spans="15:15" x14ac:dyDescent="0.25">
      <c r="O657113" s="9"/>
    </row>
    <row r="657134" spans="15:15" x14ac:dyDescent="0.25">
      <c r="O657134" s="9"/>
    </row>
    <row r="657155" spans="15:15" x14ac:dyDescent="0.25">
      <c r="O657155" s="9"/>
    </row>
    <row r="657176" spans="15:15" x14ac:dyDescent="0.25">
      <c r="O657176" s="9"/>
    </row>
    <row r="657197" spans="15:15" x14ac:dyDescent="0.25">
      <c r="O657197" s="9"/>
    </row>
    <row r="657218" spans="15:15" x14ac:dyDescent="0.25">
      <c r="O657218" s="9"/>
    </row>
    <row r="657239" spans="15:15" x14ac:dyDescent="0.25">
      <c r="O657239" s="9"/>
    </row>
    <row r="657260" spans="15:15" x14ac:dyDescent="0.25">
      <c r="O657260" s="9"/>
    </row>
    <row r="657281" spans="15:15" x14ac:dyDescent="0.25">
      <c r="O657281" s="9"/>
    </row>
    <row r="657302" spans="15:15" x14ac:dyDescent="0.25">
      <c r="O657302" s="9"/>
    </row>
    <row r="657323" spans="15:15" x14ac:dyDescent="0.25">
      <c r="O657323" s="9"/>
    </row>
    <row r="657344" spans="15:15" x14ac:dyDescent="0.25">
      <c r="O657344" s="9"/>
    </row>
    <row r="657365" spans="15:15" x14ac:dyDescent="0.25">
      <c r="O657365" s="9"/>
    </row>
    <row r="657386" spans="15:15" x14ac:dyDescent="0.25">
      <c r="O657386" s="9"/>
    </row>
    <row r="657407" spans="15:15" x14ac:dyDescent="0.25">
      <c r="O657407" s="9"/>
    </row>
    <row r="657428" spans="15:15" x14ac:dyDescent="0.25">
      <c r="O657428" s="9"/>
    </row>
    <row r="657449" spans="15:15" x14ac:dyDescent="0.25">
      <c r="O657449" s="9"/>
    </row>
    <row r="657470" spans="15:15" x14ac:dyDescent="0.25">
      <c r="O657470" s="9"/>
    </row>
    <row r="657491" spans="15:15" x14ac:dyDescent="0.25">
      <c r="O657491" s="9"/>
    </row>
    <row r="657512" spans="15:15" x14ac:dyDescent="0.25">
      <c r="O657512" s="9"/>
    </row>
    <row r="657533" spans="15:15" x14ac:dyDescent="0.25">
      <c r="O657533" s="9"/>
    </row>
    <row r="657554" spans="15:15" x14ac:dyDescent="0.25">
      <c r="O657554" s="9"/>
    </row>
    <row r="657575" spans="15:15" x14ac:dyDescent="0.25">
      <c r="O657575" s="9"/>
    </row>
    <row r="657596" spans="15:15" x14ac:dyDescent="0.25">
      <c r="O657596" s="9"/>
    </row>
    <row r="657617" spans="15:15" x14ac:dyDescent="0.25">
      <c r="O657617" s="9"/>
    </row>
    <row r="657638" spans="15:15" x14ac:dyDescent="0.25">
      <c r="O657638" s="9"/>
    </row>
    <row r="657659" spans="15:15" x14ac:dyDescent="0.25">
      <c r="O657659" s="9"/>
    </row>
    <row r="657680" spans="15:15" x14ac:dyDescent="0.25">
      <c r="O657680" s="9"/>
    </row>
    <row r="657701" spans="15:15" x14ac:dyDescent="0.25">
      <c r="O657701" s="9"/>
    </row>
    <row r="657722" spans="15:15" x14ac:dyDescent="0.25">
      <c r="O657722" s="9"/>
    </row>
    <row r="657743" spans="15:15" x14ac:dyDescent="0.25">
      <c r="O657743" s="9"/>
    </row>
    <row r="657764" spans="15:15" x14ac:dyDescent="0.25">
      <c r="O657764" s="9"/>
    </row>
    <row r="657785" spans="15:15" x14ac:dyDescent="0.25">
      <c r="O657785" s="9"/>
    </row>
    <row r="657806" spans="15:15" x14ac:dyDescent="0.25">
      <c r="O657806" s="9"/>
    </row>
    <row r="657827" spans="15:15" x14ac:dyDescent="0.25">
      <c r="O657827" s="9"/>
    </row>
    <row r="657848" spans="15:15" x14ac:dyDescent="0.25">
      <c r="O657848" s="9"/>
    </row>
    <row r="657869" spans="15:15" x14ac:dyDescent="0.25">
      <c r="O657869" s="9"/>
    </row>
    <row r="657890" spans="15:15" x14ac:dyDescent="0.25">
      <c r="O657890" s="9"/>
    </row>
    <row r="657911" spans="15:15" x14ac:dyDescent="0.25">
      <c r="O657911" s="9"/>
    </row>
    <row r="657932" spans="15:15" x14ac:dyDescent="0.25">
      <c r="O657932" s="9"/>
    </row>
    <row r="657953" spans="15:15" x14ac:dyDescent="0.25">
      <c r="O657953" s="9"/>
    </row>
    <row r="657974" spans="15:15" x14ac:dyDescent="0.25">
      <c r="O657974" s="9"/>
    </row>
    <row r="657995" spans="15:15" x14ac:dyDescent="0.25">
      <c r="O657995" s="9"/>
    </row>
    <row r="658016" spans="15:15" x14ac:dyDescent="0.25">
      <c r="O658016" s="9"/>
    </row>
    <row r="658037" spans="15:15" x14ac:dyDescent="0.25">
      <c r="O658037" s="9"/>
    </row>
    <row r="658058" spans="15:15" x14ac:dyDescent="0.25">
      <c r="O658058" s="9"/>
    </row>
    <row r="658079" spans="15:15" x14ac:dyDescent="0.25">
      <c r="O658079" s="9"/>
    </row>
    <row r="658100" spans="15:15" x14ac:dyDescent="0.25">
      <c r="O658100" s="9"/>
    </row>
    <row r="658121" spans="15:15" x14ac:dyDescent="0.25">
      <c r="O658121" s="9"/>
    </row>
    <row r="658142" spans="15:15" x14ac:dyDescent="0.25">
      <c r="O658142" s="9"/>
    </row>
    <row r="658163" spans="15:15" x14ac:dyDescent="0.25">
      <c r="O658163" s="9"/>
    </row>
    <row r="658184" spans="15:15" x14ac:dyDescent="0.25">
      <c r="O658184" s="9"/>
    </row>
    <row r="658205" spans="15:15" x14ac:dyDescent="0.25">
      <c r="O658205" s="9"/>
    </row>
    <row r="658226" spans="15:15" x14ac:dyDescent="0.25">
      <c r="O658226" s="9"/>
    </row>
    <row r="658247" spans="15:15" x14ac:dyDescent="0.25">
      <c r="O658247" s="9"/>
    </row>
    <row r="658268" spans="15:15" x14ac:dyDescent="0.25">
      <c r="O658268" s="9"/>
    </row>
    <row r="658289" spans="15:15" x14ac:dyDescent="0.25">
      <c r="O658289" s="9"/>
    </row>
    <row r="658310" spans="15:15" x14ac:dyDescent="0.25">
      <c r="O658310" s="9"/>
    </row>
    <row r="658331" spans="15:15" x14ac:dyDescent="0.25">
      <c r="O658331" s="9"/>
    </row>
    <row r="658352" spans="15:15" x14ac:dyDescent="0.25">
      <c r="O658352" s="9"/>
    </row>
    <row r="658373" spans="15:15" x14ac:dyDescent="0.25">
      <c r="O658373" s="9"/>
    </row>
    <row r="658394" spans="15:15" x14ac:dyDescent="0.25">
      <c r="O658394" s="9"/>
    </row>
    <row r="658415" spans="15:15" x14ac:dyDescent="0.25">
      <c r="O658415" s="9"/>
    </row>
    <row r="658436" spans="15:15" x14ac:dyDescent="0.25">
      <c r="O658436" s="9"/>
    </row>
    <row r="658457" spans="15:15" x14ac:dyDescent="0.25">
      <c r="O658457" s="9"/>
    </row>
    <row r="658478" spans="15:15" x14ac:dyDescent="0.25">
      <c r="O658478" s="9"/>
    </row>
    <row r="658499" spans="15:15" x14ac:dyDescent="0.25">
      <c r="O658499" s="9"/>
    </row>
    <row r="658520" spans="15:15" x14ac:dyDescent="0.25">
      <c r="O658520" s="9"/>
    </row>
    <row r="658541" spans="15:15" x14ac:dyDescent="0.25">
      <c r="O658541" s="9"/>
    </row>
    <row r="658562" spans="15:15" x14ac:dyDescent="0.25">
      <c r="O658562" s="9"/>
    </row>
    <row r="658583" spans="15:15" x14ac:dyDescent="0.25">
      <c r="O658583" s="9"/>
    </row>
    <row r="658604" spans="15:15" x14ac:dyDescent="0.25">
      <c r="O658604" s="9"/>
    </row>
    <row r="658625" spans="15:15" x14ac:dyDescent="0.25">
      <c r="O658625" s="9"/>
    </row>
    <row r="658646" spans="15:15" x14ac:dyDescent="0.25">
      <c r="O658646" s="9"/>
    </row>
    <row r="658667" spans="15:15" x14ac:dyDescent="0.25">
      <c r="O658667" s="9"/>
    </row>
    <row r="658688" spans="15:15" x14ac:dyDescent="0.25">
      <c r="O658688" s="9"/>
    </row>
    <row r="658709" spans="15:15" x14ac:dyDescent="0.25">
      <c r="O658709" s="9"/>
    </row>
    <row r="658730" spans="15:15" x14ac:dyDescent="0.25">
      <c r="O658730" s="9"/>
    </row>
    <row r="658751" spans="15:15" x14ac:dyDescent="0.25">
      <c r="O658751" s="9"/>
    </row>
    <row r="658772" spans="15:15" x14ac:dyDescent="0.25">
      <c r="O658772" s="9"/>
    </row>
    <row r="658793" spans="15:15" x14ac:dyDescent="0.25">
      <c r="O658793" s="9"/>
    </row>
    <row r="658814" spans="15:15" x14ac:dyDescent="0.25">
      <c r="O658814" s="9"/>
    </row>
    <row r="658835" spans="15:15" x14ac:dyDescent="0.25">
      <c r="O658835" s="9"/>
    </row>
    <row r="658856" spans="15:15" x14ac:dyDescent="0.25">
      <c r="O658856" s="9"/>
    </row>
    <row r="658877" spans="15:15" x14ac:dyDescent="0.25">
      <c r="O658877" s="9"/>
    </row>
    <row r="658898" spans="15:15" x14ac:dyDescent="0.25">
      <c r="O658898" s="9"/>
    </row>
    <row r="658919" spans="15:15" x14ac:dyDescent="0.25">
      <c r="O658919" s="9"/>
    </row>
    <row r="658940" spans="15:15" x14ac:dyDescent="0.25">
      <c r="O658940" s="9"/>
    </row>
    <row r="658961" spans="15:15" x14ac:dyDescent="0.25">
      <c r="O658961" s="9"/>
    </row>
    <row r="658982" spans="15:15" x14ac:dyDescent="0.25">
      <c r="O658982" s="9"/>
    </row>
    <row r="659003" spans="15:15" x14ac:dyDescent="0.25">
      <c r="O659003" s="9"/>
    </row>
    <row r="659024" spans="15:15" x14ac:dyDescent="0.25">
      <c r="O659024" s="9"/>
    </row>
    <row r="659045" spans="15:15" x14ac:dyDescent="0.25">
      <c r="O659045" s="9"/>
    </row>
    <row r="659066" spans="15:15" x14ac:dyDescent="0.25">
      <c r="O659066" s="9"/>
    </row>
    <row r="659087" spans="15:15" x14ac:dyDescent="0.25">
      <c r="O659087" s="9"/>
    </row>
    <row r="659108" spans="15:15" x14ac:dyDescent="0.25">
      <c r="O659108" s="9"/>
    </row>
    <row r="659129" spans="15:15" x14ac:dyDescent="0.25">
      <c r="O659129" s="9"/>
    </row>
    <row r="659150" spans="15:15" x14ac:dyDescent="0.25">
      <c r="O659150" s="9"/>
    </row>
    <row r="659171" spans="15:15" x14ac:dyDescent="0.25">
      <c r="O659171" s="9"/>
    </row>
    <row r="659192" spans="15:15" x14ac:dyDescent="0.25">
      <c r="O659192" s="9"/>
    </row>
    <row r="659213" spans="15:15" x14ac:dyDescent="0.25">
      <c r="O659213" s="9"/>
    </row>
    <row r="659234" spans="15:15" x14ac:dyDescent="0.25">
      <c r="O659234" s="9"/>
    </row>
    <row r="659255" spans="15:15" x14ac:dyDescent="0.25">
      <c r="O659255" s="9"/>
    </row>
    <row r="659276" spans="15:15" x14ac:dyDescent="0.25">
      <c r="O659276" s="9"/>
    </row>
    <row r="659297" spans="15:15" x14ac:dyDescent="0.25">
      <c r="O659297" s="9"/>
    </row>
    <row r="659318" spans="15:15" x14ac:dyDescent="0.25">
      <c r="O659318" s="9"/>
    </row>
    <row r="659339" spans="15:15" x14ac:dyDescent="0.25">
      <c r="O659339" s="9"/>
    </row>
    <row r="659360" spans="15:15" x14ac:dyDescent="0.25">
      <c r="O659360" s="9"/>
    </row>
    <row r="659381" spans="15:15" x14ac:dyDescent="0.25">
      <c r="O659381" s="9"/>
    </row>
    <row r="659402" spans="15:15" x14ac:dyDescent="0.25">
      <c r="O659402" s="9"/>
    </row>
    <row r="659423" spans="15:15" x14ac:dyDescent="0.25">
      <c r="O659423" s="9"/>
    </row>
    <row r="659444" spans="15:15" x14ac:dyDescent="0.25">
      <c r="O659444" s="9"/>
    </row>
    <row r="659465" spans="15:15" x14ac:dyDescent="0.25">
      <c r="O659465" s="9"/>
    </row>
    <row r="659486" spans="15:15" x14ac:dyDescent="0.25">
      <c r="O659486" s="9"/>
    </row>
    <row r="659507" spans="15:15" x14ac:dyDescent="0.25">
      <c r="O659507" s="9"/>
    </row>
    <row r="659528" spans="15:15" x14ac:dyDescent="0.25">
      <c r="O659528" s="9"/>
    </row>
    <row r="659549" spans="15:15" x14ac:dyDescent="0.25">
      <c r="O659549" s="9"/>
    </row>
    <row r="659570" spans="15:15" x14ac:dyDescent="0.25">
      <c r="O659570" s="9"/>
    </row>
    <row r="659591" spans="15:15" x14ac:dyDescent="0.25">
      <c r="O659591" s="9"/>
    </row>
    <row r="659612" spans="15:15" x14ac:dyDescent="0.25">
      <c r="O659612" s="9"/>
    </row>
    <row r="659633" spans="15:15" x14ac:dyDescent="0.25">
      <c r="O659633" s="9"/>
    </row>
    <row r="659654" spans="15:15" x14ac:dyDescent="0.25">
      <c r="O659654" s="9"/>
    </row>
    <row r="659675" spans="15:15" x14ac:dyDescent="0.25">
      <c r="O659675" s="9"/>
    </row>
    <row r="659696" spans="15:15" x14ac:dyDescent="0.25">
      <c r="O659696" s="9"/>
    </row>
    <row r="659717" spans="15:15" x14ac:dyDescent="0.25">
      <c r="O659717" s="9"/>
    </row>
    <row r="659738" spans="15:15" x14ac:dyDescent="0.25">
      <c r="O659738" s="9"/>
    </row>
    <row r="659759" spans="15:15" x14ac:dyDescent="0.25">
      <c r="O659759" s="9"/>
    </row>
    <row r="659780" spans="15:15" x14ac:dyDescent="0.25">
      <c r="O659780" s="9"/>
    </row>
    <row r="659801" spans="15:15" x14ac:dyDescent="0.25">
      <c r="O659801" s="9"/>
    </row>
    <row r="659822" spans="15:15" x14ac:dyDescent="0.25">
      <c r="O659822" s="9"/>
    </row>
    <row r="659843" spans="15:15" x14ac:dyDescent="0.25">
      <c r="O659843" s="9"/>
    </row>
    <row r="659864" spans="15:15" x14ac:dyDescent="0.25">
      <c r="O659864" s="9"/>
    </row>
    <row r="659885" spans="15:15" x14ac:dyDescent="0.25">
      <c r="O659885" s="9"/>
    </row>
    <row r="659906" spans="15:15" x14ac:dyDescent="0.25">
      <c r="O659906" s="9"/>
    </row>
    <row r="659927" spans="15:15" x14ac:dyDescent="0.25">
      <c r="O659927" s="9"/>
    </row>
    <row r="659948" spans="15:15" x14ac:dyDescent="0.25">
      <c r="O659948" s="9"/>
    </row>
    <row r="659969" spans="15:15" x14ac:dyDescent="0.25">
      <c r="O659969" s="9"/>
    </row>
    <row r="659990" spans="15:15" x14ac:dyDescent="0.25">
      <c r="O659990" s="9"/>
    </row>
    <row r="660011" spans="15:15" x14ac:dyDescent="0.25">
      <c r="O660011" s="9"/>
    </row>
    <row r="660032" spans="15:15" x14ac:dyDescent="0.25">
      <c r="O660032" s="9"/>
    </row>
    <row r="660053" spans="15:15" x14ac:dyDescent="0.25">
      <c r="O660053" s="9"/>
    </row>
    <row r="660074" spans="15:15" x14ac:dyDescent="0.25">
      <c r="O660074" s="9"/>
    </row>
    <row r="660095" spans="15:15" x14ac:dyDescent="0.25">
      <c r="O660095" s="9"/>
    </row>
    <row r="660116" spans="15:15" x14ac:dyDescent="0.25">
      <c r="O660116" s="9"/>
    </row>
    <row r="660137" spans="15:15" x14ac:dyDescent="0.25">
      <c r="O660137" s="9"/>
    </row>
    <row r="660158" spans="15:15" x14ac:dyDescent="0.25">
      <c r="O660158" s="9"/>
    </row>
    <row r="660179" spans="15:15" x14ac:dyDescent="0.25">
      <c r="O660179" s="9"/>
    </row>
    <row r="660200" spans="15:15" x14ac:dyDescent="0.25">
      <c r="O660200" s="9"/>
    </row>
    <row r="660221" spans="15:15" x14ac:dyDescent="0.25">
      <c r="O660221" s="9"/>
    </row>
    <row r="660242" spans="15:15" x14ac:dyDescent="0.25">
      <c r="O660242" s="9"/>
    </row>
    <row r="660263" spans="15:15" x14ac:dyDescent="0.25">
      <c r="O660263" s="9"/>
    </row>
    <row r="660284" spans="15:15" x14ac:dyDescent="0.25">
      <c r="O660284" s="9"/>
    </row>
    <row r="660305" spans="15:15" x14ac:dyDescent="0.25">
      <c r="O660305" s="9"/>
    </row>
    <row r="660326" spans="15:15" x14ac:dyDescent="0.25">
      <c r="O660326" s="9"/>
    </row>
    <row r="660347" spans="15:15" x14ac:dyDescent="0.25">
      <c r="O660347" s="9"/>
    </row>
    <row r="660368" spans="15:15" x14ac:dyDescent="0.25">
      <c r="O660368" s="9"/>
    </row>
    <row r="660389" spans="15:15" x14ac:dyDescent="0.25">
      <c r="O660389" s="9"/>
    </row>
    <row r="660410" spans="15:15" x14ac:dyDescent="0.25">
      <c r="O660410" s="9"/>
    </row>
    <row r="660431" spans="15:15" x14ac:dyDescent="0.25">
      <c r="O660431" s="9"/>
    </row>
    <row r="660452" spans="15:15" x14ac:dyDescent="0.25">
      <c r="O660452" s="9"/>
    </row>
    <row r="660473" spans="15:15" x14ac:dyDescent="0.25">
      <c r="O660473" s="9"/>
    </row>
    <row r="660494" spans="15:15" x14ac:dyDescent="0.25">
      <c r="O660494" s="9"/>
    </row>
    <row r="660515" spans="15:15" x14ac:dyDescent="0.25">
      <c r="O660515" s="9"/>
    </row>
    <row r="660536" spans="15:15" x14ac:dyDescent="0.25">
      <c r="O660536" s="9"/>
    </row>
    <row r="660557" spans="15:15" x14ac:dyDescent="0.25">
      <c r="O660557" s="9"/>
    </row>
    <row r="660578" spans="15:15" x14ac:dyDescent="0.25">
      <c r="O660578" s="9"/>
    </row>
    <row r="660599" spans="15:15" x14ac:dyDescent="0.25">
      <c r="O660599" s="9"/>
    </row>
    <row r="660620" spans="15:15" x14ac:dyDescent="0.25">
      <c r="O660620" s="9"/>
    </row>
    <row r="660641" spans="15:15" x14ac:dyDescent="0.25">
      <c r="O660641" s="9"/>
    </row>
    <row r="660662" spans="15:15" x14ac:dyDescent="0.25">
      <c r="O660662" s="9"/>
    </row>
    <row r="660683" spans="15:15" x14ac:dyDescent="0.25">
      <c r="O660683" s="9"/>
    </row>
    <row r="660704" spans="15:15" x14ac:dyDescent="0.25">
      <c r="O660704" s="9"/>
    </row>
    <row r="660725" spans="15:15" x14ac:dyDescent="0.25">
      <c r="O660725" s="9"/>
    </row>
    <row r="660746" spans="15:15" x14ac:dyDescent="0.25">
      <c r="O660746" s="9"/>
    </row>
    <row r="660767" spans="15:15" x14ac:dyDescent="0.25">
      <c r="O660767" s="9"/>
    </row>
    <row r="660788" spans="15:15" x14ac:dyDescent="0.25">
      <c r="O660788" s="9"/>
    </row>
    <row r="660809" spans="15:15" x14ac:dyDescent="0.25">
      <c r="O660809" s="9"/>
    </row>
    <row r="660830" spans="15:15" x14ac:dyDescent="0.25">
      <c r="O660830" s="9"/>
    </row>
    <row r="660851" spans="15:15" x14ac:dyDescent="0.25">
      <c r="O660851" s="9"/>
    </row>
    <row r="660872" spans="15:15" x14ac:dyDescent="0.25">
      <c r="O660872" s="9"/>
    </row>
    <row r="660893" spans="15:15" x14ac:dyDescent="0.25">
      <c r="O660893" s="9"/>
    </row>
    <row r="660914" spans="15:15" x14ac:dyDescent="0.25">
      <c r="O660914" s="9"/>
    </row>
    <row r="660935" spans="15:15" x14ac:dyDescent="0.25">
      <c r="O660935" s="9"/>
    </row>
    <row r="660956" spans="15:15" x14ac:dyDescent="0.25">
      <c r="O660956" s="9"/>
    </row>
    <row r="660977" spans="15:15" x14ac:dyDescent="0.25">
      <c r="O660977" s="9"/>
    </row>
    <row r="660998" spans="15:15" x14ac:dyDescent="0.25">
      <c r="O660998" s="9"/>
    </row>
    <row r="661019" spans="15:15" x14ac:dyDescent="0.25">
      <c r="O661019" s="9"/>
    </row>
    <row r="661040" spans="15:15" x14ac:dyDescent="0.25">
      <c r="O661040" s="9"/>
    </row>
    <row r="661061" spans="15:15" x14ac:dyDescent="0.25">
      <c r="O661061" s="9"/>
    </row>
    <row r="661082" spans="15:15" x14ac:dyDescent="0.25">
      <c r="O661082" s="9"/>
    </row>
    <row r="661103" spans="15:15" x14ac:dyDescent="0.25">
      <c r="O661103" s="9"/>
    </row>
    <row r="661124" spans="15:15" x14ac:dyDescent="0.25">
      <c r="O661124" s="9"/>
    </row>
    <row r="661145" spans="15:15" x14ac:dyDescent="0.25">
      <c r="O661145" s="9"/>
    </row>
    <row r="661166" spans="15:15" x14ac:dyDescent="0.25">
      <c r="O661166" s="9"/>
    </row>
    <row r="661187" spans="15:15" x14ac:dyDescent="0.25">
      <c r="O661187" s="9"/>
    </row>
    <row r="661208" spans="15:15" x14ac:dyDescent="0.25">
      <c r="O661208" s="9"/>
    </row>
    <row r="661229" spans="15:15" x14ac:dyDescent="0.25">
      <c r="O661229" s="9"/>
    </row>
    <row r="661250" spans="15:15" x14ac:dyDescent="0.25">
      <c r="O661250" s="9"/>
    </row>
    <row r="661271" spans="15:15" x14ac:dyDescent="0.25">
      <c r="O661271" s="9"/>
    </row>
    <row r="661292" spans="15:15" x14ac:dyDescent="0.25">
      <c r="O661292" s="9"/>
    </row>
    <row r="661313" spans="15:15" x14ac:dyDescent="0.25">
      <c r="O661313" s="9"/>
    </row>
    <row r="661334" spans="15:15" x14ac:dyDescent="0.25">
      <c r="O661334" s="9"/>
    </row>
    <row r="661355" spans="15:15" x14ac:dyDescent="0.25">
      <c r="O661355" s="9"/>
    </row>
    <row r="661376" spans="15:15" x14ac:dyDescent="0.25">
      <c r="O661376" s="9"/>
    </row>
    <row r="661397" spans="15:15" x14ac:dyDescent="0.25">
      <c r="O661397" s="9"/>
    </row>
    <row r="661418" spans="15:15" x14ac:dyDescent="0.25">
      <c r="O661418" s="9"/>
    </row>
    <row r="661439" spans="15:15" x14ac:dyDescent="0.25">
      <c r="O661439" s="9"/>
    </row>
    <row r="661460" spans="15:15" x14ac:dyDescent="0.25">
      <c r="O661460" s="9"/>
    </row>
    <row r="661481" spans="15:15" x14ac:dyDescent="0.25">
      <c r="O661481" s="9"/>
    </row>
    <row r="661502" spans="15:15" x14ac:dyDescent="0.25">
      <c r="O661502" s="9"/>
    </row>
    <row r="661523" spans="15:15" x14ac:dyDescent="0.25">
      <c r="O661523" s="9"/>
    </row>
    <row r="661544" spans="15:15" x14ac:dyDescent="0.25">
      <c r="O661544" s="9"/>
    </row>
    <row r="661565" spans="15:15" x14ac:dyDescent="0.25">
      <c r="O661565" s="9"/>
    </row>
    <row r="661586" spans="15:15" x14ac:dyDescent="0.25">
      <c r="O661586" s="9"/>
    </row>
    <row r="661607" spans="15:15" x14ac:dyDescent="0.25">
      <c r="O661607" s="9"/>
    </row>
    <row r="661628" spans="15:15" x14ac:dyDescent="0.25">
      <c r="O661628" s="9"/>
    </row>
    <row r="661649" spans="15:15" x14ac:dyDescent="0.25">
      <c r="O661649" s="9"/>
    </row>
    <row r="661670" spans="15:15" x14ac:dyDescent="0.25">
      <c r="O661670" s="9"/>
    </row>
    <row r="661691" spans="15:15" x14ac:dyDescent="0.25">
      <c r="O661691" s="9"/>
    </row>
    <row r="661712" spans="15:15" x14ac:dyDescent="0.25">
      <c r="O661712" s="9"/>
    </row>
    <row r="661733" spans="15:15" x14ac:dyDescent="0.25">
      <c r="O661733" s="9"/>
    </row>
    <row r="661754" spans="15:15" x14ac:dyDescent="0.25">
      <c r="O661754" s="9"/>
    </row>
    <row r="661775" spans="15:15" x14ac:dyDescent="0.25">
      <c r="O661775" s="9"/>
    </row>
    <row r="661796" spans="15:15" x14ac:dyDescent="0.25">
      <c r="O661796" s="9"/>
    </row>
    <row r="661817" spans="15:15" x14ac:dyDescent="0.25">
      <c r="O661817" s="9"/>
    </row>
    <row r="661838" spans="15:15" x14ac:dyDescent="0.25">
      <c r="O661838" s="9"/>
    </row>
    <row r="661859" spans="15:15" x14ac:dyDescent="0.25">
      <c r="O661859" s="9"/>
    </row>
    <row r="661880" spans="15:15" x14ac:dyDescent="0.25">
      <c r="O661880" s="9"/>
    </row>
    <row r="661901" spans="15:15" x14ac:dyDescent="0.25">
      <c r="O661901" s="9"/>
    </row>
    <row r="661922" spans="15:15" x14ac:dyDescent="0.25">
      <c r="O661922" s="9"/>
    </row>
    <row r="661943" spans="15:15" x14ac:dyDescent="0.25">
      <c r="O661943" s="9"/>
    </row>
    <row r="661964" spans="15:15" x14ac:dyDescent="0.25">
      <c r="O661964" s="9"/>
    </row>
    <row r="661985" spans="15:15" x14ac:dyDescent="0.25">
      <c r="O661985" s="9"/>
    </row>
    <row r="662006" spans="15:15" x14ac:dyDescent="0.25">
      <c r="O662006" s="9"/>
    </row>
    <row r="662027" spans="15:15" x14ac:dyDescent="0.25">
      <c r="O662027" s="9"/>
    </row>
    <row r="662048" spans="15:15" x14ac:dyDescent="0.25">
      <c r="O662048" s="9"/>
    </row>
    <row r="662069" spans="15:15" x14ac:dyDescent="0.25">
      <c r="O662069" s="9"/>
    </row>
    <row r="662090" spans="15:15" x14ac:dyDescent="0.25">
      <c r="O662090" s="9"/>
    </row>
    <row r="662111" spans="15:15" x14ac:dyDescent="0.25">
      <c r="O662111" s="9"/>
    </row>
    <row r="662132" spans="15:15" x14ac:dyDescent="0.25">
      <c r="O662132" s="9"/>
    </row>
    <row r="662153" spans="15:15" x14ac:dyDescent="0.25">
      <c r="O662153" s="9"/>
    </row>
    <row r="662174" spans="15:15" x14ac:dyDescent="0.25">
      <c r="O662174" s="9"/>
    </row>
    <row r="662195" spans="15:15" x14ac:dyDescent="0.25">
      <c r="O662195" s="9"/>
    </row>
    <row r="662216" spans="15:15" x14ac:dyDescent="0.25">
      <c r="O662216" s="9"/>
    </row>
    <row r="662237" spans="15:15" x14ac:dyDescent="0.25">
      <c r="O662237" s="9"/>
    </row>
    <row r="662258" spans="15:15" x14ac:dyDescent="0.25">
      <c r="O662258" s="9"/>
    </row>
    <row r="662279" spans="15:15" x14ac:dyDescent="0.25">
      <c r="O662279" s="9"/>
    </row>
    <row r="662300" spans="15:15" x14ac:dyDescent="0.25">
      <c r="O662300" s="9"/>
    </row>
    <row r="662321" spans="15:15" x14ac:dyDescent="0.25">
      <c r="O662321" s="9"/>
    </row>
    <row r="662342" spans="15:15" x14ac:dyDescent="0.25">
      <c r="O662342" s="9"/>
    </row>
    <row r="662363" spans="15:15" x14ac:dyDescent="0.25">
      <c r="O662363" s="9"/>
    </row>
    <row r="662384" spans="15:15" x14ac:dyDescent="0.25">
      <c r="O662384" s="9"/>
    </row>
    <row r="662405" spans="15:15" x14ac:dyDescent="0.25">
      <c r="O662405" s="9"/>
    </row>
    <row r="662426" spans="15:15" x14ac:dyDescent="0.25">
      <c r="O662426" s="9"/>
    </row>
    <row r="662447" spans="15:15" x14ac:dyDescent="0.25">
      <c r="O662447" s="9"/>
    </row>
    <row r="662468" spans="15:15" x14ac:dyDescent="0.25">
      <c r="O662468" s="9"/>
    </row>
    <row r="662489" spans="15:15" x14ac:dyDescent="0.25">
      <c r="O662489" s="9"/>
    </row>
    <row r="662510" spans="15:15" x14ac:dyDescent="0.25">
      <c r="O662510" s="9"/>
    </row>
    <row r="662531" spans="15:15" x14ac:dyDescent="0.25">
      <c r="O662531" s="9"/>
    </row>
    <row r="662552" spans="15:15" x14ac:dyDescent="0.25">
      <c r="O662552" s="9"/>
    </row>
    <row r="662573" spans="15:15" x14ac:dyDescent="0.25">
      <c r="O662573" s="9"/>
    </row>
    <row r="662594" spans="15:15" x14ac:dyDescent="0.25">
      <c r="O662594" s="9"/>
    </row>
    <row r="662615" spans="15:15" x14ac:dyDescent="0.25">
      <c r="O662615" s="9"/>
    </row>
    <row r="662636" spans="15:15" x14ac:dyDescent="0.25">
      <c r="O662636" s="9"/>
    </row>
    <row r="662657" spans="15:15" x14ac:dyDescent="0.25">
      <c r="O662657" s="9"/>
    </row>
    <row r="662678" spans="15:15" x14ac:dyDescent="0.25">
      <c r="O662678" s="9"/>
    </row>
    <row r="662699" spans="15:15" x14ac:dyDescent="0.25">
      <c r="O662699" s="9"/>
    </row>
    <row r="662720" spans="15:15" x14ac:dyDescent="0.25">
      <c r="O662720" s="9"/>
    </row>
    <row r="662741" spans="15:15" x14ac:dyDescent="0.25">
      <c r="O662741" s="9"/>
    </row>
    <row r="662762" spans="15:15" x14ac:dyDescent="0.25">
      <c r="O662762" s="9"/>
    </row>
    <row r="662783" spans="15:15" x14ac:dyDescent="0.25">
      <c r="O662783" s="9"/>
    </row>
    <row r="662804" spans="15:15" x14ac:dyDescent="0.25">
      <c r="O662804" s="9"/>
    </row>
    <row r="662825" spans="15:15" x14ac:dyDescent="0.25">
      <c r="O662825" s="9"/>
    </row>
    <row r="662846" spans="15:15" x14ac:dyDescent="0.25">
      <c r="O662846" s="9"/>
    </row>
    <row r="662867" spans="15:15" x14ac:dyDescent="0.25">
      <c r="O662867" s="9"/>
    </row>
    <row r="662888" spans="15:15" x14ac:dyDescent="0.25">
      <c r="O662888" s="9"/>
    </row>
    <row r="662909" spans="15:15" x14ac:dyDescent="0.25">
      <c r="O662909" s="9"/>
    </row>
    <row r="662930" spans="15:15" x14ac:dyDescent="0.25">
      <c r="O662930" s="9"/>
    </row>
    <row r="662951" spans="15:15" x14ac:dyDescent="0.25">
      <c r="O662951" s="9"/>
    </row>
    <row r="662972" spans="15:15" x14ac:dyDescent="0.25">
      <c r="O662972" s="9"/>
    </row>
    <row r="662993" spans="15:15" x14ac:dyDescent="0.25">
      <c r="O662993" s="9"/>
    </row>
    <row r="663014" spans="15:15" x14ac:dyDescent="0.25">
      <c r="O663014" s="9"/>
    </row>
    <row r="663035" spans="15:15" x14ac:dyDescent="0.25">
      <c r="O663035" s="9"/>
    </row>
    <row r="663056" spans="15:15" x14ac:dyDescent="0.25">
      <c r="O663056" s="9"/>
    </row>
    <row r="663077" spans="15:15" x14ac:dyDescent="0.25">
      <c r="O663077" s="9"/>
    </row>
    <row r="663098" spans="15:15" x14ac:dyDescent="0.25">
      <c r="O663098" s="9"/>
    </row>
    <row r="663119" spans="15:15" x14ac:dyDescent="0.25">
      <c r="O663119" s="9"/>
    </row>
    <row r="663140" spans="15:15" x14ac:dyDescent="0.25">
      <c r="O663140" s="9"/>
    </row>
    <row r="663161" spans="15:15" x14ac:dyDescent="0.25">
      <c r="O663161" s="9"/>
    </row>
    <row r="663182" spans="15:15" x14ac:dyDescent="0.25">
      <c r="O663182" s="9"/>
    </row>
    <row r="663203" spans="15:15" x14ac:dyDescent="0.25">
      <c r="O663203" s="9"/>
    </row>
    <row r="663224" spans="15:15" x14ac:dyDescent="0.25">
      <c r="O663224" s="9"/>
    </row>
    <row r="663245" spans="15:15" x14ac:dyDescent="0.25">
      <c r="O663245" s="9"/>
    </row>
    <row r="663266" spans="15:15" x14ac:dyDescent="0.25">
      <c r="O663266" s="9"/>
    </row>
    <row r="663287" spans="15:15" x14ac:dyDescent="0.25">
      <c r="O663287" s="9"/>
    </row>
    <row r="663308" spans="15:15" x14ac:dyDescent="0.25">
      <c r="O663308" s="9"/>
    </row>
    <row r="663329" spans="15:15" x14ac:dyDescent="0.25">
      <c r="O663329" s="9"/>
    </row>
    <row r="663350" spans="15:15" x14ac:dyDescent="0.25">
      <c r="O663350" s="9"/>
    </row>
    <row r="663371" spans="15:15" x14ac:dyDescent="0.25">
      <c r="O663371" s="9"/>
    </row>
    <row r="663392" spans="15:15" x14ac:dyDescent="0.25">
      <c r="O663392" s="9"/>
    </row>
    <row r="663413" spans="15:15" x14ac:dyDescent="0.25">
      <c r="O663413" s="9"/>
    </row>
    <row r="663434" spans="15:15" x14ac:dyDescent="0.25">
      <c r="O663434" s="9"/>
    </row>
    <row r="663455" spans="15:15" x14ac:dyDescent="0.25">
      <c r="O663455" s="9"/>
    </row>
    <row r="663476" spans="15:15" x14ac:dyDescent="0.25">
      <c r="O663476" s="9"/>
    </row>
    <row r="663497" spans="15:15" x14ac:dyDescent="0.25">
      <c r="O663497" s="9"/>
    </row>
    <row r="663518" spans="15:15" x14ac:dyDescent="0.25">
      <c r="O663518" s="9"/>
    </row>
    <row r="663539" spans="15:15" x14ac:dyDescent="0.25">
      <c r="O663539" s="9"/>
    </row>
    <row r="663560" spans="15:15" x14ac:dyDescent="0.25">
      <c r="O663560" s="9"/>
    </row>
    <row r="663581" spans="15:15" x14ac:dyDescent="0.25">
      <c r="O663581" s="9"/>
    </row>
    <row r="663602" spans="15:15" x14ac:dyDescent="0.25">
      <c r="O663602" s="9"/>
    </row>
    <row r="663623" spans="15:15" x14ac:dyDescent="0.25">
      <c r="O663623" s="9"/>
    </row>
    <row r="663644" spans="15:15" x14ac:dyDescent="0.25">
      <c r="O663644" s="9"/>
    </row>
    <row r="663665" spans="15:15" x14ac:dyDescent="0.25">
      <c r="O663665" s="9"/>
    </row>
    <row r="663686" spans="15:15" x14ac:dyDescent="0.25">
      <c r="O663686" s="9"/>
    </row>
    <row r="663707" spans="15:15" x14ac:dyDescent="0.25">
      <c r="O663707" s="9"/>
    </row>
    <row r="663728" spans="15:15" x14ac:dyDescent="0.25">
      <c r="O663728" s="9"/>
    </row>
    <row r="663749" spans="15:15" x14ac:dyDescent="0.25">
      <c r="O663749" s="9"/>
    </row>
    <row r="663770" spans="15:15" x14ac:dyDescent="0.25">
      <c r="O663770" s="9"/>
    </row>
    <row r="663791" spans="15:15" x14ac:dyDescent="0.25">
      <c r="O663791" s="9"/>
    </row>
    <row r="663812" spans="15:15" x14ac:dyDescent="0.25">
      <c r="O663812" s="9"/>
    </row>
    <row r="663833" spans="15:15" x14ac:dyDescent="0.25">
      <c r="O663833" s="9"/>
    </row>
    <row r="663854" spans="15:15" x14ac:dyDescent="0.25">
      <c r="O663854" s="9"/>
    </row>
    <row r="663875" spans="15:15" x14ac:dyDescent="0.25">
      <c r="O663875" s="9"/>
    </row>
    <row r="663896" spans="15:15" x14ac:dyDescent="0.25">
      <c r="O663896" s="9"/>
    </row>
    <row r="663917" spans="15:15" x14ac:dyDescent="0.25">
      <c r="O663917" s="9"/>
    </row>
    <row r="663938" spans="15:15" x14ac:dyDescent="0.25">
      <c r="O663938" s="9"/>
    </row>
    <row r="663959" spans="15:15" x14ac:dyDescent="0.25">
      <c r="O663959" s="9"/>
    </row>
    <row r="663980" spans="15:15" x14ac:dyDescent="0.25">
      <c r="O663980" s="9"/>
    </row>
    <row r="664001" spans="15:15" x14ac:dyDescent="0.25">
      <c r="O664001" s="9"/>
    </row>
    <row r="664022" spans="15:15" x14ac:dyDescent="0.25">
      <c r="O664022" s="9"/>
    </row>
    <row r="664043" spans="15:15" x14ac:dyDescent="0.25">
      <c r="O664043" s="9"/>
    </row>
    <row r="664064" spans="15:15" x14ac:dyDescent="0.25">
      <c r="O664064" s="9"/>
    </row>
    <row r="664085" spans="15:15" x14ac:dyDescent="0.25">
      <c r="O664085" s="9"/>
    </row>
    <row r="664106" spans="15:15" x14ac:dyDescent="0.25">
      <c r="O664106" s="9"/>
    </row>
    <row r="664127" spans="15:15" x14ac:dyDescent="0.25">
      <c r="O664127" s="9"/>
    </row>
    <row r="664148" spans="15:15" x14ac:dyDescent="0.25">
      <c r="O664148" s="9"/>
    </row>
    <row r="664169" spans="15:15" x14ac:dyDescent="0.25">
      <c r="O664169" s="9"/>
    </row>
    <row r="664190" spans="15:15" x14ac:dyDescent="0.25">
      <c r="O664190" s="9"/>
    </row>
    <row r="664211" spans="15:15" x14ac:dyDescent="0.25">
      <c r="O664211" s="9"/>
    </row>
    <row r="664232" spans="15:15" x14ac:dyDescent="0.25">
      <c r="O664232" s="9"/>
    </row>
    <row r="664253" spans="15:15" x14ac:dyDescent="0.25">
      <c r="O664253" s="9"/>
    </row>
    <row r="664274" spans="15:15" x14ac:dyDescent="0.25">
      <c r="O664274" s="9"/>
    </row>
    <row r="664295" spans="15:15" x14ac:dyDescent="0.25">
      <c r="O664295" s="9"/>
    </row>
    <row r="664316" spans="15:15" x14ac:dyDescent="0.25">
      <c r="O664316" s="9"/>
    </row>
    <row r="664337" spans="15:15" x14ac:dyDescent="0.25">
      <c r="O664337" s="9"/>
    </row>
    <row r="664358" spans="15:15" x14ac:dyDescent="0.25">
      <c r="O664358" s="9"/>
    </row>
    <row r="664379" spans="15:15" x14ac:dyDescent="0.25">
      <c r="O664379" s="9"/>
    </row>
    <row r="664400" spans="15:15" x14ac:dyDescent="0.25">
      <c r="O664400" s="9"/>
    </row>
    <row r="664421" spans="15:15" x14ac:dyDescent="0.25">
      <c r="O664421" s="9"/>
    </row>
    <row r="664442" spans="15:15" x14ac:dyDescent="0.25">
      <c r="O664442" s="9"/>
    </row>
    <row r="664463" spans="15:15" x14ac:dyDescent="0.25">
      <c r="O664463" s="9"/>
    </row>
    <row r="664484" spans="15:15" x14ac:dyDescent="0.25">
      <c r="O664484" s="9"/>
    </row>
    <row r="664505" spans="15:15" x14ac:dyDescent="0.25">
      <c r="O664505" s="9"/>
    </row>
    <row r="664526" spans="15:15" x14ac:dyDescent="0.25">
      <c r="O664526" s="9"/>
    </row>
    <row r="664547" spans="15:15" x14ac:dyDescent="0.25">
      <c r="O664547" s="9"/>
    </row>
    <row r="664568" spans="15:15" x14ac:dyDescent="0.25">
      <c r="O664568" s="9"/>
    </row>
    <row r="664589" spans="15:15" x14ac:dyDescent="0.25">
      <c r="O664589" s="9"/>
    </row>
    <row r="664610" spans="15:15" x14ac:dyDescent="0.25">
      <c r="O664610" s="9"/>
    </row>
    <row r="664631" spans="15:15" x14ac:dyDescent="0.25">
      <c r="O664631" s="9"/>
    </row>
    <row r="664652" spans="15:15" x14ac:dyDescent="0.25">
      <c r="O664652" s="9"/>
    </row>
    <row r="664673" spans="15:15" x14ac:dyDescent="0.25">
      <c r="O664673" s="9"/>
    </row>
    <row r="664694" spans="15:15" x14ac:dyDescent="0.25">
      <c r="O664694" s="9"/>
    </row>
    <row r="664715" spans="15:15" x14ac:dyDescent="0.25">
      <c r="O664715" s="9"/>
    </row>
    <row r="664736" spans="15:15" x14ac:dyDescent="0.25">
      <c r="O664736" s="9"/>
    </row>
    <row r="664757" spans="15:15" x14ac:dyDescent="0.25">
      <c r="O664757" s="9"/>
    </row>
    <row r="664778" spans="15:15" x14ac:dyDescent="0.25">
      <c r="O664778" s="9"/>
    </row>
    <row r="664799" spans="15:15" x14ac:dyDescent="0.25">
      <c r="O664799" s="9"/>
    </row>
    <row r="664820" spans="15:15" x14ac:dyDescent="0.25">
      <c r="O664820" s="9"/>
    </row>
    <row r="664841" spans="15:15" x14ac:dyDescent="0.25">
      <c r="O664841" s="9"/>
    </row>
    <row r="664862" spans="15:15" x14ac:dyDescent="0.25">
      <c r="O664862" s="9"/>
    </row>
    <row r="664883" spans="15:15" x14ac:dyDescent="0.25">
      <c r="O664883" s="9"/>
    </row>
    <row r="664904" spans="15:15" x14ac:dyDescent="0.25">
      <c r="O664904" s="9"/>
    </row>
    <row r="664925" spans="15:15" x14ac:dyDescent="0.25">
      <c r="O664925" s="9"/>
    </row>
    <row r="664946" spans="15:15" x14ac:dyDescent="0.25">
      <c r="O664946" s="9"/>
    </row>
    <row r="664967" spans="15:15" x14ac:dyDescent="0.25">
      <c r="O664967" s="9"/>
    </row>
    <row r="664988" spans="15:15" x14ac:dyDescent="0.25">
      <c r="O664988" s="9"/>
    </row>
    <row r="665009" spans="15:15" x14ac:dyDescent="0.25">
      <c r="O665009" s="9"/>
    </row>
    <row r="665030" spans="15:15" x14ac:dyDescent="0.25">
      <c r="O665030" s="9"/>
    </row>
    <row r="665051" spans="15:15" x14ac:dyDescent="0.25">
      <c r="O665051" s="9"/>
    </row>
    <row r="665072" spans="15:15" x14ac:dyDescent="0.25">
      <c r="O665072" s="9"/>
    </row>
    <row r="665093" spans="15:15" x14ac:dyDescent="0.25">
      <c r="O665093" s="9"/>
    </row>
    <row r="665114" spans="15:15" x14ac:dyDescent="0.25">
      <c r="O665114" s="9"/>
    </row>
    <row r="665135" spans="15:15" x14ac:dyDescent="0.25">
      <c r="O665135" s="9"/>
    </row>
    <row r="665156" spans="15:15" x14ac:dyDescent="0.25">
      <c r="O665156" s="9"/>
    </row>
    <row r="665177" spans="15:15" x14ac:dyDescent="0.25">
      <c r="O665177" s="9"/>
    </row>
    <row r="665198" spans="15:15" x14ac:dyDescent="0.25">
      <c r="O665198" s="9"/>
    </row>
    <row r="665219" spans="15:15" x14ac:dyDescent="0.25">
      <c r="O665219" s="9"/>
    </row>
    <row r="665240" spans="15:15" x14ac:dyDescent="0.25">
      <c r="O665240" s="9"/>
    </row>
    <row r="665261" spans="15:15" x14ac:dyDescent="0.25">
      <c r="O665261" s="9"/>
    </row>
    <row r="665282" spans="15:15" x14ac:dyDescent="0.25">
      <c r="O665282" s="9"/>
    </row>
    <row r="665303" spans="15:15" x14ac:dyDescent="0.25">
      <c r="O665303" s="9"/>
    </row>
    <row r="665324" spans="15:15" x14ac:dyDescent="0.25">
      <c r="O665324" s="9"/>
    </row>
    <row r="665345" spans="15:15" x14ac:dyDescent="0.25">
      <c r="O665345" s="9"/>
    </row>
    <row r="665366" spans="15:15" x14ac:dyDescent="0.25">
      <c r="O665366" s="9"/>
    </row>
    <row r="665387" spans="15:15" x14ac:dyDescent="0.25">
      <c r="O665387" s="9"/>
    </row>
    <row r="665408" spans="15:15" x14ac:dyDescent="0.25">
      <c r="O665408" s="9"/>
    </row>
    <row r="665429" spans="15:15" x14ac:dyDescent="0.25">
      <c r="O665429" s="9"/>
    </row>
    <row r="665450" spans="15:15" x14ac:dyDescent="0.25">
      <c r="O665450" s="9"/>
    </row>
    <row r="665471" spans="15:15" x14ac:dyDescent="0.25">
      <c r="O665471" s="9"/>
    </row>
    <row r="665492" spans="15:15" x14ac:dyDescent="0.25">
      <c r="O665492" s="9"/>
    </row>
    <row r="665513" spans="15:15" x14ac:dyDescent="0.25">
      <c r="O665513" s="9"/>
    </row>
    <row r="665534" spans="15:15" x14ac:dyDescent="0.25">
      <c r="O665534" s="9"/>
    </row>
    <row r="665555" spans="15:15" x14ac:dyDescent="0.25">
      <c r="O665555" s="9"/>
    </row>
    <row r="665576" spans="15:15" x14ac:dyDescent="0.25">
      <c r="O665576" s="9"/>
    </row>
    <row r="665597" spans="15:15" x14ac:dyDescent="0.25">
      <c r="O665597" s="9"/>
    </row>
    <row r="665618" spans="15:15" x14ac:dyDescent="0.25">
      <c r="O665618" s="9"/>
    </row>
    <row r="665639" spans="15:15" x14ac:dyDescent="0.25">
      <c r="O665639" s="9"/>
    </row>
    <row r="665660" spans="15:15" x14ac:dyDescent="0.25">
      <c r="O665660" s="9"/>
    </row>
    <row r="665681" spans="15:15" x14ac:dyDescent="0.25">
      <c r="O665681" s="9"/>
    </row>
    <row r="665702" spans="15:15" x14ac:dyDescent="0.25">
      <c r="O665702" s="9"/>
    </row>
    <row r="665723" spans="15:15" x14ac:dyDescent="0.25">
      <c r="O665723" s="9"/>
    </row>
    <row r="665744" spans="15:15" x14ac:dyDescent="0.25">
      <c r="O665744" s="9"/>
    </row>
    <row r="665765" spans="15:15" x14ac:dyDescent="0.25">
      <c r="O665765" s="9"/>
    </row>
    <row r="665786" spans="15:15" x14ac:dyDescent="0.25">
      <c r="O665786" s="9"/>
    </row>
    <row r="665807" spans="15:15" x14ac:dyDescent="0.25">
      <c r="O665807" s="9"/>
    </row>
    <row r="665828" spans="15:15" x14ac:dyDescent="0.25">
      <c r="O665828" s="9"/>
    </row>
    <row r="665849" spans="15:15" x14ac:dyDescent="0.25">
      <c r="O665849" s="9"/>
    </row>
    <row r="665870" spans="15:15" x14ac:dyDescent="0.25">
      <c r="O665870" s="9"/>
    </row>
    <row r="665891" spans="15:15" x14ac:dyDescent="0.25">
      <c r="O665891" s="9"/>
    </row>
    <row r="665912" spans="15:15" x14ac:dyDescent="0.25">
      <c r="O665912" s="9"/>
    </row>
    <row r="665933" spans="15:15" x14ac:dyDescent="0.25">
      <c r="O665933" s="9"/>
    </row>
    <row r="665954" spans="15:15" x14ac:dyDescent="0.25">
      <c r="O665954" s="9"/>
    </row>
    <row r="665975" spans="15:15" x14ac:dyDescent="0.25">
      <c r="O665975" s="9"/>
    </row>
    <row r="665996" spans="15:15" x14ac:dyDescent="0.25">
      <c r="O665996" s="9"/>
    </row>
    <row r="666017" spans="15:15" x14ac:dyDescent="0.25">
      <c r="O666017" s="9"/>
    </row>
    <row r="666038" spans="15:15" x14ac:dyDescent="0.25">
      <c r="O666038" s="9"/>
    </row>
    <row r="666059" spans="15:15" x14ac:dyDescent="0.25">
      <c r="O666059" s="9"/>
    </row>
    <row r="666080" spans="15:15" x14ac:dyDescent="0.25">
      <c r="O666080" s="9"/>
    </row>
    <row r="666101" spans="15:15" x14ac:dyDescent="0.25">
      <c r="O666101" s="9"/>
    </row>
    <row r="666122" spans="15:15" x14ac:dyDescent="0.25">
      <c r="O666122" s="9"/>
    </row>
    <row r="666143" spans="15:15" x14ac:dyDescent="0.25">
      <c r="O666143" s="9"/>
    </row>
    <row r="666164" spans="15:15" x14ac:dyDescent="0.25">
      <c r="O666164" s="9"/>
    </row>
    <row r="666185" spans="15:15" x14ac:dyDescent="0.25">
      <c r="O666185" s="9"/>
    </row>
    <row r="666206" spans="15:15" x14ac:dyDescent="0.25">
      <c r="O666206" s="9"/>
    </row>
    <row r="666227" spans="15:15" x14ac:dyDescent="0.25">
      <c r="O666227" s="9"/>
    </row>
    <row r="666248" spans="15:15" x14ac:dyDescent="0.25">
      <c r="O666248" s="9"/>
    </row>
    <row r="666269" spans="15:15" x14ac:dyDescent="0.25">
      <c r="O666269" s="9"/>
    </row>
    <row r="666290" spans="15:15" x14ac:dyDescent="0.25">
      <c r="O666290" s="9"/>
    </row>
    <row r="666311" spans="15:15" x14ac:dyDescent="0.25">
      <c r="O666311" s="9"/>
    </row>
    <row r="666332" spans="15:15" x14ac:dyDescent="0.25">
      <c r="O666332" s="9"/>
    </row>
    <row r="666353" spans="15:15" x14ac:dyDescent="0.25">
      <c r="O666353" s="9"/>
    </row>
    <row r="666374" spans="15:15" x14ac:dyDescent="0.25">
      <c r="O666374" s="9"/>
    </row>
    <row r="666395" spans="15:15" x14ac:dyDescent="0.25">
      <c r="O666395" s="9"/>
    </row>
    <row r="666416" spans="15:15" x14ac:dyDescent="0.25">
      <c r="O666416" s="9"/>
    </row>
    <row r="666437" spans="15:15" x14ac:dyDescent="0.25">
      <c r="O666437" s="9"/>
    </row>
    <row r="666458" spans="15:15" x14ac:dyDescent="0.25">
      <c r="O666458" s="9"/>
    </row>
    <row r="666479" spans="15:15" x14ac:dyDescent="0.25">
      <c r="O666479" s="9"/>
    </row>
    <row r="666500" spans="15:15" x14ac:dyDescent="0.25">
      <c r="O666500" s="9"/>
    </row>
    <row r="666521" spans="15:15" x14ac:dyDescent="0.25">
      <c r="O666521" s="9"/>
    </row>
    <row r="666542" spans="15:15" x14ac:dyDescent="0.25">
      <c r="O666542" s="9"/>
    </row>
    <row r="666563" spans="15:15" x14ac:dyDescent="0.25">
      <c r="O666563" s="9"/>
    </row>
    <row r="666584" spans="15:15" x14ac:dyDescent="0.25">
      <c r="O666584" s="9"/>
    </row>
    <row r="666605" spans="15:15" x14ac:dyDescent="0.25">
      <c r="O666605" s="9"/>
    </row>
    <row r="666626" spans="15:15" x14ac:dyDescent="0.25">
      <c r="O666626" s="9"/>
    </row>
    <row r="666647" spans="15:15" x14ac:dyDescent="0.25">
      <c r="O666647" s="9"/>
    </row>
    <row r="666668" spans="15:15" x14ac:dyDescent="0.25">
      <c r="O666668" s="9"/>
    </row>
    <row r="666689" spans="15:15" x14ac:dyDescent="0.25">
      <c r="O666689" s="9"/>
    </row>
    <row r="666710" spans="15:15" x14ac:dyDescent="0.25">
      <c r="O666710" s="9"/>
    </row>
    <row r="666731" spans="15:15" x14ac:dyDescent="0.25">
      <c r="O666731" s="9"/>
    </row>
    <row r="666752" spans="15:15" x14ac:dyDescent="0.25">
      <c r="O666752" s="9"/>
    </row>
    <row r="666773" spans="15:15" x14ac:dyDescent="0.25">
      <c r="O666773" s="9"/>
    </row>
    <row r="666794" spans="15:15" x14ac:dyDescent="0.25">
      <c r="O666794" s="9"/>
    </row>
    <row r="666815" spans="15:15" x14ac:dyDescent="0.25">
      <c r="O666815" s="9"/>
    </row>
    <row r="666836" spans="15:15" x14ac:dyDescent="0.25">
      <c r="O666836" s="9"/>
    </row>
    <row r="666857" spans="15:15" x14ac:dyDescent="0.25">
      <c r="O666857" s="9"/>
    </row>
    <row r="666878" spans="15:15" x14ac:dyDescent="0.25">
      <c r="O666878" s="9"/>
    </row>
    <row r="666899" spans="15:15" x14ac:dyDescent="0.25">
      <c r="O666899" s="9"/>
    </row>
    <row r="666920" spans="15:15" x14ac:dyDescent="0.25">
      <c r="O666920" s="9"/>
    </row>
    <row r="666941" spans="15:15" x14ac:dyDescent="0.25">
      <c r="O666941" s="9"/>
    </row>
    <row r="666962" spans="15:15" x14ac:dyDescent="0.25">
      <c r="O666962" s="9"/>
    </row>
    <row r="666983" spans="15:15" x14ac:dyDescent="0.25">
      <c r="O666983" s="9"/>
    </row>
    <row r="667004" spans="15:15" x14ac:dyDescent="0.25">
      <c r="O667004" s="9"/>
    </row>
    <row r="667025" spans="15:15" x14ac:dyDescent="0.25">
      <c r="O667025" s="9"/>
    </row>
    <row r="667046" spans="15:15" x14ac:dyDescent="0.25">
      <c r="O667046" s="9"/>
    </row>
    <row r="667067" spans="15:15" x14ac:dyDescent="0.25">
      <c r="O667067" s="9"/>
    </row>
    <row r="667088" spans="15:15" x14ac:dyDescent="0.25">
      <c r="O667088" s="9"/>
    </row>
    <row r="667109" spans="15:15" x14ac:dyDescent="0.25">
      <c r="O667109" s="9"/>
    </row>
    <row r="667130" spans="15:15" x14ac:dyDescent="0.25">
      <c r="O667130" s="9"/>
    </row>
    <row r="667151" spans="15:15" x14ac:dyDescent="0.25">
      <c r="O667151" s="9"/>
    </row>
    <row r="667172" spans="15:15" x14ac:dyDescent="0.25">
      <c r="O667172" s="9"/>
    </row>
    <row r="667193" spans="15:15" x14ac:dyDescent="0.25">
      <c r="O667193" s="9"/>
    </row>
    <row r="667214" spans="15:15" x14ac:dyDescent="0.25">
      <c r="O667214" s="9"/>
    </row>
    <row r="667235" spans="15:15" x14ac:dyDescent="0.25">
      <c r="O667235" s="9"/>
    </row>
    <row r="667256" spans="15:15" x14ac:dyDescent="0.25">
      <c r="O667256" s="9"/>
    </row>
    <row r="667277" spans="15:15" x14ac:dyDescent="0.25">
      <c r="O667277" s="9"/>
    </row>
    <row r="667298" spans="15:15" x14ac:dyDescent="0.25">
      <c r="O667298" s="9"/>
    </row>
    <row r="667319" spans="15:15" x14ac:dyDescent="0.25">
      <c r="O667319" s="9"/>
    </row>
    <row r="667340" spans="15:15" x14ac:dyDescent="0.25">
      <c r="O667340" s="9"/>
    </row>
    <row r="667361" spans="15:15" x14ac:dyDescent="0.25">
      <c r="O667361" s="9"/>
    </row>
    <row r="667382" spans="15:15" x14ac:dyDescent="0.25">
      <c r="O667382" s="9"/>
    </row>
    <row r="667403" spans="15:15" x14ac:dyDescent="0.25">
      <c r="O667403" s="9"/>
    </row>
    <row r="667424" spans="15:15" x14ac:dyDescent="0.25">
      <c r="O667424" s="9"/>
    </row>
    <row r="667445" spans="15:15" x14ac:dyDescent="0.25">
      <c r="O667445" s="9"/>
    </row>
    <row r="667466" spans="15:15" x14ac:dyDescent="0.25">
      <c r="O667466" s="9"/>
    </row>
    <row r="667487" spans="15:15" x14ac:dyDescent="0.25">
      <c r="O667487" s="9"/>
    </row>
    <row r="667508" spans="15:15" x14ac:dyDescent="0.25">
      <c r="O667508" s="9"/>
    </row>
    <row r="667529" spans="15:15" x14ac:dyDescent="0.25">
      <c r="O667529" s="9"/>
    </row>
    <row r="667550" spans="15:15" x14ac:dyDescent="0.25">
      <c r="O667550" s="9"/>
    </row>
    <row r="667571" spans="15:15" x14ac:dyDescent="0.25">
      <c r="O667571" s="9"/>
    </row>
    <row r="667592" spans="15:15" x14ac:dyDescent="0.25">
      <c r="O667592" s="9"/>
    </row>
    <row r="667613" spans="15:15" x14ac:dyDescent="0.25">
      <c r="O667613" s="9"/>
    </row>
    <row r="667634" spans="15:15" x14ac:dyDescent="0.25">
      <c r="O667634" s="9"/>
    </row>
    <row r="667655" spans="15:15" x14ac:dyDescent="0.25">
      <c r="O667655" s="9"/>
    </row>
    <row r="667676" spans="15:15" x14ac:dyDescent="0.25">
      <c r="O667676" s="9"/>
    </row>
    <row r="667697" spans="15:15" x14ac:dyDescent="0.25">
      <c r="O667697" s="9"/>
    </row>
    <row r="667718" spans="15:15" x14ac:dyDescent="0.25">
      <c r="O667718" s="9"/>
    </row>
    <row r="667739" spans="15:15" x14ac:dyDescent="0.25">
      <c r="O667739" s="9"/>
    </row>
    <row r="667760" spans="15:15" x14ac:dyDescent="0.25">
      <c r="O667760" s="9"/>
    </row>
    <row r="667781" spans="15:15" x14ac:dyDescent="0.25">
      <c r="O667781" s="9"/>
    </row>
    <row r="667802" spans="15:15" x14ac:dyDescent="0.25">
      <c r="O667802" s="9"/>
    </row>
    <row r="667823" spans="15:15" x14ac:dyDescent="0.25">
      <c r="O667823" s="9"/>
    </row>
    <row r="667844" spans="15:15" x14ac:dyDescent="0.25">
      <c r="O667844" s="9"/>
    </row>
    <row r="667865" spans="15:15" x14ac:dyDescent="0.25">
      <c r="O667865" s="9"/>
    </row>
    <row r="667886" spans="15:15" x14ac:dyDescent="0.25">
      <c r="O667886" s="9"/>
    </row>
    <row r="667907" spans="15:15" x14ac:dyDescent="0.25">
      <c r="O667907" s="9"/>
    </row>
    <row r="667928" spans="15:15" x14ac:dyDescent="0.25">
      <c r="O667928" s="9"/>
    </row>
    <row r="667949" spans="15:15" x14ac:dyDescent="0.25">
      <c r="O667949" s="9"/>
    </row>
    <row r="667970" spans="15:15" x14ac:dyDescent="0.25">
      <c r="O667970" s="9"/>
    </row>
    <row r="667991" spans="15:15" x14ac:dyDescent="0.25">
      <c r="O667991" s="9"/>
    </row>
    <row r="668012" spans="15:15" x14ac:dyDescent="0.25">
      <c r="O668012" s="9"/>
    </row>
    <row r="668033" spans="15:15" x14ac:dyDescent="0.25">
      <c r="O668033" s="9"/>
    </row>
    <row r="668054" spans="15:15" x14ac:dyDescent="0.25">
      <c r="O668054" s="9"/>
    </row>
    <row r="668075" spans="15:15" x14ac:dyDescent="0.25">
      <c r="O668075" s="9"/>
    </row>
    <row r="668096" spans="15:15" x14ac:dyDescent="0.25">
      <c r="O668096" s="9"/>
    </row>
    <row r="668117" spans="15:15" x14ac:dyDescent="0.25">
      <c r="O668117" s="9"/>
    </row>
    <row r="668138" spans="15:15" x14ac:dyDescent="0.25">
      <c r="O668138" s="9"/>
    </row>
    <row r="668159" spans="15:15" x14ac:dyDescent="0.25">
      <c r="O668159" s="9"/>
    </row>
    <row r="668180" spans="15:15" x14ac:dyDescent="0.25">
      <c r="O668180" s="9"/>
    </row>
    <row r="668201" spans="15:15" x14ac:dyDescent="0.25">
      <c r="O668201" s="9"/>
    </row>
    <row r="668222" spans="15:15" x14ac:dyDescent="0.25">
      <c r="O668222" s="9"/>
    </row>
    <row r="668243" spans="15:15" x14ac:dyDescent="0.25">
      <c r="O668243" s="9"/>
    </row>
    <row r="668264" spans="15:15" x14ac:dyDescent="0.25">
      <c r="O668264" s="9"/>
    </row>
    <row r="668285" spans="15:15" x14ac:dyDescent="0.25">
      <c r="O668285" s="9"/>
    </row>
    <row r="668306" spans="15:15" x14ac:dyDescent="0.25">
      <c r="O668306" s="9"/>
    </row>
    <row r="668327" spans="15:15" x14ac:dyDescent="0.25">
      <c r="O668327" s="9"/>
    </row>
    <row r="668348" spans="15:15" x14ac:dyDescent="0.25">
      <c r="O668348" s="9"/>
    </row>
    <row r="668369" spans="15:15" x14ac:dyDescent="0.25">
      <c r="O668369" s="9"/>
    </row>
    <row r="668390" spans="15:15" x14ac:dyDescent="0.25">
      <c r="O668390" s="9"/>
    </row>
    <row r="668411" spans="15:15" x14ac:dyDescent="0.25">
      <c r="O668411" s="9"/>
    </row>
    <row r="668432" spans="15:15" x14ac:dyDescent="0.25">
      <c r="O668432" s="9"/>
    </row>
    <row r="668453" spans="15:15" x14ac:dyDescent="0.25">
      <c r="O668453" s="9"/>
    </row>
    <row r="668474" spans="15:15" x14ac:dyDescent="0.25">
      <c r="O668474" s="9"/>
    </row>
    <row r="668495" spans="15:15" x14ac:dyDescent="0.25">
      <c r="O668495" s="9"/>
    </row>
    <row r="668516" spans="15:15" x14ac:dyDescent="0.25">
      <c r="O668516" s="9"/>
    </row>
    <row r="668537" spans="15:15" x14ac:dyDescent="0.25">
      <c r="O668537" s="9"/>
    </row>
    <row r="668558" spans="15:15" x14ac:dyDescent="0.25">
      <c r="O668558" s="9"/>
    </row>
    <row r="668579" spans="15:15" x14ac:dyDescent="0.25">
      <c r="O668579" s="9"/>
    </row>
    <row r="668600" spans="15:15" x14ac:dyDescent="0.25">
      <c r="O668600" s="9"/>
    </row>
    <row r="668621" spans="15:15" x14ac:dyDescent="0.25">
      <c r="O668621" s="9"/>
    </row>
    <row r="668642" spans="15:15" x14ac:dyDescent="0.25">
      <c r="O668642" s="9"/>
    </row>
    <row r="668663" spans="15:15" x14ac:dyDescent="0.25">
      <c r="O668663" s="9"/>
    </row>
    <row r="668684" spans="15:15" x14ac:dyDescent="0.25">
      <c r="O668684" s="9"/>
    </row>
    <row r="668705" spans="15:15" x14ac:dyDescent="0.25">
      <c r="O668705" s="9"/>
    </row>
    <row r="668726" spans="15:15" x14ac:dyDescent="0.25">
      <c r="O668726" s="9"/>
    </row>
    <row r="668747" spans="15:15" x14ac:dyDescent="0.25">
      <c r="O668747" s="9"/>
    </row>
    <row r="668768" spans="15:15" x14ac:dyDescent="0.25">
      <c r="O668768" s="9"/>
    </row>
    <row r="668789" spans="15:15" x14ac:dyDescent="0.25">
      <c r="O668789" s="9"/>
    </row>
    <row r="668810" spans="15:15" x14ac:dyDescent="0.25">
      <c r="O668810" s="9"/>
    </row>
    <row r="668831" spans="15:15" x14ac:dyDescent="0.25">
      <c r="O668831" s="9"/>
    </row>
    <row r="668852" spans="15:15" x14ac:dyDescent="0.25">
      <c r="O668852" s="9"/>
    </row>
    <row r="668873" spans="15:15" x14ac:dyDescent="0.25">
      <c r="O668873" s="9"/>
    </row>
    <row r="668894" spans="15:15" x14ac:dyDescent="0.25">
      <c r="O668894" s="9"/>
    </row>
    <row r="668915" spans="15:15" x14ac:dyDescent="0.25">
      <c r="O668915" s="9"/>
    </row>
    <row r="668936" spans="15:15" x14ac:dyDescent="0.25">
      <c r="O668936" s="9"/>
    </row>
    <row r="668957" spans="15:15" x14ac:dyDescent="0.25">
      <c r="O668957" s="9"/>
    </row>
    <row r="668978" spans="15:15" x14ac:dyDescent="0.25">
      <c r="O668978" s="9"/>
    </row>
    <row r="668999" spans="15:15" x14ac:dyDescent="0.25">
      <c r="O668999" s="9"/>
    </row>
    <row r="669020" spans="15:15" x14ac:dyDescent="0.25">
      <c r="O669020" s="9"/>
    </row>
    <row r="669041" spans="15:15" x14ac:dyDescent="0.25">
      <c r="O669041" s="9"/>
    </row>
    <row r="669062" spans="15:15" x14ac:dyDescent="0.25">
      <c r="O669062" s="9"/>
    </row>
    <row r="669083" spans="15:15" x14ac:dyDescent="0.25">
      <c r="O669083" s="9"/>
    </row>
    <row r="669104" spans="15:15" x14ac:dyDescent="0.25">
      <c r="O669104" s="9"/>
    </row>
    <row r="669125" spans="15:15" x14ac:dyDescent="0.25">
      <c r="O669125" s="9"/>
    </row>
    <row r="669146" spans="15:15" x14ac:dyDescent="0.25">
      <c r="O669146" s="9"/>
    </row>
    <row r="669167" spans="15:15" x14ac:dyDescent="0.25">
      <c r="O669167" s="9"/>
    </row>
    <row r="669188" spans="15:15" x14ac:dyDescent="0.25">
      <c r="O669188" s="9"/>
    </row>
    <row r="669209" spans="15:15" x14ac:dyDescent="0.25">
      <c r="O669209" s="9"/>
    </row>
    <row r="669230" spans="15:15" x14ac:dyDescent="0.25">
      <c r="O669230" s="9"/>
    </row>
    <row r="669251" spans="15:15" x14ac:dyDescent="0.25">
      <c r="O669251" s="9"/>
    </row>
    <row r="669272" spans="15:15" x14ac:dyDescent="0.25">
      <c r="O669272" s="9"/>
    </row>
    <row r="669293" spans="15:15" x14ac:dyDescent="0.25">
      <c r="O669293" s="9"/>
    </row>
    <row r="669314" spans="15:15" x14ac:dyDescent="0.25">
      <c r="O669314" s="9"/>
    </row>
    <row r="669335" spans="15:15" x14ac:dyDescent="0.25">
      <c r="O669335" s="9"/>
    </row>
    <row r="669356" spans="15:15" x14ac:dyDescent="0.25">
      <c r="O669356" s="9"/>
    </row>
    <row r="669377" spans="15:15" x14ac:dyDescent="0.25">
      <c r="O669377" s="9"/>
    </row>
    <row r="669398" spans="15:15" x14ac:dyDescent="0.25">
      <c r="O669398" s="9"/>
    </row>
    <row r="669419" spans="15:15" x14ac:dyDescent="0.25">
      <c r="O669419" s="9"/>
    </row>
    <row r="669440" spans="15:15" x14ac:dyDescent="0.25">
      <c r="O669440" s="9"/>
    </row>
    <row r="669461" spans="15:15" x14ac:dyDescent="0.25">
      <c r="O669461" s="9"/>
    </row>
    <row r="669482" spans="15:15" x14ac:dyDescent="0.25">
      <c r="O669482" s="9"/>
    </row>
    <row r="669503" spans="15:15" x14ac:dyDescent="0.25">
      <c r="O669503" s="9"/>
    </row>
    <row r="669524" spans="15:15" x14ac:dyDescent="0.25">
      <c r="O669524" s="9"/>
    </row>
    <row r="669545" spans="15:15" x14ac:dyDescent="0.25">
      <c r="O669545" s="9"/>
    </row>
    <row r="669566" spans="15:15" x14ac:dyDescent="0.25">
      <c r="O669566" s="9"/>
    </row>
    <row r="669587" spans="15:15" x14ac:dyDescent="0.25">
      <c r="O669587" s="9"/>
    </row>
    <row r="669608" spans="15:15" x14ac:dyDescent="0.25">
      <c r="O669608" s="9"/>
    </row>
    <row r="669629" spans="15:15" x14ac:dyDescent="0.25">
      <c r="O669629" s="9"/>
    </row>
    <row r="669650" spans="15:15" x14ac:dyDescent="0.25">
      <c r="O669650" s="9"/>
    </row>
    <row r="669671" spans="15:15" x14ac:dyDescent="0.25">
      <c r="O669671" s="9"/>
    </row>
    <row r="669692" spans="15:15" x14ac:dyDescent="0.25">
      <c r="O669692" s="9"/>
    </row>
    <row r="669713" spans="15:15" x14ac:dyDescent="0.25">
      <c r="O669713" s="9"/>
    </row>
    <row r="669734" spans="15:15" x14ac:dyDescent="0.25">
      <c r="O669734" s="9"/>
    </row>
    <row r="669755" spans="15:15" x14ac:dyDescent="0.25">
      <c r="O669755" s="9"/>
    </row>
    <row r="669776" spans="15:15" x14ac:dyDescent="0.25">
      <c r="O669776" s="9"/>
    </row>
    <row r="669797" spans="15:15" x14ac:dyDescent="0.25">
      <c r="O669797" s="9"/>
    </row>
    <row r="669818" spans="15:15" x14ac:dyDescent="0.25">
      <c r="O669818" s="9"/>
    </row>
    <row r="669839" spans="15:15" x14ac:dyDescent="0.25">
      <c r="O669839" s="9"/>
    </row>
    <row r="669860" spans="15:15" x14ac:dyDescent="0.25">
      <c r="O669860" s="9"/>
    </row>
    <row r="669881" spans="15:15" x14ac:dyDescent="0.25">
      <c r="O669881" s="9"/>
    </row>
    <row r="669902" spans="15:15" x14ac:dyDescent="0.25">
      <c r="O669902" s="9"/>
    </row>
    <row r="669923" spans="15:15" x14ac:dyDescent="0.25">
      <c r="O669923" s="9"/>
    </row>
    <row r="669944" spans="15:15" x14ac:dyDescent="0.25">
      <c r="O669944" s="9"/>
    </row>
    <row r="669965" spans="15:15" x14ac:dyDescent="0.25">
      <c r="O669965" s="9"/>
    </row>
    <row r="669986" spans="15:15" x14ac:dyDescent="0.25">
      <c r="O669986" s="9"/>
    </row>
    <row r="670007" spans="15:15" x14ac:dyDescent="0.25">
      <c r="O670007" s="9"/>
    </row>
    <row r="670028" spans="15:15" x14ac:dyDescent="0.25">
      <c r="O670028" s="9"/>
    </row>
    <row r="670049" spans="15:15" x14ac:dyDescent="0.25">
      <c r="O670049" s="9"/>
    </row>
    <row r="670070" spans="15:15" x14ac:dyDescent="0.25">
      <c r="O670070" s="9"/>
    </row>
    <row r="670091" spans="15:15" x14ac:dyDescent="0.25">
      <c r="O670091" s="9"/>
    </row>
    <row r="670112" spans="15:15" x14ac:dyDescent="0.25">
      <c r="O670112" s="9"/>
    </row>
    <row r="670133" spans="15:15" x14ac:dyDescent="0.25">
      <c r="O670133" s="9"/>
    </row>
    <row r="670154" spans="15:15" x14ac:dyDescent="0.25">
      <c r="O670154" s="9"/>
    </row>
    <row r="670175" spans="15:15" x14ac:dyDescent="0.25">
      <c r="O670175" s="9"/>
    </row>
    <row r="670196" spans="15:15" x14ac:dyDescent="0.25">
      <c r="O670196" s="9"/>
    </row>
    <row r="670217" spans="15:15" x14ac:dyDescent="0.25">
      <c r="O670217" s="9"/>
    </row>
    <row r="670238" spans="15:15" x14ac:dyDescent="0.25">
      <c r="O670238" s="9"/>
    </row>
    <row r="670259" spans="15:15" x14ac:dyDescent="0.25">
      <c r="O670259" s="9"/>
    </row>
    <row r="670280" spans="15:15" x14ac:dyDescent="0.25">
      <c r="O670280" s="9"/>
    </row>
    <row r="670301" spans="15:15" x14ac:dyDescent="0.25">
      <c r="O670301" s="9"/>
    </row>
    <row r="670322" spans="15:15" x14ac:dyDescent="0.25">
      <c r="O670322" s="9"/>
    </row>
    <row r="670343" spans="15:15" x14ac:dyDescent="0.25">
      <c r="O670343" s="9"/>
    </row>
    <row r="670364" spans="15:15" x14ac:dyDescent="0.25">
      <c r="O670364" s="9"/>
    </row>
    <row r="670385" spans="15:15" x14ac:dyDescent="0.25">
      <c r="O670385" s="9"/>
    </row>
    <row r="670406" spans="15:15" x14ac:dyDescent="0.25">
      <c r="O670406" s="9"/>
    </row>
    <row r="670427" spans="15:15" x14ac:dyDescent="0.25">
      <c r="O670427" s="9"/>
    </row>
    <row r="670448" spans="15:15" x14ac:dyDescent="0.25">
      <c r="O670448" s="9"/>
    </row>
    <row r="670469" spans="15:15" x14ac:dyDescent="0.25">
      <c r="O670469" s="9"/>
    </row>
    <row r="670490" spans="15:15" x14ac:dyDescent="0.25">
      <c r="O670490" s="9"/>
    </row>
    <row r="670511" spans="15:15" x14ac:dyDescent="0.25">
      <c r="O670511" s="9"/>
    </row>
    <row r="670532" spans="15:15" x14ac:dyDescent="0.25">
      <c r="O670532" s="9"/>
    </row>
    <row r="670553" spans="15:15" x14ac:dyDescent="0.25">
      <c r="O670553" s="9"/>
    </row>
    <row r="670574" spans="15:15" x14ac:dyDescent="0.25">
      <c r="O670574" s="9"/>
    </row>
    <row r="670595" spans="15:15" x14ac:dyDescent="0.25">
      <c r="O670595" s="9"/>
    </row>
    <row r="670616" spans="15:15" x14ac:dyDescent="0.25">
      <c r="O670616" s="9"/>
    </row>
    <row r="670637" spans="15:15" x14ac:dyDescent="0.25">
      <c r="O670637" s="9"/>
    </row>
    <row r="670658" spans="15:15" x14ac:dyDescent="0.25">
      <c r="O670658" s="9"/>
    </row>
    <row r="670679" spans="15:15" x14ac:dyDescent="0.25">
      <c r="O670679" s="9"/>
    </row>
    <row r="670700" spans="15:15" x14ac:dyDescent="0.25">
      <c r="O670700" s="9"/>
    </row>
    <row r="670721" spans="15:15" x14ac:dyDescent="0.25">
      <c r="O670721" s="9"/>
    </row>
    <row r="670742" spans="15:15" x14ac:dyDescent="0.25">
      <c r="O670742" s="9"/>
    </row>
    <row r="670763" spans="15:15" x14ac:dyDescent="0.25">
      <c r="O670763" s="9"/>
    </row>
    <row r="670784" spans="15:15" x14ac:dyDescent="0.25">
      <c r="O670784" s="9"/>
    </row>
    <row r="670805" spans="15:15" x14ac:dyDescent="0.25">
      <c r="O670805" s="9"/>
    </row>
    <row r="670826" spans="15:15" x14ac:dyDescent="0.25">
      <c r="O670826" s="9"/>
    </row>
    <row r="670847" spans="15:15" x14ac:dyDescent="0.25">
      <c r="O670847" s="9"/>
    </row>
    <row r="670868" spans="15:15" x14ac:dyDescent="0.25">
      <c r="O670868" s="9"/>
    </row>
    <row r="670889" spans="15:15" x14ac:dyDescent="0.25">
      <c r="O670889" s="9"/>
    </row>
    <row r="670910" spans="15:15" x14ac:dyDescent="0.25">
      <c r="O670910" s="9"/>
    </row>
    <row r="670931" spans="15:15" x14ac:dyDescent="0.25">
      <c r="O670931" s="9"/>
    </row>
    <row r="670952" spans="15:15" x14ac:dyDescent="0.25">
      <c r="O670952" s="9"/>
    </row>
    <row r="670973" spans="15:15" x14ac:dyDescent="0.25">
      <c r="O670973" s="9"/>
    </row>
    <row r="670994" spans="15:15" x14ac:dyDescent="0.25">
      <c r="O670994" s="9"/>
    </row>
    <row r="671015" spans="15:15" x14ac:dyDescent="0.25">
      <c r="O671015" s="9"/>
    </row>
    <row r="671036" spans="15:15" x14ac:dyDescent="0.25">
      <c r="O671036" s="9"/>
    </row>
    <row r="671057" spans="15:15" x14ac:dyDescent="0.25">
      <c r="O671057" s="9"/>
    </row>
    <row r="671078" spans="15:15" x14ac:dyDescent="0.25">
      <c r="O671078" s="9"/>
    </row>
    <row r="671099" spans="15:15" x14ac:dyDescent="0.25">
      <c r="O671099" s="9"/>
    </row>
    <row r="671120" spans="15:15" x14ac:dyDescent="0.25">
      <c r="O671120" s="9"/>
    </row>
    <row r="671141" spans="15:15" x14ac:dyDescent="0.25">
      <c r="O671141" s="9"/>
    </row>
    <row r="671162" spans="15:15" x14ac:dyDescent="0.25">
      <c r="O671162" s="9"/>
    </row>
    <row r="671183" spans="15:15" x14ac:dyDescent="0.25">
      <c r="O671183" s="9"/>
    </row>
    <row r="671204" spans="15:15" x14ac:dyDescent="0.25">
      <c r="O671204" s="9"/>
    </row>
    <row r="671225" spans="15:15" x14ac:dyDescent="0.25">
      <c r="O671225" s="9"/>
    </row>
    <row r="671246" spans="15:15" x14ac:dyDescent="0.25">
      <c r="O671246" s="9"/>
    </row>
    <row r="671267" spans="15:15" x14ac:dyDescent="0.25">
      <c r="O671267" s="9"/>
    </row>
    <row r="671288" spans="15:15" x14ac:dyDescent="0.25">
      <c r="O671288" s="9"/>
    </row>
    <row r="671309" spans="15:15" x14ac:dyDescent="0.25">
      <c r="O671309" s="9"/>
    </row>
    <row r="671330" spans="15:15" x14ac:dyDescent="0.25">
      <c r="O671330" s="9"/>
    </row>
    <row r="671351" spans="15:15" x14ac:dyDescent="0.25">
      <c r="O671351" s="9"/>
    </row>
    <row r="671372" spans="15:15" x14ac:dyDescent="0.25">
      <c r="O671372" s="9"/>
    </row>
    <row r="671393" spans="15:15" x14ac:dyDescent="0.25">
      <c r="O671393" s="9"/>
    </row>
    <row r="671414" spans="15:15" x14ac:dyDescent="0.25">
      <c r="O671414" s="9"/>
    </row>
    <row r="671435" spans="15:15" x14ac:dyDescent="0.25">
      <c r="O671435" s="9"/>
    </row>
    <row r="671456" spans="15:15" x14ac:dyDescent="0.25">
      <c r="O671456" s="9"/>
    </row>
    <row r="671477" spans="15:15" x14ac:dyDescent="0.25">
      <c r="O671477" s="9"/>
    </row>
    <row r="671498" spans="15:15" x14ac:dyDescent="0.25">
      <c r="O671498" s="9"/>
    </row>
    <row r="671519" spans="15:15" x14ac:dyDescent="0.25">
      <c r="O671519" s="9"/>
    </row>
    <row r="671540" spans="15:15" x14ac:dyDescent="0.25">
      <c r="O671540" s="9"/>
    </row>
    <row r="671561" spans="15:15" x14ac:dyDescent="0.25">
      <c r="O671561" s="9"/>
    </row>
    <row r="671582" spans="15:15" x14ac:dyDescent="0.25">
      <c r="O671582" s="9"/>
    </row>
    <row r="671603" spans="15:15" x14ac:dyDescent="0.25">
      <c r="O671603" s="9"/>
    </row>
    <row r="671624" spans="15:15" x14ac:dyDescent="0.25">
      <c r="O671624" s="9"/>
    </row>
    <row r="671645" spans="15:15" x14ac:dyDescent="0.25">
      <c r="O671645" s="9"/>
    </row>
    <row r="671666" spans="15:15" x14ac:dyDescent="0.25">
      <c r="O671666" s="9"/>
    </row>
    <row r="671687" spans="15:15" x14ac:dyDescent="0.25">
      <c r="O671687" s="9"/>
    </row>
    <row r="671708" spans="15:15" x14ac:dyDescent="0.25">
      <c r="O671708" s="9"/>
    </row>
    <row r="671729" spans="15:15" x14ac:dyDescent="0.25">
      <c r="O671729" s="9"/>
    </row>
    <row r="671750" spans="15:15" x14ac:dyDescent="0.25">
      <c r="O671750" s="9"/>
    </row>
    <row r="671771" spans="15:15" x14ac:dyDescent="0.25">
      <c r="O671771" s="9"/>
    </row>
    <row r="671792" spans="15:15" x14ac:dyDescent="0.25">
      <c r="O671792" s="9"/>
    </row>
    <row r="671813" spans="15:15" x14ac:dyDescent="0.25">
      <c r="O671813" s="9"/>
    </row>
    <row r="671834" spans="15:15" x14ac:dyDescent="0.25">
      <c r="O671834" s="9"/>
    </row>
    <row r="671855" spans="15:15" x14ac:dyDescent="0.25">
      <c r="O671855" s="9"/>
    </row>
    <row r="671876" spans="15:15" x14ac:dyDescent="0.25">
      <c r="O671876" s="9"/>
    </row>
    <row r="671897" spans="15:15" x14ac:dyDescent="0.25">
      <c r="O671897" s="9"/>
    </row>
    <row r="671918" spans="15:15" x14ac:dyDescent="0.25">
      <c r="O671918" s="9"/>
    </row>
    <row r="671939" spans="15:15" x14ac:dyDescent="0.25">
      <c r="O671939" s="9"/>
    </row>
    <row r="671960" spans="15:15" x14ac:dyDescent="0.25">
      <c r="O671960" s="9"/>
    </row>
    <row r="671981" spans="15:15" x14ac:dyDescent="0.25">
      <c r="O671981" s="9"/>
    </row>
    <row r="672002" spans="15:15" x14ac:dyDescent="0.25">
      <c r="O672002" s="9"/>
    </row>
    <row r="672023" spans="15:15" x14ac:dyDescent="0.25">
      <c r="O672023" s="9"/>
    </row>
    <row r="672044" spans="15:15" x14ac:dyDescent="0.25">
      <c r="O672044" s="9"/>
    </row>
    <row r="672065" spans="15:15" x14ac:dyDescent="0.25">
      <c r="O672065" s="9"/>
    </row>
    <row r="672086" spans="15:15" x14ac:dyDescent="0.25">
      <c r="O672086" s="9"/>
    </row>
    <row r="672107" spans="15:15" x14ac:dyDescent="0.25">
      <c r="O672107" s="9"/>
    </row>
    <row r="672128" spans="15:15" x14ac:dyDescent="0.25">
      <c r="O672128" s="9"/>
    </row>
    <row r="672149" spans="15:15" x14ac:dyDescent="0.25">
      <c r="O672149" s="9"/>
    </row>
    <row r="672170" spans="15:15" x14ac:dyDescent="0.25">
      <c r="O672170" s="9"/>
    </row>
    <row r="672191" spans="15:15" x14ac:dyDescent="0.25">
      <c r="O672191" s="9"/>
    </row>
    <row r="672212" spans="15:15" x14ac:dyDescent="0.25">
      <c r="O672212" s="9"/>
    </row>
    <row r="672233" spans="15:15" x14ac:dyDescent="0.25">
      <c r="O672233" s="9"/>
    </row>
    <row r="672254" spans="15:15" x14ac:dyDescent="0.25">
      <c r="O672254" s="9"/>
    </row>
    <row r="672275" spans="15:15" x14ac:dyDescent="0.25">
      <c r="O672275" s="9"/>
    </row>
    <row r="672296" spans="15:15" x14ac:dyDescent="0.25">
      <c r="O672296" s="9"/>
    </row>
    <row r="672317" spans="15:15" x14ac:dyDescent="0.25">
      <c r="O672317" s="9"/>
    </row>
    <row r="672338" spans="15:15" x14ac:dyDescent="0.25">
      <c r="O672338" s="9"/>
    </row>
    <row r="672359" spans="15:15" x14ac:dyDescent="0.25">
      <c r="O672359" s="9"/>
    </row>
    <row r="672380" spans="15:15" x14ac:dyDescent="0.25">
      <c r="O672380" s="9"/>
    </row>
    <row r="672401" spans="15:15" x14ac:dyDescent="0.25">
      <c r="O672401" s="9"/>
    </row>
    <row r="672422" spans="15:15" x14ac:dyDescent="0.25">
      <c r="O672422" s="9"/>
    </row>
    <row r="672443" spans="15:15" x14ac:dyDescent="0.25">
      <c r="O672443" s="9"/>
    </row>
    <row r="672464" spans="15:15" x14ac:dyDescent="0.25">
      <c r="O672464" s="9"/>
    </row>
    <row r="672485" spans="15:15" x14ac:dyDescent="0.25">
      <c r="O672485" s="9"/>
    </row>
    <row r="672506" spans="15:15" x14ac:dyDescent="0.25">
      <c r="O672506" s="9"/>
    </row>
    <row r="672527" spans="15:15" x14ac:dyDescent="0.25">
      <c r="O672527" s="9"/>
    </row>
    <row r="672548" spans="15:15" x14ac:dyDescent="0.25">
      <c r="O672548" s="9"/>
    </row>
    <row r="672569" spans="15:15" x14ac:dyDescent="0.25">
      <c r="O672569" s="9"/>
    </row>
    <row r="672590" spans="15:15" x14ac:dyDescent="0.25">
      <c r="O672590" s="9"/>
    </row>
    <row r="672611" spans="15:15" x14ac:dyDescent="0.25">
      <c r="O672611" s="9"/>
    </row>
    <row r="672632" spans="15:15" x14ac:dyDescent="0.25">
      <c r="O672632" s="9"/>
    </row>
    <row r="672653" spans="15:15" x14ac:dyDescent="0.25">
      <c r="O672653" s="9"/>
    </row>
    <row r="672674" spans="15:15" x14ac:dyDescent="0.25">
      <c r="O672674" s="9"/>
    </row>
    <row r="672695" spans="15:15" x14ac:dyDescent="0.25">
      <c r="O672695" s="9"/>
    </row>
    <row r="672716" spans="15:15" x14ac:dyDescent="0.25">
      <c r="O672716" s="9"/>
    </row>
    <row r="672737" spans="15:15" x14ac:dyDescent="0.25">
      <c r="O672737" s="9"/>
    </row>
    <row r="672758" spans="15:15" x14ac:dyDescent="0.25">
      <c r="O672758" s="9"/>
    </row>
    <row r="672779" spans="15:15" x14ac:dyDescent="0.25">
      <c r="O672779" s="9"/>
    </row>
    <row r="672800" spans="15:15" x14ac:dyDescent="0.25">
      <c r="O672800" s="9"/>
    </row>
    <row r="672821" spans="15:15" x14ac:dyDescent="0.25">
      <c r="O672821" s="9"/>
    </row>
    <row r="672842" spans="15:15" x14ac:dyDescent="0.25">
      <c r="O672842" s="9"/>
    </row>
    <row r="672863" spans="15:15" x14ac:dyDescent="0.25">
      <c r="O672863" s="9"/>
    </row>
    <row r="672884" spans="15:15" x14ac:dyDescent="0.25">
      <c r="O672884" s="9"/>
    </row>
    <row r="672905" spans="15:15" x14ac:dyDescent="0.25">
      <c r="O672905" s="9"/>
    </row>
    <row r="672926" spans="15:15" x14ac:dyDescent="0.25">
      <c r="O672926" s="9"/>
    </row>
    <row r="672947" spans="15:15" x14ac:dyDescent="0.25">
      <c r="O672947" s="9"/>
    </row>
    <row r="672968" spans="15:15" x14ac:dyDescent="0.25">
      <c r="O672968" s="9"/>
    </row>
    <row r="672989" spans="15:15" x14ac:dyDescent="0.25">
      <c r="O672989" s="9"/>
    </row>
    <row r="673010" spans="15:15" x14ac:dyDescent="0.25">
      <c r="O673010" s="9"/>
    </row>
    <row r="673031" spans="15:15" x14ac:dyDescent="0.25">
      <c r="O673031" s="9"/>
    </row>
    <row r="673052" spans="15:15" x14ac:dyDescent="0.25">
      <c r="O673052" s="9"/>
    </row>
    <row r="673073" spans="15:15" x14ac:dyDescent="0.25">
      <c r="O673073" s="9"/>
    </row>
    <row r="673094" spans="15:15" x14ac:dyDescent="0.25">
      <c r="O673094" s="9"/>
    </row>
    <row r="673115" spans="15:15" x14ac:dyDescent="0.25">
      <c r="O673115" s="9"/>
    </row>
    <row r="673136" spans="15:15" x14ac:dyDescent="0.25">
      <c r="O673136" s="9"/>
    </row>
    <row r="673157" spans="15:15" x14ac:dyDescent="0.25">
      <c r="O673157" s="9"/>
    </row>
    <row r="673178" spans="15:15" x14ac:dyDescent="0.25">
      <c r="O673178" s="9"/>
    </row>
    <row r="673199" spans="15:15" x14ac:dyDescent="0.25">
      <c r="O673199" s="9"/>
    </row>
    <row r="673220" spans="15:15" x14ac:dyDescent="0.25">
      <c r="O673220" s="9"/>
    </row>
    <row r="673241" spans="15:15" x14ac:dyDescent="0.25">
      <c r="O673241" s="9"/>
    </row>
    <row r="673262" spans="15:15" x14ac:dyDescent="0.25">
      <c r="O673262" s="9"/>
    </row>
    <row r="673283" spans="15:15" x14ac:dyDescent="0.25">
      <c r="O673283" s="9"/>
    </row>
    <row r="673304" spans="15:15" x14ac:dyDescent="0.25">
      <c r="O673304" s="9"/>
    </row>
    <row r="673325" spans="15:15" x14ac:dyDescent="0.25">
      <c r="O673325" s="9"/>
    </row>
    <row r="673346" spans="15:15" x14ac:dyDescent="0.25">
      <c r="O673346" s="9"/>
    </row>
    <row r="673367" spans="15:15" x14ac:dyDescent="0.25">
      <c r="O673367" s="9"/>
    </row>
    <row r="673388" spans="15:15" x14ac:dyDescent="0.25">
      <c r="O673388" s="9"/>
    </row>
    <row r="673409" spans="15:15" x14ac:dyDescent="0.25">
      <c r="O673409" s="9"/>
    </row>
    <row r="673430" spans="15:15" x14ac:dyDescent="0.25">
      <c r="O673430" s="9"/>
    </row>
    <row r="673451" spans="15:15" x14ac:dyDescent="0.25">
      <c r="O673451" s="9"/>
    </row>
    <row r="673472" spans="15:15" x14ac:dyDescent="0.25">
      <c r="O673472" s="9"/>
    </row>
    <row r="673493" spans="15:15" x14ac:dyDescent="0.25">
      <c r="O673493" s="9"/>
    </row>
    <row r="673514" spans="15:15" x14ac:dyDescent="0.25">
      <c r="O673514" s="9"/>
    </row>
    <row r="673535" spans="15:15" x14ac:dyDescent="0.25">
      <c r="O673535" s="9"/>
    </row>
    <row r="673556" spans="15:15" x14ac:dyDescent="0.25">
      <c r="O673556" s="9"/>
    </row>
    <row r="673577" spans="15:15" x14ac:dyDescent="0.25">
      <c r="O673577" s="9"/>
    </row>
    <row r="673598" spans="15:15" x14ac:dyDescent="0.25">
      <c r="O673598" s="9"/>
    </row>
    <row r="673619" spans="15:15" x14ac:dyDescent="0.25">
      <c r="O673619" s="9"/>
    </row>
    <row r="673640" spans="15:15" x14ac:dyDescent="0.25">
      <c r="O673640" s="9"/>
    </row>
    <row r="673661" spans="15:15" x14ac:dyDescent="0.25">
      <c r="O673661" s="9"/>
    </row>
    <row r="673682" spans="15:15" x14ac:dyDescent="0.25">
      <c r="O673682" s="9"/>
    </row>
    <row r="673703" spans="15:15" x14ac:dyDescent="0.25">
      <c r="O673703" s="9"/>
    </row>
    <row r="673724" spans="15:15" x14ac:dyDescent="0.25">
      <c r="O673724" s="9"/>
    </row>
    <row r="673745" spans="15:15" x14ac:dyDescent="0.25">
      <c r="O673745" s="9"/>
    </row>
    <row r="673766" spans="15:15" x14ac:dyDescent="0.25">
      <c r="O673766" s="9"/>
    </row>
    <row r="673787" spans="15:15" x14ac:dyDescent="0.25">
      <c r="O673787" s="9"/>
    </row>
    <row r="673808" spans="15:15" x14ac:dyDescent="0.25">
      <c r="O673808" s="9"/>
    </row>
    <row r="673829" spans="15:15" x14ac:dyDescent="0.25">
      <c r="O673829" s="9"/>
    </row>
    <row r="673850" spans="15:15" x14ac:dyDescent="0.25">
      <c r="O673850" s="9"/>
    </row>
    <row r="673871" spans="15:15" x14ac:dyDescent="0.25">
      <c r="O673871" s="9"/>
    </row>
    <row r="673892" spans="15:15" x14ac:dyDescent="0.25">
      <c r="O673892" s="9"/>
    </row>
    <row r="673913" spans="15:15" x14ac:dyDescent="0.25">
      <c r="O673913" s="9"/>
    </row>
    <row r="673934" spans="15:15" x14ac:dyDescent="0.25">
      <c r="O673934" s="9"/>
    </row>
    <row r="673955" spans="15:15" x14ac:dyDescent="0.25">
      <c r="O673955" s="9"/>
    </row>
    <row r="673976" spans="15:15" x14ac:dyDescent="0.25">
      <c r="O673976" s="9"/>
    </row>
    <row r="673997" spans="15:15" x14ac:dyDescent="0.25">
      <c r="O673997" s="9"/>
    </row>
    <row r="674018" spans="15:15" x14ac:dyDescent="0.25">
      <c r="O674018" s="9"/>
    </row>
    <row r="674039" spans="15:15" x14ac:dyDescent="0.25">
      <c r="O674039" s="9"/>
    </row>
    <row r="674060" spans="15:15" x14ac:dyDescent="0.25">
      <c r="O674060" s="9"/>
    </row>
    <row r="674081" spans="15:15" x14ac:dyDescent="0.25">
      <c r="O674081" s="9"/>
    </row>
    <row r="674102" spans="15:15" x14ac:dyDescent="0.25">
      <c r="O674102" s="9"/>
    </row>
    <row r="674123" spans="15:15" x14ac:dyDescent="0.25">
      <c r="O674123" s="9"/>
    </row>
    <row r="674144" spans="15:15" x14ac:dyDescent="0.25">
      <c r="O674144" s="9"/>
    </row>
    <row r="674165" spans="15:15" x14ac:dyDescent="0.25">
      <c r="O674165" s="9"/>
    </row>
    <row r="674186" spans="15:15" x14ac:dyDescent="0.25">
      <c r="O674186" s="9"/>
    </row>
    <row r="674207" spans="15:15" x14ac:dyDescent="0.25">
      <c r="O674207" s="9"/>
    </row>
    <row r="674228" spans="15:15" x14ac:dyDescent="0.25">
      <c r="O674228" s="9"/>
    </row>
    <row r="674249" spans="15:15" x14ac:dyDescent="0.25">
      <c r="O674249" s="9"/>
    </row>
    <row r="674270" spans="15:15" x14ac:dyDescent="0.25">
      <c r="O674270" s="9"/>
    </row>
    <row r="674291" spans="15:15" x14ac:dyDescent="0.25">
      <c r="O674291" s="9"/>
    </row>
    <row r="674312" spans="15:15" x14ac:dyDescent="0.25">
      <c r="O674312" s="9"/>
    </row>
    <row r="674333" spans="15:15" x14ac:dyDescent="0.25">
      <c r="O674333" s="9"/>
    </row>
    <row r="674354" spans="15:15" x14ac:dyDescent="0.25">
      <c r="O674354" s="9"/>
    </row>
    <row r="674375" spans="15:15" x14ac:dyDescent="0.25">
      <c r="O674375" s="9"/>
    </row>
    <row r="674396" spans="15:15" x14ac:dyDescent="0.25">
      <c r="O674396" s="9"/>
    </row>
    <row r="674417" spans="15:15" x14ac:dyDescent="0.25">
      <c r="O674417" s="9"/>
    </row>
    <row r="674438" spans="15:15" x14ac:dyDescent="0.25">
      <c r="O674438" s="9"/>
    </row>
    <row r="674459" spans="15:15" x14ac:dyDescent="0.25">
      <c r="O674459" s="9"/>
    </row>
    <row r="674480" spans="15:15" x14ac:dyDescent="0.25">
      <c r="O674480" s="9"/>
    </row>
    <row r="674501" spans="15:15" x14ac:dyDescent="0.25">
      <c r="O674501" s="9"/>
    </row>
    <row r="674522" spans="15:15" x14ac:dyDescent="0.25">
      <c r="O674522" s="9"/>
    </row>
    <row r="674543" spans="15:15" x14ac:dyDescent="0.25">
      <c r="O674543" s="9"/>
    </row>
    <row r="674564" spans="15:15" x14ac:dyDescent="0.25">
      <c r="O674564" s="9"/>
    </row>
    <row r="674585" spans="15:15" x14ac:dyDescent="0.25">
      <c r="O674585" s="9"/>
    </row>
    <row r="674606" spans="15:15" x14ac:dyDescent="0.25">
      <c r="O674606" s="9"/>
    </row>
    <row r="674627" spans="15:15" x14ac:dyDescent="0.25">
      <c r="O674627" s="9"/>
    </row>
    <row r="674648" spans="15:15" x14ac:dyDescent="0.25">
      <c r="O674648" s="9"/>
    </row>
    <row r="674669" spans="15:15" x14ac:dyDescent="0.25">
      <c r="O674669" s="9"/>
    </row>
    <row r="674690" spans="15:15" x14ac:dyDescent="0.25">
      <c r="O674690" s="9"/>
    </row>
    <row r="674711" spans="15:15" x14ac:dyDescent="0.25">
      <c r="O674711" s="9"/>
    </row>
    <row r="674732" spans="15:15" x14ac:dyDescent="0.25">
      <c r="O674732" s="9"/>
    </row>
    <row r="674753" spans="15:15" x14ac:dyDescent="0.25">
      <c r="O674753" s="9"/>
    </row>
    <row r="674774" spans="15:15" x14ac:dyDescent="0.25">
      <c r="O674774" s="9"/>
    </row>
    <row r="674795" spans="15:15" x14ac:dyDescent="0.25">
      <c r="O674795" s="9"/>
    </row>
    <row r="674816" spans="15:15" x14ac:dyDescent="0.25">
      <c r="O674816" s="9"/>
    </row>
    <row r="674837" spans="15:15" x14ac:dyDescent="0.25">
      <c r="O674837" s="9"/>
    </row>
    <row r="674858" spans="15:15" x14ac:dyDescent="0.25">
      <c r="O674858" s="9"/>
    </row>
    <row r="674879" spans="15:15" x14ac:dyDescent="0.25">
      <c r="O674879" s="9"/>
    </row>
    <row r="674900" spans="15:15" x14ac:dyDescent="0.25">
      <c r="O674900" s="9"/>
    </row>
    <row r="674921" spans="15:15" x14ac:dyDescent="0.25">
      <c r="O674921" s="9"/>
    </row>
    <row r="674942" spans="15:15" x14ac:dyDescent="0.25">
      <c r="O674942" s="9"/>
    </row>
    <row r="674963" spans="15:15" x14ac:dyDescent="0.25">
      <c r="O674963" s="9"/>
    </row>
    <row r="674984" spans="15:15" x14ac:dyDescent="0.25">
      <c r="O674984" s="9"/>
    </row>
    <row r="675005" spans="15:15" x14ac:dyDescent="0.25">
      <c r="O675005" s="9"/>
    </row>
    <row r="675026" spans="15:15" x14ac:dyDescent="0.25">
      <c r="O675026" s="9"/>
    </row>
    <row r="675047" spans="15:15" x14ac:dyDescent="0.25">
      <c r="O675047" s="9"/>
    </row>
    <row r="675068" spans="15:15" x14ac:dyDescent="0.25">
      <c r="O675068" s="9"/>
    </row>
    <row r="675089" spans="15:15" x14ac:dyDescent="0.25">
      <c r="O675089" s="9"/>
    </row>
    <row r="675110" spans="15:15" x14ac:dyDescent="0.25">
      <c r="O675110" s="9"/>
    </row>
    <row r="675131" spans="15:15" x14ac:dyDescent="0.25">
      <c r="O675131" s="9"/>
    </row>
    <row r="675152" spans="15:15" x14ac:dyDescent="0.25">
      <c r="O675152" s="9"/>
    </row>
    <row r="675173" spans="15:15" x14ac:dyDescent="0.25">
      <c r="O675173" s="9"/>
    </row>
    <row r="675194" spans="15:15" x14ac:dyDescent="0.25">
      <c r="O675194" s="9"/>
    </row>
    <row r="675215" spans="15:15" x14ac:dyDescent="0.25">
      <c r="O675215" s="9"/>
    </row>
    <row r="675236" spans="15:15" x14ac:dyDescent="0.25">
      <c r="O675236" s="9"/>
    </row>
    <row r="675257" spans="15:15" x14ac:dyDescent="0.25">
      <c r="O675257" s="9"/>
    </row>
    <row r="675278" spans="15:15" x14ac:dyDescent="0.25">
      <c r="O675278" s="9"/>
    </row>
    <row r="675299" spans="15:15" x14ac:dyDescent="0.25">
      <c r="O675299" s="9"/>
    </row>
    <row r="675320" spans="15:15" x14ac:dyDescent="0.25">
      <c r="O675320" s="9"/>
    </row>
    <row r="675341" spans="15:15" x14ac:dyDescent="0.25">
      <c r="O675341" s="9"/>
    </row>
    <row r="675362" spans="15:15" x14ac:dyDescent="0.25">
      <c r="O675362" s="9"/>
    </row>
    <row r="675383" spans="15:15" x14ac:dyDescent="0.25">
      <c r="O675383" s="9"/>
    </row>
    <row r="675404" spans="15:15" x14ac:dyDescent="0.25">
      <c r="O675404" s="9"/>
    </row>
    <row r="675425" spans="15:15" x14ac:dyDescent="0.25">
      <c r="O675425" s="9"/>
    </row>
    <row r="675446" spans="15:15" x14ac:dyDescent="0.25">
      <c r="O675446" s="9"/>
    </row>
    <row r="675467" spans="15:15" x14ac:dyDescent="0.25">
      <c r="O675467" s="9"/>
    </row>
    <row r="675488" spans="15:15" x14ac:dyDescent="0.25">
      <c r="O675488" s="9"/>
    </row>
    <row r="675509" spans="15:15" x14ac:dyDescent="0.25">
      <c r="O675509" s="9"/>
    </row>
    <row r="675530" spans="15:15" x14ac:dyDescent="0.25">
      <c r="O675530" s="9"/>
    </row>
    <row r="675551" spans="15:15" x14ac:dyDescent="0.25">
      <c r="O675551" s="9"/>
    </row>
    <row r="675572" spans="15:15" x14ac:dyDescent="0.25">
      <c r="O675572" s="9"/>
    </row>
    <row r="675593" spans="15:15" x14ac:dyDescent="0.25">
      <c r="O675593" s="9"/>
    </row>
    <row r="675614" spans="15:15" x14ac:dyDescent="0.25">
      <c r="O675614" s="9"/>
    </row>
    <row r="675635" spans="15:15" x14ac:dyDescent="0.25">
      <c r="O675635" s="9"/>
    </row>
    <row r="675656" spans="15:15" x14ac:dyDescent="0.25">
      <c r="O675656" s="9"/>
    </row>
    <row r="675677" spans="15:15" x14ac:dyDescent="0.25">
      <c r="O675677" s="9"/>
    </row>
    <row r="675698" spans="15:15" x14ac:dyDescent="0.25">
      <c r="O675698" s="9"/>
    </row>
    <row r="675719" spans="15:15" x14ac:dyDescent="0.25">
      <c r="O675719" s="9"/>
    </row>
    <row r="675740" spans="15:15" x14ac:dyDescent="0.25">
      <c r="O675740" s="9"/>
    </row>
    <row r="675761" spans="15:15" x14ac:dyDescent="0.25">
      <c r="O675761" s="9"/>
    </row>
    <row r="675782" spans="15:15" x14ac:dyDescent="0.25">
      <c r="O675782" s="9"/>
    </row>
    <row r="675803" spans="15:15" x14ac:dyDescent="0.25">
      <c r="O675803" s="9"/>
    </row>
    <row r="675824" spans="15:15" x14ac:dyDescent="0.25">
      <c r="O675824" s="9"/>
    </row>
    <row r="675845" spans="15:15" x14ac:dyDescent="0.25">
      <c r="O675845" s="9"/>
    </row>
    <row r="675866" spans="15:15" x14ac:dyDescent="0.25">
      <c r="O675866" s="9"/>
    </row>
    <row r="675887" spans="15:15" x14ac:dyDescent="0.25">
      <c r="O675887" s="9"/>
    </row>
    <row r="675908" spans="15:15" x14ac:dyDescent="0.25">
      <c r="O675908" s="9"/>
    </row>
    <row r="675929" spans="15:15" x14ac:dyDescent="0.25">
      <c r="O675929" s="9"/>
    </row>
    <row r="675950" spans="15:15" x14ac:dyDescent="0.25">
      <c r="O675950" s="9"/>
    </row>
    <row r="675971" spans="15:15" x14ac:dyDescent="0.25">
      <c r="O675971" s="9"/>
    </row>
    <row r="675992" spans="15:15" x14ac:dyDescent="0.25">
      <c r="O675992" s="9"/>
    </row>
    <row r="676013" spans="15:15" x14ac:dyDescent="0.25">
      <c r="O676013" s="9"/>
    </row>
    <row r="676034" spans="15:15" x14ac:dyDescent="0.25">
      <c r="O676034" s="9"/>
    </row>
    <row r="676055" spans="15:15" x14ac:dyDescent="0.25">
      <c r="O676055" s="9"/>
    </row>
    <row r="676076" spans="15:15" x14ac:dyDescent="0.25">
      <c r="O676076" s="9"/>
    </row>
    <row r="676097" spans="15:15" x14ac:dyDescent="0.25">
      <c r="O676097" s="9"/>
    </row>
    <row r="676118" spans="15:15" x14ac:dyDescent="0.25">
      <c r="O676118" s="9"/>
    </row>
    <row r="676139" spans="15:15" x14ac:dyDescent="0.25">
      <c r="O676139" s="9"/>
    </row>
    <row r="676160" spans="15:15" x14ac:dyDescent="0.25">
      <c r="O676160" s="9"/>
    </row>
    <row r="676181" spans="15:15" x14ac:dyDescent="0.25">
      <c r="O676181" s="9"/>
    </row>
    <row r="676202" spans="15:15" x14ac:dyDescent="0.25">
      <c r="O676202" s="9"/>
    </row>
    <row r="676223" spans="15:15" x14ac:dyDescent="0.25">
      <c r="O676223" s="9"/>
    </row>
    <row r="676244" spans="15:15" x14ac:dyDescent="0.25">
      <c r="O676244" s="9"/>
    </row>
    <row r="676265" spans="15:15" x14ac:dyDescent="0.25">
      <c r="O676265" s="9"/>
    </row>
    <row r="676286" spans="15:15" x14ac:dyDescent="0.25">
      <c r="O676286" s="9"/>
    </row>
    <row r="676307" spans="15:15" x14ac:dyDescent="0.25">
      <c r="O676307" s="9"/>
    </row>
    <row r="676328" spans="15:15" x14ac:dyDescent="0.25">
      <c r="O676328" s="9"/>
    </row>
    <row r="676349" spans="15:15" x14ac:dyDescent="0.25">
      <c r="O676349" s="9"/>
    </row>
    <row r="676370" spans="15:15" x14ac:dyDescent="0.25">
      <c r="O676370" s="9"/>
    </row>
    <row r="676391" spans="15:15" x14ac:dyDescent="0.25">
      <c r="O676391" s="9"/>
    </row>
    <row r="676412" spans="15:15" x14ac:dyDescent="0.25">
      <c r="O676412" s="9"/>
    </row>
    <row r="676433" spans="15:15" x14ac:dyDescent="0.25">
      <c r="O676433" s="9"/>
    </row>
    <row r="676454" spans="15:15" x14ac:dyDescent="0.25">
      <c r="O676454" s="9"/>
    </row>
    <row r="676475" spans="15:15" x14ac:dyDescent="0.25">
      <c r="O676475" s="9"/>
    </row>
    <row r="676496" spans="15:15" x14ac:dyDescent="0.25">
      <c r="O676496" s="9"/>
    </row>
    <row r="676517" spans="15:15" x14ac:dyDescent="0.25">
      <c r="O676517" s="9"/>
    </row>
    <row r="676538" spans="15:15" x14ac:dyDescent="0.25">
      <c r="O676538" s="9"/>
    </row>
    <row r="676559" spans="15:15" x14ac:dyDescent="0.25">
      <c r="O676559" s="9"/>
    </row>
    <row r="676580" spans="15:15" x14ac:dyDescent="0.25">
      <c r="O676580" s="9"/>
    </row>
    <row r="676601" spans="15:15" x14ac:dyDescent="0.25">
      <c r="O676601" s="9"/>
    </row>
    <row r="676622" spans="15:15" x14ac:dyDescent="0.25">
      <c r="O676622" s="9"/>
    </row>
    <row r="676643" spans="15:15" x14ac:dyDescent="0.25">
      <c r="O676643" s="9"/>
    </row>
    <row r="676664" spans="15:15" x14ac:dyDescent="0.25">
      <c r="O676664" s="9"/>
    </row>
    <row r="676685" spans="15:15" x14ac:dyDescent="0.25">
      <c r="O676685" s="9"/>
    </row>
    <row r="676706" spans="15:15" x14ac:dyDescent="0.25">
      <c r="O676706" s="9"/>
    </row>
    <row r="676727" spans="15:15" x14ac:dyDescent="0.25">
      <c r="O676727" s="9"/>
    </row>
    <row r="676748" spans="15:15" x14ac:dyDescent="0.25">
      <c r="O676748" s="9"/>
    </row>
    <row r="676769" spans="15:15" x14ac:dyDescent="0.25">
      <c r="O676769" s="9"/>
    </row>
    <row r="676790" spans="15:15" x14ac:dyDescent="0.25">
      <c r="O676790" s="9"/>
    </row>
    <row r="676811" spans="15:15" x14ac:dyDescent="0.25">
      <c r="O676811" s="9"/>
    </row>
    <row r="676832" spans="15:15" x14ac:dyDescent="0.25">
      <c r="O676832" s="9"/>
    </row>
    <row r="676853" spans="15:15" x14ac:dyDescent="0.25">
      <c r="O676853" s="9"/>
    </row>
    <row r="676874" spans="15:15" x14ac:dyDescent="0.25">
      <c r="O676874" s="9"/>
    </row>
    <row r="676895" spans="15:15" x14ac:dyDescent="0.25">
      <c r="O676895" s="9"/>
    </row>
    <row r="676916" spans="15:15" x14ac:dyDescent="0.25">
      <c r="O676916" s="9"/>
    </row>
    <row r="676937" spans="15:15" x14ac:dyDescent="0.25">
      <c r="O676937" s="9"/>
    </row>
    <row r="676958" spans="15:15" x14ac:dyDescent="0.25">
      <c r="O676958" s="9"/>
    </row>
    <row r="676979" spans="15:15" x14ac:dyDescent="0.25">
      <c r="O676979" s="9"/>
    </row>
    <row r="677000" spans="15:15" x14ac:dyDescent="0.25">
      <c r="O677000" s="9"/>
    </row>
    <row r="677021" spans="15:15" x14ac:dyDescent="0.25">
      <c r="O677021" s="9"/>
    </row>
    <row r="677042" spans="15:15" x14ac:dyDescent="0.25">
      <c r="O677042" s="9"/>
    </row>
    <row r="677063" spans="15:15" x14ac:dyDescent="0.25">
      <c r="O677063" s="9"/>
    </row>
    <row r="677084" spans="15:15" x14ac:dyDescent="0.25">
      <c r="O677084" s="9"/>
    </row>
    <row r="677105" spans="15:15" x14ac:dyDescent="0.25">
      <c r="O677105" s="9"/>
    </row>
    <row r="677126" spans="15:15" x14ac:dyDescent="0.25">
      <c r="O677126" s="9"/>
    </row>
    <row r="677147" spans="15:15" x14ac:dyDescent="0.25">
      <c r="O677147" s="9"/>
    </row>
    <row r="677168" spans="15:15" x14ac:dyDescent="0.25">
      <c r="O677168" s="9"/>
    </row>
    <row r="677189" spans="15:15" x14ac:dyDescent="0.25">
      <c r="O677189" s="9"/>
    </row>
    <row r="677210" spans="15:15" x14ac:dyDescent="0.25">
      <c r="O677210" s="9"/>
    </row>
    <row r="677231" spans="15:15" x14ac:dyDescent="0.25">
      <c r="O677231" s="9"/>
    </row>
    <row r="677252" spans="15:15" x14ac:dyDescent="0.25">
      <c r="O677252" s="9"/>
    </row>
    <row r="677273" spans="15:15" x14ac:dyDescent="0.25">
      <c r="O677273" s="9"/>
    </row>
    <row r="677294" spans="15:15" x14ac:dyDescent="0.25">
      <c r="O677294" s="9"/>
    </row>
    <row r="677315" spans="15:15" x14ac:dyDescent="0.25">
      <c r="O677315" s="9"/>
    </row>
    <row r="677336" spans="15:15" x14ac:dyDescent="0.25">
      <c r="O677336" s="9"/>
    </row>
    <row r="677357" spans="15:15" x14ac:dyDescent="0.25">
      <c r="O677357" s="9"/>
    </row>
    <row r="677378" spans="15:15" x14ac:dyDescent="0.25">
      <c r="O677378" s="9"/>
    </row>
    <row r="677399" spans="15:15" x14ac:dyDescent="0.25">
      <c r="O677399" s="9"/>
    </row>
    <row r="677420" spans="15:15" x14ac:dyDescent="0.25">
      <c r="O677420" s="9"/>
    </row>
    <row r="677441" spans="15:15" x14ac:dyDescent="0.25">
      <c r="O677441" s="9"/>
    </row>
    <row r="677462" spans="15:15" x14ac:dyDescent="0.25">
      <c r="O677462" s="9"/>
    </row>
    <row r="677483" spans="15:15" x14ac:dyDescent="0.25">
      <c r="O677483" s="9"/>
    </row>
    <row r="677504" spans="15:15" x14ac:dyDescent="0.25">
      <c r="O677504" s="9"/>
    </row>
    <row r="677525" spans="15:15" x14ac:dyDescent="0.25">
      <c r="O677525" s="9"/>
    </row>
    <row r="677546" spans="15:15" x14ac:dyDescent="0.25">
      <c r="O677546" s="9"/>
    </row>
    <row r="677567" spans="15:15" x14ac:dyDescent="0.25">
      <c r="O677567" s="9"/>
    </row>
    <row r="677588" spans="15:15" x14ac:dyDescent="0.25">
      <c r="O677588" s="9"/>
    </row>
    <row r="677609" spans="15:15" x14ac:dyDescent="0.25">
      <c r="O677609" s="9"/>
    </row>
    <row r="677630" spans="15:15" x14ac:dyDescent="0.25">
      <c r="O677630" s="9"/>
    </row>
    <row r="677651" spans="15:15" x14ac:dyDescent="0.25">
      <c r="O677651" s="9"/>
    </row>
    <row r="677672" spans="15:15" x14ac:dyDescent="0.25">
      <c r="O677672" s="9"/>
    </row>
    <row r="677693" spans="15:15" x14ac:dyDescent="0.25">
      <c r="O677693" s="9"/>
    </row>
    <row r="677714" spans="15:15" x14ac:dyDescent="0.25">
      <c r="O677714" s="9"/>
    </row>
    <row r="677735" spans="15:15" x14ac:dyDescent="0.25">
      <c r="O677735" s="9"/>
    </row>
    <row r="677756" spans="15:15" x14ac:dyDescent="0.25">
      <c r="O677756" s="9"/>
    </row>
    <row r="677777" spans="15:15" x14ac:dyDescent="0.25">
      <c r="O677777" s="9"/>
    </row>
    <row r="677798" spans="15:15" x14ac:dyDescent="0.25">
      <c r="O677798" s="9"/>
    </row>
    <row r="677819" spans="15:15" x14ac:dyDescent="0.25">
      <c r="O677819" s="9"/>
    </row>
    <row r="677840" spans="15:15" x14ac:dyDescent="0.25">
      <c r="O677840" s="9"/>
    </row>
    <row r="677861" spans="15:15" x14ac:dyDescent="0.25">
      <c r="O677861" s="9"/>
    </row>
    <row r="677882" spans="15:15" x14ac:dyDescent="0.25">
      <c r="O677882" s="9"/>
    </row>
    <row r="677903" spans="15:15" x14ac:dyDescent="0.25">
      <c r="O677903" s="9"/>
    </row>
    <row r="677924" spans="15:15" x14ac:dyDescent="0.25">
      <c r="O677924" s="9"/>
    </row>
    <row r="677945" spans="15:15" x14ac:dyDescent="0.25">
      <c r="O677945" s="9"/>
    </row>
    <row r="677966" spans="15:15" x14ac:dyDescent="0.25">
      <c r="O677966" s="9"/>
    </row>
    <row r="677987" spans="15:15" x14ac:dyDescent="0.25">
      <c r="O677987" s="9"/>
    </row>
    <row r="678008" spans="15:15" x14ac:dyDescent="0.25">
      <c r="O678008" s="9"/>
    </row>
    <row r="678029" spans="15:15" x14ac:dyDescent="0.25">
      <c r="O678029" s="9"/>
    </row>
    <row r="678050" spans="15:15" x14ac:dyDescent="0.25">
      <c r="O678050" s="9"/>
    </row>
    <row r="678071" spans="15:15" x14ac:dyDescent="0.25">
      <c r="O678071" s="9"/>
    </row>
    <row r="678092" spans="15:15" x14ac:dyDescent="0.25">
      <c r="O678092" s="9"/>
    </row>
    <row r="678113" spans="15:15" x14ac:dyDescent="0.25">
      <c r="O678113" s="9"/>
    </row>
    <row r="678134" spans="15:15" x14ac:dyDescent="0.25">
      <c r="O678134" s="9"/>
    </row>
    <row r="678155" spans="15:15" x14ac:dyDescent="0.25">
      <c r="O678155" s="9"/>
    </row>
    <row r="678176" spans="15:15" x14ac:dyDescent="0.25">
      <c r="O678176" s="9"/>
    </row>
    <row r="678197" spans="15:15" x14ac:dyDescent="0.25">
      <c r="O678197" s="9"/>
    </row>
    <row r="678218" spans="15:15" x14ac:dyDescent="0.25">
      <c r="O678218" s="9"/>
    </row>
    <row r="678239" spans="15:15" x14ac:dyDescent="0.25">
      <c r="O678239" s="9"/>
    </row>
    <row r="678260" spans="15:15" x14ac:dyDescent="0.25">
      <c r="O678260" s="9"/>
    </row>
    <row r="678281" spans="15:15" x14ac:dyDescent="0.25">
      <c r="O678281" s="9"/>
    </row>
    <row r="678302" spans="15:15" x14ac:dyDescent="0.25">
      <c r="O678302" s="9"/>
    </row>
    <row r="678323" spans="15:15" x14ac:dyDescent="0.25">
      <c r="O678323" s="9"/>
    </row>
    <row r="678344" spans="15:15" x14ac:dyDescent="0.25">
      <c r="O678344" s="9"/>
    </row>
    <row r="678365" spans="15:15" x14ac:dyDescent="0.25">
      <c r="O678365" s="9"/>
    </row>
    <row r="678386" spans="15:15" x14ac:dyDescent="0.25">
      <c r="O678386" s="9"/>
    </row>
    <row r="678407" spans="15:15" x14ac:dyDescent="0.25">
      <c r="O678407" s="9"/>
    </row>
    <row r="678428" spans="15:15" x14ac:dyDescent="0.25">
      <c r="O678428" s="9"/>
    </row>
    <row r="678449" spans="15:15" x14ac:dyDescent="0.25">
      <c r="O678449" s="9"/>
    </row>
    <row r="678470" spans="15:15" x14ac:dyDescent="0.25">
      <c r="O678470" s="9"/>
    </row>
    <row r="678491" spans="15:15" x14ac:dyDescent="0.25">
      <c r="O678491" s="9"/>
    </row>
    <row r="678512" spans="15:15" x14ac:dyDescent="0.25">
      <c r="O678512" s="9"/>
    </row>
    <row r="678533" spans="15:15" x14ac:dyDescent="0.25">
      <c r="O678533" s="9"/>
    </row>
    <row r="678554" spans="15:15" x14ac:dyDescent="0.25">
      <c r="O678554" s="9"/>
    </row>
    <row r="678575" spans="15:15" x14ac:dyDescent="0.25">
      <c r="O678575" s="9"/>
    </row>
    <row r="678596" spans="15:15" x14ac:dyDescent="0.25">
      <c r="O678596" s="9"/>
    </row>
    <row r="678617" spans="15:15" x14ac:dyDescent="0.25">
      <c r="O678617" s="9"/>
    </row>
    <row r="678638" spans="15:15" x14ac:dyDescent="0.25">
      <c r="O678638" s="9"/>
    </row>
    <row r="678659" spans="15:15" x14ac:dyDescent="0.25">
      <c r="O678659" s="9"/>
    </row>
    <row r="678680" spans="15:15" x14ac:dyDescent="0.25">
      <c r="O678680" s="9"/>
    </row>
    <row r="678701" spans="15:15" x14ac:dyDescent="0.25">
      <c r="O678701" s="9"/>
    </row>
    <row r="678722" spans="15:15" x14ac:dyDescent="0.25">
      <c r="O678722" s="9"/>
    </row>
    <row r="678743" spans="15:15" x14ac:dyDescent="0.25">
      <c r="O678743" s="9"/>
    </row>
    <row r="678764" spans="15:15" x14ac:dyDescent="0.25">
      <c r="O678764" s="9"/>
    </row>
    <row r="678785" spans="15:15" x14ac:dyDescent="0.25">
      <c r="O678785" s="9"/>
    </row>
    <row r="678806" spans="15:15" x14ac:dyDescent="0.25">
      <c r="O678806" s="9"/>
    </row>
    <row r="678827" spans="15:15" x14ac:dyDescent="0.25">
      <c r="O678827" s="9"/>
    </row>
    <row r="678848" spans="15:15" x14ac:dyDescent="0.25">
      <c r="O678848" s="9"/>
    </row>
    <row r="678869" spans="15:15" x14ac:dyDescent="0.25">
      <c r="O678869" s="9"/>
    </row>
    <row r="678890" spans="15:15" x14ac:dyDescent="0.25">
      <c r="O678890" s="9"/>
    </row>
    <row r="678911" spans="15:15" x14ac:dyDescent="0.25">
      <c r="O678911" s="9"/>
    </row>
    <row r="678932" spans="15:15" x14ac:dyDescent="0.25">
      <c r="O678932" s="9"/>
    </row>
    <row r="678953" spans="15:15" x14ac:dyDescent="0.25">
      <c r="O678953" s="9"/>
    </row>
    <row r="678974" spans="15:15" x14ac:dyDescent="0.25">
      <c r="O678974" s="9"/>
    </row>
    <row r="678995" spans="15:15" x14ac:dyDescent="0.25">
      <c r="O678995" s="9"/>
    </row>
    <row r="679016" spans="15:15" x14ac:dyDescent="0.25">
      <c r="O679016" s="9"/>
    </row>
    <row r="679037" spans="15:15" x14ac:dyDescent="0.25">
      <c r="O679037" s="9"/>
    </row>
    <row r="679058" spans="15:15" x14ac:dyDescent="0.25">
      <c r="O679058" s="9"/>
    </row>
    <row r="679079" spans="15:15" x14ac:dyDescent="0.25">
      <c r="O679079" s="9"/>
    </row>
    <row r="679100" spans="15:15" x14ac:dyDescent="0.25">
      <c r="O679100" s="9"/>
    </row>
    <row r="679121" spans="15:15" x14ac:dyDescent="0.25">
      <c r="O679121" s="9"/>
    </row>
    <row r="679142" spans="15:15" x14ac:dyDescent="0.25">
      <c r="O679142" s="9"/>
    </row>
    <row r="679163" spans="15:15" x14ac:dyDescent="0.25">
      <c r="O679163" s="9"/>
    </row>
    <row r="679184" spans="15:15" x14ac:dyDescent="0.25">
      <c r="O679184" s="9"/>
    </row>
    <row r="679205" spans="15:15" x14ac:dyDescent="0.25">
      <c r="O679205" s="9"/>
    </row>
    <row r="679226" spans="15:15" x14ac:dyDescent="0.25">
      <c r="O679226" s="9"/>
    </row>
    <row r="679247" spans="15:15" x14ac:dyDescent="0.25">
      <c r="O679247" s="9"/>
    </row>
    <row r="679268" spans="15:15" x14ac:dyDescent="0.25">
      <c r="O679268" s="9"/>
    </row>
    <row r="679289" spans="15:15" x14ac:dyDescent="0.25">
      <c r="O679289" s="9"/>
    </row>
    <row r="679310" spans="15:15" x14ac:dyDescent="0.25">
      <c r="O679310" s="9"/>
    </row>
    <row r="679331" spans="15:15" x14ac:dyDescent="0.25">
      <c r="O679331" s="9"/>
    </row>
    <row r="679352" spans="15:15" x14ac:dyDescent="0.25">
      <c r="O679352" s="9"/>
    </row>
    <row r="679373" spans="15:15" x14ac:dyDescent="0.25">
      <c r="O679373" s="9"/>
    </row>
    <row r="679394" spans="15:15" x14ac:dyDescent="0.25">
      <c r="O679394" s="9"/>
    </row>
    <row r="679415" spans="15:15" x14ac:dyDescent="0.25">
      <c r="O679415" s="9"/>
    </row>
    <row r="679436" spans="15:15" x14ac:dyDescent="0.25">
      <c r="O679436" s="9"/>
    </row>
    <row r="679457" spans="15:15" x14ac:dyDescent="0.25">
      <c r="O679457" s="9"/>
    </row>
    <row r="679478" spans="15:15" x14ac:dyDescent="0.25">
      <c r="O679478" s="9"/>
    </row>
    <row r="679499" spans="15:15" x14ac:dyDescent="0.25">
      <c r="O679499" s="9"/>
    </row>
    <row r="679520" spans="15:15" x14ac:dyDescent="0.25">
      <c r="O679520" s="9"/>
    </row>
    <row r="679541" spans="15:15" x14ac:dyDescent="0.25">
      <c r="O679541" s="9"/>
    </row>
    <row r="679562" spans="15:15" x14ac:dyDescent="0.25">
      <c r="O679562" s="9"/>
    </row>
    <row r="679583" spans="15:15" x14ac:dyDescent="0.25">
      <c r="O679583" s="9"/>
    </row>
    <row r="679604" spans="15:15" x14ac:dyDescent="0.25">
      <c r="O679604" s="9"/>
    </row>
    <row r="679625" spans="15:15" x14ac:dyDescent="0.25">
      <c r="O679625" s="9"/>
    </row>
    <row r="679646" spans="15:15" x14ac:dyDescent="0.25">
      <c r="O679646" s="9"/>
    </row>
    <row r="679667" spans="15:15" x14ac:dyDescent="0.25">
      <c r="O679667" s="9"/>
    </row>
    <row r="679688" spans="15:15" x14ac:dyDescent="0.25">
      <c r="O679688" s="9"/>
    </row>
    <row r="679709" spans="15:15" x14ac:dyDescent="0.25">
      <c r="O679709" s="9"/>
    </row>
    <row r="679730" spans="15:15" x14ac:dyDescent="0.25">
      <c r="O679730" s="9"/>
    </row>
    <row r="679751" spans="15:15" x14ac:dyDescent="0.25">
      <c r="O679751" s="9"/>
    </row>
    <row r="679772" spans="15:15" x14ac:dyDescent="0.25">
      <c r="O679772" s="9"/>
    </row>
    <row r="679793" spans="15:15" x14ac:dyDescent="0.25">
      <c r="O679793" s="9"/>
    </row>
    <row r="679814" spans="15:15" x14ac:dyDescent="0.25">
      <c r="O679814" s="9"/>
    </row>
    <row r="679835" spans="15:15" x14ac:dyDescent="0.25">
      <c r="O679835" s="9"/>
    </row>
    <row r="679856" spans="15:15" x14ac:dyDescent="0.25">
      <c r="O679856" s="9"/>
    </row>
    <row r="679877" spans="15:15" x14ac:dyDescent="0.25">
      <c r="O679877" s="9"/>
    </row>
    <row r="679898" spans="15:15" x14ac:dyDescent="0.25">
      <c r="O679898" s="9"/>
    </row>
    <row r="679919" spans="15:15" x14ac:dyDescent="0.25">
      <c r="O679919" s="9"/>
    </row>
    <row r="679940" spans="15:15" x14ac:dyDescent="0.25">
      <c r="O679940" s="9"/>
    </row>
    <row r="679961" spans="15:15" x14ac:dyDescent="0.25">
      <c r="O679961" s="9"/>
    </row>
    <row r="679982" spans="15:15" x14ac:dyDescent="0.25">
      <c r="O679982" s="9"/>
    </row>
    <row r="680003" spans="15:15" x14ac:dyDescent="0.25">
      <c r="O680003" s="9"/>
    </row>
    <row r="680024" spans="15:15" x14ac:dyDescent="0.25">
      <c r="O680024" s="9"/>
    </row>
    <row r="680045" spans="15:15" x14ac:dyDescent="0.25">
      <c r="O680045" s="9"/>
    </row>
    <row r="680066" spans="15:15" x14ac:dyDescent="0.25">
      <c r="O680066" s="9"/>
    </row>
    <row r="680087" spans="15:15" x14ac:dyDescent="0.25">
      <c r="O680087" s="9"/>
    </row>
    <row r="680108" spans="15:15" x14ac:dyDescent="0.25">
      <c r="O680108" s="9"/>
    </row>
    <row r="680129" spans="15:15" x14ac:dyDescent="0.25">
      <c r="O680129" s="9"/>
    </row>
    <row r="680150" spans="15:15" x14ac:dyDescent="0.25">
      <c r="O680150" s="9"/>
    </row>
    <row r="680171" spans="15:15" x14ac:dyDescent="0.25">
      <c r="O680171" s="9"/>
    </row>
    <row r="680192" spans="15:15" x14ac:dyDescent="0.25">
      <c r="O680192" s="9"/>
    </row>
    <row r="680213" spans="15:15" x14ac:dyDescent="0.25">
      <c r="O680213" s="9"/>
    </row>
    <row r="680234" spans="15:15" x14ac:dyDescent="0.25">
      <c r="O680234" s="9"/>
    </row>
    <row r="680255" spans="15:15" x14ac:dyDescent="0.25">
      <c r="O680255" s="9"/>
    </row>
    <row r="680276" spans="15:15" x14ac:dyDescent="0.25">
      <c r="O680276" s="9"/>
    </row>
    <row r="680297" spans="15:15" x14ac:dyDescent="0.25">
      <c r="O680297" s="9"/>
    </row>
    <row r="680318" spans="15:15" x14ac:dyDescent="0.25">
      <c r="O680318" s="9"/>
    </row>
    <row r="680339" spans="15:15" x14ac:dyDescent="0.25">
      <c r="O680339" s="9"/>
    </row>
    <row r="680360" spans="15:15" x14ac:dyDescent="0.25">
      <c r="O680360" s="9"/>
    </row>
    <row r="680381" spans="15:15" x14ac:dyDescent="0.25">
      <c r="O680381" s="9"/>
    </row>
    <row r="680402" spans="15:15" x14ac:dyDescent="0.25">
      <c r="O680402" s="9"/>
    </row>
    <row r="680423" spans="15:15" x14ac:dyDescent="0.25">
      <c r="O680423" s="9"/>
    </row>
    <row r="680444" spans="15:15" x14ac:dyDescent="0.25">
      <c r="O680444" s="9"/>
    </row>
    <row r="680465" spans="15:15" x14ac:dyDescent="0.25">
      <c r="O680465" s="9"/>
    </row>
    <row r="680486" spans="15:15" x14ac:dyDescent="0.25">
      <c r="O680486" s="9"/>
    </row>
    <row r="680507" spans="15:15" x14ac:dyDescent="0.25">
      <c r="O680507" s="9"/>
    </row>
    <row r="680528" spans="15:15" x14ac:dyDescent="0.25">
      <c r="O680528" s="9"/>
    </row>
    <row r="680549" spans="15:15" x14ac:dyDescent="0.25">
      <c r="O680549" s="9"/>
    </row>
    <row r="680570" spans="15:15" x14ac:dyDescent="0.25">
      <c r="O680570" s="9"/>
    </row>
    <row r="680591" spans="15:15" x14ac:dyDescent="0.25">
      <c r="O680591" s="9"/>
    </row>
    <row r="680612" spans="15:15" x14ac:dyDescent="0.25">
      <c r="O680612" s="9"/>
    </row>
    <row r="680633" spans="15:15" x14ac:dyDescent="0.25">
      <c r="O680633" s="9"/>
    </row>
    <row r="680654" spans="15:15" x14ac:dyDescent="0.25">
      <c r="O680654" s="9"/>
    </row>
    <row r="680675" spans="15:15" x14ac:dyDescent="0.25">
      <c r="O680675" s="9"/>
    </row>
    <row r="680696" spans="15:15" x14ac:dyDescent="0.25">
      <c r="O680696" s="9"/>
    </row>
    <row r="680717" spans="15:15" x14ac:dyDescent="0.25">
      <c r="O680717" s="9"/>
    </row>
    <row r="680738" spans="15:15" x14ac:dyDescent="0.25">
      <c r="O680738" s="9"/>
    </row>
    <row r="680759" spans="15:15" x14ac:dyDescent="0.25">
      <c r="O680759" s="9"/>
    </row>
    <row r="680780" spans="15:15" x14ac:dyDescent="0.25">
      <c r="O680780" s="9"/>
    </row>
    <row r="680801" spans="15:15" x14ac:dyDescent="0.25">
      <c r="O680801" s="9"/>
    </row>
    <row r="680822" spans="15:15" x14ac:dyDescent="0.25">
      <c r="O680822" s="9"/>
    </row>
    <row r="680843" spans="15:15" x14ac:dyDescent="0.25">
      <c r="O680843" s="9"/>
    </row>
    <row r="680864" spans="15:15" x14ac:dyDescent="0.25">
      <c r="O680864" s="9"/>
    </row>
    <row r="680885" spans="15:15" x14ac:dyDescent="0.25">
      <c r="O680885" s="9"/>
    </row>
    <row r="680906" spans="15:15" x14ac:dyDescent="0.25">
      <c r="O680906" s="9"/>
    </row>
    <row r="680927" spans="15:15" x14ac:dyDescent="0.25">
      <c r="O680927" s="9"/>
    </row>
    <row r="680948" spans="15:15" x14ac:dyDescent="0.25">
      <c r="O680948" s="9"/>
    </row>
    <row r="680969" spans="15:15" x14ac:dyDescent="0.25">
      <c r="O680969" s="9"/>
    </row>
    <row r="680990" spans="15:15" x14ac:dyDescent="0.25">
      <c r="O680990" s="9"/>
    </row>
    <row r="681011" spans="15:15" x14ac:dyDescent="0.25">
      <c r="O681011" s="9"/>
    </row>
    <row r="681032" spans="15:15" x14ac:dyDescent="0.25">
      <c r="O681032" s="9"/>
    </row>
    <row r="681053" spans="15:15" x14ac:dyDescent="0.25">
      <c r="O681053" s="9"/>
    </row>
    <row r="681074" spans="15:15" x14ac:dyDescent="0.25">
      <c r="O681074" s="9"/>
    </row>
    <row r="681095" spans="15:15" x14ac:dyDescent="0.25">
      <c r="O681095" s="9"/>
    </row>
    <row r="681116" spans="15:15" x14ac:dyDescent="0.25">
      <c r="O681116" s="9"/>
    </row>
    <row r="681137" spans="15:15" x14ac:dyDescent="0.25">
      <c r="O681137" s="9"/>
    </row>
    <row r="681158" spans="15:15" x14ac:dyDescent="0.25">
      <c r="O681158" s="9"/>
    </row>
    <row r="681179" spans="15:15" x14ac:dyDescent="0.25">
      <c r="O681179" s="9"/>
    </row>
    <row r="681200" spans="15:15" x14ac:dyDescent="0.25">
      <c r="O681200" s="9"/>
    </row>
    <row r="681221" spans="15:15" x14ac:dyDescent="0.25">
      <c r="O681221" s="9"/>
    </row>
    <row r="681242" spans="15:15" x14ac:dyDescent="0.25">
      <c r="O681242" s="9"/>
    </row>
    <row r="681263" spans="15:15" x14ac:dyDescent="0.25">
      <c r="O681263" s="9"/>
    </row>
    <row r="681284" spans="15:15" x14ac:dyDescent="0.25">
      <c r="O681284" s="9"/>
    </row>
    <row r="681305" spans="15:15" x14ac:dyDescent="0.25">
      <c r="O681305" s="9"/>
    </row>
    <row r="681326" spans="15:15" x14ac:dyDescent="0.25">
      <c r="O681326" s="9"/>
    </row>
    <row r="681347" spans="15:15" x14ac:dyDescent="0.25">
      <c r="O681347" s="9"/>
    </row>
    <row r="681368" spans="15:15" x14ac:dyDescent="0.25">
      <c r="O681368" s="9"/>
    </row>
    <row r="681389" spans="15:15" x14ac:dyDescent="0.25">
      <c r="O681389" s="9"/>
    </row>
    <row r="681410" spans="15:15" x14ac:dyDescent="0.25">
      <c r="O681410" s="9"/>
    </row>
    <row r="681431" spans="15:15" x14ac:dyDescent="0.25">
      <c r="O681431" s="9"/>
    </row>
    <row r="681452" spans="15:15" x14ac:dyDescent="0.25">
      <c r="O681452" s="9"/>
    </row>
    <row r="681473" spans="15:15" x14ac:dyDescent="0.25">
      <c r="O681473" s="9"/>
    </row>
    <row r="681494" spans="15:15" x14ac:dyDescent="0.25">
      <c r="O681494" s="9"/>
    </row>
    <row r="681515" spans="15:15" x14ac:dyDescent="0.25">
      <c r="O681515" s="9"/>
    </row>
    <row r="681536" spans="15:15" x14ac:dyDescent="0.25">
      <c r="O681536" s="9"/>
    </row>
    <row r="681557" spans="15:15" x14ac:dyDescent="0.25">
      <c r="O681557" s="9"/>
    </row>
    <row r="681578" spans="15:15" x14ac:dyDescent="0.25">
      <c r="O681578" s="9"/>
    </row>
    <row r="681599" spans="15:15" x14ac:dyDescent="0.25">
      <c r="O681599" s="9"/>
    </row>
    <row r="681620" spans="15:15" x14ac:dyDescent="0.25">
      <c r="O681620" s="9"/>
    </row>
    <row r="681641" spans="15:15" x14ac:dyDescent="0.25">
      <c r="O681641" s="9"/>
    </row>
    <row r="681662" spans="15:15" x14ac:dyDescent="0.25">
      <c r="O681662" s="9"/>
    </row>
    <row r="681683" spans="15:15" x14ac:dyDescent="0.25">
      <c r="O681683" s="9"/>
    </row>
    <row r="681704" spans="15:15" x14ac:dyDescent="0.25">
      <c r="O681704" s="9"/>
    </row>
    <row r="681725" spans="15:15" x14ac:dyDescent="0.25">
      <c r="O681725" s="9"/>
    </row>
    <row r="681746" spans="15:15" x14ac:dyDescent="0.25">
      <c r="O681746" s="9"/>
    </row>
    <row r="681767" spans="15:15" x14ac:dyDescent="0.25">
      <c r="O681767" s="9"/>
    </row>
    <row r="681788" spans="15:15" x14ac:dyDescent="0.25">
      <c r="O681788" s="9"/>
    </row>
    <row r="681809" spans="15:15" x14ac:dyDescent="0.25">
      <c r="O681809" s="9"/>
    </row>
    <row r="681830" spans="15:15" x14ac:dyDescent="0.25">
      <c r="O681830" s="9"/>
    </row>
    <row r="681851" spans="15:15" x14ac:dyDescent="0.25">
      <c r="O681851" s="9"/>
    </row>
    <row r="681872" spans="15:15" x14ac:dyDescent="0.25">
      <c r="O681872" s="9"/>
    </row>
    <row r="681893" spans="15:15" x14ac:dyDescent="0.25">
      <c r="O681893" s="9"/>
    </row>
    <row r="681914" spans="15:15" x14ac:dyDescent="0.25">
      <c r="O681914" s="9"/>
    </row>
    <row r="681935" spans="15:15" x14ac:dyDescent="0.25">
      <c r="O681935" s="9"/>
    </row>
    <row r="681956" spans="15:15" x14ac:dyDescent="0.25">
      <c r="O681956" s="9"/>
    </row>
    <row r="681977" spans="15:15" x14ac:dyDescent="0.25">
      <c r="O681977" s="9"/>
    </row>
    <row r="681998" spans="15:15" x14ac:dyDescent="0.25">
      <c r="O681998" s="9"/>
    </row>
    <row r="682019" spans="15:15" x14ac:dyDescent="0.25">
      <c r="O682019" s="9"/>
    </row>
    <row r="682040" spans="15:15" x14ac:dyDescent="0.25">
      <c r="O682040" s="9"/>
    </row>
    <row r="682061" spans="15:15" x14ac:dyDescent="0.25">
      <c r="O682061" s="9"/>
    </row>
    <row r="682082" spans="15:15" x14ac:dyDescent="0.25">
      <c r="O682082" s="9"/>
    </row>
    <row r="682103" spans="15:15" x14ac:dyDescent="0.25">
      <c r="O682103" s="9"/>
    </row>
    <row r="682124" spans="15:15" x14ac:dyDescent="0.25">
      <c r="O682124" s="9"/>
    </row>
    <row r="682145" spans="15:15" x14ac:dyDescent="0.25">
      <c r="O682145" s="9"/>
    </row>
    <row r="682166" spans="15:15" x14ac:dyDescent="0.25">
      <c r="O682166" s="9"/>
    </row>
    <row r="682187" spans="15:15" x14ac:dyDescent="0.25">
      <c r="O682187" s="9"/>
    </row>
    <row r="682208" spans="15:15" x14ac:dyDescent="0.25">
      <c r="O682208" s="9"/>
    </row>
    <row r="682229" spans="15:15" x14ac:dyDescent="0.25">
      <c r="O682229" s="9"/>
    </row>
    <row r="682250" spans="15:15" x14ac:dyDescent="0.25">
      <c r="O682250" s="9"/>
    </row>
    <row r="682271" spans="15:15" x14ac:dyDescent="0.25">
      <c r="O682271" s="9"/>
    </row>
    <row r="682292" spans="15:15" x14ac:dyDescent="0.25">
      <c r="O682292" s="9"/>
    </row>
    <row r="682313" spans="15:15" x14ac:dyDescent="0.25">
      <c r="O682313" s="9"/>
    </row>
    <row r="682334" spans="15:15" x14ac:dyDescent="0.25">
      <c r="O682334" s="9"/>
    </row>
    <row r="682355" spans="15:15" x14ac:dyDescent="0.25">
      <c r="O682355" s="9"/>
    </row>
    <row r="682376" spans="15:15" x14ac:dyDescent="0.25">
      <c r="O682376" s="9"/>
    </row>
    <row r="682397" spans="15:15" x14ac:dyDescent="0.25">
      <c r="O682397" s="9"/>
    </row>
    <row r="682418" spans="15:15" x14ac:dyDescent="0.25">
      <c r="O682418" s="9"/>
    </row>
    <row r="682439" spans="15:15" x14ac:dyDescent="0.25">
      <c r="O682439" s="9"/>
    </row>
    <row r="682460" spans="15:15" x14ac:dyDescent="0.25">
      <c r="O682460" s="9"/>
    </row>
    <row r="682481" spans="15:15" x14ac:dyDescent="0.25">
      <c r="O682481" s="9"/>
    </row>
    <row r="682502" spans="15:15" x14ac:dyDescent="0.25">
      <c r="O682502" s="9"/>
    </row>
    <row r="682523" spans="15:15" x14ac:dyDescent="0.25">
      <c r="O682523" s="9"/>
    </row>
    <row r="682544" spans="15:15" x14ac:dyDescent="0.25">
      <c r="O682544" s="9"/>
    </row>
    <row r="682565" spans="15:15" x14ac:dyDescent="0.25">
      <c r="O682565" s="9"/>
    </row>
    <row r="682586" spans="15:15" x14ac:dyDescent="0.25">
      <c r="O682586" s="9"/>
    </row>
    <row r="682607" spans="15:15" x14ac:dyDescent="0.25">
      <c r="O682607" s="9"/>
    </row>
    <row r="682628" spans="15:15" x14ac:dyDescent="0.25">
      <c r="O682628" s="9"/>
    </row>
    <row r="682649" spans="15:15" x14ac:dyDescent="0.25">
      <c r="O682649" s="9"/>
    </row>
    <row r="682670" spans="15:15" x14ac:dyDescent="0.25">
      <c r="O682670" s="9"/>
    </row>
    <row r="682691" spans="15:15" x14ac:dyDescent="0.25">
      <c r="O682691" s="9"/>
    </row>
    <row r="682712" spans="15:15" x14ac:dyDescent="0.25">
      <c r="O682712" s="9"/>
    </row>
    <row r="682733" spans="15:15" x14ac:dyDescent="0.25">
      <c r="O682733" s="9"/>
    </row>
    <row r="682754" spans="15:15" x14ac:dyDescent="0.25">
      <c r="O682754" s="9"/>
    </row>
    <row r="682775" spans="15:15" x14ac:dyDescent="0.25">
      <c r="O682775" s="9"/>
    </row>
    <row r="682796" spans="15:15" x14ac:dyDescent="0.25">
      <c r="O682796" s="9"/>
    </row>
    <row r="682817" spans="15:15" x14ac:dyDescent="0.25">
      <c r="O682817" s="9"/>
    </row>
    <row r="682838" spans="15:15" x14ac:dyDescent="0.25">
      <c r="O682838" s="9"/>
    </row>
    <row r="682859" spans="15:15" x14ac:dyDescent="0.25">
      <c r="O682859" s="9"/>
    </row>
    <row r="682880" spans="15:15" x14ac:dyDescent="0.25">
      <c r="O682880" s="9"/>
    </row>
    <row r="682901" spans="15:15" x14ac:dyDescent="0.25">
      <c r="O682901" s="9"/>
    </row>
    <row r="682922" spans="15:15" x14ac:dyDescent="0.25">
      <c r="O682922" s="9"/>
    </row>
    <row r="682943" spans="15:15" x14ac:dyDescent="0.25">
      <c r="O682943" s="9"/>
    </row>
    <row r="682964" spans="15:15" x14ac:dyDescent="0.25">
      <c r="O682964" s="9"/>
    </row>
    <row r="682985" spans="15:15" x14ac:dyDescent="0.25">
      <c r="O682985" s="9"/>
    </row>
    <row r="683006" spans="15:15" x14ac:dyDescent="0.25">
      <c r="O683006" s="9"/>
    </row>
    <row r="683027" spans="15:15" x14ac:dyDescent="0.25">
      <c r="O683027" s="9"/>
    </row>
    <row r="683048" spans="15:15" x14ac:dyDescent="0.25">
      <c r="O683048" s="9"/>
    </row>
    <row r="683069" spans="15:15" x14ac:dyDescent="0.25">
      <c r="O683069" s="9"/>
    </row>
    <row r="683090" spans="15:15" x14ac:dyDescent="0.25">
      <c r="O683090" s="9"/>
    </row>
    <row r="683111" spans="15:15" x14ac:dyDescent="0.25">
      <c r="O683111" s="9"/>
    </row>
    <row r="683132" spans="15:15" x14ac:dyDescent="0.25">
      <c r="O683132" s="9"/>
    </row>
    <row r="683153" spans="15:15" x14ac:dyDescent="0.25">
      <c r="O683153" s="9"/>
    </row>
    <row r="683174" spans="15:15" x14ac:dyDescent="0.25">
      <c r="O683174" s="9"/>
    </row>
    <row r="683195" spans="15:15" x14ac:dyDescent="0.25">
      <c r="O683195" s="9"/>
    </row>
    <row r="683216" spans="15:15" x14ac:dyDescent="0.25">
      <c r="O683216" s="9"/>
    </row>
    <row r="683237" spans="15:15" x14ac:dyDescent="0.25">
      <c r="O683237" s="9"/>
    </row>
    <row r="683258" spans="15:15" x14ac:dyDescent="0.25">
      <c r="O683258" s="9"/>
    </row>
    <row r="683279" spans="15:15" x14ac:dyDescent="0.25">
      <c r="O683279" s="9"/>
    </row>
    <row r="683300" spans="15:15" x14ac:dyDescent="0.25">
      <c r="O683300" s="9"/>
    </row>
    <row r="683321" spans="15:15" x14ac:dyDescent="0.25">
      <c r="O683321" s="9"/>
    </row>
    <row r="683342" spans="15:15" x14ac:dyDescent="0.25">
      <c r="O683342" s="9"/>
    </row>
    <row r="683363" spans="15:15" x14ac:dyDescent="0.25">
      <c r="O683363" s="9"/>
    </row>
    <row r="683384" spans="15:15" x14ac:dyDescent="0.25">
      <c r="O683384" s="9"/>
    </row>
    <row r="683405" spans="15:15" x14ac:dyDescent="0.25">
      <c r="O683405" s="9"/>
    </row>
    <row r="683426" spans="15:15" x14ac:dyDescent="0.25">
      <c r="O683426" s="9"/>
    </row>
    <row r="683447" spans="15:15" x14ac:dyDescent="0.25">
      <c r="O683447" s="9"/>
    </row>
    <row r="683468" spans="15:15" x14ac:dyDescent="0.25">
      <c r="O683468" s="9"/>
    </row>
    <row r="683489" spans="15:15" x14ac:dyDescent="0.25">
      <c r="O683489" s="9"/>
    </row>
    <row r="683510" spans="15:15" x14ac:dyDescent="0.25">
      <c r="O683510" s="9"/>
    </row>
    <row r="683531" spans="15:15" x14ac:dyDescent="0.25">
      <c r="O683531" s="9"/>
    </row>
    <row r="683552" spans="15:15" x14ac:dyDescent="0.25">
      <c r="O683552" s="9"/>
    </row>
    <row r="683573" spans="15:15" x14ac:dyDescent="0.25">
      <c r="O683573" s="9"/>
    </row>
    <row r="683594" spans="15:15" x14ac:dyDescent="0.25">
      <c r="O683594" s="9"/>
    </row>
    <row r="683615" spans="15:15" x14ac:dyDescent="0.25">
      <c r="O683615" s="9"/>
    </row>
    <row r="683636" spans="15:15" x14ac:dyDescent="0.25">
      <c r="O683636" s="9"/>
    </row>
    <row r="683657" spans="15:15" x14ac:dyDescent="0.25">
      <c r="O683657" s="9"/>
    </row>
    <row r="683678" spans="15:15" x14ac:dyDescent="0.25">
      <c r="O683678" s="9"/>
    </row>
    <row r="683699" spans="15:15" x14ac:dyDescent="0.25">
      <c r="O683699" s="9"/>
    </row>
    <row r="683720" spans="15:15" x14ac:dyDescent="0.25">
      <c r="O683720" s="9"/>
    </row>
    <row r="683741" spans="15:15" x14ac:dyDescent="0.25">
      <c r="O683741" s="9"/>
    </row>
    <row r="683762" spans="15:15" x14ac:dyDescent="0.25">
      <c r="O683762" s="9"/>
    </row>
    <row r="683783" spans="15:15" x14ac:dyDescent="0.25">
      <c r="O683783" s="9"/>
    </row>
    <row r="683804" spans="15:15" x14ac:dyDescent="0.25">
      <c r="O683804" s="9"/>
    </row>
    <row r="683825" spans="15:15" x14ac:dyDescent="0.25">
      <c r="O683825" s="9"/>
    </row>
    <row r="683846" spans="15:15" x14ac:dyDescent="0.25">
      <c r="O683846" s="9"/>
    </row>
    <row r="683867" spans="15:15" x14ac:dyDescent="0.25">
      <c r="O683867" s="9"/>
    </row>
    <row r="683888" spans="15:15" x14ac:dyDescent="0.25">
      <c r="O683888" s="9"/>
    </row>
    <row r="683909" spans="15:15" x14ac:dyDescent="0.25">
      <c r="O683909" s="9"/>
    </row>
    <row r="683930" spans="15:15" x14ac:dyDescent="0.25">
      <c r="O683930" s="9"/>
    </row>
    <row r="683951" spans="15:15" x14ac:dyDescent="0.25">
      <c r="O683951" s="9"/>
    </row>
    <row r="683972" spans="15:15" x14ac:dyDescent="0.25">
      <c r="O683972" s="9"/>
    </row>
    <row r="683993" spans="15:15" x14ac:dyDescent="0.25">
      <c r="O683993" s="9"/>
    </row>
    <row r="684014" spans="15:15" x14ac:dyDescent="0.25">
      <c r="O684014" s="9"/>
    </row>
    <row r="684035" spans="15:15" x14ac:dyDescent="0.25">
      <c r="O684035" s="9"/>
    </row>
    <row r="684056" spans="15:15" x14ac:dyDescent="0.25">
      <c r="O684056" s="9"/>
    </row>
    <row r="684077" spans="15:15" x14ac:dyDescent="0.25">
      <c r="O684077" s="9"/>
    </row>
    <row r="684098" spans="15:15" x14ac:dyDescent="0.25">
      <c r="O684098" s="9"/>
    </row>
    <row r="684119" spans="15:15" x14ac:dyDescent="0.25">
      <c r="O684119" s="9"/>
    </row>
    <row r="684140" spans="15:15" x14ac:dyDescent="0.25">
      <c r="O684140" s="9"/>
    </row>
    <row r="684161" spans="15:15" x14ac:dyDescent="0.25">
      <c r="O684161" s="9"/>
    </row>
    <row r="684182" spans="15:15" x14ac:dyDescent="0.25">
      <c r="O684182" s="9"/>
    </row>
    <row r="684203" spans="15:15" x14ac:dyDescent="0.25">
      <c r="O684203" s="9"/>
    </row>
    <row r="684224" spans="15:15" x14ac:dyDescent="0.25">
      <c r="O684224" s="9"/>
    </row>
    <row r="684245" spans="15:15" x14ac:dyDescent="0.25">
      <c r="O684245" s="9"/>
    </row>
    <row r="684266" spans="15:15" x14ac:dyDescent="0.25">
      <c r="O684266" s="9"/>
    </row>
    <row r="684287" spans="15:15" x14ac:dyDescent="0.25">
      <c r="O684287" s="9"/>
    </row>
    <row r="684308" spans="15:15" x14ac:dyDescent="0.25">
      <c r="O684308" s="9"/>
    </row>
    <row r="684329" spans="15:15" x14ac:dyDescent="0.25">
      <c r="O684329" s="9"/>
    </row>
    <row r="684350" spans="15:15" x14ac:dyDescent="0.25">
      <c r="O684350" s="9"/>
    </row>
    <row r="684371" spans="15:15" x14ac:dyDescent="0.25">
      <c r="O684371" s="9"/>
    </row>
    <row r="684392" spans="15:15" x14ac:dyDescent="0.25">
      <c r="O684392" s="9"/>
    </row>
    <row r="684413" spans="15:15" x14ac:dyDescent="0.25">
      <c r="O684413" s="9"/>
    </row>
    <row r="684434" spans="15:15" x14ac:dyDescent="0.25">
      <c r="O684434" s="9"/>
    </row>
    <row r="684455" spans="15:15" x14ac:dyDescent="0.25">
      <c r="O684455" s="9"/>
    </row>
    <row r="684476" spans="15:15" x14ac:dyDescent="0.25">
      <c r="O684476" s="9"/>
    </row>
    <row r="684497" spans="15:15" x14ac:dyDescent="0.25">
      <c r="O684497" s="9"/>
    </row>
    <row r="684518" spans="15:15" x14ac:dyDescent="0.25">
      <c r="O684518" s="9"/>
    </row>
    <row r="684539" spans="15:15" x14ac:dyDescent="0.25">
      <c r="O684539" s="9"/>
    </row>
    <row r="684560" spans="15:15" x14ac:dyDescent="0.25">
      <c r="O684560" s="9"/>
    </row>
    <row r="684581" spans="15:15" x14ac:dyDescent="0.25">
      <c r="O684581" s="9"/>
    </row>
    <row r="684602" spans="15:15" x14ac:dyDescent="0.25">
      <c r="O684602" s="9"/>
    </row>
    <row r="684623" spans="15:15" x14ac:dyDescent="0.25">
      <c r="O684623" s="9"/>
    </row>
    <row r="684644" spans="15:15" x14ac:dyDescent="0.25">
      <c r="O684644" s="9"/>
    </row>
    <row r="684665" spans="15:15" x14ac:dyDescent="0.25">
      <c r="O684665" s="9"/>
    </row>
    <row r="684686" spans="15:15" x14ac:dyDescent="0.25">
      <c r="O684686" s="9"/>
    </row>
    <row r="684707" spans="15:15" x14ac:dyDescent="0.25">
      <c r="O684707" s="9"/>
    </row>
    <row r="684728" spans="15:15" x14ac:dyDescent="0.25">
      <c r="O684728" s="9"/>
    </row>
    <row r="684749" spans="15:15" x14ac:dyDescent="0.25">
      <c r="O684749" s="9"/>
    </row>
    <row r="684770" spans="15:15" x14ac:dyDescent="0.25">
      <c r="O684770" s="9"/>
    </row>
    <row r="684791" spans="15:15" x14ac:dyDescent="0.25">
      <c r="O684791" s="9"/>
    </row>
    <row r="684812" spans="15:15" x14ac:dyDescent="0.25">
      <c r="O684812" s="9"/>
    </row>
    <row r="684833" spans="15:15" x14ac:dyDescent="0.25">
      <c r="O684833" s="9"/>
    </row>
    <row r="684854" spans="15:15" x14ac:dyDescent="0.25">
      <c r="O684854" s="9"/>
    </row>
    <row r="684875" spans="15:15" x14ac:dyDescent="0.25">
      <c r="O684875" s="9"/>
    </row>
    <row r="684896" spans="15:15" x14ac:dyDescent="0.25">
      <c r="O684896" s="9"/>
    </row>
    <row r="684917" spans="15:15" x14ac:dyDescent="0.25">
      <c r="O684917" s="9"/>
    </row>
    <row r="684938" spans="15:15" x14ac:dyDescent="0.25">
      <c r="O684938" s="9"/>
    </row>
    <row r="684959" spans="15:15" x14ac:dyDescent="0.25">
      <c r="O684959" s="9"/>
    </row>
    <row r="684980" spans="15:15" x14ac:dyDescent="0.25">
      <c r="O684980" s="9"/>
    </row>
    <row r="685001" spans="15:15" x14ac:dyDescent="0.25">
      <c r="O685001" s="9"/>
    </row>
    <row r="685022" spans="15:15" x14ac:dyDescent="0.25">
      <c r="O685022" s="9"/>
    </row>
    <row r="685043" spans="15:15" x14ac:dyDescent="0.25">
      <c r="O685043" s="9"/>
    </row>
    <row r="685064" spans="15:15" x14ac:dyDescent="0.25">
      <c r="O685064" s="9"/>
    </row>
    <row r="685085" spans="15:15" x14ac:dyDescent="0.25">
      <c r="O685085" s="9"/>
    </row>
    <row r="685106" spans="15:15" x14ac:dyDescent="0.25">
      <c r="O685106" s="9"/>
    </row>
    <row r="685127" spans="15:15" x14ac:dyDescent="0.25">
      <c r="O685127" s="9"/>
    </row>
    <row r="685148" spans="15:15" x14ac:dyDescent="0.25">
      <c r="O685148" s="9"/>
    </row>
    <row r="685169" spans="15:15" x14ac:dyDescent="0.25">
      <c r="O685169" s="9"/>
    </row>
    <row r="685190" spans="15:15" x14ac:dyDescent="0.25">
      <c r="O685190" s="9"/>
    </row>
    <row r="685211" spans="15:15" x14ac:dyDescent="0.25">
      <c r="O685211" s="9"/>
    </row>
    <row r="685232" spans="15:15" x14ac:dyDescent="0.25">
      <c r="O685232" s="9"/>
    </row>
    <row r="685253" spans="15:15" x14ac:dyDescent="0.25">
      <c r="O685253" s="9"/>
    </row>
    <row r="685274" spans="15:15" x14ac:dyDescent="0.25">
      <c r="O685274" s="9"/>
    </row>
    <row r="685295" spans="15:15" x14ac:dyDescent="0.25">
      <c r="O685295" s="9"/>
    </row>
    <row r="685316" spans="15:15" x14ac:dyDescent="0.25">
      <c r="O685316" s="9"/>
    </row>
    <row r="685337" spans="15:15" x14ac:dyDescent="0.25">
      <c r="O685337" s="9"/>
    </row>
    <row r="685358" spans="15:15" x14ac:dyDescent="0.25">
      <c r="O685358" s="9"/>
    </row>
    <row r="685379" spans="15:15" x14ac:dyDescent="0.25">
      <c r="O685379" s="9"/>
    </row>
    <row r="685400" spans="15:15" x14ac:dyDescent="0.25">
      <c r="O685400" s="9"/>
    </row>
    <row r="685421" spans="15:15" x14ac:dyDescent="0.25">
      <c r="O685421" s="9"/>
    </row>
    <row r="685442" spans="15:15" x14ac:dyDescent="0.25">
      <c r="O685442" s="9"/>
    </row>
    <row r="685463" spans="15:15" x14ac:dyDescent="0.25">
      <c r="O685463" s="9"/>
    </row>
    <row r="685484" spans="15:15" x14ac:dyDescent="0.25">
      <c r="O685484" s="9"/>
    </row>
    <row r="685505" spans="15:15" x14ac:dyDescent="0.25">
      <c r="O685505" s="9"/>
    </row>
    <row r="685526" spans="15:15" x14ac:dyDescent="0.25">
      <c r="O685526" s="9"/>
    </row>
    <row r="685547" spans="15:15" x14ac:dyDescent="0.25">
      <c r="O685547" s="9"/>
    </row>
    <row r="685568" spans="15:15" x14ac:dyDescent="0.25">
      <c r="O685568" s="9"/>
    </row>
    <row r="685589" spans="15:15" x14ac:dyDescent="0.25">
      <c r="O685589" s="9"/>
    </row>
    <row r="685610" spans="15:15" x14ac:dyDescent="0.25">
      <c r="O685610" s="9"/>
    </row>
    <row r="685631" spans="15:15" x14ac:dyDescent="0.25">
      <c r="O685631" s="9"/>
    </row>
    <row r="685652" spans="15:15" x14ac:dyDescent="0.25">
      <c r="O685652" s="9"/>
    </row>
    <row r="685673" spans="15:15" x14ac:dyDescent="0.25">
      <c r="O685673" s="9"/>
    </row>
    <row r="685694" spans="15:15" x14ac:dyDescent="0.25">
      <c r="O685694" s="9"/>
    </row>
    <row r="685715" spans="15:15" x14ac:dyDescent="0.25">
      <c r="O685715" s="9"/>
    </row>
    <row r="685736" spans="15:15" x14ac:dyDescent="0.25">
      <c r="O685736" s="9"/>
    </row>
    <row r="685757" spans="15:15" x14ac:dyDescent="0.25">
      <c r="O685757" s="9"/>
    </row>
    <row r="685778" spans="15:15" x14ac:dyDescent="0.25">
      <c r="O685778" s="9"/>
    </row>
    <row r="685799" spans="15:15" x14ac:dyDescent="0.25">
      <c r="O685799" s="9"/>
    </row>
    <row r="685820" spans="15:15" x14ac:dyDescent="0.25">
      <c r="O685820" s="9"/>
    </row>
    <row r="685841" spans="15:15" x14ac:dyDescent="0.25">
      <c r="O685841" s="9"/>
    </row>
    <row r="685862" spans="15:15" x14ac:dyDescent="0.25">
      <c r="O685862" s="9"/>
    </row>
    <row r="685883" spans="15:15" x14ac:dyDescent="0.25">
      <c r="O685883" s="9"/>
    </row>
    <row r="685904" spans="15:15" x14ac:dyDescent="0.25">
      <c r="O685904" s="9"/>
    </row>
    <row r="685925" spans="15:15" x14ac:dyDescent="0.25">
      <c r="O685925" s="9"/>
    </row>
    <row r="685946" spans="15:15" x14ac:dyDescent="0.25">
      <c r="O685946" s="9"/>
    </row>
    <row r="685967" spans="15:15" x14ac:dyDescent="0.25">
      <c r="O685967" s="9"/>
    </row>
    <row r="685988" spans="15:15" x14ac:dyDescent="0.25">
      <c r="O685988" s="9"/>
    </row>
    <row r="686009" spans="15:15" x14ac:dyDescent="0.25">
      <c r="O686009" s="9"/>
    </row>
    <row r="686030" spans="15:15" x14ac:dyDescent="0.25">
      <c r="O686030" s="9"/>
    </row>
    <row r="686051" spans="15:15" x14ac:dyDescent="0.25">
      <c r="O686051" s="9"/>
    </row>
    <row r="686072" spans="15:15" x14ac:dyDescent="0.25">
      <c r="O686072" s="9"/>
    </row>
    <row r="686093" spans="15:15" x14ac:dyDescent="0.25">
      <c r="O686093" s="9"/>
    </row>
    <row r="686114" spans="15:15" x14ac:dyDescent="0.25">
      <c r="O686114" s="9"/>
    </row>
    <row r="686135" spans="15:15" x14ac:dyDescent="0.25">
      <c r="O686135" s="9"/>
    </row>
    <row r="686156" spans="15:15" x14ac:dyDescent="0.25">
      <c r="O686156" s="9"/>
    </row>
    <row r="686177" spans="15:15" x14ac:dyDescent="0.25">
      <c r="O686177" s="9"/>
    </row>
    <row r="686198" spans="15:15" x14ac:dyDescent="0.25">
      <c r="O686198" s="9"/>
    </row>
    <row r="686219" spans="15:15" x14ac:dyDescent="0.25">
      <c r="O686219" s="9"/>
    </row>
    <row r="686240" spans="15:15" x14ac:dyDescent="0.25">
      <c r="O686240" s="9"/>
    </row>
    <row r="686261" spans="15:15" x14ac:dyDescent="0.25">
      <c r="O686261" s="9"/>
    </row>
    <row r="686282" spans="15:15" x14ac:dyDescent="0.25">
      <c r="O686282" s="9"/>
    </row>
    <row r="686303" spans="15:15" x14ac:dyDescent="0.25">
      <c r="O686303" s="9"/>
    </row>
    <row r="686324" spans="15:15" x14ac:dyDescent="0.25">
      <c r="O686324" s="9"/>
    </row>
    <row r="686345" spans="15:15" x14ac:dyDescent="0.25">
      <c r="O686345" s="9"/>
    </row>
    <row r="686366" spans="15:15" x14ac:dyDescent="0.25">
      <c r="O686366" s="9"/>
    </row>
    <row r="686387" spans="15:15" x14ac:dyDescent="0.25">
      <c r="O686387" s="9"/>
    </row>
    <row r="686408" spans="15:15" x14ac:dyDescent="0.25">
      <c r="O686408" s="9"/>
    </row>
    <row r="686429" spans="15:15" x14ac:dyDescent="0.25">
      <c r="O686429" s="9"/>
    </row>
    <row r="686450" spans="15:15" x14ac:dyDescent="0.25">
      <c r="O686450" s="9"/>
    </row>
    <row r="686471" spans="15:15" x14ac:dyDescent="0.25">
      <c r="O686471" s="9"/>
    </row>
    <row r="686492" spans="15:15" x14ac:dyDescent="0.25">
      <c r="O686492" s="9"/>
    </row>
    <row r="686513" spans="15:15" x14ac:dyDescent="0.25">
      <c r="O686513" s="9"/>
    </row>
    <row r="686534" spans="15:15" x14ac:dyDescent="0.25">
      <c r="O686534" s="9"/>
    </row>
    <row r="686555" spans="15:15" x14ac:dyDescent="0.25">
      <c r="O686555" s="9"/>
    </row>
    <row r="686576" spans="15:15" x14ac:dyDescent="0.25">
      <c r="O686576" s="9"/>
    </row>
    <row r="686597" spans="15:15" x14ac:dyDescent="0.25">
      <c r="O686597" s="9"/>
    </row>
    <row r="686618" spans="15:15" x14ac:dyDescent="0.25">
      <c r="O686618" s="9"/>
    </row>
    <row r="686639" spans="15:15" x14ac:dyDescent="0.25">
      <c r="O686639" s="9"/>
    </row>
    <row r="686660" spans="15:15" x14ac:dyDescent="0.25">
      <c r="O686660" s="9"/>
    </row>
    <row r="686681" spans="15:15" x14ac:dyDescent="0.25">
      <c r="O686681" s="9"/>
    </row>
    <row r="686702" spans="15:15" x14ac:dyDescent="0.25">
      <c r="O686702" s="9"/>
    </row>
    <row r="686723" spans="15:15" x14ac:dyDescent="0.25">
      <c r="O686723" s="9"/>
    </row>
    <row r="686744" spans="15:15" x14ac:dyDescent="0.25">
      <c r="O686744" s="9"/>
    </row>
    <row r="686765" spans="15:15" x14ac:dyDescent="0.25">
      <c r="O686765" s="9"/>
    </row>
    <row r="686786" spans="15:15" x14ac:dyDescent="0.25">
      <c r="O686786" s="9"/>
    </row>
    <row r="686807" spans="15:15" x14ac:dyDescent="0.25">
      <c r="O686807" s="9"/>
    </row>
    <row r="686828" spans="15:15" x14ac:dyDescent="0.25">
      <c r="O686828" s="9"/>
    </row>
    <row r="686849" spans="15:15" x14ac:dyDescent="0.25">
      <c r="O686849" s="9"/>
    </row>
    <row r="686870" spans="15:15" x14ac:dyDescent="0.25">
      <c r="O686870" s="9"/>
    </row>
    <row r="686891" spans="15:15" x14ac:dyDescent="0.25">
      <c r="O686891" s="9"/>
    </row>
    <row r="686912" spans="15:15" x14ac:dyDescent="0.25">
      <c r="O686912" s="9"/>
    </row>
    <row r="686933" spans="15:15" x14ac:dyDescent="0.25">
      <c r="O686933" s="9"/>
    </row>
    <row r="686954" spans="15:15" x14ac:dyDescent="0.25">
      <c r="O686954" s="9"/>
    </row>
    <row r="686975" spans="15:15" x14ac:dyDescent="0.25">
      <c r="O686975" s="9"/>
    </row>
    <row r="686996" spans="15:15" x14ac:dyDescent="0.25">
      <c r="O686996" s="9"/>
    </row>
    <row r="687017" spans="15:15" x14ac:dyDescent="0.25">
      <c r="O687017" s="9"/>
    </row>
    <row r="687038" spans="15:15" x14ac:dyDescent="0.25">
      <c r="O687038" s="9"/>
    </row>
    <row r="687059" spans="15:15" x14ac:dyDescent="0.25">
      <c r="O687059" s="9"/>
    </row>
    <row r="687080" spans="15:15" x14ac:dyDescent="0.25">
      <c r="O687080" s="9"/>
    </row>
    <row r="687101" spans="15:15" x14ac:dyDescent="0.25">
      <c r="O687101" s="9"/>
    </row>
    <row r="687122" spans="15:15" x14ac:dyDescent="0.25">
      <c r="O687122" s="9"/>
    </row>
    <row r="687143" spans="15:15" x14ac:dyDescent="0.25">
      <c r="O687143" s="9"/>
    </row>
    <row r="687164" spans="15:15" x14ac:dyDescent="0.25">
      <c r="O687164" s="9"/>
    </row>
    <row r="687185" spans="15:15" x14ac:dyDescent="0.25">
      <c r="O687185" s="9"/>
    </row>
    <row r="687206" spans="15:15" x14ac:dyDescent="0.25">
      <c r="O687206" s="9"/>
    </row>
    <row r="687227" spans="15:15" x14ac:dyDescent="0.25">
      <c r="O687227" s="9"/>
    </row>
    <row r="687248" spans="15:15" x14ac:dyDescent="0.25">
      <c r="O687248" s="9"/>
    </row>
    <row r="687269" spans="15:15" x14ac:dyDescent="0.25">
      <c r="O687269" s="9"/>
    </row>
    <row r="687290" spans="15:15" x14ac:dyDescent="0.25">
      <c r="O687290" s="9"/>
    </row>
    <row r="687311" spans="15:15" x14ac:dyDescent="0.25">
      <c r="O687311" s="9"/>
    </row>
    <row r="687332" spans="15:15" x14ac:dyDescent="0.25">
      <c r="O687332" s="9"/>
    </row>
    <row r="687353" spans="15:15" x14ac:dyDescent="0.25">
      <c r="O687353" s="9"/>
    </row>
    <row r="687374" spans="15:15" x14ac:dyDescent="0.25">
      <c r="O687374" s="9"/>
    </row>
    <row r="687395" spans="15:15" x14ac:dyDescent="0.25">
      <c r="O687395" s="9"/>
    </row>
    <row r="687416" spans="15:15" x14ac:dyDescent="0.25">
      <c r="O687416" s="9"/>
    </row>
    <row r="687437" spans="15:15" x14ac:dyDescent="0.25">
      <c r="O687437" s="9"/>
    </row>
    <row r="687458" spans="15:15" x14ac:dyDescent="0.25">
      <c r="O687458" s="9"/>
    </row>
    <row r="687479" spans="15:15" x14ac:dyDescent="0.25">
      <c r="O687479" s="9"/>
    </row>
    <row r="687500" spans="15:15" x14ac:dyDescent="0.25">
      <c r="O687500" s="9"/>
    </row>
    <row r="687521" spans="15:15" x14ac:dyDescent="0.25">
      <c r="O687521" s="9"/>
    </row>
    <row r="687542" spans="15:15" x14ac:dyDescent="0.25">
      <c r="O687542" s="9"/>
    </row>
    <row r="687563" spans="15:15" x14ac:dyDescent="0.25">
      <c r="O687563" s="9"/>
    </row>
    <row r="687584" spans="15:15" x14ac:dyDescent="0.25">
      <c r="O687584" s="9"/>
    </row>
    <row r="687605" spans="15:15" x14ac:dyDescent="0.25">
      <c r="O687605" s="9"/>
    </row>
    <row r="687626" spans="15:15" x14ac:dyDescent="0.25">
      <c r="O687626" s="9"/>
    </row>
    <row r="687647" spans="15:15" x14ac:dyDescent="0.25">
      <c r="O687647" s="9"/>
    </row>
    <row r="687668" spans="15:15" x14ac:dyDescent="0.25">
      <c r="O687668" s="9"/>
    </row>
    <row r="687689" spans="15:15" x14ac:dyDescent="0.25">
      <c r="O687689" s="9"/>
    </row>
    <row r="687710" spans="15:15" x14ac:dyDescent="0.25">
      <c r="O687710" s="9"/>
    </row>
    <row r="687731" spans="15:15" x14ac:dyDescent="0.25">
      <c r="O687731" s="9"/>
    </row>
    <row r="687752" spans="15:15" x14ac:dyDescent="0.25">
      <c r="O687752" s="9"/>
    </row>
    <row r="687773" spans="15:15" x14ac:dyDescent="0.25">
      <c r="O687773" s="9"/>
    </row>
    <row r="687794" spans="15:15" x14ac:dyDescent="0.25">
      <c r="O687794" s="9"/>
    </row>
    <row r="687815" spans="15:15" x14ac:dyDescent="0.25">
      <c r="O687815" s="9"/>
    </row>
    <row r="687836" spans="15:15" x14ac:dyDescent="0.25">
      <c r="O687836" s="9"/>
    </row>
    <row r="687857" spans="15:15" x14ac:dyDescent="0.25">
      <c r="O687857" s="9"/>
    </row>
    <row r="687878" spans="15:15" x14ac:dyDescent="0.25">
      <c r="O687878" s="9"/>
    </row>
    <row r="687899" spans="15:15" x14ac:dyDescent="0.25">
      <c r="O687899" s="9"/>
    </row>
    <row r="687920" spans="15:15" x14ac:dyDescent="0.25">
      <c r="O687920" s="9"/>
    </row>
    <row r="687941" spans="15:15" x14ac:dyDescent="0.25">
      <c r="O687941" s="9"/>
    </row>
    <row r="687962" spans="15:15" x14ac:dyDescent="0.25">
      <c r="O687962" s="9"/>
    </row>
    <row r="687983" spans="15:15" x14ac:dyDescent="0.25">
      <c r="O687983" s="9"/>
    </row>
    <row r="688004" spans="15:15" x14ac:dyDescent="0.25">
      <c r="O688004" s="9"/>
    </row>
    <row r="688025" spans="15:15" x14ac:dyDescent="0.25">
      <c r="O688025" s="9"/>
    </row>
    <row r="688046" spans="15:15" x14ac:dyDescent="0.25">
      <c r="O688046" s="9"/>
    </row>
    <row r="688067" spans="15:15" x14ac:dyDescent="0.25">
      <c r="O688067" s="9"/>
    </row>
    <row r="688088" spans="15:15" x14ac:dyDescent="0.25">
      <c r="O688088" s="9"/>
    </row>
    <row r="688109" spans="15:15" x14ac:dyDescent="0.25">
      <c r="O688109" s="9"/>
    </row>
    <row r="688130" spans="15:15" x14ac:dyDescent="0.25">
      <c r="O688130" s="9"/>
    </row>
    <row r="688151" spans="15:15" x14ac:dyDescent="0.25">
      <c r="O688151" s="9"/>
    </row>
    <row r="688172" spans="15:15" x14ac:dyDescent="0.25">
      <c r="O688172" s="9"/>
    </row>
    <row r="688193" spans="15:15" x14ac:dyDescent="0.25">
      <c r="O688193" s="9"/>
    </row>
    <row r="688214" spans="15:15" x14ac:dyDescent="0.25">
      <c r="O688214" s="9"/>
    </row>
    <row r="688235" spans="15:15" x14ac:dyDescent="0.25">
      <c r="O688235" s="9"/>
    </row>
    <row r="688256" spans="15:15" x14ac:dyDescent="0.25">
      <c r="O688256" s="9"/>
    </row>
    <row r="688277" spans="15:15" x14ac:dyDescent="0.25">
      <c r="O688277" s="9"/>
    </row>
    <row r="688298" spans="15:15" x14ac:dyDescent="0.25">
      <c r="O688298" s="9"/>
    </row>
    <row r="688319" spans="15:15" x14ac:dyDescent="0.25">
      <c r="O688319" s="9"/>
    </row>
    <row r="688340" spans="15:15" x14ac:dyDescent="0.25">
      <c r="O688340" s="9"/>
    </row>
    <row r="688361" spans="15:15" x14ac:dyDescent="0.25">
      <c r="O688361" s="9"/>
    </row>
    <row r="688382" spans="15:15" x14ac:dyDescent="0.25">
      <c r="O688382" s="9"/>
    </row>
    <row r="688403" spans="15:15" x14ac:dyDescent="0.25">
      <c r="O688403" s="9"/>
    </row>
    <row r="688424" spans="15:15" x14ac:dyDescent="0.25">
      <c r="O688424" s="9"/>
    </row>
    <row r="688445" spans="15:15" x14ac:dyDescent="0.25">
      <c r="O688445" s="9"/>
    </row>
    <row r="688466" spans="15:15" x14ac:dyDescent="0.25">
      <c r="O688466" s="9"/>
    </row>
    <row r="688487" spans="15:15" x14ac:dyDescent="0.25">
      <c r="O688487" s="9"/>
    </row>
    <row r="688508" spans="15:15" x14ac:dyDescent="0.25">
      <c r="O688508" s="9"/>
    </row>
    <row r="688529" spans="15:15" x14ac:dyDescent="0.25">
      <c r="O688529" s="9"/>
    </row>
    <row r="688550" spans="15:15" x14ac:dyDescent="0.25">
      <c r="O688550" s="9"/>
    </row>
    <row r="688571" spans="15:15" x14ac:dyDescent="0.25">
      <c r="O688571" s="9"/>
    </row>
    <row r="688592" spans="15:15" x14ac:dyDescent="0.25">
      <c r="O688592" s="9"/>
    </row>
    <row r="688613" spans="15:15" x14ac:dyDescent="0.25">
      <c r="O688613" s="9"/>
    </row>
    <row r="688634" spans="15:15" x14ac:dyDescent="0.25">
      <c r="O688634" s="9"/>
    </row>
    <row r="688655" spans="15:15" x14ac:dyDescent="0.25">
      <c r="O688655" s="9"/>
    </row>
    <row r="688676" spans="15:15" x14ac:dyDescent="0.25">
      <c r="O688676" s="9"/>
    </row>
    <row r="688697" spans="15:15" x14ac:dyDescent="0.25">
      <c r="O688697" s="9"/>
    </row>
    <row r="688718" spans="15:15" x14ac:dyDescent="0.25">
      <c r="O688718" s="9"/>
    </row>
    <row r="688739" spans="15:15" x14ac:dyDescent="0.25">
      <c r="O688739" s="9"/>
    </row>
    <row r="688760" spans="15:15" x14ac:dyDescent="0.25">
      <c r="O688760" s="9"/>
    </row>
    <row r="688781" spans="15:15" x14ac:dyDescent="0.25">
      <c r="O688781" s="9"/>
    </row>
    <row r="688802" spans="15:15" x14ac:dyDescent="0.25">
      <c r="O688802" s="9"/>
    </row>
    <row r="688823" spans="15:15" x14ac:dyDescent="0.25">
      <c r="O688823" s="9"/>
    </row>
    <row r="688844" spans="15:15" x14ac:dyDescent="0.25">
      <c r="O688844" s="9"/>
    </row>
    <row r="688865" spans="15:15" x14ac:dyDescent="0.25">
      <c r="O688865" s="9"/>
    </row>
    <row r="688886" spans="15:15" x14ac:dyDescent="0.25">
      <c r="O688886" s="9"/>
    </row>
    <row r="688907" spans="15:15" x14ac:dyDescent="0.25">
      <c r="O688907" s="9"/>
    </row>
    <row r="688928" spans="15:15" x14ac:dyDescent="0.25">
      <c r="O688928" s="9"/>
    </row>
    <row r="688949" spans="15:15" x14ac:dyDescent="0.25">
      <c r="O688949" s="9"/>
    </row>
    <row r="688970" spans="15:15" x14ac:dyDescent="0.25">
      <c r="O688970" s="9"/>
    </row>
    <row r="688991" spans="15:15" x14ac:dyDescent="0.25">
      <c r="O688991" s="9"/>
    </row>
    <row r="689012" spans="15:15" x14ac:dyDescent="0.25">
      <c r="O689012" s="9"/>
    </row>
    <row r="689033" spans="15:15" x14ac:dyDescent="0.25">
      <c r="O689033" s="9"/>
    </row>
    <row r="689054" spans="15:15" x14ac:dyDescent="0.25">
      <c r="O689054" s="9"/>
    </row>
    <row r="689075" spans="15:15" x14ac:dyDescent="0.25">
      <c r="O689075" s="9"/>
    </row>
    <row r="689096" spans="15:15" x14ac:dyDescent="0.25">
      <c r="O689096" s="9"/>
    </row>
    <row r="689117" spans="15:15" x14ac:dyDescent="0.25">
      <c r="O689117" s="9"/>
    </row>
    <row r="689138" spans="15:15" x14ac:dyDescent="0.25">
      <c r="O689138" s="9"/>
    </row>
    <row r="689159" spans="15:15" x14ac:dyDescent="0.25">
      <c r="O689159" s="9"/>
    </row>
    <row r="689180" spans="15:15" x14ac:dyDescent="0.25">
      <c r="O689180" s="9"/>
    </row>
    <row r="689201" spans="15:15" x14ac:dyDescent="0.25">
      <c r="O689201" s="9"/>
    </row>
    <row r="689222" spans="15:15" x14ac:dyDescent="0.25">
      <c r="O689222" s="9"/>
    </row>
    <row r="689243" spans="15:15" x14ac:dyDescent="0.25">
      <c r="O689243" s="9"/>
    </row>
    <row r="689264" spans="15:15" x14ac:dyDescent="0.25">
      <c r="O689264" s="9"/>
    </row>
    <row r="689285" spans="15:15" x14ac:dyDescent="0.25">
      <c r="O689285" s="9"/>
    </row>
    <row r="689306" spans="15:15" x14ac:dyDescent="0.25">
      <c r="O689306" s="9"/>
    </row>
    <row r="689327" spans="15:15" x14ac:dyDescent="0.25">
      <c r="O689327" s="9"/>
    </row>
    <row r="689348" spans="15:15" x14ac:dyDescent="0.25">
      <c r="O689348" s="9"/>
    </row>
    <row r="689369" spans="15:15" x14ac:dyDescent="0.25">
      <c r="O689369" s="9"/>
    </row>
    <row r="689390" spans="15:15" x14ac:dyDescent="0.25">
      <c r="O689390" s="9"/>
    </row>
    <row r="689411" spans="15:15" x14ac:dyDescent="0.25">
      <c r="O689411" s="9"/>
    </row>
    <row r="689432" spans="15:15" x14ac:dyDescent="0.25">
      <c r="O689432" s="9"/>
    </row>
    <row r="689453" spans="15:15" x14ac:dyDescent="0.25">
      <c r="O689453" s="9"/>
    </row>
    <row r="689474" spans="15:15" x14ac:dyDescent="0.25">
      <c r="O689474" s="9"/>
    </row>
    <row r="689495" spans="15:15" x14ac:dyDescent="0.25">
      <c r="O689495" s="9"/>
    </row>
    <row r="689516" spans="15:15" x14ac:dyDescent="0.25">
      <c r="O689516" s="9"/>
    </row>
    <row r="689537" spans="15:15" x14ac:dyDescent="0.25">
      <c r="O689537" s="9"/>
    </row>
    <row r="689558" spans="15:15" x14ac:dyDescent="0.25">
      <c r="O689558" s="9"/>
    </row>
    <row r="689579" spans="15:15" x14ac:dyDescent="0.25">
      <c r="O689579" s="9"/>
    </row>
    <row r="689600" spans="15:15" x14ac:dyDescent="0.25">
      <c r="O689600" s="9"/>
    </row>
    <row r="689621" spans="15:15" x14ac:dyDescent="0.25">
      <c r="O689621" s="9"/>
    </row>
    <row r="689642" spans="15:15" x14ac:dyDescent="0.25">
      <c r="O689642" s="9"/>
    </row>
    <row r="689663" spans="15:15" x14ac:dyDescent="0.25">
      <c r="O689663" s="9"/>
    </row>
    <row r="689684" spans="15:15" x14ac:dyDescent="0.25">
      <c r="O689684" s="9"/>
    </row>
    <row r="689705" spans="15:15" x14ac:dyDescent="0.25">
      <c r="O689705" s="9"/>
    </row>
    <row r="689726" spans="15:15" x14ac:dyDescent="0.25">
      <c r="O689726" s="9"/>
    </row>
    <row r="689747" spans="15:15" x14ac:dyDescent="0.25">
      <c r="O689747" s="9"/>
    </row>
    <row r="689768" spans="15:15" x14ac:dyDescent="0.25">
      <c r="O689768" s="9"/>
    </row>
    <row r="689789" spans="15:15" x14ac:dyDescent="0.25">
      <c r="O689789" s="9"/>
    </row>
    <row r="689810" spans="15:15" x14ac:dyDescent="0.25">
      <c r="O689810" s="9"/>
    </row>
    <row r="689831" spans="15:15" x14ac:dyDescent="0.25">
      <c r="O689831" s="9"/>
    </row>
    <row r="689852" spans="15:15" x14ac:dyDescent="0.25">
      <c r="O689852" s="9"/>
    </row>
    <row r="689873" spans="15:15" x14ac:dyDescent="0.25">
      <c r="O689873" s="9"/>
    </row>
    <row r="689894" spans="15:15" x14ac:dyDescent="0.25">
      <c r="O689894" s="9"/>
    </row>
    <row r="689915" spans="15:15" x14ac:dyDescent="0.25">
      <c r="O689915" s="9"/>
    </row>
    <row r="689936" spans="15:15" x14ac:dyDescent="0.25">
      <c r="O689936" s="9"/>
    </row>
    <row r="689957" spans="15:15" x14ac:dyDescent="0.25">
      <c r="O689957" s="9"/>
    </row>
    <row r="689978" spans="15:15" x14ac:dyDescent="0.25">
      <c r="O689978" s="9"/>
    </row>
    <row r="689999" spans="15:15" x14ac:dyDescent="0.25">
      <c r="O689999" s="9"/>
    </row>
    <row r="690020" spans="15:15" x14ac:dyDescent="0.25">
      <c r="O690020" s="9"/>
    </row>
    <row r="690041" spans="15:15" x14ac:dyDescent="0.25">
      <c r="O690041" s="9"/>
    </row>
    <row r="690062" spans="15:15" x14ac:dyDescent="0.25">
      <c r="O690062" s="9"/>
    </row>
    <row r="690083" spans="15:15" x14ac:dyDescent="0.25">
      <c r="O690083" s="9"/>
    </row>
    <row r="690104" spans="15:15" x14ac:dyDescent="0.25">
      <c r="O690104" s="9"/>
    </row>
    <row r="690125" spans="15:15" x14ac:dyDescent="0.25">
      <c r="O690125" s="9"/>
    </row>
    <row r="690146" spans="15:15" x14ac:dyDescent="0.25">
      <c r="O690146" s="9"/>
    </row>
    <row r="690167" spans="15:15" x14ac:dyDescent="0.25">
      <c r="O690167" s="9"/>
    </row>
    <row r="690188" spans="15:15" x14ac:dyDescent="0.25">
      <c r="O690188" s="9"/>
    </row>
    <row r="690209" spans="15:15" x14ac:dyDescent="0.25">
      <c r="O690209" s="9"/>
    </row>
    <row r="690230" spans="15:15" x14ac:dyDescent="0.25">
      <c r="O690230" s="9"/>
    </row>
    <row r="690251" spans="15:15" x14ac:dyDescent="0.25">
      <c r="O690251" s="9"/>
    </row>
    <row r="690272" spans="15:15" x14ac:dyDescent="0.25">
      <c r="O690272" s="9"/>
    </row>
    <row r="690293" spans="15:15" x14ac:dyDescent="0.25">
      <c r="O690293" s="9"/>
    </row>
    <row r="690314" spans="15:15" x14ac:dyDescent="0.25">
      <c r="O690314" s="9"/>
    </row>
    <row r="690335" spans="15:15" x14ac:dyDescent="0.25">
      <c r="O690335" s="9"/>
    </row>
    <row r="690356" spans="15:15" x14ac:dyDescent="0.25">
      <c r="O690356" s="9"/>
    </row>
    <row r="690377" spans="15:15" x14ac:dyDescent="0.25">
      <c r="O690377" s="9"/>
    </row>
    <row r="690398" spans="15:15" x14ac:dyDescent="0.25">
      <c r="O690398" s="9"/>
    </row>
    <row r="690419" spans="15:15" x14ac:dyDescent="0.25">
      <c r="O690419" s="9"/>
    </row>
    <row r="690440" spans="15:15" x14ac:dyDescent="0.25">
      <c r="O690440" s="9"/>
    </row>
    <row r="690461" spans="15:15" x14ac:dyDescent="0.25">
      <c r="O690461" s="9"/>
    </row>
    <row r="690482" spans="15:15" x14ac:dyDescent="0.25">
      <c r="O690482" s="9"/>
    </row>
    <row r="690503" spans="15:15" x14ac:dyDescent="0.25">
      <c r="O690503" s="9"/>
    </row>
    <row r="690524" spans="15:15" x14ac:dyDescent="0.25">
      <c r="O690524" s="9"/>
    </row>
    <row r="690545" spans="15:15" x14ac:dyDescent="0.25">
      <c r="O690545" s="9"/>
    </row>
    <row r="690566" spans="15:15" x14ac:dyDescent="0.25">
      <c r="O690566" s="9"/>
    </row>
    <row r="690587" spans="15:15" x14ac:dyDescent="0.25">
      <c r="O690587" s="9"/>
    </row>
    <row r="690608" spans="15:15" x14ac:dyDescent="0.25">
      <c r="O690608" s="9"/>
    </row>
    <row r="690629" spans="15:15" x14ac:dyDescent="0.25">
      <c r="O690629" s="9"/>
    </row>
    <row r="690650" spans="15:15" x14ac:dyDescent="0.25">
      <c r="O690650" s="9"/>
    </row>
    <row r="690671" spans="15:15" x14ac:dyDescent="0.25">
      <c r="O690671" s="9"/>
    </row>
    <row r="690692" spans="15:15" x14ac:dyDescent="0.25">
      <c r="O690692" s="9"/>
    </row>
    <row r="690713" spans="15:15" x14ac:dyDescent="0.25">
      <c r="O690713" s="9"/>
    </row>
    <row r="690734" spans="15:15" x14ac:dyDescent="0.25">
      <c r="O690734" s="9"/>
    </row>
    <row r="690755" spans="15:15" x14ac:dyDescent="0.25">
      <c r="O690755" s="9"/>
    </row>
    <row r="690776" spans="15:15" x14ac:dyDescent="0.25">
      <c r="O690776" s="9"/>
    </row>
    <row r="690797" spans="15:15" x14ac:dyDescent="0.25">
      <c r="O690797" s="9"/>
    </row>
    <row r="690818" spans="15:15" x14ac:dyDescent="0.25">
      <c r="O690818" s="9"/>
    </row>
    <row r="690839" spans="15:15" x14ac:dyDescent="0.25">
      <c r="O690839" s="9"/>
    </row>
    <row r="690860" spans="15:15" x14ac:dyDescent="0.25">
      <c r="O690860" s="9"/>
    </row>
    <row r="690881" spans="15:15" x14ac:dyDescent="0.25">
      <c r="O690881" s="9"/>
    </row>
    <row r="690902" spans="15:15" x14ac:dyDescent="0.25">
      <c r="O690902" s="9"/>
    </row>
    <row r="690923" spans="15:15" x14ac:dyDescent="0.25">
      <c r="O690923" s="9"/>
    </row>
    <row r="690944" spans="15:15" x14ac:dyDescent="0.25">
      <c r="O690944" s="9"/>
    </row>
    <row r="690965" spans="15:15" x14ac:dyDescent="0.25">
      <c r="O690965" s="9"/>
    </row>
    <row r="690986" spans="15:15" x14ac:dyDescent="0.25">
      <c r="O690986" s="9"/>
    </row>
    <row r="691007" spans="15:15" x14ac:dyDescent="0.25">
      <c r="O691007" s="9"/>
    </row>
    <row r="691028" spans="15:15" x14ac:dyDescent="0.25">
      <c r="O691028" s="9"/>
    </row>
    <row r="691049" spans="15:15" x14ac:dyDescent="0.25">
      <c r="O691049" s="9"/>
    </row>
    <row r="691070" spans="15:15" x14ac:dyDescent="0.25">
      <c r="O691070" s="9"/>
    </row>
    <row r="691091" spans="15:15" x14ac:dyDescent="0.25">
      <c r="O691091" s="9"/>
    </row>
    <row r="691112" spans="15:15" x14ac:dyDescent="0.25">
      <c r="O691112" s="9"/>
    </row>
    <row r="691133" spans="15:15" x14ac:dyDescent="0.25">
      <c r="O691133" s="9"/>
    </row>
    <row r="691154" spans="15:15" x14ac:dyDescent="0.25">
      <c r="O691154" s="9"/>
    </row>
    <row r="691175" spans="15:15" x14ac:dyDescent="0.25">
      <c r="O691175" s="9"/>
    </row>
    <row r="691196" spans="15:15" x14ac:dyDescent="0.25">
      <c r="O691196" s="9"/>
    </row>
    <row r="691217" spans="15:15" x14ac:dyDescent="0.25">
      <c r="O691217" s="9"/>
    </row>
    <row r="691238" spans="15:15" x14ac:dyDescent="0.25">
      <c r="O691238" s="9"/>
    </row>
    <row r="691259" spans="15:15" x14ac:dyDescent="0.25">
      <c r="O691259" s="9"/>
    </row>
    <row r="691280" spans="15:15" x14ac:dyDescent="0.25">
      <c r="O691280" s="9"/>
    </row>
    <row r="691301" spans="15:15" x14ac:dyDescent="0.25">
      <c r="O691301" s="9"/>
    </row>
    <row r="691322" spans="15:15" x14ac:dyDescent="0.25">
      <c r="O691322" s="9"/>
    </row>
    <row r="691343" spans="15:15" x14ac:dyDescent="0.25">
      <c r="O691343" s="9"/>
    </row>
    <row r="691364" spans="15:15" x14ac:dyDescent="0.25">
      <c r="O691364" s="9"/>
    </row>
    <row r="691385" spans="15:15" x14ac:dyDescent="0.25">
      <c r="O691385" s="9"/>
    </row>
    <row r="691406" spans="15:15" x14ac:dyDescent="0.25">
      <c r="O691406" s="9"/>
    </row>
    <row r="691427" spans="15:15" x14ac:dyDescent="0.25">
      <c r="O691427" s="9"/>
    </row>
    <row r="691448" spans="15:15" x14ac:dyDescent="0.25">
      <c r="O691448" s="9"/>
    </row>
    <row r="691469" spans="15:15" x14ac:dyDescent="0.25">
      <c r="O691469" s="9"/>
    </row>
    <row r="691490" spans="15:15" x14ac:dyDescent="0.25">
      <c r="O691490" s="9"/>
    </row>
    <row r="691511" spans="15:15" x14ac:dyDescent="0.25">
      <c r="O691511" s="9"/>
    </row>
    <row r="691532" spans="15:15" x14ac:dyDescent="0.25">
      <c r="O691532" s="9"/>
    </row>
    <row r="691553" spans="15:15" x14ac:dyDescent="0.25">
      <c r="O691553" s="9"/>
    </row>
    <row r="691574" spans="15:15" x14ac:dyDescent="0.25">
      <c r="O691574" s="9"/>
    </row>
    <row r="691595" spans="15:15" x14ac:dyDescent="0.25">
      <c r="O691595" s="9"/>
    </row>
    <row r="691616" spans="15:15" x14ac:dyDescent="0.25">
      <c r="O691616" s="9"/>
    </row>
    <row r="691637" spans="15:15" x14ac:dyDescent="0.25">
      <c r="O691637" s="9"/>
    </row>
    <row r="691658" spans="15:15" x14ac:dyDescent="0.25">
      <c r="O691658" s="9"/>
    </row>
    <row r="691679" spans="15:15" x14ac:dyDescent="0.25">
      <c r="O691679" s="9"/>
    </row>
    <row r="691700" spans="15:15" x14ac:dyDescent="0.25">
      <c r="O691700" s="9"/>
    </row>
    <row r="691721" spans="15:15" x14ac:dyDescent="0.25">
      <c r="O691721" s="9"/>
    </row>
    <row r="691742" spans="15:15" x14ac:dyDescent="0.25">
      <c r="O691742" s="9"/>
    </row>
    <row r="691763" spans="15:15" x14ac:dyDescent="0.25">
      <c r="O691763" s="9"/>
    </row>
    <row r="691784" spans="15:15" x14ac:dyDescent="0.25">
      <c r="O691784" s="9"/>
    </row>
    <row r="691805" spans="15:15" x14ac:dyDescent="0.25">
      <c r="O691805" s="9"/>
    </row>
    <row r="691826" spans="15:15" x14ac:dyDescent="0.25">
      <c r="O691826" s="9"/>
    </row>
    <row r="691847" spans="15:15" x14ac:dyDescent="0.25">
      <c r="O691847" s="9"/>
    </row>
    <row r="691868" spans="15:15" x14ac:dyDescent="0.25">
      <c r="O691868" s="9"/>
    </row>
    <row r="691889" spans="15:15" x14ac:dyDescent="0.25">
      <c r="O691889" s="9"/>
    </row>
    <row r="691910" spans="15:15" x14ac:dyDescent="0.25">
      <c r="O691910" s="9"/>
    </row>
    <row r="691931" spans="15:15" x14ac:dyDescent="0.25">
      <c r="O691931" s="9"/>
    </row>
    <row r="691952" spans="15:15" x14ac:dyDescent="0.25">
      <c r="O691952" s="9"/>
    </row>
    <row r="691973" spans="15:15" x14ac:dyDescent="0.25">
      <c r="O691973" s="9"/>
    </row>
    <row r="691994" spans="15:15" x14ac:dyDescent="0.25">
      <c r="O691994" s="9"/>
    </row>
    <row r="692015" spans="15:15" x14ac:dyDescent="0.25">
      <c r="O692015" s="9"/>
    </row>
    <row r="692036" spans="15:15" x14ac:dyDescent="0.25">
      <c r="O692036" s="9"/>
    </row>
    <row r="692057" spans="15:15" x14ac:dyDescent="0.25">
      <c r="O692057" s="9"/>
    </row>
    <row r="692078" spans="15:15" x14ac:dyDescent="0.25">
      <c r="O692078" s="9"/>
    </row>
    <row r="692099" spans="15:15" x14ac:dyDescent="0.25">
      <c r="O692099" s="9"/>
    </row>
    <row r="692120" spans="15:15" x14ac:dyDescent="0.25">
      <c r="O692120" s="9"/>
    </row>
    <row r="692141" spans="15:15" x14ac:dyDescent="0.25">
      <c r="O692141" s="9"/>
    </row>
    <row r="692162" spans="15:15" x14ac:dyDescent="0.25">
      <c r="O692162" s="9"/>
    </row>
    <row r="692183" spans="15:15" x14ac:dyDescent="0.25">
      <c r="O692183" s="9"/>
    </row>
    <row r="692204" spans="15:15" x14ac:dyDescent="0.25">
      <c r="O692204" s="9"/>
    </row>
    <row r="692225" spans="15:15" x14ac:dyDescent="0.25">
      <c r="O692225" s="9"/>
    </row>
    <row r="692246" spans="15:15" x14ac:dyDescent="0.25">
      <c r="O692246" s="9"/>
    </row>
    <row r="692267" spans="15:15" x14ac:dyDescent="0.25">
      <c r="O692267" s="9"/>
    </row>
    <row r="692288" spans="15:15" x14ac:dyDescent="0.25">
      <c r="O692288" s="9"/>
    </row>
    <row r="692309" spans="15:15" x14ac:dyDescent="0.25">
      <c r="O692309" s="9"/>
    </row>
    <row r="692330" spans="15:15" x14ac:dyDescent="0.25">
      <c r="O692330" s="9"/>
    </row>
    <row r="692351" spans="15:15" x14ac:dyDescent="0.25">
      <c r="O692351" s="9"/>
    </row>
    <row r="692372" spans="15:15" x14ac:dyDescent="0.25">
      <c r="O692372" s="9"/>
    </row>
    <row r="692393" spans="15:15" x14ac:dyDescent="0.25">
      <c r="O692393" s="9"/>
    </row>
    <row r="692414" spans="15:15" x14ac:dyDescent="0.25">
      <c r="O692414" s="9"/>
    </row>
    <row r="692435" spans="15:15" x14ac:dyDescent="0.25">
      <c r="O692435" s="9"/>
    </row>
    <row r="692456" spans="15:15" x14ac:dyDescent="0.25">
      <c r="O692456" s="9"/>
    </row>
    <row r="692477" spans="15:15" x14ac:dyDescent="0.25">
      <c r="O692477" s="9"/>
    </row>
    <row r="692498" spans="15:15" x14ac:dyDescent="0.25">
      <c r="O692498" s="9"/>
    </row>
    <row r="692519" spans="15:15" x14ac:dyDescent="0.25">
      <c r="O692519" s="9"/>
    </row>
    <row r="692540" spans="15:15" x14ac:dyDescent="0.25">
      <c r="O692540" s="9"/>
    </row>
    <row r="692561" spans="15:15" x14ac:dyDescent="0.25">
      <c r="O692561" s="9"/>
    </row>
    <row r="692582" spans="15:15" x14ac:dyDescent="0.25">
      <c r="O692582" s="9"/>
    </row>
    <row r="692603" spans="15:15" x14ac:dyDescent="0.25">
      <c r="O692603" s="9"/>
    </row>
    <row r="692624" spans="15:15" x14ac:dyDescent="0.25">
      <c r="O692624" s="9"/>
    </row>
    <row r="692645" spans="15:15" x14ac:dyDescent="0.25">
      <c r="O692645" s="9"/>
    </row>
    <row r="692666" spans="15:15" x14ac:dyDescent="0.25">
      <c r="O692666" s="9"/>
    </row>
    <row r="692687" spans="15:15" x14ac:dyDescent="0.25">
      <c r="O692687" s="9"/>
    </row>
    <row r="692708" spans="15:15" x14ac:dyDescent="0.25">
      <c r="O692708" s="9"/>
    </row>
    <row r="692729" spans="15:15" x14ac:dyDescent="0.25">
      <c r="O692729" s="9"/>
    </row>
    <row r="692750" spans="15:15" x14ac:dyDescent="0.25">
      <c r="O692750" s="9"/>
    </row>
    <row r="692771" spans="15:15" x14ac:dyDescent="0.25">
      <c r="O692771" s="9"/>
    </row>
    <row r="692792" spans="15:15" x14ac:dyDescent="0.25">
      <c r="O692792" s="9"/>
    </row>
    <row r="692813" spans="15:15" x14ac:dyDescent="0.25">
      <c r="O692813" s="9"/>
    </row>
    <row r="692834" spans="15:15" x14ac:dyDescent="0.25">
      <c r="O692834" s="9"/>
    </row>
    <row r="692855" spans="15:15" x14ac:dyDescent="0.25">
      <c r="O692855" s="9"/>
    </row>
    <row r="692876" spans="15:15" x14ac:dyDescent="0.25">
      <c r="O692876" s="9"/>
    </row>
    <row r="692897" spans="15:15" x14ac:dyDescent="0.25">
      <c r="O692897" s="9"/>
    </row>
    <row r="692918" spans="15:15" x14ac:dyDescent="0.25">
      <c r="O692918" s="9"/>
    </row>
    <row r="692939" spans="15:15" x14ac:dyDescent="0.25">
      <c r="O692939" s="9"/>
    </row>
    <row r="692960" spans="15:15" x14ac:dyDescent="0.25">
      <c r="O692960" s="9"/>
    </row>
    <row r="692981" spans="15:15" x14ac:dyDescent="0.25">
      <c r="O692981" s="9"/>
    </row>
    <row r="693002" spans="15:15" x14ac:dyDescent="0.25">
      <c r="O693002" s="9"/>
    </row>
    <row r="693023" spans="15:15" x14ac:dyDescent="0.25">
      <c r="O693023" s="9"/>
    </row>
    <row r="693044" spans="15:15" x14ac:dyDescent="0.25">
      <c r="O693044" s="9"/>
    </row>
    <row r="693065" spans="15:15" x14ac:dyDescent="0.25">
      <c r="O693065" s="9"/>
    </row>
    <row r="693086" spans="15:15" x14ac:dyDescent="0.25">
      <c r="O693086" s="9"/>
    </row>
    <row r="693107" spans="15:15" x14ac:dyDescent="0.25">
      <c r="O693107" s="9"/>
    </row>
    <row r="693128" spans="15:15" x14ac:dyDescent="0.25">
      <c r="O693128" s="9"/>
    </row>
    <row r="693149" spans="15:15" x14ac:dyDescent="0.25">
      <c r="O693149" s="9"/>
    </row>
    <row r="693170" spans="15:15" x14ac:dyDescent="0.25">
      <c r="O693170" s="9"/>
    </row>
    <row r="693191" spans="15:15" x14ac:dyDescent="0.25">
      <c r="O693191" s="9"/>
    </row>
    <row r="693212" spans="15:15" x14ac:dyDescent="0.25">
      <c r="O693212" s="9"/>
    </row>
    <row r="693233" spans="15:15" x14ac:dyDescent="0.25">
      <c r="O693233" s="9"/>
    </row>
    <row r="693254" spans="15:15" x14ac:dyDescent="0.25">
      <c r="O693254" s="9"/>
    </row>
    <row r="693275" spans="15:15" x14ac:dyDescent="0.25">
      <c r="O693275" s="9"/>
    </row>
    <row r="693296" spans="15:15" x14ac:dyDescent="0.25">
      <c r="O693296" s="9"/>
    </row>
    <row r="693317" spans="15:15" x14ac:dyDescent="0.25">
      <c r="O693317" s="9"/>
    </row>
    <row r="693338" spans="15:15" x14ac:dyDescent="0.25">
      <c r="O693338" s="9"/>
    </row>
    <row r="693359" spans="15:15" x14ac:dyDescent="0.25">
      <c r="O693359" s="9"/>
    </row>
    <row r="693380" spans="15:15" x14ac:dyDescent="0.25">
      <c r="O693380" s="9"/>
    </row>
    <row r="693401" spans="15:15" x14ac:dyDescent="0.25">
      <c r="O693401" s="9"/>
    </row>
    <row r="693422" spans="15:15" x14ac:dyDescent="0.25">
      <c r="O693422" s="9"/>
    </row>
    <row r="693443" spans="15:15" x14ac:dyDescent="0.25">
      <c r="O693443" s="9"/>
    </row>
    <row r="693464" spans="15:15" x14ac:dyDescent="0.25">
      <c r="O693464" s="9"/>
    </row>
    <row r="693485" spans="15:15" x14ac:dyDescent="0.25">
      <c r="O693485" s="9"/>
    </row>
    <row r="693506" spans="15:15" x14ac:dyDescent="0.25">
      <c r="O693506" s="9"/>
    </row>
    <row r="693527" spans="15:15" x14ac:dyDescent="0.25">
      <c r="O693527" s="9"/>
    </row>
    <row r="693548" spans="15:15" x14ac:dyDescent="0.25">
      <c r="O693548" s="9"/>
    </row>
    <row r="693569" spans="15:15" x14ac:dyDescent="0.25">
      <c r="O693569" s="9"/>
    </row>
    <row r="693590" spans="15:15" x14ac:dyDescent="0.25">
      <c r="O693590" s="9"/>
    </row>
    <row r="693611" spans="15:15" x14ac:dyDescent="0.25">
      <c r="O693611" s="9"/>
    </row>
    <row r="693632" spans="15:15" x14ac:dyDescent="0.25">
      <c r="O693632" s="9"/>
    </row>
    <row r="693653" spans="15:15" x14ac:dyDescent="0.25">
      <c r="O693653" s="9"/>
    </row>
    <row r="693674" spans="15:15" x14ac:dyDescent="0.25">
      <c r="O693674" s="9"/>
    </row>
    <row r="693695" spans="15:15" x14ac:dyDescent="0.25">
      <c r="O693695" s="9"/>
    </row>
    <row r="693716" spans="15:15" x14ac:dyDescent="0.25">
      <c r="O693716" s="9"/>
    </row>
    <row r="693737" spans="15:15" x14ac:dyDescent="0.25">
      <c r="O693737" s="9"/>
    </row>
    <row r="693758" spans="15:15" x14ac:dyDescent="0.25">
      <c r="O693758" s="9"/>
    </row>
    <row r="693779" spans="15:15" x14ac:dyDescent="0.25">
      <c r="O693779" s="9"/>
    </row>
    <row r="693800" spans="15:15" x14ac:dyDescent="0.25">
      <c r="O693800" s="9"/>
    </row>
    <row r="693821" spans="15:15" x14ac:dyDescent="0.25">
      <c r="O693821" s="9"/>
    </row>
    <row r="693842" spans="15:15" x14ac:dyDescent="0.25">
      <c r="O693842" s="9"/>
    </row>
    <row r="693863" spans="15:15" x14ac:dyDescent="0.25">
      <c r="O693863" s="9"/>
    </row>
    <row r="693884" spans="15:15" x14ac:dyDescent="0.25">
      <c r="O693884" s="9"/>
    </row>
    <row r="693905" spans="15:15" x14ac:dyDescent="0.25">
      <c r="O693905" s="9"/>
    </row>
    <row r="693926" spans="15:15" x14ac:dyDescent="0.25">
      <c r="O693926" s="9"/>
    </row>
    <row r="693947" spans="15:15" x14ac:dyDescent="0.25">
      <c r="O693947" s="9"/>
    </row>
    <row r="693968" spans="15:15" x14ac:dyDescent="0.25">
      <c r="O693968" s="9"/>
    </row>
    <row r="693989" spans="15:15" x14ac:dyDescent="0.25">
      <c r="O693989" s="9"/>
    </row>
    <row r="694010" spans="15:15" x14ac:dyDescent="0.25">
      <c r="O694010" s="9"/>
    </row>
    <row r="694031" spans="15:15" x14ac:dyDescent="0.25">
      <c r="O694031" s="9"/>
    </row>
    <row r="694052" spans="15:15" x14ac:dyDescent="0.25">
      <c r="O694052" s="9"/>
    </row>
    <row r="694073" spans="15:15" x14ac:dyDescent="0.25">
      <c r="O694073" s="9"/>
    </row>
    <row r="694094" spans="15:15" x14ac:dyDescent="0.25">
      <c r="O694094" s="9"/>
    </row>
    <row r="694115" spans="15:15" x14ac:dyDescent="0.25">
      <c r="O694115" s="9"/>
    </row>
    <row r="694136" spans="15:15" x14ac:dyDescent="0.25">
      <c r="O694136" s="9"/>
    </row>
    <row r="694157" spans="15:15" x14ac:dyDescent="0.25">
      <c r="O694157" s="9"/>
    </row>
    <row r="694178" spans="15:15" x14ac:dyDescent="0.25">
      <c r="O694178" s="9"/>
    </row>
    <row r="694199" spans="15:15" x14ac:dyDescent="0.25">
      <c r="O694199" s="9"/>
    </row>
    <row r="694220" spans="15:15" x14ac:dyDescent="0.25">
      <c r="O694220" s="9"/>
    </row>
    <row r="694241" spans="15:15" x14ac:dyDescent="0.25">
      <c r="O694241" s="9"/>
    </row>
    <row r="694262" spans="15:15" x14ac:dyDescent="0.25">
      <c r="O694262" s="9"/>
    </row>
    <row r="694283" spans="15:15" x14ac:dyDescent="0.25">
      <c r="O694283" s="9"/>
    </row>
    <row r="694304" spans="15:15" x14ac:dyDescent="0.25">
      <c r="O694304" s="9"/>
    </row>
    <row r="694325" spans="15:15" x14ac:dyDescent="0.25">
      <c r="O694325" s="9"/>
    </row>
    <row r="694346" spans="15:15" x14ac:dyDescent="0.25">
      <c r="O694346" s="9"/>
    </row>
    <row r="694367" spans="15:15" x14ac:dyDescent="0.25">
      <c r="O694367" s="9"/>
    </row>
    <row r="694388" spans="15:15" x14ac:dyDescent="0.25">
      <c r="O694388" s="9"/>
    </row>
    <row r="694409" spans="15:15" x14ac:dyDescent="0.25">
      <c r="O694409" s="9"/>
    </row>
    <row r="694430" spans="15:15" x14ac:dyDescent="0.25">
      <c r="O694430" s="9"/>
    </row>
    <row r="694451" spans="15:15" x14ac:dyDescent="0.25">
      <c r="O694451" s="9"/>
    </row>
    <row r="694472" spans="15:15" x14ac:dyDescent="0.25">
      <c r="O694472" s="9"/>
    </row>
    <row r="694493" spans="15:15" x14ac:dyDescent="0.25">
      <c r="O694493" s="9"/>
    </row>
    <row r="694514" spans="15:15" x14ac:dyDescent="0.25">
      <c r="O694514" s="9"/>
    </row>
    <row r="694535" spans="15:15" x14ac:dyDescent="0.25">
      <c r="O694535" s="9"/>
    </row>
    <row r="694556" spans="15:15" x14ac:dyDescent="0.25">
      <c r="O694556" s="9"/>
    </row>
    <row r="694577" spans="15:15" x14ac:dyDescent="0.25">
      <c r="O694577" s="9"/>
    </row>
    <row r="694598" spans="15:15" x14ac:dyDescent="0.25">
      <c r="O694598" s="9"/>
    </row>
    <row r="694619" spans="15:15" x14ac:dyDescent="0.25">
      <c r="O694619" s="9"/>
    </row>
    <row r="694640" spans="15:15" x14ac:dyDescent="0.25">
      <c r="O694640" s="9"/>
    </row>
    <row r="694661" spans="15:15" x14ac:dyDescent="0.25">
      <c r="O694661" s="9"/>
    </row>
    <row r="694682" spans="15:15" x14ac:dyDescent="0.25">
      <c r="O694682" s="9"/>
    </row>
    <row r="694703" spans="15:15" x14ac:dyDescent="0.25">
      <c r="O694703" s="9"/>
    </row>
    <row r="694724" spans="15:15" x14ac:dyDescent="0.25">
      <c r="O694724" s="9"/>
    </row>
    <row r="694745" spans="15:15" x14ac:dyDescent="0.25">
      <c r="O694745" s="9"/>
    </row>
    <row r="694766" spans="15:15" x14ac:dyDescent="0.25">
      <c r="O694766" s="9"/>
    </row>
    <row r="694787" spans="15:15" x14ac:dyDescent="0.25">
      <c r="O694787" s="9"/>
    </row>
    <row r="694808" spans="15:15" x14ac:dyDescent="0.25">
      <c r="O694808" s="9"/>
    </row>
    <row r="694829" spans="15:15" x14ac:dyDescent="0.25">
      <c r="O694829" s="9"/>
    </row>
    <row r="694850" spans="15:15" x14ac:dyDescent="0.25">
      <c r="O694850" s="9"/>
    </row>
    <row r="694871" spans="15:15" x14ac:dyDescent="0.25">
      <c r="O694871" s="9"/>
    </row>
    <row r="694892" spans="15:15" x14ac:dyDescent="0.25">
      <c r="O694892" s="9"/>
    </row>
    <row r="694913" spans="15:15" x14ac:dyDescent="0.25">
      <c r="O694913" s="9"/>
    </row>
    <row r="694934" spans="15:15" x14ac:dyDescent="0.25">
      <c r="O694934" s="9"/>
    </row>
    <row r="694955" spans="15:15" x14ac:dyDescent="0.25">
      <c r="O694955" s="9"/>
    </row>
    <row r="694976" spans="15:15" x14ac:dyDescent="0.25">
      <c r="O694976" s="9"/>
    </row>
    <row r="694997" spans="15:15" x14ac:dyDescent="0.25">
      <c r="O694997" s="9"/>
    </row>
    <row r="695018" spans="15:15" x14ac:dyDescent="0.25">
      <c r="O695018" s="9"/>
    </row>
    <row r="695039" spans="15:15" x14ac:dyDescent="0.25">
      <c r="O695039" s="9"/>
    </row>
    <row r="695060" spans="15:15" x14ac:dyDescent="0.25">
      <c r="O695060" s="9"/>
    </row>
    <row r="695081" spans="15:15" x14ac:dyDescent="0.25">
      <c r="O695081" s="9"/>
    </row>
    <row r="695102" spans="15:15" x14ac:dyDescent="0.25">
      <c r="O695102" s="9"/>
    </row>
    <row r="695123" spans="15:15" x14ac:dyDescent="0.25">
      <c r="O695123" s="9"/>
    </row>
    <row r="695144" spans="15:15" x14ac:dyDescent="0.25">
      <c r="O695144" s="9"/>
    </row>
    <row r="695165" spans="15:15" x14ac:dyDescent="0.25">
      <c r="O695165" s="9"/>
    </row>
    <row r="695186" spans="15:15" x14ac:dyDescent="0.25">
      <c r="O695186" s="9"/>
    </row>
    <row r="695207" spans="15:15" x14ac:dyDescent="0.25">
      <c r="O695207" s="9"/>
    </row>
    <row r="695228" spans="15:15" x14ac:dyDescent="0.25">
      <c r="O695228" s="9"/>
    </row>
    <row r="695249" spans="15:15" x14ac:dyDescent="0.25">
      <c r="O695249" s="9"/>
    </row>
    <row r="695270" spans="15:15" x14ac:dyDescent="0.25">
      <c r="O695270" s="9"/>
    </row>
    <row r="695291" spans="15:15" x14ac:dyDescent="0.25">
      <c r="O695291" s="9"/>
    </row>
    <row r="695312" spans="15:15" x14ac:dyDescent="0.25">
      <c r="O695312" s="9"/>
    </row>
    <row r="695333" spans="15:15" x14ac:dyDescent="0.25">
      <c r="O695333" s="9"/>
    </row>
    <row r="695354" spans="15:15" x14ac:dyDescent="0.25">
      <c r="O695354" s="9"/>
    </row>
    <row r="695375" spans="15:15" x14ac:dyDescent="0.25">
      <c r="O695375" s="9"/>
    </row>
    <row r="695396" spans="15:15" x14ac:dyDescent="0.25">
      <c r="O695396" s="9"/>
    </row>
    <row r="695417" spans="15:15" x14ac:dyDescent="0.25">
      <c r="O695417" s="9"/>
    </row>
    <row r="695438" spans="15:15" x14ac:dyDescent="0.25">
      <c r="O695438" s="9"/>
    </row>
    <row r="695459" spans="15:15" x14ac:dyDescent="0.25">
      <c r="O695459" s="9"/>
    </row>
    <row r="695480" spans="15:15" x14ac:dyDescent="0.25">
      <c r="O695480" s="9"/>
    </row>
    <row r="695501" spans="15:15" x14ac:dyDescent="0.25">
      <c r="O695501" s="9"/>
    </row>
    <row r="695522" spans="15:15" x14ac:dyDescent="0.25">
      <c r="O695522" s="9"/>
    </row>
    <row r="695543" spans="15:15" x14ac:dyDescent="0.25">
      <c r="O695543" s="9"/>
    </row>
    <row r="695564" spans="15:15" x14ac:dyDescent="0.25">
      <c r="O695564" s="9"/>
    </row>
    <row r="695585" spans="15:15" x14ac:dyDescent="0.25">
      <c r="O695585" s="9"/>
    </row>
    <row r="695606" spans="15:15" x14ac:dyDescent="0.25">
      <c r="O695606" s="9"/>
    </row>
    <row r="695627" spans="15:15" x14ac:dyDescent="0.25">
      <c r="O695627" s="9"/>
    </row>
    <row r="695648" spans="15:15" x14ac:dyDescent="0.25">
      <c r="O695648" s="9"/>
    </row>
    <row r="695669" spans="15:15" x14ac:dyDescent="0.25">
      <c r="O695669" s="9"/>
    </row>
    <row r="695690" spans="15:15" x14ac:dyDescent="0.25">
      <c r="O695690" s="9"/>
    </row>
    <row r="695711" spans="15:15" x14ac:dyDescent="0.25">
      <c r="O695711" s="9"/>
    </row>
    <row r="695732" spans="15:15" x14ac:dyDescent="0.25">
      <c r="O695732" s="9"/>
    </row>
    <row r="695753" spans="15:15" x14ac:dyDescent="0.25">
      <c r="O695753" s="9"/>
    </row>
    <row r="695774" spans="15:15" x14ac:dyDescent="0.25">
      <c r="O695774" s="9"/>
    </row>
    <row r="695795" spans="15:15" x14ac:dyDescent="0.25">
      <c r="O695795" s="9"/>
    </row>
    <row r="695816" spans="15:15" x14ac:dyDescent="0.25">
      <c r="O695816" s="9"/>
    </row>
    <row r="695837" spans="15:15" x14ac:dyDescent="0.25">
      <c r="O695837" s="9"/>
    </row>
    <row r="695858" spans="15:15" x14ac:dyDescent="0.25">
      <c r="O695858" s="9"/>
    </row>
    <row r="695879" spans="15:15" x14ac:dyDescent="0.25">
      <c r="O695879" s="9"/>
    </row>
    <row r="695900" spans="15:15" x14ac:dyDescent="0.25">
      <c r="O695900" s="9"/>
    </row>
    <row r="695921" spans="15:15" x14ac:dyDescent="0.25">
      <c r="O695921" s="9"/>
    </row>
    <row r="695942" spans="15:15" x14ac:dyDescent="0.25">
      <c r="O695942" s="9"/>
    </row>
    <row r="695963" spans="15:15" x14ac:dyDescent="0.25">
      <c r="O695963" s="9"/>
    </row>
    <row r="695984" spans="15:15" x14ac:dyDescent="0.25">
      <c r="O695984" s="9"/>
    </row>
    <row r="696005" spans="15:15" x14ac:dyDescent="0.25">
      <c r="O696005" s="9"/>
    </row>
    <row r="696026" spans="15:15" x14ac:dyDescent="0.25">
      <c r="O696026" s="9"/>
    </row>
    <row r="696047" spans="15:15" x14ac:dyDescent="0.25">
      <c r="O696047" s="9"/>
    </row>
    <row r="696068" spans="15:15" x14ac:dyDescent="0.25">
      <c r="O696068" s="9"/>
    </row>
    <row r="696089" spans="15:15" x14ac:dyDescent="0.25">
      <c r="O696089" s="9"/>
    </row>
    <row r="696110" spans="15:15" x14ac:dyDescent="0.25">
      <c r="O696110" s="9"/>
    </row>
    <row r="696131" spans="15:15" x14ac:dyDescent="0.25">
      <c r="O696131" s="9"/>
    </row>
    <row r="696152" spans="15:15" x14ac:dyDescent="0.25">
      <c r="O696152" s="9"/>
    </row>
    <row r="696173" spans="15:15" x14ac:dyDescent="0.25">
      <c r="O696173" s="9"/>
    </row>
    <row r="696194" spans="15:15" x14ac:dyDescent="0.25">
      <c r="O696194" s="9"/>
    </row>
    <row r="696215" spans="15:15" x14ac:dyDescent="0.25">
      <c r="O696215" s="9"/>
    </row>
    <row r="696236" spans="15:15" x14ac:dyDescent="0.25">
      <c r="O696236" s="9"/>
    </row>
    <row r="696257" spans="15:15" x14ac:dyDescent="0.25">
      <c r="O696257" s="9"/>
    </row>
    <row r="696278" spans="15:15" x14ac:dyDescent="0.25">
      <c r="O696278" s="9"/>
    </row>
    <row r="696299" spans="15:15" x14ac:dyDescent="0.25">
      <c r="O696299" s="9"/>
    </row>
    <row r="696320" spans="15:15" x14ac:dyDescent="0.25">
      <c r="O696320" s="9"/>
    </row>
    <row r="696341" spans="15:15" x14ac:dyDescent="0.25">
      <c r="O696341" s="9"/>
    </row>
    <row r="696362" spans="15:15" x14ac:dyDescent="0.25">
      <c r="O696362" s="9"/>
    </row>
    <row r="696383" spans="15:15" x14ac:dyDescent="0.25">
      <c r="O696383" s="9"/>
    </row>
    <row r="696404" spans="15:15" x14ac:dyDescent="0.25">
      <c r="O696404" s="9"/>
    </row>
    <row r="696425" spans="15:15" x14ac:dyDescent="0.25">
      <c r="O696425" s="9"/>
    </row>
    <row r="696446" spans="15:15" x14ac:dyDescent="0.25">
      <c r="O696446" s="9"/>
    </row>
    <row r="696467" spans="15:15" x14ac:dyDescent="0.25">
      <c r="O696467" s="9"/>
    </row>
    <row r="696488" spans="15:15" x14ac:dyDescent="0.25">
      <c r="O696488" s="9"/>
    </row>
    <row r="696509" spans="15:15" x14ac:dyDescent="0.25">
      <c r="O696509" s="9"/>
    </row>
    <row r="696530" spans="15:15" x14ac:dyDescent="0.25">
      <c r="O696530" s="9"/>
    </row>
    <row r="696551" spans="15:15" x14ac:dyDescent="0.25">
      <c r="O696551" s="9"/>
    </row>
    <row r="696572" spans="15:15" x14ac:dyDescent="0.25">
      <c r="O696572" s="9"/>
    </row>
    <row r="696593" spans="15:15" x14ac:dyDescent="0.25">
      <c r="O696593" s="9"/>
    </row>
    <row r="696614" spans="15:15" x14ac:dyDescent="0.25">
      <c r="O696614" s="9"/>
    </row>
    <row r="696635" spans="15:15" x14ac:dyDescent="0.25">
      <c r="O696635" s="9"/>
    </row>
    <row r="696656" spans="15:15" x14ac:dyDescent="0.25">
      <c r="O696656" s="9"/>
    </row>
    <row r="696677" spans="15:15" x14ac:dyDescent="0.25">
      <c r="O696677" s="9"/>
    </row>
    <row r="696698" spans="15:15" x14ac:dyDescent="0.25">
      <c r="O696698" s="9"/>
    </row>
    <row r="696719" spans="15:15" x14ac:dyDescent="0.25">
      <c r="O696719" s="9"/>
    </row>
    <row r="696740" spans="15:15" x14ac:dyDescent="0.25">
      <c r="O696740" s="9"/>
    </row>
    <row r="696761" spans="15:15" x14ac:dyDescent="0.25">
      <c r="O696761" s="9"/>
    </row>
    <row r="696782" spans="15:15" x14ac:dyDescent="0.25">
      <c r="O696782" s="9"/>
    </row>
    <row r="696803" spans="15:15" x14ac:dyDescent="0.25">
      <c r="O696803" s="9"/>
    </row>
    <row r="696824" spans="15:15" x14ac:dyDescent="0.25">
      <c r="O696824" s="9"/>
    </row>
    <row r="696845" spans="15:15" x14ac:dyDescent="0.25">
      <c r="O696845" s="9"/>
    </row>
    <row r="696866" spans="15:15" x14ac:dyDescent="0.25">
      <c r="O696866" s="9"/>
    </row>
    <row r="696887" spans="15:15" x14ac:dyDescent="0.25">
      <c r="O696887" s="9"/>
    </row>
    <row r="696908" spans="15:15" x14ac:dyDescent="0.25">
      <c r="O696908" s="9"/>
    </row>
    <row r="696929" spans="15:15" x14ac:dyDescent="0.25">
      <c r="O696929" s="9"/>
    </row>
    <row r="696950" spans="15:15" x14ac:dyDescent="0.25">
      <c r="O696950" s="9"/>
    </row>
    <row r="696971" spans="15:15" x14ac:dyDescent="0.25">
      <c r="O696971" s="9"/>
    </row>
    <row r="696992" spans="15:15" x14ac:dyDescent="0.25">
      <c r="O696992" s="9"/>
    </row>
    <row r="697013" spans="15:15" x14ac:dyDescent="0.25">
      <c r="O697013" s="9"/>
    </row>
    <row r="697034" spans="15:15" x14ac:dyDescent="0.25">
      <c r="O697034" s="9"/>
    </row>
    <row r="697055" spans="15:15" x14ac:dyDescent="0.25">
      <c r="O697055" s="9"/>
    </row>
    <row r="697076" spans="15:15" x14ac:dyDescent="0.25">
      <c r="O697076" s="9"/>
    </row>
    <row r="697097" spans="15:15" x14ac:dyDescent="0.25">
      <c r="O697097" s="9"/>
    </row>
    <row r="697118" spans="15:15" x14ac:dyDescent="0.25">
      <c r="O697118" s="9"/>
    </row>
    <row r="697139" spans="15:15" x14ac:dyDescent="0.25">
      <c r="O697139" s="9"/>
    </row>
    <row r="697160" spans="15:15" x14ac:dyDescent="0.25">
      <c r="O697160" s="9"/>
    </row>
    <row r="697181" spans="15:15" x14ac:dyDescent="0.25">
      <c r="O697181" s="9"/>
    </row>
    <row r="697202" spans="15:15" x14ac:dyDescent="0.25">
      <c r="O697202" s="9"/>
    </row>
    <row r="697223" spans="15:15" x14ac:dyDescent="0.25">
      <c r="O697223" s="9"/>
    </row>
    <row r="697244" spans="15:15" x14ac:dyDescent="0.25">
      <c r="O697244" s="9"/>
    </row>
    <row r="697265" spans="15:15" x14ac:dyDescent="0.25">
      <c r="O697265" s="9"/>
    </row>
    <row r="697286" spans="15:15" x14ac:dyDescent="0.25">
      <c r="O697286" s="9"/>
    </row>
    <row r="697307" spans="15:15" x14ac:dyDescent="0.25">
      <c r="O697307" s="9"/>
    </row>
    <row r="697328" spans="15:15" x14ac:dyDescent="0.25">
      <c r="O697328" s="9"/>
    </row>
    <row r="697349" spans="15:15" x14ac:dyDescent="0.25">
      <c r="O697349" s="9"/>
    </row>
    <row r="697370" spans="15:15" x14ac:dyDescent="0.25">
      <c r="O697370" s="9"/>
    </row>
    <row r="697391" spans="15:15" x14ac:dyDescent="0.25">
      <c r="O697391" s="9"/>
    </row>
    <row r="697412" spans="15:15" x14ac:dyDescent="0.25">
      <c r="O697412" s="9"/>
    </row>
    <row r="697433" spans="15:15" x14ac:dyDescent="0.25">
      <c r="O697433" s="9"/>
    </row>
    <row r="697454" spans="15:15" x14ac:dyDescent="0.25">
      <c r="O697454" s="9"/>
    </row>
    <row r="697475" spans="15:15" x14ac:dyDescent="0.25">
      <c r="O697475" s="9"/>
    </row>
    <row r="697496" spans="15:15" x14ac:dyDescent="0.25">
      <c r="O697496" s="9"/>
    </row>
    <row r="697517" spans="15:15" x14ac:dyDescent="0.25">
      <c r="O697517" s="9"/>
    </row>
    <row r="697538" spans="15:15" x14ac:dyDescent="0.25">
      <c r="O697538" s="9"/>
    </row>
    <row r="697559" spans="15:15" x14ac:dyDescent="0.25">
      <c r="O697559" s="9"/>
    </row>
    <row r="697580" spans="15:15" x14ac:dyDescent="0.25">
      <c r="O697580" s="9"/>
    </row>
    <row r="697601" spans="15:15" x14ac:dyDescent="0.25">
      <c r="O697601" s="9"/>
    </row>
    <row r="697622" spans="15:15" x14ac:dyDescent="0.25">
      <c r="O697622" s="9"/>
    </row>
    <row r="697643" spans="15:15" x14ac:dyDescent="0.25">
      <c r="O697643" s="9"/>
    </row>
    <row r="697664" spans="15:15" x14ac:dyDescent="0.25">
      <c r="O697664" s="9"/>
    </row>
    <row r="697685" spans="15:15" x14ac:dyDescent="0.25">
      <c r="O697685" s="9"/>
    </row>
    <row r="697706" spans="15:15" x14ac:dyDescent="0.25">
      <c r="O697706" s="9"/>
    </row>
    <row r="697727" spans="15:15" x14ac:dyDescent="0.25">
      <c r="O697727" s="9"/>
    </row>
    <row r="697748" spans="15:15" x14ac:dyDescent="0.25">
      <c r="O697748" s="9"/>
    </row>
    <row r="697769" spans="15:15" x14ac:dyDescent="0.25">
      <c r="O697769" s="9"/>
    </row>
    <row r="697790" spans="15:15" x14ac:dyDescent="0.25">
      <c r="O697790" s="9"/>
    </row>
    <row r="697811" spans="15:15" x14ac:dyDescent="0.25">
      <c r="O697811" s="9"/>
    </row>
    <row r="697832" spans="15:15" x14ac:dyDescent="0.25">
      <c r="O697832" s="9"/>
    </row>
    <row r="697853" spans="15:15" x14ac:dyDescent="0.25">
      <c r="O697853" s="9"/>
    </row>
    <row r="697874" spans="15:15" x14ac:dyDescent="0.25">
      <c r="O697874" s="9"/>
    </row>
    <row r="697895" spans="15:15" x14ac:dyDescent="0.25">
      <c r="O697895" s="9"/>
    </row>
    <row r="697916" spans="15:15" x14ac:dyDescent="0.25">
      <c r="O697916" s="9"/>
    </row>
    <row r="697937" spans="15:15" x14ac:dyDescent="0.25">
      <c r="O697937" s="9"/>
    </row>
    <row r="697958" spans="15:15" x14ac:dyDescent="0.25">
      <c r="O697958" s="9"/>
    </row>
    <row r="697979" spans="15:15" x14ac:dyDescent="0.25">
      <c r="O697979" s="9"/>
    </row>
    <row r="698000" spans="15:15" x14ac:dyDescent="0.25">
      <c r="O698000" s="9"/>
    </row>
    <row r="698021" spans="15:15" x14ac:dyDescent="0.25">
      <c r="O698021" s="9"/>
    </row>
    <row r="698042" spans="15:15" x14ac:dyDescent="0.25">
      <c r="O698042" s="9"/>
    </row>
    <row r="698063" spans="15:15" x14ac:dyDescent="0.25">
      <c r="O698063" s="9"/>
    </row>
    <row r="698084" spans="15:15" x14ac:dyDescent="0.25">
      <c r="O698084" s="9"/>
    </row>
    <row r="698105" spans="15:15" x14ac:dyDescent="0.25">
      <c r="O698105" s="9"/>
    </row>
    <row r="698126" spans="15:15" x14ac:dyDescent="0.25">
      <c r="O698126" s="9"/>
    </row>
    <row r="698147" spans="15:15" x14ac:dyDescent="0.25">
      <c r="O698147" s="9"/>
    </row>
    <row r="698168" spans="15:15" x14ac:dyDescent="0.25">
      <c r="O698168" s="9"/>
    </row>
    <row r="698189" spans="15:15" x14ac:dyDescent="0.25">
      <c r="O698189" s="9"/>
    </row>
    <row r="698210" spans="15:15" x14ac:dyDescent="0.25">
      <c r="O698210" s="9"/>
    </row>
    <row r="698231" spans="15:15" x14ac:dyDescent="0.25">
      <c r="O698231" s="9"/>
    </row>
    <row r="698252" spans="15:15" x14ac:dyDescent="0.25">
      <c r="O698252" s="9"/>
    </row>
    <row r="698273" spans="15:15" x14ac:dyDescent="0.25">
      <c r="O698273" s="9"/>
    </row>
    <row r="698294" spans="15:15" x14ac:dyDescent="0.25">
      <c r="O698294" s="9"/>
    </row>
    <row r="698315" spans="15:15" x14ac:dyDescent="0.25">
      <c r="O698315" s="9"/>
    </row>
    <row r="698336" spans="15:15" x14ac:dyDescent="0.25">
      <c r="O698336" s="9"/>
    </row>
    <row r="698357" spans="15:15" x14ac:dyDescent="0.25">
      <c r="O698357" s="9"/>
    </row>
    <row r="698378" spans="15:15" x14ac:dyDescent="0.25">
      <c r="O698378" s="9"/>
    </row>
    <row r="698399" spans="15:15" x14ac:dyDescent="0.25">
      <c r="O698399" s="9"/>
    </row>
    <row r="698420" spans="15:15" x14ac:dyDescent="0.25">
      <c r="O698420" s="9"/>
    </row>
    <row r="698441" spans="15:15" x14ac:dyDescent="0.25">
      <c r="O698441" s="9"/>
    </row>
    <row r="698462" spans="15:15" x14ac:dyDescent="0.25">
      <c r="O698462" s="9"/>
    </row>
    <row r="698483" spans="15:15" x14ac:dyDescent="0.25">
      <c r="O698483" s="9"/>
    </row>
    <row r="698504" spans="15:15" x14ac:dyDescent="0.25">
      <c r="O698504" s="9"/>
    </row>
    <row r="698525" spans="15:15" x14ac:dyDescent="0.25">
      <c r="O698525" s="9"/>
    </row>
    <row r="698546" spans="15:15" x14ac:dyDescent="0.25">
      <c r="O698546" s="9"/>
    </row>
    <row r="698567" spans="15:15" x14ac:dyDescent="0.25">
      <c r="O698567" s="9"/>
    </row>
    <row r="698588" spans="15:15" x14ac:dyDescent="0.25">
      <c r="O698588" s="9"/>
    </row>
    <row r="698609" spans="15:15" x14ac:dyDescent="0.25">
      <c r="O698609" s="9"/>
    </row>
    <row r="698630" spans="15:15" x14ac:dyDescent="0.25">
      <c r="O698630" s="9"/>
    </row>
    <row r="698651" spans="15:15" x14ac:dyDescent="0.25">
      <c r="O698651" s="9"/>
    </row>
    <row r="698672" spans="15:15" x14ac:dyDescent="0.25">
      <c r="O698672" s="9"/>
    </row>
    <row r="698693" spans="15:15" x14ac:dyDescent="0.25">
      <c r="O698693" s="9"/>
    </row>
    <row r="698714" spans="15:15" x14ac:dyDescent="0.25">
      <c r="O698714" s="9"/>
    </row>
    <row r="698735" spans="15:15" x14ac:dyDescent="0.25">
      <c r="O698735" s="9"/>
    </row>
    <row r="698756" spans="15:15" x14ac:dyDescent="0.25">
      <c r="O698756" s="9"/>
    </row>
    <row r="698777" spans="15:15" x14ac:dyDescent="0.25">
      <c r="O698777" s="9"/>
    </row>
    <row r="698798" spans="15:15" x14ac:dyDescent="0.25">
      <c r="O698798" s="9"/>
    </row>
    <row r="698819" spans="15:15" x14ac:dyDescent="0.25">
      <c r="O698819" s="9"/>
    </row>
    <row r="698840" spans="15:15" x14ac:dyDescent="0.25">
      <c r="O698840" s="9"/>
    </row>
    <row r="698861" spans="15:15" x14ac:dyDescent="0.25">
      <c r="O698861" s="9"/>
    </row>
    <row r="698882" spans="15:15" x14ac:dyDescent="0.25">
      <c r="O698882" s="9"/>
    </row>
    <row r="698903" spans="15:15" x14ac:dyDescent="0.25">
      <c r="O698903" s="9"/>
    </row>
    <row r="698924" spans="15:15" x14ac:dyDescent="0.25">
      <c r="O698924" s="9"/>
    </row>
    <row r="698945" spans="15:15" x14ac:dyDescent="0.25">
      <c r="O698945" s="9"/>
    </row>
    <row r="698966" spans="15:15" x14ac:dyDescent="0.25">
      <c r="O698966" s="9"/>
    </row>
    <row r="698987" spans="15:15" x14ac:dyDescent="0.25">
      <c r="O698987" s="9"/>
    </row>
    <row r="699008" spans="15:15" x14ac:dyDescent="0.25">
      <c r="O699008" s="9"/>
    </row>
    <row r="699029" spans="15:15" x14ac:dyDescent="0.25">
      <c r="O699029" s="9"/>
    </row>
    <row r="699050" spans="15:15" x14ac:dyDescent="0.25">
      <c r="O699050" s="9"/>
    </row>
    <row r="699071" spans="15:15" x14ac:dyDescent="0.25">
      <c r="O699071" s="9"/>
    </row>
    <row r="699092" spans="15:15" x14ac:dyDescent="0.25">
      <c r="O699092" s="9"/>
    </row>
    <row r="699113" spans="15:15" x14ac:dyDescent="0.25">
      <c r="O699113" s="9"/>
    </row>
    <row r="699134" spans="15:15" x14ac:dyDescent="0.25">
      <c r="O699134" s="9"/>
    </row>
    <row r="699155" spans="15:15" x14ac:dyDescent="0.25">
      <c r="O699155" s="9"/>
    </row>
    <row r="699176" spans="15:15" x14ac:dyDescent="0.25">
      <c r="O699176" s="9"/>
    </row>
    <row r="699197" spans="15:15" x14ac:dyDescent="0.25">
      <c r="O699197" s="9"/>
    </row>
    <row r="699218" spans="15:15" x14ac:dyDescent="0.25">
      <c r="O699218" s="9"/>
    </row>
    <row r="699239" spans="15:15" x14ac:dyDescent="0.25">
      <c r="O699239" s="9"/>
    </row>
    <row r="699260" spans="15:15" x14ac:dyDescent="0.25">
      <c r="O699260" s="9"/>
    </row>
    <row r="699281" spans="15:15" x14ac:dyDescent="0.25">
      <c r="O699281" s="9"/>
    </row>
    <row r="699302" spans="15:15" x14ac:dyDescent="0.25">
      <c r="O699302" s="9"/>
    </row>
    <row r="699323" spans="15:15" x14ac:dyDescent="0.25">
      <c r="O699323" s="9"/>
    </row>
    <row r="699344" spans="15:15" x14ac:dyDescent="0.25">
      <c r="O699344" s="9"/>
    </row>
    <row r="699365" spans="15:15" x14ac:dyDescent="0.25">
      <c r="O699365" s="9"/>
    </row>
    <row r="699386" spans="15:15" x14ac:dyDescent="0.25">
      <c r="O699386" s="9"/>
    </row>
    <row r="699407" spans="15:15" x14ac:dyDescent="0.25">
      <c r="O699407" s="9"/>
    </row>
    <row r="699428" spans="15:15" x14ac:dyDescent="0.25">
      <c r="O699428" s="9"/>
    </row>
    <row r="699449" spans="15:15" x14ac:dyDescent="0.25">
      <c r="O699449" s="9"/>
    </row>
    <row r="699470" spans="15:15" x14ac:dyDescent="0.25">
      <c r="O699470" s="9"/>
    </row>
    <row r="699491" spans="15:15" x14ac:dyDescent="0.25">
      <c r="O699491" s="9"/>
    </row>
    <row r="699512" spans="15:15" x14ac:dyDescent="0.25">
      <c r="O699512" s="9"/>
    </row>
    <row r="699533" spans="15:15" x14ac:dyDescent="0.25">
      <c r="O699533" s="9"/>
    </row>
    <row r="699554" spans="15:15" x14ac:dyDescent="0.25">
      <c r="O699554" s="9"/>
    </row>
    <row r="699575" spans="15:15" x14ac:dyDescent="0.25">
      <c r="O699575" s="9"/>
    </row>
    <row r="699596" spans="15:15" x14ac:dyDescent="0.25">
      <c r="O699596" s="9"/>
    </row>
    <row r="699617" spans="15:15" x14ac:dyDescent="0.25">
      <c r="O699617" s="9"/>
    </row>
    <row r="699638" spans="15:15" x14ac:dyDescent="0.25">
      <c r="O699638" s="9"/>
    </row>
    <row r="699659" spans="15:15" x14ac:dyDescent="0.25">
      <c r="O699659" s="9"/>
    </row>
    <row r="699680" spans="15:15" x14ac:dyDescent="0.25">
      <c r="O699680" s="9"/>
    </row>
    <row r="699701" spans="15:15" x14ac:dyDescent="0.25">
      <c r="O699701" s="9"/>
    </row>
    <row r="699722" spans="15:15" x14ac:dyDescent="0.25">
      <c r="O699722" s="9"/>
    </row>
    <row r="699743" spans="15:15" x14ac:dyDescent="0.25">
      <c r="O699743" s="9"/>
    </row>
    <row r="699764" spans="15:15" x14ac:dyDescent="0.25">
      <c r="O699764" s="9"/>
    </row>
    <row r="699785" spans="15:15" x14ac:dyDescent="0.25">
      <c r="O699785" s="9"/>
    </row>
    <row r="699806" spans="15:15" x14ac:dyDescent="0.25">
      <c r="O699806" s="9"/>
    </row>
    <row r="699827" spans="15:15" x14ac:dyDescent="0.25">
      <c r="O699827" s="9"/>
    </row>
    <row r="699848" spans="15:15" x14ac:dyDescent="0.25">
      <c r="O699848" s="9"/>
    </row>
    <row r="699869" spans="15:15" x14ac:dyDescent="0.25">
      <c r="O699869" s="9"/>
    </row>
    <row r="699890" spans="15:15" x14ac:dyDescent="0.25">
      <c r="O699890" s="9"/>
    </row>
    <row r="699911" spans="15:15" x14ac:dyDescent="0.25">
      <c r="O699911" s="9"/>
    </row>
    <row r="699932" spans="15:15" x14ac:dyDescent="0.25">
      <c r="O699932" s="9"/>
    </row>
    <row r="699953" spans="15:15" x14ac:dyDescent="0.25">
      <c r="O699953" s="9"/>
    </row>
    <row r="699974" spans="15:15" x14ac:dyDescent="0.25">
      <c r="O699974" s="9"/>
    </row>
    <row r="699995" spans="15:15" x14ac:dyDescent="0.25">
      <c r="O699995" s="9"/>
    </row>
    <row r="700016" spans="15:15" x14ac:dyDescent="0.25">
      <c r="O700016" s="9"/>
    </row>
    <row r="700037" spans="15:15" x14ac:dyDescent="0.25">
      <c r="O700037" s="9"/>
    </row>
    <row r="700058" spans="15:15" x14ac:dyDescent="0.25">
      <c r="O700058" s="9"/>
    </row>
    <row r="700079" spans="15:15" x14ac:dyDescent="0.25">
      <c r="O700079" s="9"/>
    </row>
    <row r="700100" spans="15:15" x14ac:dyDescent="0.25">
      <c r="O700100" s="9"/>
    </row>
    <row r="700121" spans="15:15" x14ac:dyDescent="0.25">
      <c r="O700121" s="9"/>
    </row>
    <row r="700142" spans="15:15" x14ac:dyDescent="0.25">
      <c r="O700142" s="9"/>
    </row>
    <row r="700163" spans="15:15" x14ac:dyDescent="0.25">
      <c r="O700163" s="9"/>
    </row>
    <row r="700184" spans="15:15" x14ac:dyDescent="0.25">
      <c r="O700184" s="9"/>
    </row>
    <row r="700205" spans="15:15" x14ac:dyDescent="0.25">
      <c r="O700205" s="9"/>
    </row>
    <row r="700226" spans="15:15" x14ac:dyDescent="0.25">
      <c r="O700226" s="9"/>
    </row>
    <row r="700247" spans="15:15" x14ac:dyDescent="0.25">
      <c r="O700247" s="9"/>
    </row>
    <row r="700268" spans="15:15" x14ac:dyDescent="0.25">
      <c r="O700268" s="9"/>
    </row>
    <row r="700289" spans="15:15" x14ac:dyDescent="0.25">
      <c r="O700289" s="9"/>
    </row>
    <row r="700310" spans="15:15" x14ac:dyDescent="0.25">
      <c r="O700310" s="9"/>
    </row>
    <row r="700331" spans="15:15" x14ac:dyDescent="0.25">
      <c r="O700331" s="9"/>
    </row>
    <row r="700352" spans="15:15" x14ac:dyDescent="0.25">
      <c r="O700352" s="9"/>
    </row>
    <row r="700373" spans="15:15" x14ac:dyDescent="0.25">
      <c r="O700373" s="9"/>
    </row>
    <row r="700394" spans="15:15" x14ac:dyDescent="0.25">
      <c r="O700394" s="9"/>
    </row>
    <row r="700415" spans="15:15" x14ac:dyDescent="0.25">
      <c r="O700415" s="9"/>
    </row>
    <row r="700436" spans="15:15" x14ac:dyDescent="0.25">
      <c r="O700436" s="9"/>
    </row>
    <row r="700457" spans="15:15" x14ac:dyDescent="0.25">
      <c r="O700457" s="9"/>
    </row>
    <row r="700478" spans="15:15" x14ac:dyDescent="0.25">
      <c r="O700478" s="9"/>
    </row>
    <row r="700499" spans="15:15" x14ac:dyDescent="0.25">
      <c r="O700499" s="9"/>
    </row>
    <row r="700520" spans="15:15" x14ac:dyDescent="0.25">
      <c r="O700520" s="9"/>
    </row>
    <row r="700541" spans="15:15" x14ac:dyDescent="0.25">
      <c r="O700541" s="9"/>
    </row>
    <row r="700562" spans="15:15" x14ac:dyDescent="0.25">
      <c r="O700562" s="9"/>
    </row>
    <row r="700583" spans="15:15" x14ac:dyDescent="0.25">
      <c r="O700583" s="9"/>
    </row>
    <row r="700604" spans="15:15" x14ac:dyDescent="0.25">
      <c r="O700604" s="9"/>
    </row>
    <row r="700625" spans="15:15" x14ac:dyDescent="0.25">
      <c r="O700625" s="9"/>
    </row>
    <row r="700646" spans="15:15" x14ac:dyDescent="0.25">
      <c r="O700646" s="9"/>
    </row>
    <row r="700667" spans="15:15" x14ac:dyDescent="0.25">
      <c r="O700667" s="9"/>
    </row>
    <row r="700688" spans="15:15" x14ac:dyDescent="0.25">
      <c r="O700688" s="9"/>
    </row>
    <row r="700709" spans="15:15" x14ac:dyDescent="0.25">
      <c r="O700709" s="9"/>
    </row>
    <row r="700730" spans="15:15" x14ac:dyDescent="0.25">
      <c r="O700730" s="9"/>
    </row>
    <row r="700751" spans="15:15" x14ac:dyDescent="0.25">
      <c r="O700751" s="9"/>
    </row>
    <row r="700772" spans="15:15" x14ac:dyDescent="0.25">
      <c r="O700772" s="9"/>
    </row>
    <row r="700793" spans="15:15" x14ac:dyDescent="0.25">
      <c r="O700793" s="9"/>
    </row>
    <row r="700814" spans="15:15" x14ac:dyDescent="0.25">
      <c r="O700814" s="9"/>
    </row>
    <row r="700835" spans="15:15" x14ac:dyDescent="0.25">
      <c r="O700835" s="9"/>
    </row>
    <row r="700856" spans="15:15" x14ac:dyDescent="0.25">
      <c r="O700856" s="9"/>
    </row>
    <row r="700877" spans="15:15" x14ac:dyDescent="0.25">
      <c r="O700877" s="9"/>
    </row>
    <row r="700898" spans="15:15" x14ac:dyDescent="0.25">
      <c r="O700898" s="9"/>
    </row>
    <row r="700919" spans="15:15" x14ac:dyDescent="0.25">
      <c r="O700919" s="9"/>
    </row>
    <row r="700940" spans="15:15" x14ac:dyDescent="0.25">
      <c r="O700940" s="9"/>
    </row>
    <row r="700961" spans="15:15" x14ac:dyDescent="0.25">
      <c r="O700961" s="9"/>
    </row>
    <row r="700982" spans="15:15" x14ac:dyDescent="0.25">
      <c r="O700982" s="9"/>
    </row>
    <row r="701003" spans="15:15" x14ac:dyDescent="0.25">
      <c r="O701003" s="9"/>
    </row>
    <row r="701024" spans="15:15" x14ac:dyDescent="0.25">
      <c r="O701024" s="9"/>
    </row>
    <row r="701045" spans="15:15" x14ac:dyDescent="0.25">
      <c r="O701045" s="9"/>
    </row>
    <row r="701066" spans="15:15" x14ac:dyDescent="0.25">
      <c r="O701066" s="9"/>
    </row>
    <row r="701087" spans="15:15" x14ac:dyDescent="0.25">
      <c r="O701087" s="9"/>
    </row>
    <row r="701108" spans="15:15" x14ac:dyDescent="0.25">
      <c r="O701108" s="9"/>
    </row>
    <row r="701129" spans="15:15" x14ac:dyDescent="0.25">
      <c r="O701129" s="9"/>
    </row>
    <row r="701150" spans="15:15" x14ac:dyDescent="0.25">
      <c r="O701150" s="9"/>
    </row>
    <row r="701171" spans="15:15" x14ac:dyDescent="0.25">
      <c r="O701171" s="9"/>
    </row>
    <row r="701192" spans="15:15" x14ac:dyDescent="0.25">
      <c r="O701192" s="9"/>
    </row>
    <row r="701213" spans="15:15" x14ac:dyDescent="0.25">
      <c r="O701213" s="9"/>
    </row>
    <row r="701234" spans="15:15" x14ac:dyDescent="0.25">
      <c r="O701234" s="9"/>
    </row>
    <row r="701255" spans="15:15" x14ac:dyDescent="0.25">
      <c r="O701255" s="9"/>
    </row>
    <row r="701276" spans="15:15" x14ac:dyDescent="0.25">
      <c r="O701276" s="9"/>
    </row>
    <row r="701297" spans="15:15" x14ac:dyDescent="0.25">
      <c r="O701297" s="9"/>
    </row>
    <row r="701318" spans="15:15" x14ac:dyDescent="0.25">
      <c r="O701318" s="9"/>
    </row>
    <row r="701339" spans="15:15" x14ac:dyDescent="0.25">
      <c r="O701339" s="9"/>
    </row>
    <row r="701360" spans="15:15" x14ac:dyDescent="0.25">
      <c r="O701360" s="9"/>
    </row>
    <row r="701381" spans="15:15" x14ac:dyDescent="0.25">
      <c r="O701381" s="9"/>
    </row>
    <row r="701402" spans="15:15" x14ac:dyDescent="0.25">
      <c r="O701402" s="9"/>
    </row>
    <row r="701423" spans="15:15" x14ac:dyDescent="0.25">
      <c r="O701423" s="9"/>
    </row>
    <row r="701444" spans="15:15" x14ac:dyDescent="0.25">
      <c r="O701444" s="9"/>
    </row>
    <row r="701465" spans="15:15" x14ac:dyDescent="0.25">
      <c r="O701465" s="9"/>
    </row>
    <row r="701486" spans="15:15" x14ac:dyDescent="0.25">
      <c r="O701486" s="9"/>
    </row>
    <row r="701507" spans="15:15" x14ac:dyDescent="0.25">
      <c r="O701507" s="9"/>
    </row>
    <row r="701528" spans="15:15" x14ac:dyDescent="0.25">
      <c r="O701528" s="9"/>
    </row>
    <row r="701549" spans="15:15" x14ac:dyDescent="0.25">
      <c r="O701549" s="9"/>
    </row>
    <row r="701570" spans="15:15" x14ac:dyDescent="0.25">
      <c r="O701570" s="9"/>
    </row>
    <row r="701591" spans="15:15" x14ac:dyDescent="0.25">
      <c r="O701591" s="9"/>
    </row>
    <row r="701612" spans="15:15" x14ac:dyDescent="0.25">
      <c r="O701612" s="9"/>
    </row>
    <row r="701633" spans="15:15" x14ac:dyDescent="0.25">
      <c r="O701633" s="9"/>
    </row>
    <row r="701654" spans="15:15" x14ac:dyDescent="0.25">
      <c r="O701654" s="9"/>
    </row>
    <row r="701675" spans="15:15" x14ac:dyDescent="0.25">
      <c r="O701675" s="9"/>
    </row>
    <row r="701696" spans="15:15" x14ac:dyDescent="0.25">
      <c r="O701696" s="9"/>
    </row>
    <row r="701717" spans="15:15" x14ac:dyDescent="0.25">
      <c r="O701717" s="9"/>
    </row>
    <row r="701738" spans="15:15" x14ac:dyDescent="0.25">
      <c r="O701738" s="9"/>
    </row>
    <row r="701759" spans="15:15" x14ac:dyDescent="0.25">
      <c r="O701759" s="9"/>
    </row>
    <row r="701780" spans="15:15" x14ac:dyDescent="0.25">
      <c r="O701780" s="9"/>
    </row>
    <row r="701801" spans="15:15" x14ac:dyDescent="0.25">
      <c r="O701801" s="9"/>
    </row>
    <row r="701822" spans="15:15" x14ac:dyDescent="0.25">
      <c r="O701822" s="9"/>
    </row>
    <row r="701843" spans="15:15" x14ac:dyDescent="0.25">
      <c r="O701843" s="9"/>
    </row>
    <row r="701864" spans="15:15" x14ac:dyDescent="0.25">
      <c r="O701864" s="9"/>
    </row>
    <row r="701885" spans="15:15" x14ac:dyDescent="0.25">
      <c r="O701885" s="9"/>
    </row>
    <row r="701906" spans="15:15" x14ac:dyDescent="0.25">
      <c r="O701906" s="9"/>
    </row>
    <row r="701927" spans="15:15" x14ac:dyDescent="0.25">
      <c r="O701927" s="9"/>
    </row>
    <row r="701948" spans="15:15" x14ac:dyDescent="0.25">
      <c r="O701948" s="9"/>
    </row>
    <row r="701969" spans="15:15" x14ac:dyDescent="0.25">
      <c r="O701969" s="9"/>
    </row>
    <row r="701990" spans="15:15" x14ac:dyDescent="0.25">
      <c r="O701990" s="9"/>
    </row>
    <row r="702011" spans="15:15" x14ac:dyDescent="0.25">
      <c r="O702011" s="9"/>
    </row>
    <row r="702032" spans="15:15" x14ac:dyDescent="0.25">
      <c r="O702032" s="9"/>
    </row>
    <row r="702053" spans="15:15" x14ac:dyDescent="0.25">
      <c r="O702053" s="9"/>
    </row>
    <row r="702074" spans="15:15" x14ac:dyDescent="0.25">
      <c r="O702074" s="9"/>
    </row>
    <row r="702095" spans="15:15" x14ac:dyDescent="0.25">
      <c r="O702095" s="9"/>
    </row>
    <row r="702116" spans="15:15" x14ac:dyDescent="0.25">
      <c r="O702116" s="9"/>
    </row>
    <row r="702137" spans="15:15" x14ac:dyDescent="0.25">
      <c r="O702137" s="9"/>
    </row>
    <row r="702158" spans="15:15" x14ac:dyDescent="0.25">
      <c r="O702158" s="9"/>
    </row>
    <row r="702179" spans="15:15" x14ac:dyDescent="0.25">
      <c r="O702179" s="9"/>
    </row>
    <row r="702200" spans="15:15" x14ac:dyDescent="0.25">
      <c r="O702200" s="9"/>
    </row>
    <row r="702221" spans="15:15" x14ac:dyDescent="0.25">
      <c r="O702221" s="9"/>
    </row>
    <row r="702242" spans="15:15" x14ac:dyDescent="0.25">
      <c r="O702242" s="9"/>
    </row>
    <row r="702263" spans="15:15" x14ac:dyDescent="0.25">
      <c r="O702263" s="9"/>
    </row>
    <row r="702284" spans="15:15" x14ac:dyDescent="0.25">
      <c r="O702284" s="9"/>
    </row>
    <row r="702305" spans="15:15" x14ac:dyDescent="0.25">
      <c r="O702305" s="9"/>
    </row>
    <row r="702326" spans="15:15" x14ac:dyDescent="0.25">
      <c r="O702326" s="9"/>
    </row>
    <row r="702347" spans="15:15" x14ac:dyDescent="0.25">
      <c r="O702347" s="9"/>
    </row>
    <row r="702368" spans="15:15" x14ac:dyDescent="0.25">
      <c r="O702368" s="9"/>
    </row>
    <row r="702389" spans="15:15" x14ac:dyDescent="0.25">
      <c r="O702389" s="9"/>
    </row>
    <row r="702410" spans="15:15" x14ac:dyDescent="0.25">
      <c r="O702410" s="9"/>
    </row>
    <row r="702431" spans="15:15" x14ac:dyDescent="0.25">
      <c r="O702431" s="9"/>
    </row>
    <row r="702452" spans="15:15" x14ac:dyDescent="0.25">
      <c r="O702452" s="9"/>
    </row>
    <row r="702473" spans="15:15" x14ac:dyDescent="0.25">
      <c r="O702473" s="9"/>
    </row>
    <row r="702494" spans="15:15" x14ac:dyDescent="0.25">
      <c r="O702494" s="9"/>
    </row>
    <row r="702515" spans="15:15" x14ac:dyDescent="0.25">
      <c r="O702515" s="9"/>
    </row>
    <row r="702536" spans="15:15" x14ac:dyDescent="0.25">
      <c r="O702536" s="9"/>
    </row>
    <row r="702557" spans="15:15" x14ac:dyDescent="0.25">
      <c r="O702557" s="9"/>
    </row>
    <row r="702578" spans="15:15" x14ac:dyDescent="0.25">
      <c r="O702578" s="9"/>
    </row>
    <row r="702599" spans="15:15" x14ac:dyDescent="0.25">
      <c r="O702599" s="9"/>
    </row>
    <row r="702620" spans="15:15" x14ac:dyDescent="0.25">
      <c r="O702620" s="9"/>
    </row>
    <row r="702641" spans="15:15" x14ac:dyDescent="0.25">
      <c r="O702641" s="9"/>
    </row>
    <row r="702662" spans="15:15" x14ac:dyDescent="0.25">
      <c r="O702662" s="9"/>
    </row>
    <row r="702683" spans="15:15" x14ac:dyDescent="0.25">
      <c r="O702683" s="9"/>
    </row>
    <row r="702704" spans="15:15" x14ac:dyDescent="0.25">
      <c r="O702704" s="9"/>
    </row>
    <row r="702725" spans="15:15" x14ac:dyDescent="0.25">
      <c r="O702725" s="9"/>
    </row>
    <row r="702746" spans="15:15" x14ac:dyDescent="0.25">
      <c r="O702746" s="9"/>
    </row>
    <row r="702767" spans="15:15" x14ac:dyDescent="0.25">
      <c r="O702767" s="9"/>
    </row>
    <row r="702788" spans="15:15" x14ac:dyDescent="0.25">
      <c r="O702788" s="9"/>
    </row>
    <row r="702809" spans="15:15" x14ac:dyDescent="0.25">
      <c r="O702809" s="9"/>
    </row>
    <row r="702830" spans="15:15" x14ac:dyDescent="0.25">
      <c r="O702830" s="9"/>
    </row>
    <row r="702851" spans="15:15" x14ac:dyDescent="0.25">
      <c r="O702851" s="9"/>
    </row>
    <row r="702872" spans="15:15" x14ac:dyDescent="0.25">
      <c r="O702872" s="9"/>
    </row>
    <row r="702893" spans="15:15" x14ac:dyDescent="0.25">
      <c r="O702893" s="9"/>
    </row>
    <row r="702914" spans="15:15" x14ac:dyDescent="0.25">
      <c r="O702914" s="9"/>
    </row>
    <row r="702935" spans="15:15" x14ac:dyDescent="0.25">
      <c r="O702935" s="9"/>
    </row>
    <row r="702956" spans="15:15" x14ac:dyDescent="0.25">
      <c r="O702956" s="9"/>
    </row>
    <row r="702977" spans="15:15" x14ac:dyDescent="0.25">
      <c r="O702977" s="9"/>
    </row>
    <row r="702998" spans="15:15" x14ac:dyDescent="0.25">
      <c r="O702998" s="9"/>
    </row>
    <row r="703019" spans="15:15" x14ac:dyDescent="0.25">
      <c r="O703019" s="9"/>
    </row>
    <row r="703040" spans="15:15" x14ac:dyDescent="0.25">
      <c r="O703040" s="9"/>
    </row>
    <row r="703061" spans="15:15" x14ac:dyDescent="0.25">
      <c r="O703061" s="9"/>
    </row>
    <row r="703082" spans="15:15" x14ac:dyDescent="0.25">
      <c r="O703082" s="9"/>
    </row>
    <row r="703103" spans="15:15" x14ac:dyDescent="0.25">
      <c r="O703103" s="9"/>
    </row>
    <row r="703124" spans="15:15" x14ac:dyDescent="0.25">
      <c r="O703124" s="9"/>
    </row>
    <row r="703145" spans="15:15" x14ac:dyDescent="0.25">
      <c r="O703145" s="9"/>
    </row>
    <row r="703166" spans="15:15" x14ac:dyDescent="0.25">
      <c r="O703166" s="9"/>
    </row>
    <row r="703187" spans="15:15" x14ac:dyDescent="0.25">
      <c r="O703187" s="9"/>
    </row>
    <row r="703208" spans="15:15" x14ac:dyDescent="0.25">
      <c r="O703208" s="9"/>
    </row>
    <row r="703229" spans="15:15" x14ac:dyDescent="0.25">
      <c r="O703229" s="9"/>
    </row>
    <row r="703250" spans="15:15" x14ac:dyDescent="0.25">
      <c r="O703250" s="9"/>
    </row>
    <row r="703271" spans="15:15" x14ac:dyDescent="0.25">
      <c r="O703271" s="9"/>
    </row>
    <row r="703292" spans="15:15" x14ac:dyDescent="0.25">
      <c r="O703292" s="9"/>
    </row>
    <row r="703313" spans="15:15" x14ac:dyDescent="0.25">
      <c r="O703313" s="9"/>
    </row>
    <row r="703334" spans="15:15" x14ac:dyDescent="0.25">
      <c r="O703334" s="9"/>
    </row>
    <row r="703355" spans="15:15" x14ac:dyDescent="0.25">
      <c r="O703355" s="9"/>
    </row>
    <row r="703376" spans="15:15" x14ac:dyDescent="0.25">
      <c r="O703376" s="9"/>
    </row>
    <row r="703397" spans="15:15" x14ac:dyDescent="0.25">
      <c r="O703397" s="9"/>
    </row>
    <row r="703418" spans="15:15" x14ac:dyDescent="0.25">
      <c r="O703418" s="9"/>
    </row>
    <row r="703439" spans="15:15" x14ac:dyDescent="0.25">
      <c r="O703439" s="9"/>
    </row>
    <row r="703460" spans="15:15" x14ac:dyDescent="0.25">
      <c r="O703460" s="9"/>
    </row>
    <row r="703481" spans="15:15" x14ac:dyDescent="0.25">
      <c r="O703481" s="9"/>
    </row>
    <row r="703502" spans="15:15" x14ac:dyDescent="0.25">
      <c r="O703502" s="9"/>
    </row>
    <row r="703523" spans="15:15" x14ac:dyDescent="0.25">
      <c r="O703523" s="9"/>
    </row>
    <row r="703544" spans="15:15" x14ac:dyDescent="0.25">
      <c r="O703544" s="9"/>
    </row>
    <row r="703565" spans="15:15" x14ac:dyDescent="0.25">
      <c r="O703565" s="9"/>
    </row>
    <row r="703586" spans="15:15" x14ac:dyDescent="0.25">
      <c r="O703586" s="9"/>
    </row>
    <row r="703607" spans="15:15" x14ac:dyDescent="0.25">
      <c r="O703607" s="9"/>
    </row>
    <row r="703628" spans="15:15" x14ac:dyDescent="0.25">
      <c r="O703628" s="9"/>
    </row>
    <row r="703649" spans="15:15" x14ac:dyDescent="0.25">
      <c r="O703649" s="9"/>
    </row>
    <row r="703670" spans="15:15" x14ac:dyDescent="0.25">
      <c r="O703670" s="9"/>
    </row>
    <row r="703691" spans="15:15" x14ac:dyDescent="0.25">
      <c r="O703691" s="9"/>
    </row>
    <row r="703712" spans="15:15" x14ac:dyDescent="0.25">
      <c r="O703712" s="9"/>
    </row>
    <row r="703733" spans="15:15" x14ac:dyDescent="0.25">
      <c r="O703733" s="9"/>
    </row>
    <row r="703754" spans="15:15" x14ac:dyDescent="0.25">
      <c r="O703754" s="9"/>
    </row>
    <row r="703775" spans="15:15" x14ac:dyDescent="0.25">
      <c r="O703775" s="9"/>
    </row>
    <row r="703796" spans="15:15" x14ac:dyDescent="0.25">
      <c r="O703796" s="9"/>
    </row>
    <row r="703817" spans="15:15" x14ac:dyDescent="0.25">
      <c r="O703817" s="9"/>
    </row>
    <row r="703838" spans="15:15" x14ac:dyDescent="0.25">
      <c r="O703838" s="9"/>
    </row>
    <row r="703859" spans="15:15" x14ac:dyDescent="0.25">
      <c r="O703859" s="9"/>
    </row>
    <row r="703880" spans="15:15" x14ac:dyDescent="0.25">
      <c r="O703880" s="9"/>
    </row>
    <row r="703901" spans="15:15" x14ac:dyDescent="0.25">
      <c r="O703901" s="9"/>
    </row>
    <row r="703922" spans="15:15" x14ac:dyDescent="0.25">
      <c r="O703922" s="9"/>
    </row>
    <row r="703943" spans="15:15" x14ac:dyDescent="0.25">
      <c r="O703943" s="9"/>
    </row>
    <row r="703964" spans="15:15" x14ac:dyDescent="0.25">
      <c r="O703964" s="9"/>
    </row>
    <row r="703985" spans="15:15" x14ac:dyDescent="0.25">
      <c r="O703985" s="9"/>
    </row>
    <row r="704006" spans="15:15" x14ac:dyDescent="0.25">
      <c r="O704006" s="9"/>
    </row>
    <row r="704027" spans="15:15" x14ac:dyDescent="0.25">
      <c r="O704027" s="9"/>
    </row>
    <row r="704048" spans="15:15" x14ac:dyDescent="0.25">
      <c r="O704048" s="9"/>
    </row>
    <row r="704069" spans="15:15" x14ac:dyDescent="0.25">
      <c r="O704069" s="9"/>
    </row>
    <row r="704090" spans="15:15" x14ac:dyDescent="0.25">
      <c r="O704090" s="9"/>
    </row>
    <row r="704111" spans="15:15" x14ac:dyDescent="0.25">
      <c r="O704111" s="9"/>
    </row>
    <row r="704132" spans="15:15" x14ac:dyDescent="0.25">
      <c r="O704132" s="9"/>
    </row>
    <row r="704153" spans="15:15" x14ac:dyDescent="0.25">
      <c r="O704153" s="9"/>
    </row>
    <row r="704174" spans="15:15" x14ac:dyDescent="0.25">
      <c r="O704174" s="9"/>
    </row>
    <row r="704195" spans="15:15" x14ac:dyDescent="0.25">
      <c r="O704195" s="9"/>
    </row>
    <row r="704216" spans="15:15" x14ac:dyDescent="0.25">
      <c r="O704216" s="9"/>
    </row>
    <row r="704237" spans="15:15" x14ac:dyDescent="0.25">
      <c r="O704237" s="9"/>
    </row>
    <row r="704258" spans="15:15" x14ac:dyDescent="0.25">
      <c r="O704258" s="9"/>
    </row>
    <row r="704279" spans="15:15" x14ac:dyDescent="0.25">
      <c r="O704279" s="9"/>
    </row>
    <row r="704300" spans="15:15" x14ac:dyDescent="0.25">
      <c r="O704300" s="9"/>
    </row>
    <row r="704321" spans="15:15" x14ac:dyDescent="0.25">
      <c r="O704321" s="9"/>
    </row>
    <row r="704342" spans="15:15" x14ac:dyDescent="0.25">
      <c r="O704342" s="9"/>
    </row>
    <row r="704363" spans="15:15" x14ac:dyDescent="0.25">
      <c r="O704363" s="9"/>
    </row>
    <row r="704384" spans="15:15" x14ac:dyDescent="0.25">
      <c r="O704384" s="9"/>
    </row>
    <row r="704405" spans="15:15" x14ac:dyDescent="0.25">
      <c r="O704405" s="9"/>
    </row>
    <row r="704426" spans="15:15" x14ac:dyDescent="0.25">
      <c r="O704426" s="9"/>
    </row>
    <row r="704447" spans="15:15" x14ac:dyDescent="0.25">
      <c r="O704447" s="9"/>
    </row>
    <row r="704468" spans="15:15" x14ac:dyDescent="0.25">
      <c r="O704468" s="9"/>
    </row>
    <row r="704489" spans="15:15" x14ac:dyDescent="0.25">
      <c r="O704489" s="9"/>
    </row>
    <row r="704510" spans="15:15" x14ac:dyDescent="0.25">
      <c r="O704510" s="9"/>
    </row>
    <row r="704531" spans="15:15" x14ac:dyDescent="0.25">
      <c r="O704531" s="9"/>
    </row>
    <row r="704552" spans="15:15" x14ac:dyDescent="0.25">
      <c r="O704552" s="9"/>
    </row>
    <row r="704573" spans="15:15" x14ac:dyDescent="0.25">
      <c r="O704573" s="9"/>
    </row>
    <row r="704594" spans="15:15" x14ac:dyDescent="0.25">
      <c r="O704594" s="9"/>
    </row>
    <row r="704615" spans="15:15" x14ac:dyDescent="0.25">
      <c r="O704615" s="9"/>
    </row>
    <row r="704636" spans="15:15" x14ac:dyDescent="0.25">
      <c r="O704636" s="9"/>
    </row>
    <row r="704657" spans="15:15" x14ac:dyDescent="0.25">
      <c r="O704657" s="9"/>
    </row>
    <row r="704678" spans="15:15" x14ac:dyDescent="0.25">
      <c r="O704678" s="9"/>
    </row>
    <row r="704699" spans="15:15" x14ac:dyDescent="0.25">
      <c r="O704699" s="9"/>
    </row>
    <row r="704720" spans="15:15" x14ac:dyDescent="0.25">
      <c r="O704720" s="9"/>
    </row>
    <row r="704741" spans="15:15" x14ac:dyDescent="0.25">
      <c r="O704741" s="9"/>
    </row>
    <row r="704762" spans="15:15" x14ac:dyDescent="0.25">
      <c r="O704762" s="9"/>
    </row>
    <row r="704783" spans="15:15" x14ac:dyDescent="0.25">
      <c r="O704783" s="9"/>
    </row>
    <row r="704804" spans="15:15" x14ac:dyDescent="0.25">
      <c r="O704804" s="9"/>
    </row>
    <row r="704825" spans="15:15" x14ac:dyDescent="0.25">
      <c r="O704825" s="9"/>
    </row>
    <row r="704846" spans="15:15" x14ac:dyDescent="0.25">
      <c r="O704846" s="9"/>
    </row>
    <row r="704867" spans="15:15" x14ac:dyDescent="0.25">
      <c r="O704867" s="9"/>
    </row>
    <row r="704888" spans="15:15" x14ac:dyDescent="0.25">
      <c r="O704888" s="9"/>
    </row>
    <row r="704909" spans="15:15" x14ac:dyDescent="0.25">
      <c r="O704909" s="9"/>
    </row>
    <row r="704930" spans="15:15" x14ac:dyDescent="0.25">
      <c r="O704930" s="9"/>
    </row>
    <row r="704951" spans="15:15" x14ac:dyDescent="0.25">
      <c r="O704951" s="9"/>
    </row>
    <row r="704972" spans="15:15" x14ac:dyDescent="0.25">
      <c r="O704972" s="9"/>
    </row>
    <row r="704993" spans="15:15" x14ac:dyDescent="0.25">
      <c r="O704993" s="9"/>
    </row>
    <row r="705014" spans="15:15" x14ac:dyDescent="0.25">
      <c r="O705014" s="9"/>
    </row>
    <row r="705035" spans="15:15" x14ac:dyDescent="0.25">
      <c r="O705035" s="9"/>
    </row>
    <row r="705056" spans="15:15" x14ac:dyDescent="0.25">
      <c r="O705056" s="9"/>
    </row>
    <row r="705077" spans="15:15" x14ac:dyDescent="0.25">
      <c r="O705077" s="9"/>
    </row>
    <row r="705098" spans="15:15" x14ac:dyDescent="0.25">
      <c r="O705098" s="9"/>
    </row>
    <row r="705119" spans="15:15" x14ac:dyDescent="0.25">
      <c r="O705119" s="9"/>
    </row>
    <row r="705140" spans="15:15" x14ac:dyDescent="0.25">
      <c r="O705140" s="9"/>
    </row>
    <row r="705161" spans="15:15" x14ac:dyDescent="0.25">
      <c r="O705161" s="9"/>
    </row>
    <row r="705182" spans="15:15" x14ac:dyDescent="0.25">
      <c r="O705182" s="9"/>
    </row>
    <row r="705203" spans="15:15" x14ac:dyDescent="0.25">
      <c r="O705203" s="9"/>
    </row>
    <row r="705224" spans="15:15" x14ac:dyDescent="0.25">
      <c r="O705224" s="9"/>
    </row>
    <row r="705245" spans="15:15" x14ac:dyDescent="0.25">
      <c r="O705245" s="9"/>
    </row>
    <row r="705266" spans="15:15" x14ac:dyDescent="0.25">
      <c r="O705266" s="9"/>
    </row>
    <row r="705287" spans="15:15" x14ac:dyDescent="0.25">
      <c r="O705287" s="9"/>
    </row>
    <row r="705308" spans="15:15" x14ac:dyDescent="0.25">
      <c r="O705308" s="9"/>
    </row>
    <row r="705329" spans="15:15" x14ac:dyDescent="0.25">
      <c r="O705329" s="9"/>
    </row>
    <row r="705350" spans="15:15" x14ac:dyDescent="0.25">
      <c r="O705350" s="9"/>
    </row>
    <row r="705371" spans="15:15" x14ac:dyDescent="0.25">
      <c r="O705371" s="9"/>
    </row>
    <row r="705392" spans="15:15" x14ac:dyDescent="0.25">
      <c r="O705392" s="9"/>
    </row>
    <row r="705413" spans="15:15" x14ac:dyDescent="0.25">
      <c r="O705413" s="9"/>
    </row>
    <row r="705434" spans="15:15" x14ac:dyDescent="0.25">
      <c r="O705434" s="9"/>
    </row>
    <row r="705455" spans="15:15" x14ac:dyDescent="0.25">
      <c r="O705455" s="9"/>
    </row>
    <row r="705476" spans="15:15" x14ac:dyDescent="0.25">
      <c r="O705476" s="9"/>
    </row>
    <row r="705497" spans="15:15" x14ac:dyDescent="0.25">
      <c r="O705497" s="9"/>
    </row>
    <row r="705518" spans="15:15" x14ac:dyDescent="0.25">
      <c r="O705518" s="9"/>
    </row>
    <row r="705539" spans="15:15" x14ac:dyDescent="0.25">
      <c r="O705539" s="9"/>
    </row>
    <row r="705560" spans="15:15" x14ac:dyDescent="0.25">
      <c r="O705560" s="9"/>
    </row>
    <row r="705581" spans="15:15" x14ac:dyDescent="0.25">
      <c r="O705581" s="9"/>
    </row>
    <row r="705602" spans="15:15" x14ac:dyDescent="0.25">
      <c r="O705602" s="9"/>
    </row>
    <row r="705623" spans="15:15" x14ac:dyDescent="0.25">
      <c r="O705623" s="9"/>
    </row>
    <row r="705644" spans="15:15" x14ac:dyDescent="0.25">
      <c r="O705644" s="9"/>
    </row>
    <row r="705665" spans="15:15" x14ac:dyDescent="0.25">
      <c r="O705665" s="9"/>
    </row>
    <row r="705686" spans="15:15" x14ac:dyDescent="0.25">
      <c r="O705686" s="9"/>
    </row>
    <row r="705707" spans="15:15" x14ac:dyDescent="0.25">
      <c r="O705707" s="9"/>
    </row>
    <row r="705728" spans="15:15" x14ac:dyDescent="0.25">
      <c r="O705728" s="9"/>
    </row>
    <row r="705749" spans="15:15" x14ac:dyDescent="0.25">
      <c r="O705749" s="9"/>
    </row>
    <row r="705770" spans="15:15" x14ac:dyDescent="0.25">
      <c r="O705770" s="9"/>
    </row>
    <row r="705791" spans="15:15" x14ac:dyDescent="0.25">
      <c r="O705791" s="9"/>
    </row>
    <row r="705812" spans="15:15" x14ac:dyDescent="0.25">
      <c r="O705812" s="9"/>
    </row>
    <row r="705833" spans="15:15" x14ac:dyDescent="0.25">
      <c r="O705833" s="9"/>
    </row>
    <row r="705854" spans="15:15" x14ac:dyDescent="0.25">
      <c r="O705854" s="9"/>
    </row>
    <row r="705875" spans="15:15" x14ac:dyDescent="0.25">
      <c r="O705875" s="9"/>
    </row>
    <row r="705896" spans="15:15" x14ac:dyDescent="0.25">
      <c r="O705896" s="9"/>
    </row>
    <row r="705917" spans="15:15" x14ac:dyDescent="0.25">
      <c r="O705917" s="9"/>
    </row>
    <row r="705938" spans="15:15" x14ac:dyDescent="0.25">
      <c r="O705938" s="9"/>
    </row>
    <row r="705959" spans="15:15" x14ac:dyDescent="0.25">
      <c r="O705959" s="9"/>
    </row>
    <row r="705980" spans="15:15" x14ac:dyDescent="0.25">
      <c r="O705980" s="9"/>
    </row>
    <row r="706001" spans="15:15" x14ac:dyDescent="0.25">
      <c r="O706001" s="9"/>
    </row>
    <row r="706022" spans="15:15" x14ac:dyDescent="0.25">
      <c r="O706022" s="9"/>
    </row>
    <row r="706043" spans="15:15" x14ac:dyDescent="0.25">
      <c r="O706043" s="9"/>
    </row>
    <row r="706064" spans="15:15" x14ac:dyDescent="0.25">
      <c r="O706064" s="9"/>
    </row>
    <row r="706085" spans="15:15" x14ac:dyDescent="0.25">
      <c r="O706085" s="9"/>
    </row>
    <row r="706106" spans="15:15" x14ac:dyDescent="0.25">
      <c r="O706106" s="9"/>
    </row>
    <row r="706127" spans="15:15" x14ac:dyDescent="0.25">
      <c r="O706127" s="9"/>
    </row>
    <row r="706148" spans="15:15" x14ac:dyDescent="0.25">
      <c r="O706148" s="9"/>
    </row>
    <row r="706169" spans="15:15" x14ac:dyDescent="0.25">
      <c r="O706169" s="9"/>
    </row>
    <row r="706190" spans="15:15" x14ac:dyDescent="0.25">
      <c r="O706190" s="9"/>
    </row>
    <row r="706211" spans="15:15" x14ac:dyDescent="0.25">
      <c r="O706211" s="9"/>
    </row>
    <row r="706232" spans="15:15" x14ac:dyDescent="0.25">
      <c r="O706232" s="9"/>
    </row>
    <row r="706253" spans="15:15" x14ac:dyDescent="0.25">
      <c r="O706253" s="9"/>
    </row>
    <row r="706274" spans="15:15" x14ac:dyDescent="0.25">
      <c r="O706274" s="9"/>
    </row>
    <row r="706295" spans="15:15" x14ac:dyDescent="0.25">
      <c r="O706295" s="9"/>
    </row>
    <row r="706316" spans="15:15" x14ac:dyDescent="0.25">
      <c r="O706316" s="9"/>
    </row>
    <row r="706337" spans="15:15" x14ac:dyDescent="0.25">
      <c r="O706337" s="9"/>
    </row>
    <row r="706358" spans="15:15" x14ac:dyDescent="0.25">
      <c r="O706358" s="9"/>
    </row>
    <row r="706379" spans="15:15" x14ac:dyDescent="0.25">
      <c r="O706379" s="9"/>
    </row>
    <row r="706400" spans="15:15" x14ac:dyDescent="0.25">
      <c r="O706400" s="9"/>
    </row>
    <row r="706421" spans="15:15" x14ac:dyDescent="0.25">
      <c r="O706421" s="9"/>
    </row>
    <row r="706442" spans="15:15" x14ac:dyDescent="0.25">
      <c r="O706442" s="9"/>
    </row>
    <row r="706463" spans="15:15" x14ac:dyDescent="0.25">
      <c r="O706463" s="9"/>
    </row>
    <row r="706484" spans="15:15" x14ac:dyDescent="0.25">
      <c r="O706484" s="9"/>
    </row>
    <row r="706505" spans="15:15" x14ac:dyDescent="0.25">
      <c r="O706505" s="9"/>
    </row>
    <row r="706526" spans="15:15" x14ac:dyDescent="0.25">
      <c r="O706526" s="9"/>
    </row>
    <row r="706547" spans="15:15" x14ac:dyDescent="0.25">
      <c r="O706547" s="9"/>
    </row>
    <row r="706568" spans="15:15" x14ac:dyDescent="0.25">
      <c r="O706568" s="9"/>
    </row>
    <row r="706589" spans="15:15" x14ac:dyDescent="0.25">
      <c r="O706589" s="9"/>
    </row>
    <row r="706610" spans="15:15" x14ac:dyDescent="0.25">
      <c r="O706610" s="9"/>
    </row>
    <row r="706631" spans="15:15" x14ac:dyDescent="0.25">
      <c r="O706631" s="9"/>
    </row>
    <row r="706652" spans="15:15" x14ac:dyDescent="0.25">
      <c r="O706652" s="9"/>
    </row>
    <row r="706673" spans="15:15" x14ac:dyDescent="0.25">
      <c r="O706673" s="9"/>
    </row>
    <row r="706694" spans="15:15" x14ac:dyDescent="0.25">
      <c r="O706694" s="9"/>
    </row>
    <row r="706715" spans="15:15" x14ac:dyDescent="0.25">
      <c r="O706715" s="9"/>
    </row>
    <row r="706736" spans="15:15" x14ac:dyDescent="0.25">
      <c r="O706736" s="9"/>
    </row>
    <row r="706757" spans="15:15" x14ac:dyDescent="0.25">
      <c r="O706757" s="9"/>
    </row>
    <row r="706778" spans="15:15" x14ac:dyDescent="0.25">
      <c r="O706778" s="9"/>
    </row>
    <row r="706799" spans="15:15" x14ac:dyDescent="0.25">
      <c r="O706799" s="9"/>
    </row>
    <row r="706820" spans="15:15" x14ac:dyDescent="0.25">
      <c r="O706820" s="9"/>
    </row>
    <row r="706841" spans="15:15" x14ac:dyDescent="0.25">
      <c r="O706841" s="9"/>
    </row>
    <row r="706862" spans="15:15" x14ac:dyDescent="0.25">
      <c r="O706862" s="9"/>
    </row>
    <row r="706883" spans="15:15" x14ac:dyDescent="0.25">
      <c r="O706883" s="9"/>
    </row>
    <row r="706904" spans="15:15" x14ac:dyDescent="0.25">
      <c r="O706904" s="9"/>
    </row>
    <row r="706925" spans="15:15" x14ac:dyDescent="0.25">
      <c r="O706925" s="9"/>
    </row>
    <row r="706946" spans="15:15" x14ac:dyDescent="0.25">
      <c r="O706946" s="9"/>
    </row>
    <row r="706967" spans="15:15" x14ac:dyDescent="0.25">
      <c r="O706967" s="9"/>
    </row>
    <row r="706988" spans="15:15" x14ac:dyDescent="0.25">
      <c r="O706988" s="9"/>
    </row>
    <row r="707009" spans="15:15" x14ac:dyDescent="0.25">
      <c r="O707009" s="9"/>
    </row>
    <row r="707030" spans="15:15" x14ac:dyDescent="0.25">
      <c r="O707030" s="9"/>
    </row>
    <row r="707051" spans="15:15" x14ac:dyDescent="0.25">
      <c r="O707051" s="9"/>
    </row>
    <row r="707072" spans="15:15" x14ac:dyDescent="0.25">
      <c r="O707072" s="9"/>
    </row>
    <row r="707093" spans="15:15" x14ac:dyDescent="0.25">
      <c r="O707093" s="9"/>
    </row>
    <row r="707114" spans="15:15" x14ac:dyDescent="0.25">
      <c r="O707114" s="9"/>
    </row>
    <row r="707135" spans="15:15" x14ac:dyDescent="0.25">
      <c r="O707135" s="9"/>
    </row>
    <row r="707156" spans="15:15" x14ac:dyDescent="0.25">
      <c r="O707156" s="9"/>
    </row>
    <row r="707177" spans="15:15" x14ac:dyDescent="0.25">
      <c r="O707177" s="9"/>
    </row>
    <row r="707198" spans="15:15" x14ac:dyDescent="0.25">
      <c r="O707198" s="9"/>
    </row>
    <row r="707219" spans="15:15" x14ac:dyDescent="0.25">
      <c r="O707219" s="9"/>
    </row>
    <row r="707240" spans="15:15" x14ac:dyDescent="0.25">
      <c r="O707240" s="9"/>
    </row>
    <row r="707261" spans="15:15" x14ac:dyDescent="0.25">
      <c r="O707261" s="9"/>
    </row>
    <row r="707282" spans="15:15" x14ac:dyDescent="0.25">
      <c r="O707282" s="9"/>
    </row>
    <row r="707303" spans="15:15" x14ac:dyDescent="0.25">
      <c r="O707303" s="9"/>
    </row>
    <row r="707324" spans="15:15" x14ac:dyDescent="0.25">
      <c r="O707324" s="9"/>
    </row>
    <row r="707345" spans="15:15" x14ac:dyDescent="0.25">
      <c r="O707345" s="9"/>
    </row>
    <row r="707366" spans="15:15" x14ac:dyDescent="0.25">
      <c r="O707366" s="9"/>
    </row>
    <row r="707387" spans="15:15" x14ac:dyDescent="0.25">
      <c r="O707387" s="9"/>
    </row>
    <row r="707408" spans="15:15" x14ac:dyDescent="0.25">
      <c r="O707408" s="9"/>
    </row>
    <row r="707429" spans="15:15" x14ac:dyDescent="0.25">
      <c r="O707429" s="9"/>
    </row>
    <row r="707450" spans="15:15" x14ac:dyDescent="0.25">
      <c r="O707450" s="9"/>
    </row>
    <row r="707471" spans="15:15" x14ac:dyDescent="0.25">
      <c r="O707471" s="9"/>
    </row>
    <row r="707492" spans="15:15" x14ac:dyDescent="0.25">
      <c r="O707492" s="9"/>
    </row>
    <row r="707513" spans="15:15" x14ac:dyDescent="0.25">
      <c r="O707513" s="9"/>
    </row>
    <row r="707534" spans="15:15" x14ac:dyDescent="0.25">
      <c r="O707534" s="9"/>
    </row>
    <row r="707555" spans="15:15" x14ac:dyDescent="0.25">
      <c r="O707555" s="9"/>
    </row>
    <row r="707576" spans="15:15" x14ac:dyDescent="0.25">
      <c r="O707576" s="9"/>
    </row>
    <row r="707597" spans="15:15" x14ac:dyDescent="0.25">
      <c r="O707597" s="9"/>
    </row>
    <row r="707618" spans="15:15" x14ac:dyDescent="0.25">
      <c r="O707618" s="9"/>
    </row>
    <row r="707639" spans="15:15" x14ac:dyDescent="0.25">
      <c r="O707639" s="9"/>
    </row>
    <row r="707660" spans="15:15" x14ac:dyDescent="0.25">
      <c r="O707660" s="9"/>
    </row>
    <row r="707681" spans="15:15" x14ac:dyDescent="0.25">
      <c r="O707681" s="9"/>
    </row>
    <row r="707702" spans="15:15" x14ac:dyDescent="0.25">
      <c r="O707702" s="9"/>
    </row>
    <row r="707723" spans="15:15" x14ac:dyDescent="0.25">
      <c r="O707723" s="9"/>
    </row>
    <row r="707744" spans="15:15" x14ac:dyDescent="0.25">
      <c r="O707744" s="9"/>
    </row>
    <row r="707765" spans="15:15" x14ac:dyDescent="0.25">
      <c r="O707765" s="9"/>
    </row>
    <row r="707786" spans="15:15" x14ac:dyDescent="0.25">
      <c r="O707786" s="9"/>
    </row>
    <row r="707807" spans="15:15" x14ac:dyDescent="0.25">
      <c r="O707807" s="9"/>
    </row>
    <row r="707828" spans="15:15" x14ac:dyDescent="0.25">
      <c r="O707828" s="9"/>
    </row>
    <row r="707849" spans="15:15" x14ac:dyDescent="0.25">
      <c r="O707849" s="9"/>
    </row>
    <row r="707870" spans="15:15" x14ac:dyDescent="0.25">
      <c r="O707870" s="9"/>
    </row>
    <row r="707891" spans="15:15" x14ac:dyDescent="0.25">
      <c r="O707891" s="9"/>
    </row>
    <row r="707912" spans="15:15" x14ac:dyDescent="0.25">
      <c r="O707912" s="9"/>
    </row>
    <row r="707933" spans="15:15" x14ac:dyDescent="0.25">
      <c r="O707933" s="9"/>
    </row>
    <row r="707954" spans="15:15" x14ac:dyDescent="0.25">
      <c r="O707954" s="9"/>
    </row>
    <row r="707975" spans="15:15" x14ac:dyDescent="0.25">
      <c r="O707975" s="9"/>
    </row>
    <row r="707996" spans="15:15" x14ac:dyDescent="0.25">
      <c r="O707996" s="9"/>
    </row>
    <row r="708017" spans="15:15" x14ac:dyDescent="0.25">
      <c r="O708017" s="9"/>
    </row>
    <row r="708038" spans="15:15" x14ac:dyDescent="0.25">
      <c r="O708038" s="9"/>
    </row>
    <row r="708059" spans="15:15" x14ac:dyDescent="0.25">
      <c r="O708059" s="9"/>
    </row>
    <row r="708080" spans="15:15" x14ac:dyDescent="0.25">
      <c r="O708080" s="9"/>
    </row>
    <row r="708101" spans="15:15" x14ac:dyDescent="0.25">
      <c r="O708101" s="9"/>
    </row>
    <row r="708122" spans="15:15" x14ac:dyDescent="0.25">
      <c r="O708122" s="9"/>
    </row>
    <row r="708143" spans="15:15" x14ac:dyDescent="0.25">
      <c r="O708143" s="9"/>
    </row>
    <row r="708164" spans="15:15" x14ac:dyDescent="0.25">
      <c r="O708164" s="9"/>
    </row>
    <row r="708185" spans="15:15" x14ac:dyDescent="0.25">
      <c r="O708185" s="9"/>
    </row>
    <row r="708206" spans="15:15" x14ac:dyDescent="0.25">
      <c r="O708206" s="9"/>
    </row>
    <row r="708227" spans="15:15" x14ac:dyDescent="0.25">
      <c r="O708227" s="9"/>
    </row>
    <row r="708248" spans="15:15" x14ac:dyDescent="0.25">
      <c r="O708248" s="9"/>
    </row>
    <row r="708269" spans="15:15" x14ac:dyDescent="0.25">
      <c r="O708269" s="9"/>
    </row>
    <row r="708290" spans="15:15" x14ac:dyDescent="0.25">
      <c r="O708290" s="9"/>
    </row>
    <row r="708311" spans="15:15" x14ac:dyDescent="0.25">
      <c r="O708311" s="9"/>
    </row>
    <row r="708332" spans="15:15" x14ac:dyDescent="0.25">
      <c r="O708332" s="9"/>
    </row>
    <row r="708353" spans="15:15" x14ac:dyDescent="0.25">
      <c r="O708353" s="9"/>
    </row>
    <row r="708374" spans="15:15" x14ac:dyDescent="0.25">
      <c r="O708374" s="9"/>
    </row>
    <row r="708395" spans="15:15" x14ac:dyDescent="0.25">
      <c r="O708395" s="9"/>
    </row>
    <row r="708416" spans="15:15" x14ac:dyDescent="0.25">
      <c r="O708416" s="9"/>
    </row>
    <row r="708437" spans="15:15" x14ac:dyDescent="0.25">
      <c r="O708437" s="9"/>
    </row>
    <row r="708458" spans="15:15" x14ac:dyDescent="0.25">
      <c r="O708458" s="9"/>
    </row>
    <row r="708479" spans="15:15" x14ac:dyDescent="0.25">
      <c r="O708479" s="9"/>
    </row>
    <row r="708500" spans="15:15" x14ac:dyDescent="0.25">
      <c r="O708500" s="9"/>
    </row>
    <row r="708521" spans="15:15" x14ac:dyDescent="0.25">
      <c r="O708521" s="9"/>
    </row>
    <row r="708542" spans="15:15" x14ac:dyDescent="0.25">
      <c r="O708542" s="9"/>
    </row>
    <row r="708563" spans="15:15" x14ac:dyDescent="0.25">
      <c r="O708563" s="9"/>
    </row>
    <row r="708584" spans="15:15" x14ac:dyDescent="0.25">
      <c r="O708584" s="9"/>
    </row>
    <row r="708605" spans="15:15" x14ac:dyDescent="0.25">
      <c r="O708605" s="9"/>
    </row>
    <row r="708626" spans="15:15" x14ac:dyDescent="0.25">
      <c r="O708626" s="9"/>
    </row>
    <row r="708647" spans="15:15" x14ac:dyDescent="0.25">
      <c r="O708647" s="9"/>
    </row>
    <row r="708668" spans="15:15" x14ac:dyDescent="0.25">
      <c r="O708668" s="9"/>
    </row>
    <row r="708689" spans="15:15" x14ac:dyDescent="0.25">
      <c r="O708689" s="9"/>
    </row>
    <row r="708710" spans="15:15" x14ac:dyDescent="0.25">
      <c r="O708710" s="9"/>
    </row>
    <row r="708731" spans="15:15" x14ac:dyDescent="0.25">
      <c r="O708731" s="9"/>
    </row>
    <row r="708752" spans="15:15" x14ac:dyDescent="0.25">
      <c r="O708752" s="9"/>
    </row>
    <row r="708773" spans="15:15" x14ac:dyDescent="0.25">
      <c r="O708773" s="9"/>
    </row>
    <row r="708794" spans="15:15" x14ac:dyDescent="0.25">
      <c r="O708794" s="9"/>
    </row>
    <row r="708815" spans="15:15" x14ac:dyDescent="0.25">
      <c r="O708815" s="9"/>
    </row>
    <row r="708836" spans="15:15" x14ac:dyDescent="0.25">
      <c r="O708836" s="9"/>
    </row>
    <row r="708857" spans="15:15" x14ac:dyDescent="0.25">
      <c r="O708857" s="9"/>
    </row>
    <row r="708878" spans="15:15" x14ac:dyDescent="0.25">
      <c r="O708878" s="9"/>
    </row>
    <row r="708899" spans="15:15" x14ac:dyDescent="0.25">
      <c r="O708899" s="9"/>
    </row>
    <row r="708920" spans="15:15" x14ac:dyDescent="0.25">
      <c r="O708920" s="9"/>
    </row>
    <row r="708941" spans="15:15" x14ac:dyDescent="0.25">
      <c r="O708941" s="9"/>
    </row>
    <row r="708962" spans="15:15" x14ac:dyDescent="0.25">
      <c r="O708962" s="9"/>
    </row>
    <row r="708983" spans="15:15" x14ac:dyDescent="0.25">
      <c r="O708983" s="9"/>
    </row>
    <row r="709004" spans="15:15" x14ac:dyDescent="0.25">
      <c r="O709004" s="9"/>
    </row>
    <row r="709025" spans="15:15" x14ac:dyDescent="0.25">
      <c r="O709025" s="9"/>
    </row>
    <row r="709046" spans="15:15" x14ac:dyDescent="0.25">
      <c r="O709046" s="9"/>
    </row>
    <row r="709067" spans="15:15" x14ac:dyDescent="0.25">
      <c r="O709067" s="9"/>
    </row>
    <row r="709088" spans="15:15" x14ac:dyDescent="0.25">
      <c r="O709088" s="9"/>
    </row>
    <row r="709109" spans="15:15" x14ac:dyDescent="0.25">
      <c r="O709109" s="9"/>
    </row>
    <row r="709130" spans="15:15" x14ac:dyDescent="0.25">
      <c r="O709130" s="9"/>
    </row>
    <row r="709151" spans="15:15" x14ac:dyDescent="0.25">
      <c r="O709151" s="9"/>
    </row>
    <row r="709172" spans="15:15" x14ac:dyDescent="0.25">
      <c r="O709172" s="9"/>
    </row>
    <row r="709193" spans="15:15" x14ac:dyDescent="0.25">
      <c r="O709193" s="9"/>
    </row>
    <row r="709214" spans="15:15" x14ac:dyDescent="0.25">
      <c r="O709214" s="9"/>
    </row>
    <row r="709235" spans="15:15" x14ac:dyDescent="0.25">
      <c r="O709235" s="9"/>
    </row>
    <row r="709256" spans="15:15" x14ac:dyDescent="0.25">
      <c r="O709256" s="9"/>
    </row>
    <row r="709277" spans="15:15" x14ac:dyDescent="0.25">
      <c r="O709277" s="9"/>
    </row>
    <row r="709298" spans="15:15" x14ac:dyDescent="0.25">
      <c r="O709298" s="9"/>
    </row>
    <row r="709319" spans="15:15" x14ac:dyDescent="0.25">
      <c r="O709319" s="9"/>
    </row>
    <row r="709340" spans="15:15" x14ac:dyDescent="0.25">
      <c r="O709340" s="9"/>
    </row>
    <row r="709361" spans="15:15" x14ac:dyDescent="0.25">
      <c r="O709361" s="9"/>
    </row>
    <row r="709382" spans="15:15" x14ac:dyDescent="0.25">
      <c r="O709382" s="9"/>
    </row>
    <row r="709403" spans="15:15" x14ac:dyDescent="0.25">
      <c r="O709403" s="9"/>
    </row>
    <row r="709424" spans="15:15" x14ac:dyDescent="0.25">
      <c r="O709424" s="9"/>
    </row>
    <row r="709445" spans="15:15" x14ac:dyDescent="0.25">
      <c r="O709445" s="9"/>
    </row>
    <row r="709466" spans="15:15" x14ac:dyDescent="0.25">
      <c r="O709466" s="9"/>
    </row>
    <row r="709487" spans="15:15" x14ac:dyDescent="0.25">
      <c r="O709487" s="9"/>
    </row>
    <row r="709508" spans="15:15" x14ac:dyDescent="0.25">
      <c r="O709508" s="9"/>
    </row>
    <row r="709529" spans="15:15" x14ac:dyDescent="0.25">
      <c r="O709529" s="9"/>
    </row>
    <row r="709550" spans="15:15" x14ac:dyDescent="0.25">
      <c r="O709550" s="9"/>
    </row>
    <row r="709571" spans="15:15" x14ac:dyDescent="0.25">
      <c r="O709571" s="9"/>
    </row>
    <row r="709592" spans="15:15" x14ac:dyDescent="0.25">
      <c r="O709592" s="9"/>
    </row>
    <row r="709613" spans="15:15" x14ac:dyDescent="0.25">
      <c r="O709613" s="9"/>
    </row>
    <row r="709634" spans="15:15" x14ac:dyDescent="0.25">
      <c r="O709634" s="9"/>
    </row>
    <row r="709655" spans="15:15" x14ac:dyDescent="0.25">
      <c r="O709655" s="9"/>
    </row>
    <row r="709676" spans="15:15" x14ac:dyDescent="0.25">
      <c r="O709676" s="9"/>
    </row>
    <row r="709697" spans="15:15" x14ac:dyDescent="0.25">
      <c r="O709697" s="9"/>
    </row>
    <row r="709718" spans="15:15" x14ac:dyDescent="0.25">
      <c r="O709718" s="9"/>
    </row>
    <row r="709739" spans="15:15" x14ac:dyDescent="0.25">
      <c r="O709739" s="9"/>
    </row>
    <row r="709760" spans="15:15" x14ac:dyDescent="0.25">
      <c r="O709760" s="9"/>
    </row>
    <row r="709781" spans="15:15" x14ac:dyDescent="0.25">
      <c r="O709781" s="9"/>
    </row>
    <row r="709802" spans="15:15" x14ac:dyDescent="0.25">
      <c r="O709802" s="9"/>
    </row>
    <row r="709823" spans="15:15" x14ac:dyDescent="0.25">
      <c r="O709823" s="9"/>
    </row>
    <row r="709844" spans="15:15" x14ac:dyDescent="0.25">
      <c r="O709844" s="9"/>
    </row>
    <row r="709865" spans="15:15" x14ac:dyDescent="0.25">
      <c r="O709865" s="9"/>
    </row>
    <row r="709886" spans="15:15" x14ac:dyDescent="0.25">
      <c r="O709886" s="9"/>
    </row>
    <row r="709907" spans="15:15" x14ac:dyDescent="0.25">
      <c r="O709907" s="9"/>
    </row>
    <row r="709928" spans="15:15" x14ac:dyDescent="0.25">
      <c r="O709928" s="9"/>
    </row>
    <row r="709949" spans="15:15" x14ac:dyDescent="0.25">
      <c r="O709949" s="9"/>
    </row>
    <row r="709970" spans="15:15" x14ac:dyDescent="0.25">
      <c r="O709970" s="9"/>
    </row>
    <row r="709991" spans="15:15" x14ac:dyDescent="0.25">
      <c r="O709991" s="9"/>
    </row>
    <row r="710012" spans="15:15" x14ac:dyDescent="0.25">
      <c r="O710012" s="9"/>
    </row>
    <row r="710033" spans="15:15" x14ac:dyDescent="0.25">
      <c r="O710033" s="9"/>
    </row>
    <row r="710054" spans="15:15" x14ac:dyDescent="0.25">
      <c r="O710054" s="9"/>
    </row>
    <row r="710075" spans="15:15" x14ac:dyDescent="0.25">
      <c r="O710075" s="9"/>
    </row>
    <row r="710096" spans="15:15" x14ac:dyDescent="0.25">
      <c r="O710096" s="9"/>
    </row>
    <row r="710117" spans="15:15" x14ac:dyDescent="0.25">
      <c r="O710117" s="9"/>
    </row>
    <row r="710138" spans="15:15" x14ac:dyDescent="0.25">
      <c r="O710138" s="9"/>
    </row>
    <row r="710159" spans="15:15" x14ac:dyDescent="0.25">
      <c r="O710159" s="9"/>
    </row>
    <row r="710180" spans="15:15" x14ac:dyDescent="0.25">
      <c r="O710180" s="9"/>
    </row>
    <row r="710201" spans="15:15" x14ac:dyDescent="0.25">
      <c r="O710201" s="9"/>
    </row>
    <row r="710222" spans="15:15" x14ac:dyDescent="0.25">
      <c r="O710222" s="9"/>
    </row>
    <row r="710243" spans="15:15" x14ac:dyDescent="0.25">
      <c r="O710243" s="9"/>
    </row>
    <row r="710264" spans="15:15" x14ac:dyDescent="0.25">
      <c r="O710264" s="9"/>
    </row>
    <row r="710285" spans="15:15" x14ac:dyDescent="0.25">
      <c r="O710285" s="9"/>
    </row>
    <row r="710306" spans="15:15" x14ac:dyDescent="0.25">
      <c r="O710306" s="9"/>
    </row>
    <row r="710327" spans="15:15" x14ac:dyDescent="0.25">
      <c r="O710327" s="9"/>
    </row>
    <row r="710348" spans="15:15" x14ac:dyDescent="0.25">
      <c r="O710348" s="9"/>
    </row>
    <row r="710369" spans="15:15" x14ac:dyDescent="0.25">
      <c r="O710369" s="9"/>
    </row>
    <row r="710390" spans="15:15" x14ac:dyDescent="0.25">
      <c r="O710390" s="9"/>
    </row>
    <row r="710411" spans="15:15" x14ac:dyDescent="0.25">
      <c r="O710411" s="9"/>
    </row>
    <row r="710432" spans="15:15" x14ac:dyDescent="0.25">
      <c r="O710432" s="9"/>
    </row>
    <row r="710453" spans="15:15" x14ac:dyDescent="0.25">
      <c r="O710453" s="9"/>
    </row>
    <row r="710474" spans="15:15" x14ac:dyDescent="0.25">
      <c r="O710474" s="9"/>
    </row>
    <row r="710495" spans="15:15" x14ac:dyDescent="0.25">
      <c r="O710495" s="9"/>
    </row>
    <row r="710516" spans="15:15" x14ac:dyDescent="0.25">
      <c r="O710516" s="9"/>
    </row>
    <row r="710537" spans="15:15" x14ac:dyDescent="0.25">
      <c r="O710537" s="9"/>
    </row>
    <row r="710558" spans="15:15" x14ac:dyDescent="0.25">
      <c r="O710558" s="9"/>
    </row>
    <row r="710579" spans="15:15" x14ac:dyDescent="0.25">
      <c r="O710579" s="9"/>
    </row>
    <row r="710600" spans="15:15" x14ac:dyDescent="0.25">
      <c r="O710600" s="9"/>
    </row>
    <row r="710621" spans="15:15" x14ac:dyDescent="0.25">
      <c r="O710621" s="9"/>
    </row>
    <row r="710642" spans="15:15" x14ac:dyDescent="0.25">
      <c r="O710642" s="9"/>
    </row>
    <row r="710663" spans="15:15" x14ac:dyDescent="0.25">
      <c r="O710663" s="9"/>
    </row>
    <row r="710684" spans="15:15" x14ac:dyDescent="0.25">
      <c r="O710684" s="9"/>
    </row>
    <row r="710705" spans="15:15" x14ac:dyDescent="0.25">
      <c r="O710705" s="9"/>
    </row>
    <row r="710726" spans="15:15" x14ac:dyDescent="0.25">
      <c r="O710726" s="9"/>
    </row>
    <row r="710747" spans="15:15" x14ac:dyDescent="0.25">
      <c r="O710747" s="9"/>
    </row>
    <row r="710768" spans="15:15" x14ac:dyDescent="0.25">
      <c r="O710768" s="9"/>
    </row>
    <row r="710789" spans="15:15" x14ac:dyDescent="0.25">
      <c r="O710789" s="9"/>
    </row>
    <row r="710810" spans="15:15" x14ac:dyDescent="0.25">
      <c r="O710810" s="9"/>
    </row>
    <row r="710831" spans="15:15" x14ac:dyDescent="0.25">
      <c r="O710831" s="9"/>
    </row>
    <row r="710852" spans="15:15" x14ac:dyDescent="0.25">
      <c r="O710852" s="9"/>
    </row>
    <row r="710873" spans="15:15" x14ac:dyDescent="0.25">
      <c r="O710873" s="9"/>
    </row>
    <row r="710894" spans="15:15" x14ac:dyDescent="0.25">
      <c r="O710894" s="9"/>
    </row>
    <row r="710915" spans="15:15" x14ac:dyDescent="0.25">
      <c r="O710915" s="9"/>
    </row>
    <row r="710936" spans="15:15" x14ac:dyDescent="0.25">
      <c r="O710936" s="9"/>
    </row>
    <row r="710957" spans="15:15" x14ac:dyDescent="0.25">
      <c r="O710957" s="9"/>
    </row>
    <row r="710978" spans="15:15" x14ac:dyDescent="0.25">
      <c r="O710978" s="9"/>
    </row>
    <row r="710999" spans="15:15" x14ac:dyDescent="0.25">
      <c r="O710999" s="9"/>
    </row>
    <row r="711020" spans="15:15" x14ac:dyDescent="0.25">
      <c r="O711020" s="9"/>
    </row>
    <row r="711041" spans="15:15" x14ac:dyDescent="0.25">
      <c r="O711041" s="9"/>
    </row>
    <row r="711062" spans="15:15" x14ac:dyDescent="0.25">
      <c r="O711062" s="9"/>
    </row>
    <row r="711083" spans="15:15" x14ac:dyDescent="0.25">
      <c r="O711083" s="9"/>
    </row>
    <row r="711104" spans="15:15" x14ac:dyDescent="0.25">
      <c r="O711104" s="9"/>
    </row>
    <row r="711125" spans="15:15" x14ac:dyDescent="0.25">
      <c r="O711125" s="9"/>
    </row>
    <row r="711146" spans="15:15" x14ac:dyDescent="0.25">
      <c r="O711146" s="9"/>
    </row>
    <row r="711167" spans="15:15" x14ac:dyDescent="0.25">
      <c r="O711167" s="9"/>
    </row>
    <row r="711188" spans="15:15" x14ac:dyDescent="0.25">
      <c r="O711188" s="9"/>
    </row>
    <row r="711209" spans="15:15" x14ac:dyDescent="0.25">
      <c r="O711209" s="9"/>
    </row>
    <row r="711230" spans="15:15" x14ac:dyDescent="0.25">
      <c r="O711230" s="9"/>
    </row>
    <row r="711251" spans="15:15" x14ac:dyDescent="0.25">
      <c r="O711251" s="9"/>
    </row>
    <row r="711272" spans="15:15" x14ac:dyDescent="0.25">
      <c r="O711272" s="9"/>
    </row>
    <row r="711293" spans="15:15" x14ac:dyDescent="0.25">
      <c r="O711293" s="9"/>
    </row>
    <row r="711314" spans="15:15" x14ac:dyDescent="0.25">
      <c r="O711314" s="9"/>
    </row>
    <row r="711335" spans="15:15" x14ac:dyDescent="0.25">
      <c r="O711335" s="9"/>
    </row>
    <row r="711356" spans="15:15" x14ac:dyDescent="0.25">
      <c r="O711356" s="9"/>
    </row>
    <row r="711377" spans="15:15" x14ac:dyDescent="0.25">
      <c r="O711377" s="9"/>
    </row>
    <row r="711398" spans="15:15" x14ac:dyDescent="0.25">
      <c r="O711398" s="9"/>
    </row>
    <row r="711419" spans="15:15" x14ac:dyDescent="0.25">
      <c r="O711419" s="9"/>
    </row>
    <row r="711440" spans="15:15" x14ac:dyDescent="0.25">
      <c r="O711440" s="9"/>
    </row>
    <row r="711461" spans="15:15" x14ac:dyDescent="0.25">
      <c r="O711461" s="9"/>
    </row>
    <row r="711482" spans="15:15" x14ac:dyDescent="0.25">
      <c r="O711482" s="9"/>
    </row>
    <row r="711503" spans="15:15" x14ac:dyDescent="0.25">
      <c r="O711503" s="9"/>
    </row>
    <row r="711524" spans="15:15" x14ac:dyDescent="0.25">
      <c r="O711524" s="9"/>
    </row>
    <row r="711545" spans="15:15" x14ac:dyDescent="0.25">
      <c r="O711545" s="9"/>
    </row>
    <row r="711566" spans="15:15" x14ac:dyDescent="0.25">
      <c r="O711566" s="9"/>
    </row>
    <row r="711587" spans="15:15" x14ac:dyDescent="0.25">
      <c r="O711587" s="9"/>
    </row>
    <row r="711608" spans="15:15" x14ac:dyDescent="0.25">
      <c r="O711608" s="9"/>
    </row>
    <row r="711629" spans="15:15" x14ac:dyDescent="0.25">
      <c r="O711629" s="9"/>
    </row>
    <row r="711650" spans="15:15" x14ac:dyDescent="0.25">
      <c r="O711650" s="9"/>
    </row>
    <row r="711671" spans="15:15" x14ac:dyDescent="0.25">
      <c r="O711671" s="9"/>
    </row>
    <row r="711692" spans="15:15" x14ac:dyDescent="0.25">
      <c r="O711692" s="9"/>
    </row>
    <row r="711713" spans="15:15" x14ac:dyDescent="0.25">
      <c r="O711713" s="9"/>
    </row>
    <row r="711734" spans="15:15" x14ac:dyDescent="0.25">
      <c r="O711734" s="9"/>
    </row>
    <row r="711755" spans="15:15" x14ac:dyDescent="0.25">
      <c r="O711755" s="9"/>
    </row>
    <row r="711776" spans="15:15" x14ac:dyDescent="0.25">
      <c r="O711776" s="9"/>
    </row>
    <row r="711797" spans="15:15" x14ac:dyDescent="0.25">
      <c r="O711797" s="9"/>
    </row>
    <row r="711818" spans="15:15" x14ac:dyDescent="0.25">
      <c r="O711818" s="9"/>
    </row>
    <row r="711839" spans="15:15" x14ac:dyDescent="0.25">
      <c r="O711839" s="9"/>
    </row>
    <row r="711860" spans="15:15" x14ac:dyDescent="0.25">
      <c r="O711860" s="9"/>
    </row>
    <row r="711881" spans="15:15" x14ac:dyDescent="0.25">
      <c r="O711881" s="9"/>
    </row>
    <row r="711902" spans="15:15" x14ac:dyDescent="0.25">
      <c r="O711902" s="9"/>
    </row>
    <row r="711923" spans="15:15" x14ac:dyDescent="0.25">
      <c r="O711923" s="9"/>
    </row>
    <row r="711944" spans="15:15" x14ac:dyDescent="0.25">
      <c r="O711944" s="9"/>
    </row>
    <row r="711965" spans="15:15" x14ac:dyDescent="0.25">
      <c r="O711965" s="9"/>
    </row>
    <row r="711986" spans="15:15" x14ac:dyDescent="0.25">
      <c r="O711986" s="9"/>
    </row>
    <row r="712007" spans="15:15" x14ac:dyDescent="0.25">
      <c r="O712007" s="9"/>
    </row>
    <row r="712028" spans="15:15" x14ac:dyDescent="0.25">
      <c r="O712028" s="9"/>
    </row>
    <row r="712049" spans="15:15" x14ac:dyDescent="0.25">
      <c r="O712049" s="9"/>
    </row>
    <row r="712070" spans="15:15" x14ac:dyDescent="0.25">
      <c r="O712070" s="9"/>
    </row>
    <row r="712091" spans="15:15" x14ac:dyDescent="0.25">
      <c r="O712091" s="9"/>
    </row>
    <row r="712112" spans="15:15" x14ac:dyDescent="0.25">
      <c r="O712112" s="9"/>
    </row>
    <row r="712133" spans="15:15" x14ac:dyDescent="0.25">
      <c r="O712133" s="9"/>
    </row>
    <row r="712154" spans="15:15" x14ac:dyDescent="0.25">
      <c r="O712154" s="9"/>
    </row>
    <row r="712175" spans="15:15" x14ac:dyDescent="0.25">
      <c r="O712175" s="9"/>
    </row>
    <row r="712196" spans="15:15" x14ac:dyDescent="0.25">
      <c r="O712196" s="9"/>
    </row>
    <row r="712217" spans="15:15" x14ac:dyDescent="0.25">
      <c r="O712217" s="9"/>
    </row>
    <row r="712238" spans="15:15" x14ac:dyDescent="0.25">
      <c r="O712238" s="9"/>
    </row>
    <row r="712259" spans="15:15" x14ac:dyDescent="0.25">
      <c r="O712259" s="9"/>
    </row>
    <row r="712280" spans="15:15" x14ac:dyDescent="0.25">
      <c r="O712280" s="9"/>
    </row>
    <row r="712301" spans="15:15" x14ac:dyDescent="0.25">
      <c r="O712301" s="9"/>
    </row>
    <row r="712322" spans="15:15" x14ac:dyDescent="0.25">
      <c r="O712322" s="9"/>
    </row>
    <row r="712343" spans="15:15" x14ac:dyDescent="0.25">
      <c r="O712343" s="9"/>
    </row>
    <row r="712364" spans="15:15" x14ac:dyDescent="0.25">
      <c r="O712364" s="9"/>
    </row>
    <row r="712385" spans="15:15" x14ac:dyDescent="0.25">
      <c r="O712385" s="9"/>
    </row>
    <row r="712406" spans="15:15" x14ac:dyDescent="0.25">
      <c r="O712406" s="9"/>
    </row>
    <row r="712427" spans="15:15" x14ac:dyDescent="0.25">
      <c r="O712427" s="9"/>
    </row>
    <row r="712448" spans="15:15" x14ac:dyDescent="0.25">
      <c r="O712448" s="9"/>
    </row>
    <row r="712469" spans="15:15" x14ac:dyDescent="0.25">
      <c r="O712469" s="9"/>
    </row>
    <row r="712490" spans="15:15" x14ac:dyDescent="0.25">
      <c r="O712490" s="9"/>
    </row>
    <row r="712511" spans="15:15" x14ac:dyDescent="0.25">
      <c r="O712511" s="9"/>
    </row>
    <row r="712532" spans="15:15" x14ac:dyDescent="0.25">
      <c r="O712532" s="9"/>
    </row>
    <row r="712553" spans="15:15" x14ac:dyDescent="0.25">
      <c r="O712553" s="9"/>
    </row>
    <row r="712574" spans="15:15" x14ac:dyDescent="0.25">
      <c r="O712574" s="9"/>
    </row>
    <row r="712595" spans="15:15" x14ac:dyDescent="0.25">
      <c r="O712595" s="9"/>
    </row>
    <row r="712616" spans="15:15" x14ac:dyDescent="0.25">
      <c r="O712616" s="9"/>
    </row>
    <row r="712637" spans="15:15" x14ac:dyDescent="0.25">
      <c r="O712637" s="9"/>
    </row>
    <row r="712658" spans="15:15" x14ac:dyDescent="0.25">
      <c r="O712658" s="9"/>
    </row>
    <row r="712679" spans="15:15" x14ac:dyDescent="0.25">
      <c r="O712679" s="9"/>
    </row>
    <row r="712700" spans="15:15" x14ac:dyDescent="0.25">
      <c r="O712700" s="9"/>
    </row>
    <row r="712721" spans="15:15" x14ac:dyDescent="0.25">
      <c r="O712721" s="9"/>
    </row>
    <row r="712742" spans="15:15" x14ac:dyDescent="0.25">
      <c r="O712742" s="9"/>
    </row>
    <row r="712763" spans="15:15" x14ac:dyDescent="0.25">
      <c r="O712763" s="9"/>
    </row>
    <row r="712784" spans="15:15" x14ac:dyDescent="0.25">
      <c r="O712784" s="9"/>
    </row>
    <row r="712805" spans="15:15" x14ac:dyDescent="0.25">
      <c r="O712805" s="9"/>
    </row>
    <row r="712826" spans="15:15" x14ac:dyDescent="0.25">
      <c r="O712826" s="9"/>
    </row>
    <row r="712847" spans="15:15" x14ac:dyDescent="0.25">
      <c r="O712847" s="9"/>
    </row>
    <row r="712868" spans="15:15" x14ac:dyDescent="0.25">
      <c r="O712868" s="9"/>
    </row>
    <row r="712889" spans="15:15" x14ac:dyDescent="0.25">
      <c r="O712889" s="9"/>
    </row>
    <row r="712910" spans="15:15" x14ac:dyDescent="0.25">
      <c r="O712910" s="9"/>
    </row>
    <row r="712931" spans="15:15" x14ac:dyDescent="0.25">
      <c r="O712931" s="9"/>
    </row>
    <row r="712952" spans="15:15" x14ac:dyDescent="0.25">
      <c r="O712952" s="9"/>
    </row>
    <row r="712973" spans="15:15" x14ac:dyDescent="0.25">
      <c r="O712973" s="9"/>
    </row>
    <row r="712994" spans="15:15" x14ac:dyDescent="0.25">
      <c r="O712994" s="9"/>
    </row>
    <row r="713015" spans="15:15" x14ac:dyDescent="0.25">
      <c r="O713015" s="9"/>
    </row>
    <row r="713036" spans="15:15" x14ac:dyDescent="0.25">
      <c r="O713036" s="9"/>
    </row>
    <row r="713057" spans="15:15" x14ac:dyDescent="0.25">
      <c r="O713057" s="9"/>
    </row>
    <row r="713078" spans="15:15" x14ac:dyDescent="0.25">
      <c r="O713078" s="9"/>
    </row>
    <row r="713099" spans="15:15" x14ac:dyDescent="0.25">
      <c r="O713099" s="9"/>
    </row>
    <row r="713120" spans="15:15" x14ac:dyDescent="0.25">
      <c r="O713120" s="9"/>
    </row>
    <row r="713141" spans="15:15" x14ac:dyDescent="0.25">
      <c r="O713141" s="9"/>
    </row>
    <row r="713162" spans="15:15" x14ac:dyDescent="0.25">
      <c r="O713162" s="9"/>
    </row>
    <row r="713183" spans="15:15" x14ac:dyDescent="0.25">
      <c r="O713183" s="9"/>
    </row>
    <row r="713204" spans="15:15" x14ac:dyDescent="0.25">
      <c r="O713204" s="9"/>
    </row>
    <row r="713225" spans="15:15" x14ac:dyDescent="0.25">
      <c r="O713225" s="9"/>
    </row>
    <row r="713246" spans="15:15" x14ac:dyDescent="0.25">
      <c r="O713246" s="9"/>
    </row>
    <row r="713267" spans="15:15" x14ac:dyDescent="0.25">
      <c r="O713267" s="9"/>
    </row>
    <row r="713288" spans="15:15" x14ac:dyDescent="0.25">
      <c r="O713288" s="9"/>
    </row>
    <row r="713309" spans="15:15" x14ac:dyDescent="0.25">
      <c r="O713309" s="9"/>
    </row>
    <row r="713330" spans="15:15" x14ac:dyDescent="0.25">
      <c r="O713330" s="9"/>
    </row>
    <row r="713351" spans="15:15" x14ac:dyDescent="0.25">
      <c r="O713351" s="9"/>
    </row>
    <row r="713372" spans="15:15" x14ac:dyDescent="0.25">
      <c r="O713372" s="9"/>
    </row>
    <row r="713393" spans="15:15" x14ac:dyDescent="0.25">
      <c r="O713393" s="9"/>
    </row>
    <row r="713414" spans="15:15" x14ac:dyDescent="0.25">
      <c r="O713414" s="9"/>
    </row>
    <row r="713435" spans="15:15" x14ac:dyDescent="0.25">
      <c r="O713435" s="9"/>
    </row>
    <row r="713456" spans="15:15" x14ac:dyDescent="0.25">
      <c r="O713456" s="9"/>
    </row>
    <row r="713477" spans="15:15" x14ac:dyDescent="0.25">
      <c r="O713477" s="9"/>
    </row>
    <row r="713498" spans="15:15" x14ac:dyDescent="0.25">
      <c r="O713498" s="9"/>
    </row>
    <row r="713519" spans="15:15" x14ac:dyDescent="0.25">
      <c r="O713519" s="9"/>
    </row>
    <row r="713540" spans="15:15" x14ac:dyDescent="0.25">
      <c r="O713540" s="9"/>
    </row>
    <row r="713561" spans="15:15" x14ac:dyDescent="0.25">
      <c r="O713561" s="9"/>
    </row>
    <row r="713582" spans="15:15" x14ac:dyDescent="0.25">
      <c r="O713582" s="9"/>
    </row>
    <row r="713603" spans="15:15" x14ac:dyDescent="0.25">
      <c r="O713603" s="9"/>
    </row>
    <row r="713624" spans="15:15" x14ac:dyDescent="0.25">
      <c r="O713624" s="9"/>
    </row>
    <row r="713645" spans="15:15" x14ac:dyDescent="0.25">
      <c r="O713645" s="9"/>
    </row>
    <row r="713666" spans="15:15" x14ac:dyDescent="0.25">
      <c r="O713666" s="9"/>
    </row>
    <row r="713687" spans="15:15" x14ac:dyDescent="0.25">
      <c r="O713687" s="9"/>
    </row>
    <row r="713708" spans="15:15" x14ac:dyDescent="0.25">
      <c r="O713708" s="9"/>
    </row>
    <row r="713729" spans="15:15" x14ac:dyDescent="0.25">
      <c r="O713729" s="9"/>
    </row>
    <row r="713750" spans="15:15" x14ac:dyDescent="0.25">
      <c r="O713750" s="9"/>
    </row>
    <row r="713771" spans="15:15" x14ac:dyDescent="0.25">
      <c r="O713771" s="9"/>
    </row>
    <row r="713792" spans="15:15" x14ac:dyDescent="0.25">
      <c r="O713792" s="9"/>
    </row>
    <row r="713813" spans="15:15" x14ac:dyDescent="0.25">
      <c r="O713813" s="9"/>
    </row>
    <row r="713834" spans="15:15" x14ac:dyDescent="0.25">
      <c r="O713834" s="9"/>
    </row>
    <row r="713855" spans="15:15" x14ac:dyDescent="0.25">
      <c r="O713855" s="9"/>
    </row>
    <row r="713876" spans="15:15" x14ac:dyDescent="0.25">
      <c r="O713876" s="9"/>
    </row>
    <row r="713897" spans="15:15" x14ac:dyDescent="0.25">
      <c r="O713897" s="9"/>
    </row>
    <row r="713918" spans="15:15" x14ac:dyDescent="0.25">
      <c r="O713918" s="9"/>
    </row>
    <row r="713939" spans="15:15" x14ac:dyDescent="0.25">
      <c r="O713939" s="9"/>
    </row>
    <row r="713960" spans="15:15" x14ac:dyDescent="0.25">
      <c r="O713960" s="9"/>
    </row>
    <row r="713981" spans="15:15" x14ac:dyDescent="0.25">
      <c r="O713981" s="9"/>
    </row>
    <row r="714002" spans="15:15" x14ac:dyDescent="0.25">
      <c r="O714002" s="9"/>
    </row>
    <row r="714023" spans="15:15" x14ac:dyDescent="0.25">
      <c r="O714023" s="9"/>
    </row>
    <row r="714044" spans="15:15" x14ac:dyDescent="0.25">
      <c r="O714044" s="9"/>
    </row>
    <row r="714065" spans="15:15" x14ac:dyDescent="0.25">
      <c r="O714065" s="9"/>
    </row>
    <row r="714086" spans="15:15" x14ac:dyDescent="0.25">
      <c r="O714086" s="9"/>
    </row>
    <row r="714107" spans="15:15" x14ac:dyDescent="0.25">
      <c r="O714107" s="9"/>
    </row>
    <row r="714128" spans="15:15" x14ac:dyDescent="0.25">
      <c r="O714128" s="9"/>
    </row>
    <row r="714149" spans="15:15" x14ac:dyDescent="0.25">
      <c r="O714149" s="9"/>
    </row>
    <row r="714170" spans="15:15" x14ac:dyDescent="0.25">
      <c r="O714170" s="9"/>
    </row>
    <row r="714191" spans="15:15" x14ac:dyDescent="0.25">
      <c r="O714191" s="9"/>
    </row>
    <row r="714212" spans="15:15" x14ac:dyDescent="0.25">
      <c r="O714212" s="9"/>
    </row>
    <row r="714233" spans="15:15" x14ac:dyDescent="0.25">
      <c r="O714233" s="9"/>
    </row>
    <row r="714254" spans="15:15" x14ac:dyDescent="0.25">
      <c r="O714254" s="9"/>
    </row>
    <row r="714275" spans="15:15" x14ac:dyDescent="0.25">
      <c r="O714275" s="9"/>
    </row>
    <row r="714296" spans="15:15" x14ac:dyDescent="0.25">
      <c r="O714296" s="9"/>
    </row>
    <row r="714317" spans="15:15" x14ac:dyDescent="0.25">
      <c r="O714317" s="9"/>
    </row>
    <row r="714338" spans="15:15" x14ac:dyDescent="0.25">
      <c r="O714338" s="9"/>
    </row>
    <row r="714359" spans="15:15" x14ac:dyDescent="0.25">
      <c r="O714359" s="9"/>
    </row>
    <row r="714380" spans="15:15" x14ac:dyDescent="0.25">
      <c r="O714380" s="9"/>
    </row>
    <row r="714401" spans="15:15" x14ac:dyDescent="0.25">
      <c r="O714401" s="9"/>
    </row>
    <row r="714422" spans="15:15" x14ac:dyDescent="0.25">
      <c r="O714422" s="9"/>
    </row>
    <row r="714443" spans="15:15" x14ac:dyDescent="0.25">
      <c r="O714443" s="9"/>
    </row>
    <row r="714464" spans="15:15" x14ac:dyDescent="0.25">
      <c r="O714464" s="9"/>
    </row>
    <row r="714485" spans="15:15" x14ac:dyDescent="0.25">
      <c r="O714485" s="9"/>
    </row>
    <row r="714506" spans="15:15" x14ac:dyDescent="0.25">
      <c r="O714506" s="9"/>
    </row>
    <row r="714527" spans="15:15" x14ac:dyDescent="0.25">
      <c r="O714527" s="9"/>
    </row>
    <row r="714548" spans="15:15" x14ac:dyDescent="0.25">
      <c r="O714548" s="9"/>
    </row>
    <row r="714569" spans="15:15" x14ac:dyDescent="0.25">
      <c r="O714569" s="9"/>
    </row>
    <row r="714590" spans="15:15" x14ac:dyDescent="0.25">
      <c r="O714590" s="9"/>
    </row>
    <row r="714611" spans="15:15" x14ac:dyDescent="0.25">
      <c r="O714611" s="9"/>
    </row>
    <row r="714632" spans="15:15" x14ac:dyDescent="0.25">
      <c r="O714632" s="9"/>
    </row>
    <row r="714653" spans="15:15" x14ac:dyDescent="0.25">
      <c r="O714653" s="9"/>
    </row>
    <row r="714674" spans="15:15" x14ac:dyDescent="0.25">
      <c r="O714674" s="9"/>
    </row>
    <row r="714695" spans="15:15" x14ac:dyDescent="0.25">
      <c r="O714695" s="9"/>
    </row>
    <row r="714716" spans="15:15" x14ac:dyDescent="0.25">
      <c r="O714716" s="9"/>
    </row>
    <row r="714737" spans="15:15" x14ac:dyDescent="0.25">
      <c r="O714737" s="9"/>
    </row>
    <row r="714758" spans="15:15" x14ac:dyDescent="0.25">
      <c r="O714758" s="9"/>
    </row>
    <row r="714779" spans="15:15" x14ac:dyDescent="0.25">
      <c r="O714779" s="9"/>
    </row>
    <row r="714800" spans="15:15" x14ac:dyDescent="0.25">
      <c r="O714800" s="9"/>
    </row>
    <row r="714821" spans="15:15" x14ac:dyDescent="0.25">
      <c r="O714821" s="9"/>
    </row>
    <row r="714842" spans="15:15" x14ac:dyDescent="0.25">
      <c r="O714842" s="9"/>
    </row>
    <row r="714863" spans="15:15" x14ac:dyDescent="0.25">
      <c r="O714863" s="9"/>
    </row>
    <row r="714884" spans="15:15" x14ac:dyDescent="0.25">
      <c r="O714884" s="9"/>
    </row>
    <row r="714905" spans="15:15" x14ac:dyDescent="0.25">
      <c r="O714905" s="9"/>
    </row>
    <row r="714926" spans="15:15" x14ac:dyDescent="0.25">
      <c r="O714926" s="9"/>
    </row>
    <row r="714947" spans="15:15" x14ac:dyDescent="0.25">
      <c r="O714947" s="9"/>
    </row>
    <row r="714968" spans="15:15" x14ac:dyDescent="0.25">
      <c r="O714968" s="9"/>
    </row>
    <row r="714989" spans="15:15" x14ac:dyDescent="0.25">
      <c r="O714989" s="9"/>
    </row>
    <row r="715010" spans="15:15" x14ac:dyDescent="0.25">
      <c r="O715010" s="9"/>
    </row>
    <row r="715031" spans="15:15" x14ac:dyDescent="0.25">
      <c r="O715031" s="9"/>
    </row>
    <row r="715052" spans="15:15" x14ac:dyDescent="0.25">
      <c r="O715052" s="9"/>
    </row>
    <row r="715073" spans="15:15" x14ac:dyDescent="0.25">
      <c r="O715073" s="9"/>
    </row>
    <row r="715094" spans="15:15" x14ac:dyDescent="0.25">
      <c r="O715094" s="9"/>
    </row>
    <row r="715115" spans="15:15" x14ac:dyDescent="0.25">
      <c r="O715115" s="9"/>
    </row>
    <row r="715136" spans="15:15" x14ac:dyDescent="0.25">
      <c r="O715136" s="9"/>
    </row>
    <row r="715157" spans="15:15" x14ac:dyDescent="0.25">
      <c r="O715157" s="9"/>
    </row>
    <row r="715178" spans="15:15" x14ac:dyDescent="0.25">
      <c r="O715178" s="9"/>
    </row>
    <row r="715199" spans="15:15" x14ac:dyDescent="0.25">
      <c r="O715199" s="9"/>
    </row>
    <row r="715220" spans="15:15" x14ac:dyDescent="0.25">
      <c r="O715220" s="9"/>
    </row>
    <row r="715241" spans="15:15" x14ac:dyDescent="0.25">
      <c r="O715241" s="9"/>
    </row>
    <row r="715262" spans="15:15" x14ac:dyDescent="0.25">
      <c r="O715262" s="9"/>
    </row>
    <row r="715283" spans="15:15" x14ac:dyDescent="0.25">
      <c r="O715283" s="9"/>
    </row>
    <row r="715304" spans="15:15" x14ac:dyDescent="0.25">
      <c r="O715304" s="9"/>
    </row>
    <row r="715325" spans="15:15" x14ac:dyDescent="0.25">
      <c r="O715325" s="9"/>
    </row>
    <row r="715346" spans="15:15" x14ac:dyDescent="0.25">
      <c r="O715346" s="9"/>
    </row>
    <row r="715367" spans="15:15" x14ac:dyDescent="0.25">
      <c r="O715367" s="9"/>
    </row>
    <row r="715388" spans="15:15" x14ac:dyDescent="0.25">
      <c r="O715388" s="9"/>
    </row>
    <row r="715409" spans="15:15" x14ac:dyDescent="0.25">
      <c r="O715409" s="9"/>
    </row>
    <row r="715430" spans="15:15" x14ac:dyDescent="0.25">
      <c r="O715430" s="9"/>
    </row>
    <row r="715451" spans="15:15" x14ac:dyDescent="0.25">
      <c r="O715451" s="9"/>
    </row>
    <row r="715472" spans="15:15" x14ac:dyDescent="0.25">
      <c r="O715472" s="9"/>
    </row>
    <row r="715493" spans="15:15" x14ac:dyDescent="0.25">
      <c r="O715493" s="9"/>
    </row>
    <row r="715514" spans="15:15" x14ac:dyDescent="0.25">
      <c r="O715514" s="9"/>
    </row>
    <row r="715535" spans="15:15" x14ac:dyDescent="0.25">
      <c r="O715535" s="9"/>
    </row>
    <row r="715556" spans="15:15" x14ac:dyDescent="0.25">
      <c r="O715556" s="9"/>
    </row>
    <row r="715577" spans="15:15" x14ac:dyDescent="0.25">
      <c r="O715577" s="9"/>
    </row>
    <row r="715598" spans="15:15" x14ac:dyDescent="0.25">
      <c r="O715598" s="9"/>
    </row>
    <row r="715619" spans="15:15" x14ac:dyDescent="0.25">
      <c r="O715619" s="9"/>
    </row>
    <row r="715640" spans="15:15" x14ac:dyDescent="0.25">
      <c r="O715640" s="9"/>
    </row>
    <row r="715661" spans="15:15" x14ac:dyDescent="0.25">
      <c r="O715661" s="9"/>
    </row>
    <row r="715682" spans="15:15" x14ac:dyDescent="0.25">
      <c r="O715682" s="9"/>
    </row>
    <row r="715703" spans="15:15" x14ac:dyDescent="0.25">
      <c r="O715703" s="9"/>
    </row>
    <row r="715724" spans="15:15" x14ac:dyDescent="0.25">
      <c r="O715724" s="9"/>
    </row>
    <row r="715745" spans="15:15" x14ac:dyDescent="0.25">
      <c r="O715745" s="9"/>
    </row>
    <row r="715766" spans="15:15" x14ac:dyDescent="0.25">
      <c r="O715766" s="9"/>
    </row>
    <row r="715787" spans="15:15" x14ac:dyDescent="0.25">
      <c r="O715787" s="9"/>
    </row>
    <row r="715808" spans="15:15" x14ac:dyDescent="0.25">
      <c r="O715808" s="9"/>
    </row>
    <row r="715829" spans="15:15" x14ac:dyDescent="0.25">
      <c r="O715829" s="9"/>
    </row>
    <row r="715850" spans="15:15" x14ac:dyDescent="0.25">
      <c r="O715850" s="9"/>
    </row>
    <row r="715871" spans="15:15" x14ac:dyDescent="0.25">
      <c r="O715871" s="9"/>
    </row>
    <row r="715892" spans="15:15" x14ac:dyDescent="0.25">
      <c r="O715892" s="9"/>
    </row>
    <row r="715913" spans="15:15" x14ac:dyDescent="0.25">
      <c r="O715913" s="9"/>
    </row>
    <row r="715934" spans="15:15" x14ac:dyDescent="0.25">
      <c r="O715934" s="9"/>
    </row>
    <row r="715955" spans="15:15" x14ac:dyDescent="0.25">
      <c r="O715955" s="9"/>
    </row>
    <row r="715976" spans="15:15" x14ac:dyDescent="0.25">
      <c r="O715976" s="9"/>
    </row>
    <row r="715997" spans="15:15" x14ac:dyDescent="0.25">
      <c r="O715997" s="9"/>
    </row>
    <row r="716018" spans="15:15" x14ac:dyDescent="0.25">
      <c r="O716018" s="9"/>
    </row>
    <row r="716039" spans="15:15" x14ac:dyDescent="0.25">
      <c r="O716039" s="9"/>
    </row>
    <row r="716060" spans="15:15" x14ac:dyDescent="0.25">
      <c r="O716060" s="9"/>
    </row>
    <row r="716081" spans="15:15" x14ac:dyDescent="0.25">
      <c r="O716081" s="9"/>
    </row>
    <row r="716102" spans="15:15" x14ac:dyDescent="0.25">
      <c r="O716102" s="9"/>
    </row>
    <row r="716123" spans="15:15" x14ac:dyDescent="0.25">
      <c r="O716123" s="9"/>
    </row>
    <row r="716144" spans="15:15" x14ac:dyDescent="0.25">
      <c r="O716144" s="9"/>
    </row>
    <row r="716165" spans="15:15" x14ac:dyDescent="0.25">
      <c r="O716165" s="9"/>
    </row>
    <row r="716186" spans="15:15" x14ac:dyDescent="0.25">
      <c r="O716186" s="9"/>
    </row>
    <row r="716207" spans="15:15" x14ac:dyDescent="0.25">
      <c r="O716207" s="9"/>
    </row>
    <row r="716228" spans="15:15" x14ac:dyDescent="0.25">
      <c r="O716228" s="9"/>
    </row>
    <row r="716249" spans="15:15" x14ac:dyDescent="0.25">
      <c r="O716249" s="9"/>
    </row>
    <row r="716270" spans="15:15" x14ac:dyDescent="0.25">
      <c r="O716270" s="9"/>
    </row>
    <row r="716291" spans="15:15" x14ac:dyDescent="0.25">
      <c r="O716291" s="9"/>
    </row>
    <row r="716312" spans="15:15" x14ac:dyDescent="0.25">
      <c r="O716312" s="9"/>
    </row>
    <row r="716333" spans="15:15" x14ac:dyDescent="0.25">
      <c r="O716333" s="9"/>
    </row>
    <row r="716354" spans="15:15" x14ac:dyDescent="0.25">
      <c r="O716354" s="9"/>
    </row>
    <row r="716375" spans="15:15" x14ac:dyDescent="0.25">
      <c r="O716375" s="9"/>
    </row>
    <row r="716396" spans="15:15" x14ac:dyDescent="0.25">
      <c r="O716396" s="9"/>
    </row>
    <row r="716417" spans="15:15" x14ac:dyDescent="0.25">
      <c r="O716417" s="9"/>
    </row>
    <row r="716438" spans="15:15" x14ac:dyDescent="0.25">
      <c r="O716438" s="9"/>
    </row>
    <row r="716459" spans="15:15" x14ac:dyDescent="0.25">
      <c r="O716459" s="9"/>
    </row>
    <row r="716480" spans="15:15" x14ac:dyDescent="0.25">
      <c r="O716480" s="9"/>
    </row>
    <row r="716501" spans="15:15" x14ac:dyDescent="0.25">
      <c r="O716501" s="9"/>
    </row>
    <row r="716522" spans="15:15" x14ac:dyDescent="0.25">
      <c r="O716522" s="9"/>
    </row>
    <row r="716543" spans="15:15" x14ac:dyDescent="0.25">
      <c r="O716543" s="9"/>
    </row>
    <row r="716564" spans="15:15" x14ac:dyDescent="0.25">
      <c r="O716564" s="9"/>
    </row>
    <row r="716585" spans="15:15" x14ac:dyDescent="0.25">
      <c r="O716585" s="9"/>
    </row>
    <row r="716606" spans="15:15" x14ac:dyDescent="0.25">
      <c r="O716606" s="9"/>
    </row>
    <row r="716627" spans="15:15" x14ac:dyDescent="0.25">
      <c r="O716627" s="9"/>
    </row>
    <row r="716648" spans="15:15" x14ac:dyDescent="0.25">
      <c r="O716648" s="9"/>
    </row>
    <row r="716669" spans="15:15" x14ac:dyDescent="0.25">
      <c r="O716669" s="9"/>
    </row>
    <row r="716690" spans="15:15" x14ac:dyDescent="0.25">
      <c r="O716690" s="9"/>
    </row>
    <row r="716711" spans="15:15" x14ac:dyDescent="0.25">
      <c r="O716711" s="9"/>
    </row>
    <row r="716732" spans="15:15" x14ac:dyDescent="0.25">
      <c r="O716732" s="9"/>
    </row>
    <row r="716753" spans="15:15" x14ac:dyDescent="0.25">
      <c r="O716753" s="9"/>
    </row>
    <row r="716774" spans="15:15" x14ac:dyDescent="0.25">
      <c r="O716774" s="9"/>
    </row>
    <row r="716795" spans="15:15" x14ac:dyDescent="0.25">
      <c r="O716795" s="9"/>
    </row>
    <row r="716816" spans="15:15" x14ac:dyDescent="0.25">
      <c r="O716816" s="9"/>
    </row>
    <row r="716837" spans="15:15" x14ac:dyDescent="0.25">
      <c r="O716837" s="9"/>
    </row>
    <row r="716858" spans="15:15" x14ac:dyDescent="0.25">
      <c r="O716858" s="9"/>
    </row>
    <row r="716879" spans="15:15" x14ac:dyDescent="0.25">
      <c r="O716879" s="9"/>
    </row>
    <row r="716900" spans="15:15" x14ac:dyDescent="0.25">
      <c r="O716900" s="9"/>
    </row>
    <row r="716921" spans="15:15" x14ac:dyDescent="0.25">
      <c r="O716921" s="9"/>
    </row>
    <row r="716942" spans="15:15" x14ac:dyDescent="0.25">
      <c r="O716942" s="9"/>
    </row>
    <row r="716963" spans="15:15" x14ac:dyDescent="0.25">
      <c r="O716963" s="9"/>
    </row>
    <row r="716984" spans="15:15" x14ac:dyDescent="0.25">
      <c r="O716984" s="9"/>
    </row>
    <row r="717005" spans="15:15" x14ac:dyDescent="0.25">
      <c r="O717005" s="9"/>
    </row>
    <row r="717026" spans="15:15" x14ac:dyDescent="0.25">
      <c r="O717026" s="9"/>
    </row>
    <row r="717047" spans="15:15" x14ac:dyDescent="0.25">
      <c r="O717047" s="9"/>
    </row>
    <row r="717068" spans="15:15" x14ac:dyDescent="0.25">
      <c r="O717068" s="9"/>
    </row>
    <row r="717089" spans="15:15" x14ac:dyDescent="0.25">
      <c r="O717089" s="9"/>
    </row>
    <row r="717110" spans="15:15" x14ac:dyDescent="0.25">
      <c r="O717110" s="9"/>
    </row>
    <row r="717131" spans="15:15" x14ac:dyDescent="0.25">
      <c r="O717131" s="9"/>
    </row>
    <row r="717152" spans="15:15" x14ac:dyDescent="0.25">
      <c r="O717152" s="9"/>
    </row>
    <row r="717173" spans="15:15" x14ac:dyDescent="0.25">
      <c r="O717173" s="9"/>
    </row>
    <row r="717194" spans="15:15" x14ac:dyDescent="0.25">
      <c r="O717194" s="9"/>
    </row>
    <row r="717215" spans="15:15" x14ac:dyDescent="0.25">
      <c r="O717215" s="9"/>
    </row>
    <row r="717236" spans="15:15" x14ac:dyDescent="0.25">
      <c r="O717236" s="9"/>
    </row>
    <row r="717257" spans="15:15" x14ac:dyDescent="0.25">
      <c r="O717257" s="9"/>
    </row>
    <row r="717278" spans="15:15" x14ac:dyDescent="0.25">
      <c r="O717278" s="9"/>
    </row>
    <row r="717299" spans="15:15" x14ac:dyDescent="0.25">
      <c r="O717299" s="9"/>
    </row>
    <row r="717320" spans="15:15" x14ac:dyDescent="0.25">
      <c r="O717320" s="9"/>
    </row>
    <row r="717341" spans="15:15" x14ac:dyDescent="0.25">
      <c r="O717341" s="9"/>
    </row>
    <row r="717362" spans="15:15" x14ac:dyDescent="0.25">
      <c r="O717362" s="9"/>
    </row>
    <row r="717383" spans="15:15" x14ac:dyDescent="0.25">
      <c r="O717383" s="9"/>
    </row>
    <row r="717404" spans="15:15" x14ac:dyDescent="0.25">
      <c r="O717404" s="9"/>
    </row>
    <row r="717425" spans="15:15" x14ac:dyDescent="0.25">
      <c r="O717425" s="9"/>
    </row>
    <row r="717446" spans="15:15" x14ac:dyDescent="0.25">
      <c r="O717446" s="9"/>
    </row>
    <row r="717467" spans="15:15" x14ac:dyDescent="0.25">
      <c r="O717467" s="9"/>
    </row>
    <row r="717488" spans="15:15" x14ac:dyDescent="0.25">
      <c r="O717488" s="9"/>
    </row>
    <row r="717509" spans="15:15" x14ac:dyDescent="0.25">
      <c r="O717509" s="9"/>
    </row>
    <row r="717530" spans="15:15" x14ac:dyDescent="0.25">
      <c r="O717530" s="9"/>
    </row>
    <row r="717551" spans="15:15" x14ac:dyDescent="0.25">
      <c r="O717551" s="9"/>
    </row>
    <row r="717572" spans="15:15" x14ac:dyDescent="0.25">
      <c r="O717572" s="9"/>
    </row>
    <row r="717593" spans="15:15" x14ac:dyDescent="0.25">
      <c r="O717593" s="9"/>
    </row>
    <row r="717614" spans="15:15" x14ac:dyDescent="0.25">
      <c r="O717614" s="9"/>
    </row>
    <row r="717635" spans="15:15" x14ac:dyDescent="0.25">
      <c r="O717635" s="9"/>
    </row>
    <row r="717656" spans="15:15" x14ac:dyDescent="0.25">
      <c r="O717656" s="9"/>
    </row>
    <row r="717677" spans="15:15" x14ac:dyDescent="0.25">
      <c r="O717677" s="9"/>
    </row>
    <row r="717698" spans="15:15" x14ac:dyDescent="0.25">
      <c r="O717698" s="9"/>
    </row>
    <row r="717719" spans="15:15" x14ac:dyDescent="0.25">
      <c r="O717719" s="9"/>
    </row>
    <row r="717740" spans="15:15" x14ac:dyDescent="0.25">
      <c r="O717740" s="9"/>
    </row>
    <row r="717761" spans="15:15" x14ac:dyDescent="0.25">
      <c r="O717761" s="9"/>
    </row>
    <row r="717782" spans="15:15" x14ac:dyDescent="0.25">
      <c r="O717782" s="9"/>
    </row>
    <row r="717803" spans="15:15" x14ac:dyDescent="0.25">
      <c r="O717803" s="9"/>
    </row>
    <row r="717824" spans="15:15" x14ac:dyDescent="0.25">
      <c r="O717824" s="9"/>
    </row>
    <row r="717845" spans="15:15" x14ac:dyDescent="0.25">
      <c r="O717845" s="9"/>
    </row>
    <row r="717866" spans="15:15" x14ac:dyDescent="0.25">
      <c r="O717866" s="9"/>
    </row>
    <row r="717887" spans="15:15" x14ac:dyDescent="0.25">
      <c r="O717887" s="9"/>
    </row>
    <row r="717908" spans="15:15" x14ac:dyDescent="0.25">
      <c r="O717908" s="9"/>
    </row>
    <row r="717929" spans="15:15" x14ac:dyDescent="0.25">
      <c r="O717929" s="9"/>
    </row>
    <row r="717950" spans="15:15" x14ac:dyDescent="0.25">
      <c r="O717950" s="9"/>
    </row>
    <row r="717971" spans="15:15" x14ac:dyDescent="0.25">
      <c r="O717971" s="9"/>
    </row>
    <row r="717992" spans="15:15" x14ac:dyDescent="0.25">
      <c r="O717992" s="9"/>
    </row>
    <row r="718013" spans="15:15" x14ac:dyDescent="0.25">
      <c r="O718013" s="9"/>
    </row>
    <row r="718034" spans="15:15" x14ac:dyDescent="0.25">
      <c r="O718034" s="9"/>
    </row>
    <row r="718055" spans="15:15" x14ac:dyDescent="0.25">
      <c r="O718055" s="9"/>
    </row>
    <row r="718076" spans="15:15" x14ac:dyDescent="0.25">
      <c r="O718076" s="9"/>
    </row>
    <row r="718097" spans="15:15" x14ac:dyDescent="0.25">
      <c r="O718097" s="9"/>
    </row>
    <row r="718118" spans="15:15" x14ac:dyDescent="0.25">
      <c r="O718118" s="9"/>
    </row>
    <row r="718139" spans="15:15" x14ac:dyDescent="0.25">
      <c r="O718139" s="9"/>
    </row>
    <row r="718160" spans="15:15" x14ac:dyDescent="0.25">
      <c r="O718160" s="9"/>
    </row>
    <row r="718181" spans="15:15" x14ac:dyDescent="0.25">
      <c r="O718181" s="9"/>
    </row>
    <row r="718202" spans="15:15" x14ac:dyDescent="0.25">
      <c r="O718202" s="9"/>
    </row>
    <row r="718223" spans="15:15" x14ac:dyDescent="0.25">
      <c r="O718223" s="9"/>
    </row>
    <row r="718244" spans="15:15" x14ac:dyDescent="0.25">
      <c r="O718244" s="9"/>
    </row>
    <row r="718265" spans="15:15" x14ac:dyDescent="0.25">
      <c r="O718265" s="9"/>
    </row>
    <row r="718286" spans="15:15" x14ac:dyDescent="0.25">
      <c r="O718286" s="9"/>
    </row>
    <row r="718307" spans="15:15" x14ac:dyDescent="0.25">
      <c r="O718307" s="9"/>
    </row>
    <row r="718328" spans="15:15" x14ac:dyDescent="0.25">
      <c r="O718328" s="9"/>
    </row>
    <row r="718349" spans="15:15" x14ac:dyDescent="0.25">
      <c r="O718349" s="9"/>
    </row>
    <row r="718370" spans="15:15" x14ac:dyDescent="0.25">
      <c r="O718370" s="9"/>
    </row>
    <row r="718391" spans="15:15" x14ac:dyDescent="0.25">
      <c r="O718391" s="9"/>
    </row>
    <row r="718412" spans="15:15" x14ac:dyDescent="0.25">
      <c r="O718412" s="9"/>
    </row>
    <row r="718433" spans="15:15" x14ac:dyDescent="0.25">
      <c r="O718433" s="9"/>
    </row>
    <row r="718454" spans="15:15" x14ac:dyDescent="0.25">
      <c r="O718454" s="9"/>
    </row>
    <row r="718475" spans="15:15" x14ac:dyDescent="0.25">
      <c r="O718475" s="9"/>
    </row>
    <row r="718496" spans="15:15" x14ac:dyDescent="0.25">
      <c r="O718496" s="9"/>
    </row>
    <row r="718517" spans="15:15" x14ac:dyDescent="0.25">
      <c r="O718517" s="9"/>
    </row>
    <row r="718538" spans="15:15" x14ac:dyDescent="0.25">
      <c r="O718538" s="9"/>
    </row>
    <row r="718559" spans="15:15" x14ac:dyDescent="0.25">
      <c r="O718559" s="9"/>
    </row>
    <row r="718580" spans="15:15" x14ac:dyDescent="0.25">
      <c r="O718580" s="9"/>
    </row>
    <row r="718601" spans="15:15" x14ac:dyDescent="0.25">
      <c r="O718601" s="9"/>
    </row>
    <row r="718622" spans="15:15" x14ac:dyDescent="0.25">
      <c r="O718622" s="9"/>
    </row>
    <row r="718643" spans="15:15" x14ac:dyDescent="0.25">
      <c r="O718643" s="9"/>
    </row>
    <row r="718664" spans="15:15" x14ac:dyDescent="0.25">
      <c r="O718664" s="9"/>
    </row>
    <row r="718685" spans="15:15" x14ac:dyDescent="0.25">
      <c r="O718685" s="9"/>
    </row>
    <row r="718706" spans="15:15" x14ac:dyDescent="0.25">
      <c r="O718706" s="9"/>
    </row>
    <row r="718727" spans="15:15" x14ac:dyDescent="0.25">
      <c r="O718727" s="9"/>
    </row>
    <row r="718748" spans="15:15" x14ac:dyDescent="0.25">
      <c r="O718748" s="9"/>
    </row>
    <row r="718769" spans="15:15" x14ac:dyDescent="0.25">
      <c r="O718769" s="9"/>
    </row>
    <row r="718790" spans="15:15" x14ac:dyDescent="0.25">
      <c r="O718790" s="9"/>
    </row>
    <row r="718811" spans="15:15" x14ac:dyDescent="0.25">
      <c r="O718811" s="9"/>
    </row>
    <row r="718832" spans="15:15" x14ac:dyDescent="0.25">
      <c r="O718832" s="9"/>
    </row>
    <row r="718853" spans="15:15" x14ac:dyDescent="0.25">
      <c r="O718853" s="9"/>
    </row>
    <row r="718874" spans="15:15" x14ac:dyDescent="0.25">
      <c r="O718874" s="9"/>
    </row>
    <row r="718895" spans="15:15" x14ac:dyDescent="0.25">
      <c r="O718895" s="9"/>
    </row>
    <row r="718916" spans="15:15" x14ac:dyDescent="0.25">
      <c r="O718916" s="9"/>
    </row>
    <row r="718937" spans="15:15" x14ac:dyDescent="0.25">
      <c r="O718937" s="9"/>
    </row>
    <row r="718958" spans="15:15" x14ac:dyDescent="0.25">
      <c r="O718958" s="9"/>
    </row>
    <row r="718979" spans="15:15" x14ac:dyDescent="0.25">
      <c r="O718979" s="9"/>
    </row>
    <row r="719000" spans="15:15" x14ac:dyDescent="0.25">
      <c r="O719000" s="9"/>
    </row>
    <row r="719021" spans="15:15" x14ac:dyDescent="0.25">
      <c r="O719021" s="9"/>
    </row>
    <row r="719042" spans="15:15" x14ac:dyDescent="0.25">
      <c r="O719042" s="9"/>
    </row>
    <row r="719063" spans="15:15" x14ac:dyDescent="0.25">
      <c r="O719063" s="9"/>
    </row>
    <row r="719084" spans="15:15" x14ac:dyDescent="0.25">
      <c r="O719084" s="9"/>
    </row>
    <row r="719105" spans="15:15" x14ac:dyDescent="0.25">
      <c r="O719105" s="9"/>
    </row>
    <row r="719126" spans="15:15" x14ac:dyDescent="0.25">
      <c r="O719126" s="9"/>
    </row>
    <row r="719147" spans="15:15" x14ac:dyDescent="0.25">
      <c r="O719147" s="9"/>
    </row>
    <row r="719168" spans="15:15" x14ac:dyDescent="0.25">
      <c r="O719168" s="9"/>
    </row>
    <row r="719189" spans="15:15" x14ac:dyDescent="0.25">
      <c r="O719189" s="9"/>
    </row>
    <row r="719210" spans="15:15" x14ac:dyDescent="0.25">
      <c r="O719210" s="9"/>
    </row>
    <row r="719231" spans="15:15" x14ac:dyDescent="0.25">
      <c r="O719231" s="9"/>
    </row>
    <row r="719252" spans="15:15" x14ac:dyDescent="0.25">
      <c r="O719252" s="9"/>
    </row>
    <row r="719273" spans="15:15" x14ac:dyDescent="0.25">
      <c r="O719273" s="9"/>
    </row>
    <row r="719294" spans="15:15" x14ac:dyDescent="0.25">
      <c r="O719294" s="9"/>
    </row>
    <row r="719315" spans="15:15" x14ac:dyDescent="0.25">
      <c r="O719315" s="9"/>
    </row>
    <row r="719336" spans="15:15" x14ac:dyDescent="0.25">
      <c r="O719336" s="9"/>
    </row>
    <row r="719357" spans="15:15" x14ac:dyDescent="0.25">
      <c r="O719357" s="9"/>
    </row>
    <row r="719378" spans="15:15" x14ac:dyDescent="0.25">
      <c r="O719378" s="9"/>
    </row>
    <row r="719399" spans="15:15" x14ac:dyDescent="0.25">
      <c r="O719399" s="9"/>
    </row>
    <row r="719420" spans="15:15" x14ac:dyDescent="0.25">
      <c r="O719420" s="9"/>
    </row>
    <row r="719441" spans="15:15" x14ac:dyDescent="0.25">
      <c r="O719441" s="9"/>
    </row>
    <row r="719462" spans="15:15" x14ac:dyDescent="0.25">
      <c r="O719462" s="9"/>
    </row>
    <row r="719483" spans="15:15" x14ac:dyDescent="0.25">
      <c r="O719483" s="9"/>
    </row>
    <row r="719504" spans="15:15" x14ac:dyDescent="0.25">
      <c r="O719504" s="9"/>
    </row>
    <row r="719525" spans="15:15" x14ac:dyDescent="0.25">
      <c r="O719525" s="9"/>
    </row>
    <row r="719546" spans="15:15" x14ac:dyDescent="0.25">
      <c r="O719546" s="9"/>
    </row>
    <row r="719567" spans="15:15" x14ac:dyDescent="0.25">
      <c r="O719567" s="9"/>
    </row>
    <row r="719588" spans="15:15" x14ac:dyDescent="0.25">
      <c r="O719588" s="9"/>
    </row>
    <row r="719609" spans="15:15" x14ac:dyDescent="0.25">
      <c r="O719609" s="9"/>
    </row>
    <row r="719630" spans="15:15" x14ac:dyDescent="0.25">
      <c r="O719630" s="9"/>
    </row>
    <row r="719651" spans="15:15" x14ac:dyDescent="0.25">
      <c r="O719651" s="9"/>
    </row>
    <row r="719672" spans="15:15" x14ac:dyDescent="0.25">
      <c r="O719672" s="9"/>
    </row>
    <row r="719693" spans="15:15" x14ac:dyDescent="0.25">
      <c r="O719693" s="9"/>
    </row>
    <row r="719714" spans="15:15" x14ac:dyDescent="0.25">
      <c r="O719714" s="9"/>
    </row>
    <row r="719735" spans="15:15" x14ac:dyDescent="0.25">
      <c r="O719735" s="9"/>
    </row>
    <row r="719756" spans="15:15" x14ac:dyDescent="0.25">
      <c r="O719756" s="9"/>
    </row>
    <row r="719777" spans="15:15" x14ac:dyDescent="0.25">
      <c r="O719777" s="9"/>
    </row>
    <row r="719798" spans="15:15" x14ac:dyDescent="0.25">
      <c r="O719798" s="9"/>
    </row>
    <row r="719819" spans="15:15" x14ac:dyDescent="0.25">
      <c r="O719819" s="9"/>
    </row>
    <row r="719840" spans="15:15" x14ac:dyDescent="0.25">
      <c r="O719840" s="9"/>
    </row>
    <row r="719861" spans="15:15" x14ac:dyDescent="0.25">
      <c r="O719861" s="9"/>
    </row>
    <row r="719882" spans="15:15" x14ac:dyDescent="0.25">
      <c r="O719882" s="9"/>
    </row>
    <row r="719903" spans="15:15" x14ac:dyDescent="0.25">
      <c r="O719903" s="9"/>
    </row>
    <row r="719924" spans="15:15" x14ac:dyDescent="0.25">
      <c r="O719924" s="9"/>
    </row>
    <row r="719945" spans="15:15" x14ac:dyDescent="0.25">
      <c r="O719945" s="9"/>
    </row>
    <row r="719966" spans="15:15" x14ac:dyDescent="0.25">
      <c r="O719966" s="9"/>
    </row>
    <row r="719987" spans="15:15" x14ac:dyDescent="0.25">
      <c r="O719987" s="9"/>
    </row>
    <row r="720008" spans="15:15" x14ac:dyDescent="0.25">
      <c r="O720008" s="9"/>
    </row>
    <row r="720029" spans="15:15" x14ac:dyDescent="0.25">
      <c r="O720029" s="9"/>
    </row>
    <row r="720050" spans="15:15" x14ac:dyDescent="0.25">
      <c r="O720050" s="9"/>
    </row>
    <row r="720071" spans="15:15" x14ac:dyDescent="0.25">
      <c r="O720071" s="9"/>
    </row>
    <row r="720092" spans="15:15" x14ac:dyDescent="0.25">
      <c r="O720092" s="9"/>
    </row>
    <row r="720113" spans="15:15" x14ac:dyDescent="0.25">
      <c r="O720113" s="9"/>
    </row>
    <row r="720134" spans="15:15" x14ac:dyDescent="0.25">
      <c r="O720134" s="9"/>
    </row>
    <row r="720155" spans="15:15" x14ac:dyDescent="0.25">
      <c r="O720155" s="9"/>
    </row>
    <row r="720176" spans="15:15" x14ac:dyDescent="0.25">
      <c r="O720176" s="9"/>
    </row>
    <row r="720197" spans="15:15" x14ac:dyDescent="0.25">
      <c r="O720197" s="9"/>
    </row>
    <row r="720218" spans="15:15" x14ac:dyDescent="0.25">
      <c r="O720218" s="9"/>
    </row>
    <row r="720239" spans="15:15" x14ac:dyDescent="0.25">
      <c r="O720239" s="9"/>
    </row>
    <row r="720260" spans="15:15" x14ac:dyDescent="0.25">
      <c r="O720260" s="9"/>
    </row>
    <row r="720281" spans="15:15" x14ac:dyDescent="0.25">
      <c r="O720281" s="9"/>
    </row>
    <row r="720302" spans="15:15" x14ac:dyDescent="0.25">
      <c r="O720302" s="9"/>
    </row>
    <row r="720323" spans="15:15" x14ac:dyDescent="0.25">
      <c r="O720323" s="9"/>
    </row>
    <row r="720344" spans="15:15" x14ac:dyDescent="0.25">
      <c r="O720344" s="9"/>
    </row>
    <row r="720365" spans="15:15" x14ac:dyDescent="0.25">
      <c r="O720365" s="9"/>
    </row>
    <row r="720386" spans="15:15" x14ac:dyDescent="0.25">
      <c r="O720386" s="9"/>
    </row>
    <row r="720407" spans="15:15" x14ac:dyDescent="0.25">
      <c r="O720407" s="9"/>
    </row>
    <row r="720428" spans="15:15" x14ac:dyDescent="0.25">
      <c r="O720428" s="9"/>
    </row>
    <row r="720449" spans="15:15" x14ac:dyDescent="0.25">
      <c r="O720449" s="9"/>
    </row>
    <row r="720470" spans="15:15" x14ac:dyDescent="0.25">
      <c r="O720470" s="9"/>
    </row>
    <row r="720491" spans="15:15" x14ac:dyDescent="0.25">
      <c r="O720491" s="9"/>
    </row>
    <row r="720512" spans="15:15" x14ac:dyDescent="0.25">
      <c r="O720512" s="9"/>
    </row>
    <row r="720533" spans="15:15" x14ac:dyDescent="0.25">
      <c r="O720533" s="9"/>
    </row>
    <row r="720554" spans="15:15" x14ac:dyDescent="0.25">
      <c r="O720554" s="9"/>
    </row>
    <row r="720575" spans="15:15" x14ac:dyDescent="0.25">
      <c r="O720575" s="9"/>
    </row>
    <row r="720596" spans="15:15" x14ac:dyDescent="0.25">
      <c r="O720596" s="9"/>
    </row>
    <row r="720617" spans="15:15" x14ac:dyDescent="0.25">
      <c r="O720617" s="9"/>
    </row>
    <row r="720638" spans="15:15" x14ac:dyDescent="0.25">
      <c r="O720638" s="9"/>
    </row>
    <row r="720659" spans="15:15" x14ac:dyDescent="0.25">
      <c r="O720659" s="9"/>
    </row>
    <row r="720680" spans="15:15" x14ac:dyDescent="0.25">
      <c r="O720680" s="9"/>
    </row>
    <row r="720701" spans="15:15" x14ac:dyDescent="0.25">
      <c r="O720701" s="9"/>
    </row>
    <row r="720722" spans="15:15" x14ac:dyDescent="0.25">
      <c r="O720722" s="9"/>
    </row>
    <row r="720743" spans="15:15" x14ac:dyDescent="0.25">
      <c r="O720743" s="9"/>
    </row>
    <row r="720764" spans="15:15" x14ac:dyDescent="0.25">
      <c r="O720764" s="9"/>
    </row>
    <row r="720785" spans="15:15" x14ac:dyDescent="0.25">
      <c r="O720785" s="9"/>
    </row>
    <row r="720806" spans="15:15" x14ac:dyDescent="0.25">
      <c r="O720806" s="9"/>
    </row>
    <row r="720827" spans="15:15" x14ac:dyDescent="0.25">
      <c r="O720827" s="9"/>
    </row>
    <row r="720848" spans="15:15" x14ac:dyDescent="0.25">
      <c r="O720848" s="9"/>
    </row>
    <row r="720869" spans="15:15" x14ac:dyDescent="0.25">
      <c r="O720869" s="9"/>
    </row>
    <row r="720890" spans="15:15" x14ac:dyDescent="0.25">
      <c r="O720890" s="9"/>
    </row>
    <row r="720911" spans="15:15" x14ac:dyDescent="0.25">
      <c r="O720911" s="9"/>
    </row>
    <row r="720932" spans="15:15" x14ac:dyDescent="0.25">
      <c r="O720932" s="9"/>
    </row>
    <row r="720953" spans="15:15" x14ac:dyDescent="0.25">
      <c r="O720953" s="9"/>
    </row>
    <row r="720974" spans="15:15" x14ac:dyDescent="0.25">
      <c r="O720974" s="9"/>
    </row>
    <row r="720995" spans="15:15" x14ac:dyDescent="0.25">
      <c r="O720995" s="9"/>
    </row>
    <row r="721016" spans="15:15" x14ac:dyDescent="0.25">
      <c r="O721016" s="9"/>
    </row>
    <row r="721037" spans="15:15" x14ac:dyDescent="0.25">
      <c r="O721037" s="9"/>
    </row>
    <row r="721058" spans="15:15" x14ac:dyDescent="0.25">
      <c r="O721058" s="9"/>
    </row>
    <row r="721079" spans="15:15" x14ac:dyDescent="0.25">
      <c r="O721079" s="9"/>
    </row>
    <row r="721100" spans="15:15" x14ac:dyDescent="0.25">
      <c r="O721100" s="9"/>
    </row>
    <row r="721121" spans="15:15" x14ac:dyDescent="0.25">
      <c r="O721121" s="9"/>
    </row>
    <row r="721142" spans="15:15" x14ac:dyDescent="0.25">
      <c r="O721142" s="9"/>
    </row>
    <row r="721163" spans="15:15" x14ac:dyDescent="0.25">
      <c r="O721163" s="9"/>
    </row>
    <row r="721184" spans="15:15" x14ac:dyDescent="0.25">
      <c r="O721184" s="9"/>
    </row>
    <row r="721205" spans="15:15" x14ac:dyDescent="0.25">
      <c r="O721205" s="9"/>
    </row>
    <row r="721226" spans="15:15" x14ac:dyDescent="0.25">
      <c r="O721226" s="9"/>
    </row>
    <row r="721247" spans="15:15" x14ac:dyDescent="0.25">
      <c r="O721247" s="9"/>
    </row>
    <row r="721268" spans="15:15" x14ac:dyDescent="0.25">
      <c r="O721268" s="9"/>
    </row>
    <row r="721289" spans="15:15" x14ac:dyDescent="0.25">
      <c r="O721289" s="9"/>
    </row>
    <row r="721310" spans="15:15" x14ac:dyDescent="0.25">
      <c r="O721310" s="9"/>
    </row>
    <row r="721331" spans="15:15" x14ac:dyDescent="0.25">
      <c r="O721331" s="9"/>
    </row>
    <row r="721352" spans="15:15" x14ac:dyDescent="0.25">
      <c r="O721352" s="9"/>
    </row>
    <row r="721373" spans="15:15" x14ac:dyDescent="0.25">
      <c r="O721373" s="9"/>
    </row>
    <row r="721394" spans="15:15" x14ac:dyDescent="0.25">
      <c r="O721394" s="9"/>
    </row>
    <row r="721415" spans="15:15" x14ac:dyDescent="0.25">
      <c r="O721415" s="9"/>
    </row>
    <row r="721436" spans="15:15" x14ac:dyDescent="0.25">
      <c r="O721436" s="9"/>
    </row>
    <row r="721457" spans="15:15" x14ac:dyDescent="0.25">
      <c r="O721457" s="9"/>
    </row>
    <row r="721478" spans="15:15" x14ac:dyDescent="0.25">
      <c r="O721478" s="9"/>
    </row>
    <row r="721499" spans="15:15" x14ac:dyDescent="0.25">
      <c r="O721499" s="9"/>
    </row>
    <row r="721520" spans="15:15" x14ac:dyDescent="0.25">
      <c r="O721520" s="9"/>
    </row>
    <row r="721541" spans="15:15" x14ac:dyDescent="0.25">
      <c r="O721541" s="9"/>
    </row>
    <row r="721562" spans="15:15" x14ac:dyDescent="0.25">
      <c r="O721562" s="9"/>
    </row>
    <row r="721583" spans="15:15" x14ac:dyDescent="0.25">
      <c r="O721583" s="9"/>
    </row>
    <row r="721604" spans="15:15" x14ac:dyDescent="0.25">
      <c r="O721604" s="9"/>
    </row>
    <row r="721625" spans="15:15" x14ac:dyDescent="0.25">
      <c r="O721625" s="9"/>
    </row>
    <row r="721646" spans="15:15" x14ac:dyDescent="0.25">
      <c r="O721646" s="9"/>
    </row>
    <row r="721667" spans="15:15" x14ac:dyDescent="0.25">
      <c r="O721667" s="9"/>
    </row>
    <row r="721688" spans="15:15" x14ac:dyDescent="0.25">
      <c r="O721688" s="9"/>
    </row>
    <row r="721709" spans="15:15" x14ac:dyDescent="0.25">
      <c r="O721709" s="9"/>
    </row>
    <row r="721730" spans="15:15" x14ac:dyDescent="0.25">
      <c r="O721730" s="9"/>
    </row>
    <row r="721751" spans="15:15" x14ac:dyDescent="0.25">
      <c r="O721751" s="9"/>
    </row>
    <row r="721772" spans="15:15" x14ac:dyDescent="0.25">
      <c r="O721772" s="9"/>
    </row>
    <row r="721793" spans="15:15" x14ac:dyDescent="0.25">
      <c r="O721793" s="9"/>
    </row>
    <row r="721814" spans="15:15" x14ac:dyDescent="0.25">
      <c r="O721814" s="9"/>
    </row>
    <row r="721835" spans="15:15" x14ac:dyDescent="0.25">
      <c r="O721835" s="9"/>
    </row>
    <row r="721856" spans="15:15" x14ac:dyDescent="0.25">
      <c r="O721856" s="9"/>
    </row>
    <row r="721877" spans="15:15" x14ac:dyDescent="0.25">
      <c r="O721877" s="9"/>
    </row>
    <row r="721898" spans="15:15" x14ac:dyDescent="0.25">
      <c r="O721898" s="9"/>
    </row>
    <row r="721919" spans="15:15" x14ac:dyDescent="0.25">
      <c r="O721919" s="9"/>
    </row>
    <row r="721940" spans="15:15" x14ac:dyDescent="0.25">
      <c r="O721940" s="9"/>
    </row>
    <row r="721961" spans="15:15" x14ac:dyDescent="0.25">
      <c r="O721961" s="9"/>
    </row>
    <row r="721982" spans="15:15" x14ac:dyDescent="0.25">
      <c r="O721982" s="9"/>
    </row>
    <row r="722003" spans="15:15" x14ac:dyDescent="0.25">
      <c r="O722003" s="9"/>
    </row>
    <row r="722024" spans="15:15" x14ac:dyDescent="0.25">
      <c r="O722024" s="9"/>
    </row>
    <row r="722045" spans="15:15" x14ac:dyDescent="0.25">
      <c r="O722045" s="9"/>
    </row>
    <row r="722066" spans="15:15" x14ac:dyDescent="0.25">
      <c r="O722066" s="9"/>
    </row>
    <row r="722087" spans="15:15" x14ac:dyDescent="0.25">
      <c r="O722087" s="9"/>
    </row>
    <row r="722108" spans="15:15" x14ac:dyDescent="0.25">
      <c r="O722108" s="9"/>
    </row>
    <row r="722129" spans="15:15" x14ac:dyDescent="0.25">
      <c r="O722129" s="9"/>
    </row>
    <row r="722150" spans="15:15" x14ac:dyDescent="0.25">
      <c r="O722150" s="9"/>
    </row>
    <row r="722171" spans="15:15" x14ac:dyDescent="0.25">
      <c r="O722171" s="9"/>
    </row>
    <row r="722192" spans="15:15" x14ac:dyDescent="0.25">
      <c r="O722192" s="9"/>
    </row>
    <row r="722213" spans="15:15" x14ac:dyDescent="0.25">
      <c r="O722213" s="9"/>
    </row>
    <row r="722234" spans="15:15" x14ac:dyDescent="0.25">
      <c r="O722234" s="9"/>
    </row>
    <row r="722255" spans="15:15" x14ac:dyDescent="0.25">
      <c r="O722255" s="9"/>
    </row>
    <row r="722276" spans="15:15" x14ac:dyDescent="0.25">
      <c r="O722276" s="9"/>
    </row>
    <row r="722297" spans="15:15" x14ac:dyDescent="0.25">
      <c r="O722297" s="9"/>
    </row>
    <row r="722318" spans="15:15" x14ac:dyDescent="0.25">
      <c r="O722318" s="9"/>
    </row>
    <row r="722339" spans="15:15" x14ac:dyDescent="0.25">
      <c r="O722339" s="9"/>
    </row>
    <row r="722360" spans="15:15" x14ac:dyDescent="0.25">
      <c r="O722360" s="9"/>
    </row>
    <row r="722381" spans="15:15" x14ac:dyDescent="0.25">
      <c r="O722381" s="9"/>
    </row>
    <row r="722402" spans="15:15" x14ac:dyDescent="0.25">
      <c r="O722402" s="9"/>
    </row>
    <row r="722423" spans="15:15" x14ac:dyDescent="0.25">
      <c r="O722423" s="9"/>
    </row>
    <row r="722444" spans="15:15" x14ac:dyDescent="0.25">
      <c r="O722444" s="9"/>
    </row>
    <row r="722465" spans="15:15" x14ac:dyDescent="0.25">
      <c r="O722465" s="9"/>
    </row>
    <row r="722486" spans="15:15" x14ac:dyDescent="0.25">
      <c r="O722486" s="9"/>
    </row>
    <row r="722507" spans="15:15" x14ac:dyDescent="0.25">
      <c r="O722507" s="9"/>
    </row>
    <row r="722528" spans="15:15" x14ac:dyDescent="0.25">
      <c r="O722528" s="9"/>
    </row>
    <row r="722549" spans="15:15" x14ac:dyDescent="0.25">
      <c r="O722549" s="9"/>
    </row>
    <row r="722570" spans="15:15" x14ac:dyDescent="0.25">
      <c r="O722570" s="9"/>
    </row>
    <row r="722591" spans="15:15" x14ac:dyDescent="0.25">
      <c r="O722591" s="9"/>
    </row>
    <row r="722612" spans="15:15" x14ac:dyDescent="0.25">
      <c r="O722612" s="9"/>
    </row>
    <row r="722633" spans="15:15" x14ac:dyDescent="0.25">
      <c r="O722633" s="9"/>
    </row>
    <row r="722654" spans="15:15" x14ac:dyDescent="0.25">
      <c r="O722654" s="9"/>
    </row>
    <row r="722675" spans="15:15" x14ac:dyDescent="0.25">
      <c r="O722675" s="9"/>
    </row>
    <row r="722696" spans="15:15" x14ac:dyDescent="0.25">
      <c r="O722696" s="9"/>
    </row>
    <row r="722717" spans="15:15" x14ac:dyDescent="0.25">
      <c r="O722717" s="9"/>
    </row>
    <row r="722738" spans="15:15" x14ac:dyDescent="0.25">
      <c r="O722738" s="9"/>
    </row>
    <row r="722759" spans="15:15" x14ac:dyDescent="0.25">
      <c r="O722759" s="9"/>
    </row>
    <row r="722780" spans="15:15" x14ac:dyDescent="0.25">
      <c r="O722780" s="9"/>
    </row>
    <row r="722801" spans="15:15" x14ac:dyDescent="0.25">
      <c r="O722801" s="9"/>
    </row>
    <row r="722822" spans="15:15" x14ac:dyDescent="0.25">
      <c r="O722822" s="9"/>
    </row>
    <row r="722843" spans="15:15" x14ac:dyDescent="0.25">
      <c r="O722843" s="9"/>
    </row>
    <row r="722864" spans="15:15" x14ac:dyDescent="0.25">
      <c r="O722864" s="9"/>
    </row>
    <row r="722885" spans="15:15" x14ac:dyDescent="0.25">
      <c r="O722885" s="9"/>
    </row>
    <row r="722906" spans="15:15" x14ac:dyDescent="0.25">
      <c r="O722906" s="9"/>
    </row>
    <row r="722927" spans="15:15" x14ac:dyDescent="0.25">
      <c r="O722927" s="9"/>
    </row>
    <row r="722948" spans="15:15" x14ac:dyDescent="0.25">
      <c r="O722948" s="9"/>
    </row>
    <row r="722969" spans="15:15" x14ac:dyDescent="0.25">
      <c r="O722969" s="9"/>
    </row>
    <row r="722990" spans="15:15" x14ac:dyDescent="0.25">
      <c r="O722990" s="9"/>
    </row>
    <row r="723011" spans="15:15" x14ac:dyDescent="0.25">
      <c r="O723011" s="9"/>
    </row>
    <row r="723032" spans="15:15" x14ac:dyDescent="0.25">
      <c r="O723032" s="9"/>
    </row>
    <row r="723053" spans="15:15" x14ac:dyDescent="0.25">
      <c r="O723053" s="9"/>
    </row>
    <row r="723074" spans="15:15" x14ac:dyDescent="0.25">
      <c r="O723074" s="9"/>
    </row>
    <row r="723095" spans="15:15" x14ac:dyDescent="0.25">
      <c r="O723095" s="9"/>
    </row>
    <row r="723116" spans="15:15" x14ac:dyDescent="0.25">
      <c r="O723116" s="9"/>
    </row>
    <row r="723137" spans="15:15" x14ac:dyDescent="0.25">
      <c r="O723137" s="9"/>
    </row>
    <row r="723158" spans="15:15" x14ac:dyDescent="0.25">
      <c r="O723158" s="9"/>
    </row>
    <row r="723179" spans="15:15" x14ac:dyDescent="0.25">
      <c r="O723179" s="9"/>
    </row>
    <row r="723200" spans="15:15" x14ac:dyDescent="0.25">
      <c r="O723200" s="9"/>
    </row>
    <row r="723221" spans="15:15" x14ac:dyDescent="0.25">
      <c r="O723221" s="9"/>
    </row>
    <row r="723242" spans="15:15" x14ac:dyDescent="0.25">
      <c r="O723242" s="9"/>
    </row>
    <row r="723263" spans="15:15" x14ac:dyDescent="0.25">
      <c r="O723263" s="9"/>
    </row>
    <row r="723284" spans="15:15" x14ac:dyDescent="0.25">
      <c r="O723284" s="9"/>
    </row>
    <row r="723305" spans="15:15" x14ac:dyDescent="0.25">
      <c r="O723305" s="9"/>
    </row>
    <row r="723326" spans="15:15" x14ac:dyDescent="0.25">
      <c r="O723326" s="9"/>
    </row>
    <row r="723347" spans="15:15" x14ac:dyDescent="0.25">
      <c r="O723347" s="9"/>
    </row>
    <row r="723368" spans="15:15" x14ac:dyDescent="0.25">
      <c r="O723368" s="9"/>
    </row>
    <row r="723389" spans="15:15" x14ac:dyDescent="0.25">
      <c r="O723389" s="9"/>
    </row>
    <row r="723410" spans="15:15" x14ac:dyDescent="0.25">
      <c r="O723410" s="9"/>
    </row>
    <row r="723431" spans="15:15" x14ac:dyDescent="0.25">
      <c r="O723431" s="9"/>
    </row>
    <row r="723452" spans="15:15" x14ac:dyDescent="0.25">
      <c r="O723452" s="9"/>
    </row>
    <row r="723473" spans="15:15" x14ac:dyDescent="0.25">
      <c r="O723473" s="9"/>
    </row>
    <row r="723494" spans="15:15" x14ac:dyDescent="0.25">
      <c r="O723494" s="9"/>
    </row>
    <row r="723515" spans="15:15" x14ac:dyDescent="0.25">
      <c r="O723515" s="9"/>
    </row>
    <row r="723536" spans="15:15" x14ac:dyDescent="0.25">
      <c r="O723536" s="9"/>
    </row>
    <row r="723557" spans="15:15" x14ac:dyDescent="0.25">
      <c r="O723557" s="9"/>
    </row>
    <row r="723578" spans="15:15" x14ac:dyDescent="0.25">
      <c r="O723578" s="9"/>
    </row>
    <row r="723599" spans="15:15" x14ac:dyDescent="0.25">
      <c r="O723599" s="9"/>
    </row>
    <row r="723620" spans="15:15" x14ac:dyDescent="0.25">
      <c r="O723620" s="9"/>
    </row>
    <row r="723641" spans="15:15" x14ac:dyDescent="0.25">
      <c r="O723641" s="9"/>
    </row>
    <row r="723662" spans="15:15" x14ac:dyDescent="0.25">
      <c r="O723662" s="9"/>
    </row>
    <row r="723683" spans="15:15" x14ac:dyDescent="0.25">
      <c r="O723683" s="9"/>
    </row>
    <row r="723704" spans="15:15" x14ac:dyDescent="0.25">
      <c r="O723704" s="9"/>
    </row>
    <row r="723725" spans="15:15" x14ac:dyDescent="0.25">
      <c r="O723725" s="9"/>
    </row>
    <row r="723746" spans="15:15" x14ac:dyDescent="0.25">
      <c r="O723746" s="9"/>
    </row>
    <row r="723767" spans="15:15" x14ac:dyDescent="0.25">
      <c r="O723767" s="9"/>
    </row>
    <row r="723788" spans="15:15" x14ac:dyDescent="0.25">
      <c r="O723788" s="9"/>
    </row>
    <row r="723809" spans="15:15" x14ac:dyDescent="0.25">
      <c r="O723809" s="9"/>
    </row>
    <row r="723830" spans="15:15" x14ac:dyDescent="0.25">
      <c r="O723830" s="9"/>
    </row>
    <row r="723851" spans="15:15" x14ac:dyDescent="0.25">
      <c r="O723851" s="9"/>
    </row>
    <row r="723872" spans="15:15" x14ac:dyDescent="0.25">
      <c r="O723872" s="9"/>
    </row>
    <row r="723893" spans="15:15" x14ac:dyDescent="0.25">
      <c r="O723893" s="9"/>
    </row>
    <row r="723914" spans="15:15" x14ac:dyDescent="0.25">
      <c r="O723914" s="9"/>
    </row>
    <row r="723935" spans="15:15" x14ac:dyDescent="0.25">
      <c r="O723935" s="9"/>
    </row>
    <row r="723956" spans="15:15" x14ac:dyDescent="0.25">
      <c r="O723956" s="9"/>
    </row>
    <row r="723977" spans="15:15" x14ac:dyDescent="0.25">
      <c r="O723977" s="9"/>
    </row>
    <row r="723998" spans="15:15" x14ac:dyDescent="0.25">
      <c r="O723998" s="9"/>
    </row>
    <row r="724019" spans="15:15" x14ac:dyDescent="0.25">
      <c r="O724019" s="9"/>
    </row>
    <row r="724040" spans="15:15" x14ac:dyDescent="0.25">
      <c r="O724040" s="9"/>
    </row>
    <row r="724061" spans="15:15" x14ac:dyDescent="0.25">
      <c r="O724061" s="9"/>
    </row>
    <row r="724082" spans="15:15" x14ac:dyDescent="0.25">
      <c r="O724082" s="9"/>
    </row>
    <row r="724103" spans="15:15" x14ac:dyDescent="0.25">
      <c r="O724103" s="9"/>
    </row>
    <row r="724124" spans="15:15" x14ac:dyDescent="0.25">
      <c r="O724124" s="9"/>
    </row>
    <row r="724145" spans="15:15" x14ac:dyDescent="0.25">
      <c r="O724145" s="9"/>
    </row>
    <row r="724166" spans="15:15" x14ac:dyDescent="0.25">
      <c r="O724166" s="9"/>
    </row>
    <row r="724187" spans="15:15" x14ac:dyDescent="0.25">
      <c r="O724187" s="9"/>
    </row>
    <row r="724208" spans="15:15" x14ac:dyDescent="0.25">
      <c r="O724208" s="9"/>
    </row>
    <row r="724229" spans="15:15" x14ac:dyDescent="0.25">
      <c r="O724229" s="9"/>
    </row>
    <row r="724250" spans="15:15" x14ac:dyDescent="0.25">
      <c r="O724250" s="9"/>
    </row>
    <row r="724271" spans="15:15" x14ac:dyDescent="0.25">
      <c r="O724271" s="9"/>
    </row>
    <row r="724292" spans="15:15" x14ac:dyDescent="0.25">
      <c r="O724292" s="9"/>
    </row>
    <row r="724313" spans="15:15" x14ac:dyDescent="0.25">
      <c r="O724313" s="9"/>
    </row>
    <row r="724334" spans="15:15" x14ac:dyDescent="0.25">
      <c r="O724334" s="9"/>
    </row>
    <row r="724355" spans="15:15" x14ac:dyDescent="0.25">
      <c r="O724355" s="9"/>
    </row>
    <row r="724376" spans="15:15" x14ac:dyDescent="0.25">
      <c r="O724376" s="9"/>
    </row>
    <row r="724397" spans="15:15" x14ac:dyDescent="0.25">
      <c r="O724397" s="9"/>
    </row>
    <row r="724418" spans="15:15" x14ac:dyDescent="0.25">
      <c r="O724418" s="9"/>
    </row>
    <row r="724439" spans="15:15" x14ac:dyDescent="0.25">
      <c r="O724439" s="9"/>
    </row>
    <row r="724460" spans="15:15" x14ac:dyDescent="0.25">
      <c r="O724460" s="9"/>
    </row>
    <row r="724481" spans="15:15" x14ac:dyDescent="0.25">
      <c r="O724481" s="9"/>
    </row>
    <row r="724502" spans="15:15" x14ac:dyDescent="0.25">
      <c r="O724502" s="9"/>
    </row>
    <row r="724523" spans="15:15" x14ac:dyDescent="0.25">
      <c r="O724523" s="9"/>
    </row>
    <row r="724544" spans="15:15" x14ac:dyDescent="0.25">
      <c r="O724544" s="9"/>
    </row>
    <row r="724565" spans="15:15" x14ac:dyDescent="0.25">
      <c r="O724565" s="9"/>
    </row>
    <row r="724586" spans="15:15" x14ac:dyDescent="0.25">
      <c r="O724586" s="9"/>
    </row>
    <row r="724607" spans="15:15" x14ac:dyDescent="0.25">
      <c r="O724607" s="9"/>
    </row>
    <row r="724628" spans="15:15" x14ac:dyDescent="0.25">
      <c r="O724628" s="9"/>
    </row>
    <row r="724649" spans="15:15" x14ac:dyDescent="0.25">
      <c r="O724649" s="9"/>
    </row>
    <row r="724670" spans="15:15" x14ac:dyDescent="0.25">
      <c r="O724670" s="9"/>
    </row>
    <row r="724691" spans="15:15" x14ac:dyDescent="0.25">
      <c r="O724691" s="9"/>
    </row>
    <row r="724712" spans="15:15" x14ac:dyDescent="0.25">
      <c r="O724712" s="9"/>
    </row>
    <row r="724733" spans="15:15" x14ac:dyDescent="0.25">
      <c r="O724733" s="9"/>
    </row>
    <row r="724754" spans="15:15" x14ac:dyDescent="0.25">
      <c r="O724754" s="9"/>
    </row>
    <row r="724775" spans="15:15" x14ac:dyDescent="0.25">
      <c r="O724775" s="9"/>
    </row>
    <row r="724796" spans="15:15" x14ac:dyDescent="0.25">
      <c r="O724796" s="9"/>
    </row>
    <row r="724817" spans="15:15" x14ac:dyDescent="0.25">
      <c r="O724817" s="9"/>
    </row>
    <row r="724838" spans="15:15" x14ac:dyDescent="0.25">
      <c r="O724838" s="9"/>
    </row>
    <row r="724859" spans="15:15" x14ac:dyDescent="0.25">
      <c r="O724859" s="9"/>
    </row>
    <row r="724880" spans="15:15" x14ac:dyDescent="0.25">
      <c r="O724880" s="9"/>
    </row>
    <row r="724901" spans="15:15" x14ac:dyDescent="0.25">
      <c r="O724901" s="9"/>
    </row>
    <row r="724922" spans="15:15" x14ac:dyDescent="0.25">
      <c r="O724922" s="9"/>
    </row>
    <row r="724943" spans="15:15" x14ac:dyDescent="0.25">
      <c r="O724943" s="9"/>
    </row>
    <row r="724964" spans="15:15" x14ac:dyDescent="0.25">
      <c r="O724964" s="9"/>
    </row>
    <row r="724985" spans="15:15" x14ac:dyDescent="0.25">
      <c r="O724985" s="9"/>
    </row>
    <row r="725006" spans="15:15" x14ac:dyDescent="0.25">
      <c r="O725006" s="9"/>
    </row>
    <row r="725027" spans="15:15" x14ac:dyDescent="0.25">
      <c r="O725027" s="9"/>
    </row>
    <row r="725048" spans="15:15" x14ac:dyDescent="0.25">
      <c r="O725048" s="9"/>
    </row>
    <row r="725069" spans="15:15" x14ac:dyDescent="0.25">
      <c r="O725069" s="9"/>
    </row>
    <row r="725090" spans="15:15" x14ac:dyDescent="0.25">
      <c r="O725090" s="9"/>
    </row>
    <row r="725111" spans="15:15" x14ac:dyDescent="0.25">
      <c r="O725111" s="9"/>
    </row>
    <row r="725132" spans="15:15" x14ac:dyDescent="0.25">
      <c r="O725132" s="9"/>
    </row>
    <row r="725153" spans="15:15" x14ac:dyDescent="0.25">
      <c r="O725153" s="9"/>
    </row>
    <row r="725174" spans="15:15" x14ac:dyDescent="0.25">
      <c r="O725174" s="9"/>
    </row>
    <row r="725195" spans="15:15" x14ac:dyDescent="0.25">
      <c r="O725195" s="9"/>
    </row>
    <row r="725216" spans="15:15" x14ac:dyDescent="0.25">
      <c r="O725216" s="9"/>
    </row>
    <row r="725237" spans="15:15" x14ac:dyDescent="0.25">
      <c r="O725237" s="9"/>
    </row>
    <row r="725258" spans="15:15" x14ac:dyDescent="0.25">
      <c r="O725258" s="9"/>
    </row>
    <row r="725279" spans="15:15" x14ac:dyDescent="0.25">
      <c r="O725279" s="9"/>
    </row>
    <row r="725300" spans="15:15" x14ac:dyDescent="0.25">
      <c r="O725300" s="9"/>
    </row>
    <row r="725321" spans="15:15" x14ac:dyDescent="0.25">
      <c r="O725321" s="9"/>
    </row>
    <row r="725342" spans="15:15" x14ac:dyDescent="0.25">
      <c r="O725342" s="9"/>
    </row>
    <row r="725363" spans="15:15" x14ac:dyDescent="0.25">
      <c r="O725363" s="9"/>
    </row>
    <row r="725384" spans="15:15" x14ac:dyDescent="0.25">
      <c r="O725384" s="9"/>
    </row>
    <row r="725405" spans="15:15" x14ac:dyDescent="0.25">
      <c r="O725405" s="9"/>
    </row>
    <row r="725426" spans="15:15" x14ac:dyDescent="0.25">
      <c r="O725426" s="9"/>
    </row>
    <row r="725447" spans="15:15" x14ac:dyDescent="0.25">
      <c r="O725447" s="9"/>
    </row>
    <row r="725468" spans="15:15" x14ac:dyDescent="0.25">
      <c r="O725468" s="9"/>
    </row>
    <row r="725489" spans="15:15" x14ac:dyDescent="0.25">
      <c r="O725489" s="9"/>
    </row>
    <row r="725510" spans="15:15" x14ac:dyDescent="0.25">
      <c r="O725510" s="9"/>
    </row>
    <row r="725531" spans="15:15" x14ac:dyDescent="0.25">
      <c r="O725531" s="9"/>
    </row>
    <row r="725552" spans="15:15" x14ac:dyDescent="0.25">
      <c r="O725552" s="9"/>
    </row>
    <row r="725573" spans="15:15" x14ac:dyDescent="0.25">
      <c r="O725573" s="9"/>
    </row>
    <row r="725594" spans="15:15" x14ac:dyDescent="0.25">
      <c r="O725594" s="9"/>
    </row>
    <row r="725615" spans="15:15" x14ac:dyDescent="0.25">
      <c r="O725615" s="9"/>
    </row>
    <row r="725636" spans="15:15" x14ac:dyDescent="0.25">
      <c r="O725636" s="9"/>
    </row>
    <row r="725657" spans="15:15" x14ac:dyDescent="0.25">
      <c r="O725657" s="9"/>
    </row>
    <row r="725678" spans="15:15" x14ac:dyDescent="0.25">
      <c r="O725678" s="9"/>
    </row>
    <row r="725699" spans="15:15" x14ac:dyDescent="0.25">
      <c r="O725699" s="9"/>
    </row>
    <row r="725720" spans="15:15" x14ac:dyDescent="0.25">
      <c r="O725720" s="9"/>
    </row>
    <row r="725741" spans="15:15" x14ac:dyDescent="0.25">
      <c r="O725741" s="9"/>
    </row>
    <row r="725762" spans="15:15" x14ac:dyDescent="0.25">
      <c r="O725762" s="9"/>
    </row>
    <row r="725783" spans="15:15" x14ac:dyDescent="0.25">
      <c r="O725783" s="9"/>
    </row>
    <row r="725804" spans="15:15" x14ac:dyDescent="0.25">
      <c r="O725804" s="9"/>
    </row>
    <row r="725825" spans="15:15" x14ac:dyDescent="0.25">
      <c r="O725825" s="9"/>
    </row>
    <row r="725846" spans="15:15" x14ac:dyDescent="0.25">
      <c r="O725846" s="9"/>
    </row>
    <row r="725867" spans="15:15" x14ac:dyDescent="0.25">
      <c r="O725867" s="9"/>
    </row>
    <row r="725888" spans="15:15" x14ac:dyDescent="0.25">
      <c r="O725888" s="9"/>
    </row>
    <row r="725909" spans="15:15" x14ac:dyDescent="0.25">
      <c r="O725909" s="9"/>
    </row>
    <row r="725930" spans="15:15" x14ac:dyDescent="0.25">
      <c r="O725930" s="9"/>
    </row>
    <row r="725951" spans="15:15" x14ac:dyDescent="0.25">
      <c r="O725951" s="9"/>
    </row>
    <row r="725972" spans="15:15" x14ac:dyDescent="0.25">
      <c r="O725972" s="9"/>
    </row>
    <row r="725993" spans="15:15" x14ac:dyDescent="0.25">
      <c r="O725993" s="9"/>
    </row>
    <row r="726014" spans="15:15" x14ac:dyDescent="0.25">
      <c r="O726014" s="9"/>
    </row>
    <row r="726035" spans="15:15" x14ac:dyDescent="0.25">
      <c r="O726035" s="9"/>
    </row>
    <row r="726056" spans="15:15" x14ac:dyDescent="0.25">
      <c r="O726056" s="9"/>
    </row>
    <row r="726077" spans="15:15" x14ac:dyDescent="0.25">
      <c r="O726077" s="9"/>
    </row>
    <row r="726098" spans="15:15" x14ac:dyDescent="0.25">
      <c r="O726098" s="9"/>
    </row>
    <row r="726119" spans="15:15" x14ac:dyDescent="0.25">
      <c r="O726119" s="9"/>
    </row>
    <row r="726140" spans="15:15" x14ac:dyDescent="0.25">
      <c r="O726140" s="9"/>
    </row>
    <row r="726161" spans="15:15" x14ac:dyDescent="0.25">
      <c r="O726161" s="9"/>
    </row>
    <row r="726182" spans="15:15" x14ac:dyDescent="0.25">
      <c r="O726182" s="9"/>
    </row>
    <row r="726203" spans="15:15" x14ac:dyDescent="0.25">
      <c r="O726203" s="9"/>
    </row>
    <row r="726224" spans="15:15" x14ac:dyDescent="0.25">
      <c r="O726224" s="9"/>
    </row>
    <row r="726245" spans="15:15" x14ac:dyDescent="0.25">
      <c r="O726245" s="9"/>
    </row>
    <row r="726266" spans="15:15" x14ac:dyDescent="0.25">
      <c r="O726266" s="9"/>
    </row>
    <row r="726287" spans="15:15" x14ac:dyDescent="0.25">
      <c r="O726287" s="9"/>
    </row>
    <row r="726308" spans="15:15" x14ac:dyDescent="0.25">
      <c r="O726308" s="9"/>
    </row>
    <row r="726329" spans="15:15" x14ac:dyDescent="0.25">
      <c r="O726329" s="9"/>
    </row>
    <row r="726350" spans="15:15" x14ac:dyDescent="0.25">
      <c r="O726350" s="9"/>
    </row>
    <row r="726371" spans="15:15" x14ac:dyDescent="0.25">
      <c r="O726371" s="9"/>
    </row>
    <row r="726392" spans="15:15" x14ac:dyDescent="0.25">
      <c r="O726392" s="9"/>
    </row>
    <row r="726413" spans="15:15" x14ac:dyDescent="0.25">
      <c r="O726413" s="9"/>
    </row>
    <row r="726434" spans="15:15" x14ac:dyDescent="0.25">
      <c r="O726434" s="9"/>
    </row>
    <row r="726455" spans="15:15" x14ac:dyDescent="0.25">
      <c r="O726455" s="9"/>
    </row>
    <row r="726476" spans="15:15" x14ac:dyDescent="0.25">
      <c r="O726476" s="9"/>
    </row>
    <row r="726497" spans="15:15" x14ac:dyDescent="0.25">
      <c r="O726497" s="9"/>
    </row>
    <row r="726518" spans="15:15" x14ac:dyDescent="0.25">
      <c r="O726518" s="9"/>
    </row>
    <row r="726539" spans="15:15" x14ac:dyDescent="0.25">
      <c r="O726539" s="9"/>
    </row>
    <row r="726560" spans="15:15" x14ac:dyDescent="0.25">
      <c r="O726560" s="9"/>
    </row>
    <row r="726581" spans="15:15" x14ac:dyDescent="0.25">
      <c r="O726581" s="9"/>
    </row>
    <row r="726602" spans="15:15" x14ac:dyDescent="0.25">
      <c r="O726602" s="9"/>
    </row>
    <row r="726623" spans="15:15" x14ac:dyDescent="0.25">
      <c r="O726623" s="9"/>
    </row>
    <row r="726644" spans="15:15" x14ac:dyDescent="0.25">
      <c r="O726644" s="9"/>
    </row>
    <row r="726665" spans="15:15" x14ac:dyDescent="0.25">
      <c r="O726665" s="9"/>
    </row>
    <row r="726686" spans="15:15" x14ac:dyDescent="0.25">
      <c r="O726686" s="9"/>
    </row>
    <row r="726707" spans="15:15" x14ac:dyDescent="0.25">
      <c r="O726707" s="9"/>
    </row>
    <row r="726728" spans="15:15" x14ac:dyDescent="0.25">
      <c r="O726728" s="9"/>
    </row>
    <row r="726749" spans="15:15" x14ac:dyDescent="0.25">
      <c r="O726749" s="9"/>
    </row>
    <row r="726770" spans="15:15" x14ac:dyDescent="0.25">
      <c r="O726770" s="9"/>
    </row>
    <row r="726791" spans="15:15" x14ac:dyDescent="0.25">
      <c r="O726791" s="9"/>
    </row>
    <row r="726812" spans="15:15" x14ac:dyDescent="0.25">
      <c r="O726812" s="9"/>
    </row>
    <row r="726833" spans="15:15" x14ac:dyDescent="0.25">
      <c r="O726833" s="9"/>
    </row>
    <row r="726854" spans="15:15" x14ac:dyDescent="0.25">
      <c r="O726854" s="9"/>
    </row>
    <row r="726875" spans="15:15" x14ac:dyDescent="0.25">
      <c r="O726875" s="9"/>
    </row>
    <row r="726896" spans="15:15" x14ac:dyDescent="0.25">
      <c r="O726896" s="9"/>
    </row>
    <row r="726917" spans="15:15" x14ac:dyDescent="0.25">
      <c r="O726917" s="9"/>
    </row>
    <row r="726938" spans="15:15" x14ac:dyDescent="0.25">
      <c r="O726938" s="9"/>
    </row>
    <row r="726959" spans="15:15" x14ac:dyDescent="0.25">
      <c r="O726959" s="9"/>
    </row>
    <row r="726980" spans="15:15" x14ac:dyDescent="0.25">
      <c r="O726980" s="9"/>
    </row>
    <row r="727001" spans="15:15" x14ac:dyDescent="0.25">
      <c r="O727001" s="9"/>
    </row>
    <row r="727022" spans="15:15" x14ac:dyDescent="0.25">
      <c r="O727022" s="9"/>
    </row>
    <row r="727043" spans="15:15" x14ac:dyDescent="0.25">
      <c r="O727043" s="9"/>
    </row>
    <row r="727064" spans="15:15" x14ac:dyDescent="0.25">
      <c r="O727064" s="9"/>
    </row>
    <row r="727085" spans="15:15" x14ac:dyDescent="0.25">
      <c r="O727085" s="9"/>
    </row>
    <row r="727106" spans="15:15" x14ac:dyDescent="0.25">
      <c r="O727106" s="9"/>
    </row>
    <row r="727127" spans="15:15" x14ac:dyDescent="0.25">
      <c r="O727127" s="9"/>
    </row>
    <row r="727148" spans="15:15" x14ac:dyDescent="0.25">
      <c r="O727148" s="9"/>
    </row>
    <row r="727169" spans="15:15" x14ac:dyDescent="0.25">
      <c r="O727169" s="9"/>
    </row>
    <row r="727190" spans="15:15" x14ac:dyDescent="0.25">
      <c r="O727190" s="9"/>
    </row>
    <row r="727211" spans="15:15" x14ac:dyDescent="0.25">
      <c r="O727211" s="9"/>
    </row>
    <row r="727232" spans="15:15" x14ac:dyDescent="0.25">
      <c r="O727232" s="9"/>
    </row>
    <row r="727253" spans="15:15" x14ac:dyDescent="0.25">
      <c r="O727253" s="9"/>
    </row>
    <row r="727274" spans="15:15" x14ac:dyDescent="0.25">
      <c r="O727274" s="9"/>
    </row>
    <row r="727295" spans="15:15" x14ac:dyDescent="0.25">
      <c r="O727295" s="9"/>
    </row>
    <row r="727316" spans="15:15" x14ac:dyDescent="0.25">
      <c r="O727316" s="9"/>
    </row>
    <row r="727337" spans="15:15" x14ac:dyDescent="0.25">
      <c r="O727337" s="9"/>
    </row>
    <row r="727358" spans="15:15" x14ac:dyDescent="0.25">
      <c r="O727358" s="9"/>
    </row>
    <row r="727379" spans="15:15" x14ac:dyDescent="0.25">
      <c r="O727379" s="9"/>
    </row>
    <row r="727400" spans="15:15" x14ac:dyDescent="0.25">
      <c r="O727400" s="9"/>
    </row>
    <row r="727421" spans="15:15" x14ac:dyDescent="0.25">
      <c r="O727421" s="9"/>
    </row>
    <row r="727442" spans="15:15" x14ac:dyDescent="0.25">
      <c r="O727442" s="9"/>
    </row>
    <row r="727463" spans="15:15" x14ac:dyDescent="0.25">
      <c r="O727463" s="9"/>
    </row>
    <row r="727484" spans="15:15" x14ac:dyDescent="0.25">
      <c r="O727484" s="9"/>
    </row>
    <row r="727505" spans="15:15" x14ac:dyDescent="0.25">
      <c r="O727505" s="9"/>
    </row>
    <row r="727526" spans="15:15" x14ac:dyDescent="0.25">
      <c r="O727526" s="9"/>
    </row>
    <row r="727547" spans="15:15" x14ac:dyDescent="0.25">
      <c r="O727547" s="9"/>
    </row>
    <row r="727568" spans="15:15" x14ac:dyDescent="0.25">
      <c r="O727568" s="9"/>
    </row>
    <row r="727589" spans="15:15" x14ac:dyDescent="0.25">
      <c r="O727589" s="9"/>
    </row>
    <row r="727610" spans="15:15" x14ac:dyDescent="0.25">
      <c r="O727610" s="9"/>
    </row>
    <row r="727631" spans="15:15" x14ac:dyDescent="0.25">
      <c r="O727631" s="9"/>
    </row>
    <row r="727652" spans="15:15" x14ac:dyDescent="0.25">
      <c r="O727652" s="9"/>
    </row>
    <row r="727673" spans="15:15" x14ac:dyDescent="0.25">
      <c r="O727673" s="9"/>
    </row>
    <row r="727694" spans="15:15" x14ac:dyDescent="0.25">
      <c r="O727694" s="9"/>
    </row>
    <row r="727715" spans="15:15" x14ac:dyDescent="0.25">
      <c r="O727715" s="9"/>
    </row>
    <row r="727736" spans="15:15" x14ac:dyDescent="0.25">
      <c r="O727736" s="9"/>
    </row>
    <row r="727757" spans="15:15" x14ac:dyDescent="0.25">
      <c r="O727757" s="9"/>
    </row>
    <row r="727778" spans="15:15" x14ac:dyDescent="0.25">
      <c r="O727778" s="9"/>
    </row>
    <row r="727799" spans="15:15" x14ac:dyDescent="0.25">
      <c r="O727799" s="9"/>
    </row>
    <row r="727820" spans="15:15" x14ac:dyDescent="0.25">
      <c r="O727820" s="9"/>
    </row>
    <row r="727841" spans="15:15" x14ac:dyDescent="0.25">
      <c r="O727841" s="9"/>
    </row>
    <row r="727862" spans="15:15" x14ac:dyDescent="0.25">
      <c r="O727862" s="9"/>
    </row>
    <row r="727883" spans="15:15" x14ac:dyDescent="0.25">
      <c r="O727883" s="9"/>
    </row>
    <row r="727904" spans="15:15" x14ac:dyDescent="0.25">
      <c r="O727904" s="9"/>
    </row>
    <row r="727925" spans="15:15" x14ac:dyDescent="0.25">
      <c r="O727925" s="9"/>
    </row>
    <row r="727946" spans="15:15" x14ac:dyDescent="0.25">
      <c r="O727946" s="9"/>
    </row>
    <row r="727967" spans="15:15" x14ac:dyDescent="0.25">
      <c r="O727967" s="9"/>
    </row>
    <row r="727988" spans="15:15" x14ac:dyDescent="0.25">
      <c r="O727988" s="9"/>
    </row>
    <row r="728009" spans="15:15" x14ac:dyDescent="0.25">
      <c r="O728009" s="9"/>
    </row>
    <row r="728030" spans="15:15" x14ac:dyDescent="0.25">
      <c r="O728030" s="9"/>
    </row>
    <row r="728051" spans="15:15" x14ac:dyDescent="0.25">
      <c r="O728051" s="9"/>
    </row>
    <row r="728072" spans="15:15" x14ac:dyDescent="0.25">
      <c r="O728072" s="9"/>
    </row>
    <row r="728093" spans="15:15" x14ac:dyDescent="0.25">
      <c r="O728093" s="9"/>
    </row>
    <row r="728114" spans="15:15" x14ac:dyDescent="0.25">
      <c r="O728114" s="9"/>
    </row>
    <row r="728135" spans="15:15" x14ac:dyDescent="0.25">
      <c r="O728135" s="9"/>
    </row>
    <row r="728156" spans="15:15" x14ac:dyDescent="0.25">
      <c r="O728156" s="9"/>
    </row>
    <row r="728177" spans="15:15" x14ac:dyDescent="0.25">
      <c r="O728177" s="9"/>
    </row>
    <row r="728198" spans="15:15" x14ac:dyDescent="0.25">
      <c r="O728198" s="9"/>
    </row>
    <row r="728219" spans="15:15" x14ac:dyDescent="0.25">
      <c r="O728219" s="9"/>
    </row>
    <row r="728240" spans="15:15" x14ac:dyDescent="0.25">
      <c r="O728240" s="9"/>
    </row>
    <row r="728261" spans="15:15" x14ac:dyDescent="0.25">
      <c r="O728261" s="9"/>
    </row>
    <row r="728282" spans="15:15" x14ac:dyDescent="0.25">
      <c r="O728282" s="9"/>
    </row>
    <row r="728303" spans="15:15" x14ac:dyDescent="0.25">
      <c r="O728303" s="9"/>
    </row>
    <row r="728324" spans="15:15" x14ac:dyDescent="0.25">
      <c r="O728324" s="9"/>
    </row>
    <row r="728345" spans="15:15" x14ac:dyDescent="0.25">
      <c r="O728345" s="9"/>
    </row>
    <row r="728366" spans="15:15" x14ac:dyDescent="0.25">
      <c r="O728366" s="9"/>
    </row>
    <row r="728387" spans="15:15" x14ac:dyDescent="0.25">
      <c r="O728387" s="9"/>
    </row>
    <row r="728408" spans="15:15" x14ac:dyDescent="0.25">
      <c r="O728408" s="9"/>
    </row>
    <row r="728429" spans="15:15" x14ac:dyDescent="0.25">
      <c r="O728429" s="9"/>
    </row>
    <row r="728450" spans="15:15" x14ac:dyDescent="0.25">
      <c r="O728450" s="9"/>
    </row>
    <row r="728471" spans="15:15" x14ac:dyDescent="0.25">
      <c r="O728471" s="9"/>
    </row>
    <row r="728492" spans="15:15" x14ac:dyDescent="0.25">
      <c r="O728492" s="9"/>
    </row>
    <row r="728513" spans="15:15" x14ac:dyDescent="0.25">
      <c r="O728513" s="9"/>
    </row>
    <row r="728534" spans="15:15" x14ac:dyDescent="0.25">
      <c r="O728534" s="9"/>
    </row>
    <row r="728555" spans="15:15" x14ac:dyDescent="0.25">
      <c r="O728555" s="9"/>
    </row>
    <row r="728576" spans="15:15" x14ac:dyDescent="0.25">
      <c r="O728576" s="9"/>
    </row>
    <row r="728597" spans="15:15" x14ac:dyDescent="0.25">
      <c r="O728597" s="9"/>
    </row>
    <row r="728618" spans="15:15" x14ac:dyDescent="0.25">
      <c r="O728618" s="9"/>
    </row>
    <row r="728639" spans="15:15" x14ac:dyDescent="0.25">
      <c r="O728639" s="9"/>
    </row>
    <row r="728660" spans="15:15" x14ac:dyDescent="0.25">
      <c r="O728660" s="9"/>
    </row>
    <row r="728681" spans="15:15" x14ac:dyDescent="0.25">
      <c r="O728681" s="9"/>
    </row>
    <row r="728702" spans="15:15" x14ac:dyDescent="0.25">
      <c r="O728702" s="9"/>
    </row>
    <row r="728723" spans="15:15" x14ac:dyDescent="0.25">
      <c r="O728723" s="9"/>
    </row>
    <row r="728744" spans="15:15" x14ac:dyDescent="0.25">
      <c r="O728744" s="9"/>
    </row>
    <row r="728765" spans="15:15" x14ac:dyDescent="0.25">
      <c r="O728765" s="9"/>
    </row>
    <row r="728786" spans="15:15" x14ac:dyDescent="0.25">
      <c r="O728786" s="9"/>
    </row>
    <row r="728807" spans="15:15" x14ac:dyDescent="0.25">
      <c r="O728807" s="9"/>
    </row>
    <row r="728828" spans="15:15" x14ac:dyDescent="0.25">
      <c r="O728828" s="9"/>
    </row>
    <row r="728849" spans="15:15" x14ac:dyDescent="0.25">
      <c r="O728849" s="9"/>
    </row>
    <row r="728870" spans="15:15" x14ac:dyDescent="0.25">
      <c r="O728870" s="9"/>
    </row>
    <row r="728891" spans="15:15" x14ac:dyDescent="0.25">
      <c r="O728891" s="9"/>
    </row>
    <row r="728912" spans="15:15" x14ac:dyDescent="0.25">
      <c r="O728912" s="9"/>
    </row>
    <row r="728933" spans="15:15" x14ac:dyDescent="0.25">
      <c r="O728933" s="9"/>
    </row>
    <row r="728954" spans="15:15" x14ac:dyDescent="0.25">
      <c r="O728954" s="9"/>
    </row>
    <row r="728975" spans="15:15" x14ac:dyDescent="0.25">
      <c r="O728975" s="9"/>
    </row>
    <row r="728996" spans="15:15" x14ac:dyDescent="0.25">
      <c r="O728996" s="9"/>
    </row>
    <row r="729017" spans="15:15" x14ac:dyDescent="0.25">
      <c r="O729017" s="9"/>
    </row>
    <row r="729038" spans="15:15" x14ac:dyDescent="0.25">
      <c r="O729038" s="9"/>
    </row>
    <row r="729059" spans="15:15" x14ac:dyDescent="0.25">
      <c r="O729059" s="9"/>
    </row>
    <row r="729080" spans="15:15" x14ac:dyDescent="0.25">
      <c r="O729080" s="9"/>
    </row>
    <row r="729101" spans="15:15" x14ac:dyDescent="0.25">
      <c r="O729101" s="9"/>
    </row>
    <row r="729122" spans="15:15" x14ac:dyDescent="0.25">
      <c r="O729122" s="9"/>
    </row>
    <row r="729143" spans="15:15" x14ac:dyDescent="0.25">
      <c r="O729143" s="9"/>
    </row>
    <row r="729164" spans="15:15" x14ac:dyDescent="0.25">
      <c r="O729164" s="9"/>
    </row>
    <row r="729185" spans="15:15" x14ac:dyDescent="0.25">
      <c r="O729185" s="9"/>
    </row>
    <row r="729206" spans="15:15" x14ac:dyDescent="0.25">
      <c r="O729206" s="9"/>
    </row>
    <row r="729227" spans="15:15" x14ac:dyDescent="0.25">
      <c r="O729227" s="9"/>
    </row>
    <row r="729248" spans="15:15" x14ac:dyDescent="0.25">
      <c r="O729248" s="9"/>
    </row>
    <row r="729269" spans="15:15" x14ac:dyDescent="0.25">
      <c r="O729269" s="9"/>
    </row>
    <row r="729290" spans="15:15" x14ac:dyDescent="0.25">
      <c r="O729290" s="9"/>
    </row>
    <row r="729311" spans="15:15" x14ac:dyDescent="0.25">
      <c r="O729311" s="9"/>
    </row>
    <row r="729332" spans="15:15" x14ac:dyDescent="0.25">
      <c r="O729332" s="9"/>
    </row>
    <row r="729353" spans="15:15" x14ac:dyDescent="0.25">
      <c r="O729353" s="9"/>
    </row>
    <row r="729374" spans="15:15" x14ac:dyDescent="0.25">
      <c r="O729374" s="9"/>
    </row>
    <row r="729395" spans="15:15" x14ac:dyDescent="0.25">
      <c r="O729395" s="9"/>
    </row>
    <row r="729416" spans="15:15" x14ac:dyDescent="0.25">
      <c r="O729416" s="9"/>
    </row>
    <row r="729437" spans="15:15" x14ac:dyDescent="0.25">
      <c r="O729437" s="9"/>
    </row>
    <row r="729458" spans="15:15" x14ac:dyDescent="0.25">
      <c r="O729458" s="9"/>
    </row>
    <row r="729479" spans="15:15" x14ac:dyDescent="0.25">
      <c r="O729479" s="9"/>
    </row>
    <row r="729500" spans="15:15" x14ac:dyDescent="0.25">
      <c r="O729500" s="9"/>
    </row>
    <row r="729521" spans="15:15" x14ac:dyDescent="0.25">
      <c r="O729521" s="9"/>
    </row>
    <row r="729542" spans="15:15" x14ac:dyDescent="0.25">
      <c r="O729542" s="9"/>
    </row>
    <row r="729563" spans="15:15" x14ac:dyDescent="0.25">
      <c r="O729563" s="9"/>
    </row>
    <row r="729584" spans="15:15" x14ac:dyDescent="0.25">
      <c r="O729584" s="9"/>
    </row>
    <row r="729605" spans="15:15" x14ac:dyDescent="0.25">
      <c r="O729605" s="9"/>
    </row>
    <row r="729626" spans="15:15" x14ac:dyDescent="0.25">
      <c r="O729626" s="9"/>
    </row>
    <row r="729647" spans="15:15" x14ac:dyDescent="0.25">
      <c r="O729647" s="9"/>
    </row>
    <row r="729668" spans="15:15" x14ac:dyDescent="0.25">
      <c r="O729668" s="9"/>
    </row>
    <row r="729689" spans="15:15" x14ac:dyDescent="0.25">
      <c r="O729689" s="9"/>
    </row>
    <row r="729710" spans="15:15" x14ac:dyDescent="0.25">
      <c r="O729710" s="9"/>
    </row>
    <row r="729731" spans="15:15" x14ac:dyDescent="0.25">
      <c r="O729731" s="9"/>
    </row>
    <row r="729752" spans="15:15" x14ac:dyDescent="0.25">
      <c r="O729752" s="9"/>
    </row>
    <row r="729773" spans="15:15" x14ac:dyDescent="0.25">
      <c r="O729773" s="9"/>
    </row>
    <row r="729794" spans="15:15" x14ac:dyDescent="0.25">
      <c r="O729794" s="9"/>
    </row>
    <row r="729815" spans="15:15" x14ac:dyDescent="0.25">
      <c r="O729815" s="9"/>
    </row>
    <row r="729836" spans="15:15" x14ac:dyDescent="0.25">
      <c r="O729836" s="9"/>
    </row>
    <row r="729857" spans="15:15" x14ac:dyDescent="0.25">
      <c r="O729857" s="9"/>
    </row>
    <row r="729878" spans="15:15" x14ac:dyDescent="0.25">
      <c r="O729878" s="9"/>
    </row>
    <row r="729899" spans="15:15" x14ac:dyDescent="0.25">
      <c r="O729899" s="9"/>
    </row>
    <row r="729920" spans="15:15" x14ac:dyDescent="0.25">
      <c r="O729920" s="9"/>
    </row>
    <row r="729941" spans="15:15" x14ac:dyDescent="0.25">
      <c r="O729941" s="9"/>
    </row>
    <row r="729962" spans="15:15" x14ac:dyDescent="0.25">
      <c r="O729962" s="9"/>
    </row>
    <row r="729983" spans="15:15" x14ac:dyDescent="0.25">
      <c r="O729983" s="9"/>
    </row>
    <row r="730004" spans="15:15" x14ac:dyDescent="0.25">
      <c r="O730004" s="9"/>
    </row>
    <row r="730025" spans="15:15" x14ac:dyDescent="0.25">
      <c r="O730025" s="9"/>
    </row>
    <row r="730046" spans="15:15" x14ac:dyDescent="0.25">
      <c r="O730046" s="9"/>
    </row>
    <row r="730067" spans="15:15" x14ac:dyDescent="0.25">
      <c r="O730067" s="9"/>
    </row>
    <row r="730088" spans="15:15" x14ac:dyDescent="0.25">
      <c r="O730088" s="9"/>
    </row>
    <row r="730109" spans="15:15" x14ac:dyDescent="0.25">
      <c r="O730109" s="9"/>
    </row>
    <row r="730130" spans="15:15" x14ac:dyDescent="0.25">
      <c r="O730130" s="9"/>
    </row>
    <row r="730151" spans="15:15" x14ac:dyDescent="0.25">
      <c r="O730151" s="9"/>
    </row>
    <row r="730172" spans="15:15" x14ac:dyDescent="0.25">
      <c r="O730172" s="9"/>
    </row>
    <row r="730193" spans="15:15" x14ac:dyDescent="0.25">
      <c r="O730193" s="9"/>
    </row>
    <row r="730214" spans="15:15" x14ac:dyDescent="0.25">
      <c r="O730214" s="9"/>
    </row>
    <row r="730235" spans="15:15" x14ac:dyDescent="0.25">
      <c r="O730235" s="9"/>
    </row>
    <row r="730256" spans="15:15" x14ac:dyDescent="0.25">
      <c r="O730256" s="9"/>
    </row>
    <row r="730277" spans="15:15" x14ac:dyDescent="0.25">
      <c r="O730277" s="9"/>
    </row>
    <row r="730298" spans="15:15" x14ac:dyDescent="0.25">
      <c r="O730298" s="9"/>
    </row>
    <row r="730319" spans="15:15" x14ac:dyDescent="0.25">
      <c r="O730319" s="9"/>
    </row>
    <row r="730340" spans="15:15" x14ac:dyDescent="0.25">
      <c r="O730340" s="9"/>
    </row>
    <row r="730361" spans="15:15" x14ac:dyDescent="0.25">
      <c r="O730361" s="9"/>
    </row>
    <row r="730382" spans="15:15" x14ac:dyDescent="0.25">
      <c r="O730382" s="9"/>
    </row>
    <row r="730403" spans="15:15" x14ac:dyDescent="0.25">
      <c r="O730403" s="9"/>
    </row>
    <row r="730424" spans="15:15" x14ac:dyDescent="0.25">
      <c r="O730424" s="9"/>
    </row>
    <row r="730445" spans="15:15" x14ac:dyDescent="0.25">
      <c r="O730445" s="9"/>
    </row>
    <row r="730466" spans="15:15" x14ac:dyDescent="0.25">
      <c r="O730466" s="9"/>
    </row>
    <row r="730487" spans="15:15" x14ac:dyDescent="0.25">
      <c r="O730487" s="9"/>
    </row>
    <row r="730508" spans="15:15" x14ac:dyDescent="0.25">
      <c r="O730508" s="9"/>
    </row>
    <row r="730529" spans="15:15" x14ac:dyDescent="0.25">
      <c r="O730529" s="9"/>
    </row>
    <row r="730550" spans="15:15" x14ac:dyDescent="0.25">
      <c r="O730550" s="9"/>
    </row>
    <row r="730571" spans="15:15" x14ac:dyDescent="0.25">
      <c r="O730571" s="9"/>
    </row>
    <row r="730592" spans="15:15" x14ac:dyDescent="0.25">
      <c r="O730592" s="9"/>
    </row>
    <row r="730613" spans="15:15" x14ac:dyDescent="0.25">
      <c r="O730613" s="9"/>
    </row>
    <row r="730634" spans="15:15" x14ac:dyDescent="0.25">
      <c r="O730634" s="9"/>
    </row>
    <row r="730655" spans="15:15" x14ac:dyDescent="0.25">
      <c r="O730655" s="9"/>
    </row>
    <row r="730676" spans="15:15" x14ac:dyDescent="0.25">
      <c r="O730676" s="9"/>
    </row>
    <row r="730697" spans="15:15" x14ac:dyDescent="0.25">
      <c r="O730697" s="9"/>
    </row>
    <row r="730718" spans="15:15" x14ac:dyDescent="0.25">
      <c r="O730718" s="9"/>
    </row>
    <row r="730739" spans="15:15" x14ac:dyDescent="0.25">
      <c r="O730739" s="9"/>
    </row>
    <row r="730760" spans="15:15" x14ac:dyDescent="0.25">
      <c r="O730760" s="9"/>
    </row>
    <row r="730781" spans="15:15" x14ac:dyDescent="0.25">
      <c r="O730781" s="9"/>
    </row>
    <row r="730802" spans="15:15" x14ac:dyDescent="0.25">
      <c r="O730802" s="9"/>
    </row>
    <row r="730823" spans="15:15" x14ac:dyDescent="0.25">
      <c r="O730823" s="9"/>
    </row>
    <row r="730844" spans="15:15" x14ac:dyDescent="0.25">
      <c r="O730844" s="9"/>
    </row>
    <row r="730865" spans="15:15" x14ac:dyDescent="0.25">
      <c r="O730865" s="9"/>
    </row>
    <row r="730886" spans="15:15" x14ac:dyDescent="0.25">
      <c r="O730886" s="9"/>
    </row>
    <row r="730907" spans="15:15" x14ac:dyDescent="0.25">
      <c r="O730907" s="9"/>
    </row>
    <row r="730928" spans="15:15" x14ac:dyDescent="0.25">
      <c r="O730928" s="9"/>
    </row>
    <row r="730949" spans="15:15" x14ac:dyDescent="0.25">
      <c r="O730949" s="9"/>
    </row>
    <row r="730970" spans="15:15" x14ac:dyDescent="0.25">
      <c r="O730970" s="9"/>
    </row>
    <row r="730991" spans="15:15" x14ac:dyDescent="0.25">
      <c r="O730991" s="9"/>
    </row>
    <row r="731012" spans="15:15" x14ac:dyDescent="0.25">
      <c r="O731012" s="9"/>
    </row>
    <row r="731033" spans="15:15" x14ac:dyDescent="0.25">
      <c r="O731033" s="9"/>
    </row>
    <row r="731054" spans="15:15" x14ac:dyDescent="0.25">
      <c r="O731054" s="9"/>
    </row>
    <row r="731075" spans="15:15" x14ac:dyDescent="0.25">
      <c r="O731075" s="9"/>
    </row>
    <row r="731096" spans="15:15" x14ac:dyDescent="0.25">
      <c r="O731096" s="9"/>
    </row>
    <row r="731117" spans="15:15" x14ac:dyDescent="0.25">
      <c r="O731117" s="9"/>
    </row>
    <row r="731138" spans="15:15" x14ac:dyDescent="0.25">
      <c r="O731138" s="9"/>
    </row>
    <row r="731159" spans="15:15" x14ac:dyDescent="0.25">
      <c r="O731159" s="9"/>
    </row>
    <row r="731180" spans="15:15" x14ac:dyDescent="0.25">
      <c r="O731180" s="9"/>
    </row>
    <row r="731201" spans="15:15" x14ac:dyDescent="0.25">
      <c r="O731201" s="9"/>
    </row>
    <row r="731222" spans="15:15" x14ac:dyDescent="0.25">
      <c r="O731222" s="9"/>
    </row>
    <row r="731243" spans="15:15" x14ac:dyDescent="0.25">
      <c r="O731243" s="9"/>
    </row>
    <row r="731264" spans="15:15" x14ac:dyDescent="0.25">
      <c r="O731264" s="9"/>
    </row>
    <row r="731285" spans="15:15" x14ac:dyDescent="0.25">
      <c r="O731285" s="9"/>
    </row>
    <row r="731306" spans="15:15" x14ac:dyDescent="0.25">
      <c r="O731306" s="9"/>
    </row>
    <row r="731327" spans="15:15" x14ac:dyDescent="0.25">
      <c r="O731327" s="9"/>
    </row>
    <row r="731348" spans="15:15" x14ac:dyDescent="0.25">
      <c r="O731348" s="9"/>
    </row>
    <row r="731369" spans="15:15" x14ac:dyDescent="0.25">
      <c r="O731369" s="9"/>
    </row>
    <row r="731390" spans="15:15" x14ac:dyDescent="0.25">
      <c r="O731390" s="9"/>
    </row>
    <row r="731411" spans="15:15" x14ac:dyDescent="0.25">
      <c r="O731411" s="9"/>
    </row>
    <row r="731432" spans="15:15" x14ac:dyDescent="0.25">
      <c r="O731432" s="9"/>
    </row>
    <row r="731453" spans="15:15" x14ac:dyDescent="0.25">
      <c r="O731453" s="9"/>
    </row>
    <row r="731474" spans="15:15" x14ac:dyDescent="0.25">
      <c r="O731474" s="9"/>
    </row>
    <row r="731495" spans="15:15" x14ac:dyDescent="0.25">
      <c r="O731495" s="9"/>
    </row>
    <row r="731516" spans="15:15" x14ac:dyDescent="0.25">
      <c r="O731516" s="9"/>
    </row>
    <row r="731537" spans="15:15" x14ac:dyDescent="0.25">
      <c r="O731537" s="9"/>
    </row>
    <row r="731558" spans="15:15" x14ac:dyDescent="0.25">
      <c r="O731558" s="9"/>
    </row>
    <row r="731579" spans="15:15" x14ac:dyDescent="0.25">
      <c r="O731579" s="9"/>
    </row>
    <row r="731600" spans="15:15" x14ac:dyDescent="0.25">
      <c r="O731600" s="9"/>
    </row>
    <row r="731621" spans="15:15" x14ac:dyDescent="0.25">
      <c r="O731621" s="9"/>
    </row>
    <row r="731642" spans="15:15" x14ac:dyDescent="0.25">
      <c r="O731642" s="9"/>
    </row>
    <row r="731663" spans="15:15" x14ac:dyDescent="0.25">
      <c r="O731663" s="9"/>
    </row>
    <row r="731684" spans="15:15" x14ac:dyDescent="0.25">
      <c r="O731684" s="9"/>
    </row>
    <row r="731705" spans="15:15" x14ac:dyDescent="0.25">
      <c r="O731705" s="9"/>
    </row>
    <row r="731726" spans="15:15" x14ac:dyDescent="0.25">
      <c r="O731726" s="9"/>
    </row>
    <row r="731747" spans="15:15" x14ac:dyDescent="0.25">
      <c r="O731747" s="9"/>
    </row>
    <row r="731768" spans="15:15" x14ac:dyDescent="0.25">
      <c r="O731768" s="9"/>
    </row>
    <row r="731789" spans="15:15" x14ac:dyDescent="0.25">
      <c r="O731789" s="9"/>
    </row>
    <row r="731810" spans="15:15" x14ac:dyDescent="0.25">
      <c r="O731810" s="9"/>
    </row>
    <row r="731831" spans="15:15" x14ac:dyDescent="0.25">
      <c r="O731831" s="9"/>
    </row>
    <row r="731852" spans="15:15" x14ac:dyDescent="0.25">
      <c r="O731852" s="9"/>
    </row>
    <row r="731873" spans="15:15" x14ac:dyDescent="0.25">
      <c r="O731873" s="9"/>
    </row>
    <row r="731894" spans="15:15" x14ac:dyDescent="0.25">
      <c r="O731894" s="9"/>
    </row>
    <row r="731915" spans="15:15" x14ac:dyDescent="0.25">
      <c r="O731915" s="9"/>
    </row>
    <row r="731936" spans="15:15" x14ac:dyDescent="0.25">
      <c r="O731936" s="9"/>
    </row>
    <row r="731957" spans="15:15" x14ac:dyDescent="0.25">
      <c r="O731957" s="9"/>
    </row>
    <row r="731978" spans="15:15" x14ac:dyDescent="0.25">
      <c r="O731978" s="9"/>
    </row>
    <row r="731999" spans="15:15" x14ac:dyDescent="0.25">
      <c r="O731999" s="9"/>
    </row>
    <row r="732020" spans="15:15" x14ac:dyDescent="0.25">
      <c r="O732020" s="9"/>
    </row>
    <row r="732041" spans="15:15" x14ac:dyDescent="0.25">
      <c r="O732041" s="9"/>
    </row>
    <row r="732062" spans="15:15" x14ac:dyDescent="0.25">
      <c r="O732062" s="9"/>
    </row>
    <row r="732083" spans="15:15" x14ac:dyDescent="0.25">
      <c r="O732083" s="9"/>
    </row>
    <row r="732104" spans="15:15" x14ac:dyDescent="0.25">
      <c r="O732104" s="9"/>
    </row>
    <row r="732125" spans="15:15" x14ac:dyDescent="0.25">
      <c r="O732125" s="9"/>
    </row>
    <row r="732146" spans="15:15" x14ac:dyDescent="0.25">
      <c r="O732146" s="9"/>
    </row>
    <row r="732167" spans="15:15" x14ac:dyDescent="0.25">
      <c r="O732167" s="9"/>
    </row>
    <row r="732188" spans="15:15" x14ac:dyDescent="0.25">
      <c r="O732188" s="9"/>
    </row>
    <row r="732209" spans="15:15" x14ac:dyDescent="0.25">
      <c r="O732209" s="9"/>
    </row>
    <row r="732230" spans="15:15" x14ac:dyDescent="0.25">
      <c r="O732230" s="9"/>
    </row>
    <row r="732251" spans="15:15" x14ac:dyDescent="0.25">
      <c r="O732251" s="9"/>
    </row>
    <row r="732272" spans="15:15" x14ac:dyDescent="0.25">
      <c r="O732272" s="9"/>
    </row>
    <row r="732293" spans="15:15" x14ac:dyDescent="0.25">
      <c r="O732293" s="9"/>
    </row>
    <row r="732314" spans="15:15" x14ac:dyDescent="0.25">
      <c r="O732314" s="9"/>
    </row>
    <row r="732335" spans="15:15" x14ac:dyDescent="0.25">
      <c r="O732335" s="9"/>
    </row>
    <row r="732356" spans="15:15" x14ac:dyDescent="0.25">
      <c r="O732356" s="9"/>
    </row>
    <row r="732377" spans="15:15" x14ac:dyDescent="0.25">
      <c r="O732377" s="9"/>
    </row>
    <row r="732398" spans="15:15" x14ac:dyDescent="0.25">
      <c r="O732398" s="9"/>
    </row>
    <row r="732419" spans="15:15" x14ac:dyDescent="0.25">
      <c r="O732419" s="9"/>
    </row>
    <row r="732440" spans="15:15" x14ac:dyDescent="0.25">
      <c r="O732440" s="9"/>
    </row>
    <row r="732461" spans="15:15" x14ac:dyDescent="0.25">
      <c r="O732461" s="9"/>
    </row>
    <row r="732482" spans="15:15" x14ac:dyDescent="0.25">
      <c r="O732482" s="9"/>
    </row>
    <row r="732503" spans="15:15" x14ac:dyDescent="0.25">
      <c r="O732503" s="9"/>
    </row>
    <row r="732524" spans="15:15" x14ac:dyDescent="0.25">
      <c r="O732524" s="9"/>
    </row>
    <row r="732545" spans="15:15" x14ac:dyDescent="0.25">
      <c r="O732545" s="9"/>
    </row>
    <row r="732566" spans="15:15" x14ac:dyDescent="0.25">
      <c r="O732566" s="9"/>
    </row>
    <row r="732587" spans="15:15" x14ac:dyDescent="0.25">
      <c r="O732587" s="9"/>
    </row>
    <row r="732608" spans="15:15" x14ac:dyDescent="0.25">
      <c r="O732608" s="9"/>
    </row>
    <row r="732629" spans="15:15" x14ac:dyDescent="0.25">
      <c r="O732629" s="9"/>
    </row>
    <row r="732650" spans="15:15" x14ac:dyDescent="0.25">
      <c r="O732650" s="9"/>
    </row>
    <row r="732671" spans="15:15" x14ac:dyDescent="0.25">
      <c r="O732671" s="9"/>
    </row>
    <row r="732692" spans="15:15" x14ac:dyDescent="0.25">
      <c r="O732692" s="9"/>
    </row>
    <row r="732713" spans="15:15" x14ac:dyDescent="0.25">
      <c r="O732713" s="9"/>
    </row>
    <row r="732734" spans="15:15" x14ac:dyDescent="0.25">
      <c r="O732734" s="9"/>
    </row>
    <row r="732755" spans="15:15" x14ac:dyDescent="0.25">
      <c r="O732755" s="9"/>
    </row>
    <row r="732776" spans="15:15" x14ac:dyDescent="0.25">
      <c r="O732776" s="9"/>
    </row>
    <row r="732797" spans="15:15" x14ac:dyDescent="0.25">
      <c r="O732797" s="9"/>
    </row>
    <row r="732818" spans="15:15" x14ac:dyDescent="0.25">
      <c r="O732818" s="9"/>
    </row>
    <row r="732839" spans="15:15" x14ac:dyDescent="0.25">
      <c r="O732839" s="9"/>
    </row>
    <row r="732860" spans="15:15" x14ac:dyDescent="0.25">
      <c r="O732860" s="9"/>
    </row>
    <row r="732881" spans="15:15" x14ac:dyDescent="0.25">
      <c r="O732881" s="9"/>
    </row>
    <row r="732902" spans="15:15" x14ac:dyDescent="0.25">
      <c r="O732902" s="9"/>
    </row>
    <row r="732923" spans="15:15" x14ac:dyDescent="0.25">
      <c r="O732923" s="9"/>
    </row>
    <row r="732944" spans="15:15" x14ac:dyDescent="0.25">
      <c r="O732944" s="9"/>
    </row>
    <row r="732965" spans="15:15" x14ac:dyDescent="0.25">
      <c r="O732965" s="9"/>
    </row>
    <row r="732986" spans="15:15" x14ac:dyDescent="0.25">
      <c r="O732986" s="9"/>
    </row>
    <row r="733007" spans="15:15" x14ac:dyDescent="0.25">
      <c r="O733007" s="9"/>
    </row>
    <row r="733028" spans="15:15" x14ac:dyDescent="0.25">
      <c r="O733028" s="9"/>
    </row>
    <row r="733049" spans="15:15" x14ac:dyDescent="0.25">
      <c r="O733049" s="9"/>
    </row>
    <row r="733070" spans="15:15" x14ac:dyDescent="0.25">
      <c r="O733070" s="9"/>
    </row>
    <row r="733091" spans="15:15" x14ac:dyDescent="0.25">
      <c r="O733091" s="9"/>
    </row>
    <row r="733112" spans="15:15" x14ac:dyDescent="0.25">
      <c r="O733112" s="9"/>
    </row>
    <row r="733133" spans="15:15" x14ac:dyDescent="0.25">
      <c r="O733133" s="9"/>
    </row>
    <row r="733154" spans="15:15" x14ac:dyDescent="0.25">
      <c r="O733154" s="9"/>
    </row>
    <row r="733175" spans="15:15" x14ac:dyDescent="0.25">
      <c r="O733175" s="9"/>
    </row>
    <row r="733196" spans="15:15" x14ac:dyDescent="0.25">
      <c r="O733196" s="9"/>
    </row>
    <row r="733217" spans="15:15" x14ac:dyDescent="0.25">
      <c r="O733217" s="9"/>
    </row>
    <row r="733238" spans="15:15" x14ac:dyDescent="0.25">
      <c r="O733238" s="9"/>
    </row>
    <row r="733259" spans="15:15" x14ac:dyDescent="0.25">
      <c r="O733259" s="9"/>
    </row>
    <row r="733280" spans="15:15" x14ac:dyDescent="0.25">
      <c r="O733280" s="9"/>
    </row>
    <row r="733301" spans="15:15" x14ac:dyDescent="0.25">
      <c r="O733301" s="9"/>
    </row>
    <row r="733322" spans="15:15" x14ac:dyDescent="0.25">
      <c r="O733322" s="9"/>
    </row>
    <row r="733343" spans="15:15" x14ac:dyDescent="0.25">
      <c r="O733343" s="9"/>
    </row>
    <row r="733364" spans="15:15" x14ac:dyDescent="0.25">
      <c r="O733364" s="9"/>
    </row>
    <row r="733385" spans="15:15" x14ac:dyDescent="0.25">
      <c r="O733385" s="9"/>
    </row>
    <row r="733406" spans="15:15" x14ac:dyDescent="0.25">
      <c r="O733406" s="9"/>
    </row>
    <row r="733427" spans="15:15" x14ac:dyDescent="0.25">
      <c r="O733427" s="9"/>
    </row>
    <row r="733448" spans="15:15" x14ac:dyDescent="0.25">
      <c r="O733448" s="9"/>
    </row>
    <row r="733469" spans="15:15" x14ac:dyDescent="0.25">
      <c r="O733469" s="9"/>
    </row>
    <row r="733490" spans="15:15" x14ac:dyDescent="0.25">
      <c r="O733490" s="9"/>
    </row>
    <row r="733511" spans="15:15" x14ac:dyDescent="0.25">
      <c r="O733511" s="9"/>
    </row>
    <row r="733532" spans="15:15" x14ac:dyDescent="0.25">
      <c r="O733532" s="9"/>
    </row>
    <row r="733553" spans="15:15" x14ac:dyDescent="0.25">
      <c r="O733553" s="9"/>
    </row>
    <row r="733574" spans="15:15" x14ac:dyDescent="0.25">
      <c r="O733574" s="9"/>
    </row>
    <row r="733595" spans="15:15" x14ac:dyDescent="0.25">
      <c r="O733595" s="9"/>
    </row>
    <row r="733616" spans="15:15" x14ac:dyDescent="0.25">
      <c r="O733616" s="9"/>
    </row>
    <row r="733637" spans="15:15" x14ac:dyDescent="0.25">
      <c r="O733637" s="9"/>
    </row>
    <row r="733658" spans="15:15" x14ac:dyDescent="0.25">
      <c r="O733658" s="9"/>
    </row>
    <row r="733679" spans="15:15" x14ac:dyDescent="0.25">
      <c r="O733679" s="9"/>
    </row>
    <row r="733700" spans="15:15" x14ac:dyDescent="0.25">
      <c r="O733700" s="9"/>
    </row>
    <row r="733721" spans="15:15" x14ac:dyDescent="0.25">
      <c r="O733721" s="9"/>
    </row>
    <row r="733742" spans="15:15" x14ac:dyDescent="0.25">
      <c r="O733742" s="9"/>
    </row>
    <row r="733763" spans="15:15" x14ac:dyDescent="0.25">
      <c r="O733763" s="9"/>
    </row>
    <row r="733784" spans="15:15" x14ac:dyDescent="0.25">
      <c r="O733784" s="9"/>
    </row>
    <row r="733805" spans="15:15" x14ac:dyDescent="0.25">
      <c r="O733805" s="9"/>
    </row>
    <row r="733826" spans="15:15" x14ac:dyDescent="0.25">
      <c r="O733826" s="9"/>
    </row>
    <row r="733847" spans="15:15" x14ac:dyDescent="0.25">
      <c r="O733847" s="9"/>
    </row>
    <row r="733868" spans="15:15" x14ac:dyDescent="0.25">
      <c r="O733868" s="9"/>
    </row>
    <row r="733889" spans="15:15" x14ac:dyDescent="0.25">
      <c r="O733889" s="9"/>
    </row>
    <row r="733910" spans="15:15" x14ac:dyDescent="0.25">
      <c r="O733910" s="9"/>
    </row>
    <row r="733931" spans="15:15" x14ac:dyDescent="0.25">
      <c r="O733931" s="9"/>
    </row>
    <row r="733952" spans="15:15" x14ac:dyDescent="0.25">
      <c r="O733952" s="9"/>
    </row>
    <row r="733973" spans="15:15" x14ac:dyDescent="0.25">
      <c r="O733973" s="9"/>
    </row>
    <row r="733994" spans="15:15" x14ac:dyDescent="0.25">
      <c r="O733994" s="9"/>
    </row>
    <row r="734015" spans="15:15" x14ac:dyDescent="0.25">
      <c r="O734015" s="9"/>
    </row>
    <row r="734036" spans="15:15" x14ac:dyDescent="0.25">
      <c r="O734036" s="9"/>
    </row>
    <row r="734057" spans="15:15" x14ac:dyDescent="0.25">
      <c r="O734057" s="9"/>
    </row>
    <row r="734078" spans="15:15" x14ac:dyDescent="0.25">
      <c r="O734078" s="9"/>
    </row>
    <row r="734099" spans="15:15" x14ac:dyDescent="0.25">
      <c r="O734099" s="9"/>
    </row>
    <row r="734120" spans="15:15" x14ac:dyDescent="0.25">
      <c r="O734120" s="9"/>
    </row>
    <row r="734141" spans="15:15" x14ac:dyDescent="0.25">
      <c r="O734141" s="9"/>
    </row>
    <row r="734162" spans="15:15" x14ac:dyDescent="0.25">
      <c r="O734162" s="9"/>
    </row>
    <row r="734183" spans="15:15" x14ac:dyDescent="0.25">
      <c r="O734183" s="9"/>
    </row>
    <row r="734204" spans="15:15" x14ac:dyDescent="0.25">
      <c r="O734204" s="9"/>
    </row>
    <row r="734225" spans="15:15" x14ac:dyDescent="0.25">
      <c r="O734225" s="9"/>
    </row>
    <row r="734246" spans="15:15" x14ac:dyDescent="0.25">
      <c r="O734246" s="9"/>
    </row>
    <row r="734267" spans="15:15" x14ac:dyDescent="0.25">
      <c r="O734267" s="9"/>
    </row>
    <row r="734288" spans="15:15" x14ac:dyDescent="0.25">
      <c r="O734288" s="9"/>
    </row>
    <row r="734309" spans="15:15" x14ac:dyDescent="0.25">
      <c r="O734309" s="9"/>
    </row>
    <row r="734330" spans="15:15" x14ac:dyDescent="0.25">
      <c r="O734330" s="9"/>
    </row>
    <row r="734351" spans="15:15" x14ac:dyDescent="0.25">
      <c r="O734351" s="9"/>
    </row>
    <row r="734372" spans="15:15" x14ac:dyDescent="0.25">
      <c r="O734372" s="9"/>
    </row>
    <row r="734393" spans="15:15" x14ac:dyDescent="0.25">
      <c r="O734393" s="9"/>
    </row>
    <row r="734414" spans="15:15" x14ac:dyDescent="0.25">
      <c r="O734414" s="9"/>
    </row>
    <row r="734435" spans="15:15" x14ac:dyDescent="0.25">
      <c r="O734435" s="9"/>
    </row>
    <row r="734456" spans="15:15" x14ac:dyDescent="0.25">
      <c r="O734456" s="9"/>
    </row>
    <row r="734477" spans="15:15" x14ac:dyDescent="0.25">
      <c r="O734477" s="9"/>
    </row>
    <row r="734498" spans="15:15" x14ac:dyDescent="0.25">
      <c r="O734498" s="9"/>
    </row>
    <row r="734519" spans="15:15" x14ac:dyDescent="0.25">
      <c r="O734519" s="9"/>
    </row>
    <row r="734540" spans="15:15" x14ac:dyDescent="0.25">
      <c r="O734540" s="9"/>
    </row>
    <row r="734561" spans="15:15" x14ac:dyDescent="0.25">
      <c r="O734561" s="9"/>
    </row>
    <row r="734582" spans="15:15" x14ac:dyDescent="0.25">
      <c r="O734582" s="9"/>
    </row>
    <row r="734603" spans="15:15" x14ac:dyDescent="0.25">
      <c r="O734603" s="9"/>
    </row>
    <row r="734624" spans="15:15" x14ac:dyDescent="0.25">
      <c r="O734624" s="9"/>
    </row>
    <row r="734645" spans="15:15" x14ac:dyDescent="0.25">
      <c r="O734645" s="9"/>
    </row>
    <row r="734666" spans="15:15" x14ac:dyDescent="0.25">
      <c r="O734666" s="9"/>
    </row>
    <row r="734687" spans="15:15" x14ac:dyDescent="0.25">
      <c r="O734687" s="9"/>
    </row>
    <row r="734708" spans="15:15" x14ac:dyDescent="0.25">
      <c r="O734708" s="9"/>
    </row>
    <row r="734729" spans="15:15" x14ac:dyDescent="0.25">
      <c r="O734729" s="9"/>
    </row>
    <row r="734750" spans="15:15" x14ac:dyDescent="0.25">
      <c r="O734750" s="9"/>
    </row>
    <row r="734771" spans="15:15" x14ac:dyDescent="0.25">
      <c r="O734771" s="9"/>
    </row>
    <row r="734792" spans="15:15" x14ac:dyDescent="0.25">
      <c r="O734792" s="9"/>
    </row>
    <row r="734813" spans="15:15" x14ac:dyDescent="0.25">
      <c r="O734813" s="9"/>
    </row>
    <row r="734834" spans="15:15" x14ac:dyDescent="0.25">
      <c r="O734834" s="9"/>
    </row>
    <row r="734855" spans="15:15" x14ac:dyDescent="0.25">
      <c r="O734855" s="9"/>
    </row>
    <row r="734876" spans="15:15" x14ac:dyDescent="0.25">
      <c r="O734876" s="9"/>
    </row>
    <row r="734897" spans="15:15" x14ac:dyDescent="0.25">
      <c r="O734897" s="9"/>
    </row>
    <row r="734918" spans="15:15" x14ac:dyDescent="0.25">
      <c r="O734918" s="9"/>
    </row>
    <row r="734939" spans="15:15" x14ac:dyDescent="0.25">
      <c r="O734939" s="9"/>
    </row>
    <row r="734960" spans="15:15" x14ac:dyDescent="0.25">
      <c r="O734960" s="9"/>
    </row>
    <row r="734981" spans="15:15" x14ac:dyDescent="0.25">
      <c r="O734981" s="9"/>
    </row>
    <row r="735002" spans="15:15" x14ac:dyDescent="0.25">
      <c r="O735002" s="9"/>
    </row>
    <row r="735023" spans="15:15" x14ac:dyDescent="0.25">
      <c r="O735023" s="9"/>
    </row>
    <row r="735044" spans="15:15" x14ac:dyDescent="0.25">
      <c r="O735044" s="9"/>
    </row>
    <row r="735065" spans="15:15" x14ac:dyDescent="0.25">
      <c r="O735065" s="9"/>
    </row>
    <row r="735086" spans="15:15" x14ac:dyDescent="0.25">
      <c r="O735086" s="9"/>
    </row>
    <row r="735107" spans="15:15" x14ac:dyDescent="0.25">
      <c r="O735107" s="9"/>
    </row>
    <row r="735128" spans="15:15" x14ac:dyDescent="0.25">
      <c r="O735128" s="9"/>
    </row>
    <row r="735149" spans="15:15" x14ac:dyDescent="0.25">
      <c r="O735149" s="9"/>
    </row>
    <row r="735170" spans="15:15" x14ac:dyDescent="0.25">
      <c r="O735170" s="9"/>
    </row>
    <row r="735191" spans="15:15" x14ac:dyDescent="0.25">
      <c r="O735191" s="9"/>
    </row>
    <row r="735212" spans="15:15" x14ac:dyDescent="0.25">
      <c r="O735212" s="9"/>
    </row>
    <row r="735233" spans="15:15" x14ac:dyDescent="0.25">
      <c r="O735233" s="9"/>
    </row>
    <row r="735254" spans="15:15" x14ac:dyDescent="0.25">
      <c r="O735254" s="9"/>
    </row>
    <row r="735275" spans="15:15" x14ac:dyDescent="0.25">
      <c r="O735275" s="9"/>
    </row>
    <row r="735296" spans="15:15" x14ac:dyDescent="0.25">
      <c r="O735296" s="9"/>
    </row>
    <row r="735317" spans="15:15" x14ac:dyDescent="0.25">
      <c r="O735317" s="9"/>
    </row>
    <row r="735338" spans="15:15" x14ac:dyDescent="0.25">
      <c r="O735338" s="9"/>
    </row>
    <row r="735359" spans="15:15" x14ac:dyDescent="0.25">
      <c r="O735359" s="9"/>
    </row>
    <row r="735380" spans="15:15" x14ac:dyDescent="0.25">
      <c r="O735380" s="9"/>
    </row>
    <row r="735401" spans="15:15" x14ac:dyDescent="0.25">
      <c r="O735401" s="9"/>
    </row>
    <row r="735422" spans="15:15" x14ac:dyDescent="0.25">
      <c r="O735422" s="9"/>
    </row>
    <row r="735443" spans="15:15" x14ac:dyDescent="0.25">
      <c r="O735443" s="9"/>
    </row>
    <row r="735464" spans="15:15" x14ac:dyDescent="0.25">
      <c r="O735464" s="9"/>
    </row>
    <row r="735485" spans="15:15" x14ac:dyDescent="0.25">
      <c r="O735485" s="9"/>
    </row>
    <row r="735506" spans="15:15" x14ac:dyDescent="0.25">
      <c r="O735506" s="9"/>
    </row>
    <row r="735527" spans="15:15" x14ac:dyDescent="0.25">
      <c r="O735527" s="9"/>
    </row>
    <row r="735548" spans="15:15" x14ac:dyDescent="0.25">
      <c r="O735548" s="9"/>
    </row>
    <row r="735569" spans="15:15" x14ac:dyDescent="0.25">
      <c r="O735569" s="9"/>
    </row>
    <row r="735590" spans="15:15" x14ac:dyDescent="0.25">
      <c r="O735590" s="9"/>
    </row>
    <row r="735611" spans="15:15" x14ac:dyDescent="0.25">
      <c r="O735611" s="9"/>
    </row>
    <row r="735632" spans="15:15" x14ac:dyDescent="0.25">
      <c r="O735632" s="9"/>
    </row>
    <row r="735653" spans="15:15" x14ac:dyDescent="0.25">
      <c r="O735653" s="9"/>
    </row>
    <row r="735674" spans="15:15" x14ac:dyDescent="0.25">
      <c r="O735674" s="9"/>
    </row>
    <row r="735695" spans="15:15" x14ac:dyDescent="0.25">
      <c r="O735695" s="9"/>
    </row>
    <row r="735716" spans="15:15" x14ac:dyDescent="0.25">
      <c r="O735716" s="9"/>
    </row>
    <row r="735737" spans="15:15" x14ac:dyDescent="0.25">
      <c r="O735737" s="9"/>
    </row>
    <row r="735758" spans="15:15" x14ac:dyDescent="0.25">
      <c r="O735758" s="9"/>
    </row>
    <row r="735779" spans="15:15" x14ac:dyDescent="0.25">
      <c r="O735779" s="9"/>
    </row>
    <row r="735800" spans="15:15" x14ac:dyDescent="0.25">
      <c r="O735800" s="9"/>
    </row>
    <row r="735821" spans="15:15" x14ac:dyDescent="0.25">
      <c r="O735821" s="9"/>
    </row>
    <row r="735842" spans="15:15" x14ac:dyDescent="0.25">
      <c r="O735842" s="9"/>
    </row>
    <row r="735863" spans="15:15" x14ac:dyDescent="0.25">
      <c r="O735863" s="9"/>
    </row>
    <row r="735884" spans="15:15" x14ac:dyDescent="0.25">
      <c r="O735884" s="9"/>
    </row>
    <row r="735905" spans="15:15" x14ac:dyDescent="0.25">
      <c r="O735905" s="9"/>
    </row>
    <row r="735926" spans="15:15" x14ac:dyDescent="0.25">
      <c r="O735926" s="9"/>
    </row>
    <row r="735947" spans="15:15" x14ac:dyDescent="0.25">
      <c r="O735947" s="9"/>
    </row>
    <row r="735968" spans="15:15" x14ac:dyDescent="0.25">
      <c r="O735968" s="9"/>
    </row>
    <row r="735989" spans="15:15" x14ac:dyDescent="0.25">
      <c r="O735989" s="9"/>
    </row>
    <row r="736010" spans="15:15" x14ac:dyDescent="0.25">
      <c r="O736010" s="9"/>
    </row>
    <row r="736031" spans="15:15" x14ac:dyDescent="0.25">
      <c r="O736031" s="9"/>
    </row>
    <row r="736052" spans="15:15" x14ac:dyDescent="0.25">
      <c r="O736052" s="9"/>
    </row>
    <row r="736073" spans="15:15" x14ac:dyDescent="0.25">
      <c r="O736073" s="9"/>
    </row>
    <row r="736094" spans="15:15" x14ac:dyDescent="0.25">
      <c r="O736094" s="9"/>
    </row>
    <row r="736115" spans="15:15" x14ac:dyDescent="0.25">
      <c r="O736115" s="9"/>
    </row>
    <row r="736136" spans="15:15" x14ac:dyDescent="0.25">
      <c r="O736136" s="9"/>
    </row>
    <row r="736157" spans="15:15" x14ac:dyDescent="0.25">
      <c r="O736157" s="9"/>
    </row>
    <row r="736178" spans="15:15" x14ac:dyDescent="0.25">
      <c r="O736178" s="9"/>
    </row>
    <row r="736199" spans="15:15" x14ac:dyDescent="0.25">
      <c r="O736199" s="9"/>
    </row>
    <row r="736220" spans="15:15" x14ac:dyDescent="0.25">
      <c r="O736220" s="9"/>
    </row>
    <row r="736241" spans="15:15" x14ac:dyDescent="0.25">
      <c r="O736241" s="9"/>
    </row>
    <row r="736262" spans="15:15" x14ac:dyDescent="0.25">
      <c r="O736262" s="9"/>
    </row>
    <row r="736283" spans="15:15" x14ac:dyDescent="0.25">
      <c r="O736283" s="9"/>
    </row>
    <row r="736304" spans="15:15" x14ac:dyDescent="0.25">
      <c r="O736304" s="9"/>
    </row>
    <row r="736325" spans="15:15" x14ac:dyDescent="0.25">
      <c r="O736325" s="9"/>
    </row>
    <row r="736346" spans="15:15" x14ac:dyDescent="0.25">
      <c r="O736346" s="9"/>
    </row>
    <row r="736367" spans="15:15" x14ac:dyDescent="0.25">
      <c r="O736367" s="9"/>
    </row>
    <row r="736388" spans="15:15" x14ac:dyDescent="0.25">
      <c r="O736388" s="9"/>
    </row>
    <row r="736409" spans="15:15" x14ac:dyDescent="0.25">
      <c r="O736409" s="9"/>
    </row>
    <row r="736430" spans="15:15" x14ac:dyDescent="0.25">
      <c r="O736430" s="9"/>
    </row>
    <row r="736451" spans="15:15" x14ac:dyDescent="0.25">
      <c r="O736451" s="9"/>
    </row>
    <row r="736472" spans="15:15" x14ac:dyDescent="0.25">
      <c r="O736472" s="9"/>
    </row>
    <row r="736493" spans="15:15" x14ac:dyDescent="0.25">
      <c r="O736493" s="9"/>
    </row>
    <row r="736514" spans="15:15" x14ac:dyDescent="0.25">
      <c r="O736514" s="9"/>
    </row>
    <row r="736535" spans="15:15" x14ac:dyDescent="0.25">
      <c r="O736535" s="9"/>
    </row>
    <row r="736556" spans="15:15" x14ac:dyDescent="0.25">
      <c r="O736556" s="9"/>
    </row>
    <row r="736577" spans="15:15" x14ac:dyDescent="0.25">
      <c r="O736577" s="9"/>
    </row>
    <row r="736598" spans="15:15" x14ac:dyDescent="0.25">
      <c r="O736598" s="9"/>
    </row>
    <row r="736619" spans="15:15" x14ac:dyDescent="0.25">
      <c r="O736619" s="9"/>
    </row>
    <row r="736640" spans="15:15" x14ac:dyDescent="0.25">
      <c r="O736640" s="9"/>
    </row>
    <row r="736661" spans="15:15" x14ac:dyDescent="0.25">
      <c r="O736661" s="9"/>
    </row>
    <row r="736682" spans="15:15" x14ac:dyDescent="0.25">
      <c r="O736682" s="9"/>
    </row>
    <row r="736703" spans="15:15" x14ac:dyDescent="0.25">
      <c r="O736703" s="9"/>
    </row>
    <row r="736724" spans="15:15" x14ac:dyDescent="0.25">
      <c r="O736724" s="9"/>
    </row>
    <row r="736745" spans="15:15" x14ac:dyDescent="0.25">
      <c r="O736745" s="9"/>
    </row>
    <row r="736766" spans="15:15" x14ac:dyDescent="0.25">
      <c r="O736766" s="9"/>
    </row>
    <row r="736787" spans="15:15" x14ac:dyDescent="0.25">
      <c r="O736787" s="9"/>
    </row>
    <row r="736808" spans="15:15" x14ac:dyDescent="0.25">
      <c r="O736808" s="9"/>
    </row>
    <row r="736829" spans="15:15" x14ac:dyDescent="0.25">
      <c r="O736829" s="9"/>
    </row>
    <row r="736850" spans="15:15" x14ac:dyDescent="0.25">
      <c r="O736850" s="9"/>
    </row>
    <row r="736871" spans="15:15" x14ac:dyDescent="0.25">
      <c r="O736871" s="9"/>
    </row>
    <row r="736892" spans="15:15" x14ac:dyDescent="0.25">
      <c r="O736892" s="9"/>
    </row>
    <row r="736913" spans="15:15" x14ac:dyDescent="0.25">
      <c r="O736913" s="9"/>
    </row>
    <row r="736934" spans="15:15" x14ac:dyDescent="0.25">
      <c r="O736934" s="9"/>
    </row>
    <row r="736955" spans="15:15" x14ac:dyDescent="0.25">
      <c r="O736955" s="9"/>
    </row>
    <row r="736976" spans="15:15" x14ac:dyDescent="0.25">
      <c r="O736976" s="9"/>
    </row>
    <row r="736997" spans="15:15" x14ac:dyDescent="0.25">
      <c r="O736997" s="9"/>
    </row>
    <row r="737018" spans="15:15" x14ac:dyDescent="0.25">
      <c r="O737018" s="9"/>
    </row>
    <row r="737039" spans="15:15" x14ac:dyDescent="0.25">
      <c r="O737039" s="9"/>
    </row>
    <row r="737060" spans="15:15" x14ac:dyDescent="0.25">
      <c r="O737060" s="9"/>
    </row>
    <row r="737081" spans="15:15" x14ac:dyDescent="0.25">
      <c r="O737081" s="9"/>
    </row>
    <row r="737102" spans="15:15" x14ac:dyDescent="0.25">
      <c r="O737102" s="9"/>
    </row>
    <row r="737123" spans="15:15" x14ac:dyDescent="0.25">
      <c r="O737123" s="9"/>
    </row>
    <row r="737144" spans="15:15" x14ac:dyDescent="0.25">
      <c r="O737144" s="9"/>
    </row>
    <row r="737165" spans="15:15" x14ac:dyDescent="0.25">
      <c r="O737165" s="9"/>
    </row>
    <row r="737186" spans="15:15" x14ac:dyDescent="0.25">
      <c r="O737186" s="9"/>
    </row>
    <row r="737207" spans="15:15" x14ac:dyDescent="0.25">
      <c r="O737207" s="9"/>
    </row>
    <row r="737228" spans="15:15" x14ac:dyDescent="0.25">
      <c r="O737228" s="9"/>
    </row>
    <row r="737249" spans="15:15" x14ac:dyDescent="0.25">
      <c r="O737249" s="9"/>
    </row>
    <row r="737270" spans="15:15" x14ac:dyDescent="0.25">
      <c r="O737270" s="9"/>
    </row>
    <row r="737291" spans="15:15" x14ac:dyDescent="0.25">
      <c r="O737291" s="9"/>
    </row>
    <row r="737312" spans="15:15" x14ac:dyDescent="0.25">
      <c r="O737312" s="9"/>
    </row>
    <row r="737333" spans="15:15" x14ac:dyDescent="0.25">
      <c r="O737333" s="9"/>
    </row>
    <row r="737354" spans="15:15" x14ac:dyDescent="0.25">
      <c r="O737354" s="9"/>
    </row>
    <row r="737375" spans="15:15" x14ac:dyDescent="0.25">
      <c r="O737375" s="9"/>
    </row>
    <row r="737396" spans="15:15" x14ac:dyDescent="0.25">
      <c r="O737396" s="9"/>
    </row>
    <row r="737417" spans="15:15" x14ac:dyDescent="0.25">
      <c r="O737417" s="9"/>
    </row>
    <row r="737438" spans="15:15" x14ac:dyDescent="0.25">
      <c r="O737438" s="9"/>
    </row>
    <row r="737459" spans="15:15" x14ac:dyDescent="0.25">
      <c r="O737459" s="9"/>
    </row>
    <row r="737480" spans="15:15" x14ac:dyDescent="0.25">
      <c r="O737480" s="9"/>
    </row>
    <row r="737501" spans="15:15" x14ac:dyDescent="0.25">
      <c r="O737501" s="9"/>
    </row>
    <row r="737522" spans="15:15" x14ac:dyDescent="0.25">
      <c r="O737522" s="9"/>
    </row>
    <row r="737543" spans="15:15" x14ac:dyDescent="0.25">
      <c r="O737543" s="9"/>
    </row>
    <row r="737564" spans="15:15" x14ac:dyDescent="0.25">
      <c r="O737564" s="9"/>
    </row>
    <row r="737585" spans="15:15" x14ac:dyDescent="0.25">
      <c r="O737585" s="9"/>
    </row>
    <row r="737606" spans="15:15" x14ac:dyDescent="0.25">
      <c r="O737606" s="9"/>
    </row>
    <row r="737627" spans="15:15" x14ac:dyDescent="0.25">
      <c r="O737627" s="9"/>
    </row>
    <row r="737648" spans="15:15" x14ac:dyDescent="0.25">
      <c r="O737648" s="9"/>
    </row>
    <row r="737669" spans="15:15" x14ac:dyDescent="0.25">
      <c r="O737669" s="9"/>
    </row>
    <row r="737690" spans="15:15" x14ac:dyDescent="0.25">
      <c r="O737690" s="9"/>
    </row>
    <row r="737711" spans="15:15" x14ac:dyDescent="0.25">
      <c r="O737711" s="9"/>
    </row>
    <row r="737732" spans="15:15" x14ac:dyDescent="0.25">
      <c r="O737732" s="9"/>
    </row>
    <row r="737753" spans="15:15" x14ac:dyDescent="0.25">
      <c r="O737753" s="9"/>
    </row>
    <row r="737774" spans="15:15" x14ac:dyDescent="0.25">
      <c r="O737774" s="9"/>
    </row>
    <row r="737795" spans="15:15" x14ac:dyDescent="0.25">
      <c r="O737795" s="9"/>
    </row>
    <row r="737816" spans="15:15" x14ac:dyDescent="0.25">
      <c r="O737816" s="9"/>
    </row>
    <row r="737837" spans="15:15" x14ac:dyDescent="0.25">
      <c r="O737837" s="9"/>
    </row>
    <row r="737858" spans="15:15" x14ac:dyDescent="0.25">
      <c r="O737858" s="9"/>
    </row>
    <row r="737879" spans="15:15" x14ac:dyDescent="0.25">
      <c r="O737879" s="9"/>
    </row>
    <row r="737900" spans="15:15" x14ac:dyDescent="0.25">
      <c r="O737900" s="9"/>
    </row>
    <row r="737921" spans="15:15" x14ac:dyDescent="0.25">
      <c r="O737921" s="9"/>
    </row>
    <row r="737942" spans="15:15" x14ac:dyDescent="0.25">
      <c r="O737942" s="9"/>
    </row>
    <row r="737963" spans="15:15" x14ac:dyDescent="0.25">
      <c r="O737963" s="9"/>
    </row>
    <row r="737984" spans="15:15" x14ac:dyDescent="0.25">
      <c r="O737984" s="9"/>
    </row>
    <row r="738005" spans="15:15" x14ac:dyDescent="0.25">
      <c r="O738005" s="9"/>
    </row>
    <row r="738026" spans="15:15" x14ac:dyDescent="0.25">
      <c r="O738026" s="9"/>
    </row>
    <row r="738047" spans="15:15" x14ac:dyDescent="0.25">
      <c r="O738047" s="9"/>
    </row>
    <row r="738068" spans="15:15" x14ac:dyDescent="0.25">
      <c r="O738068" s="9"/>
    </row>
    <row r="738089" spans="15:15" x14ac:dyDescent="0.25">
      <c r="O738089" s="9"/>
    </row>
    <row r="738110" spans="15:15" x14ac:dyDescent="0.25">
      <c r="O738110" s="9"/>
    </row>
    <row r="738131" spans="15:15" x14ac:dyDescent="0.25">
      <c r="O738131" s="9"/>
    </row>
    <row r="738152" spans="15:15" x14ac:dyDescent="0.25">
      <c r="O738152" s="9"/>
    </row>
    <row r="738173" spans="15:15" x14ac:dyDescent="0.25">
      <c r="O738173" s="9"/>
    </row>
    <row r="738194" spans="15:15" x14ac:dyDescent="0.25">
      <c r="O738194" s="9"/>
    </row>
    <row r="738215" spans="15:15" x14ac:dyDescent="0.25">
      <c r="O738215" s="9"/>
    </row>
    <row r="738236" spans="15:15" x14ac:dyDescent="0.25">
      <c r="O738236" s="9"/>
    </row>
    <row r="738257" spans="15:15" x14ac:dyDescent="0.25">
      <c r="O738257" s="9"/>
    </row>
    <row r="738278" spans="15:15" x14ac:dyDescent="0.25">
      <c r="O738278" s="9"/>
    </row>
    <row r="738299" spans="15:15" x14ac:dyDescent="0.25">
      <c r="O738299" s="9"/>
    </row>
    <row r="738320" spans="15:15" x14ac:dyDescent="0.25">
      <c r="O738320" s="9"/>
    </row>
    <row r="738341" spans="15:15" x14ac:dyDescent="0.25">
      <c r="O738341" s="9"/>
    </row>
    <row r="738362" spans="15:15" x14ac:dyDescent="0.25">
      <c r="O738362" s="9"/>
    </row>
    <row r="738383" spans="15:15" x14ac:dyDescent="0.25">
      <c r="O738383" s="9"/>
    </row>
    <row r="738404" spans="15:15" x14ac:dyDescent="0.25">
      <c r="O738404" s="9"/>
    </row>
    <row r="738425" spans="15:15" x14ac:dyDescent="0.25">
      <c r="O738425" s="9"/>
    </row>
    <row r="738446" spans="15:15" x14ac:dyDescent="0.25">
      <c r="O738446" s="9"/>
    </row>
    <row r="738467" spans="15:15" x14ac:dyDescent="0.25">
      <c r="O738467" s="9"/>
    </row>
    <row r="738488" spans="15:15" x14ac:dyDescent="0.25">
      <c r="O738488" s="9"/>
    </row>
    <row r="738509" spans="15:15" x14ac:dyDescent="0.25">
      <c r="O738509" s="9"/>
    </row>
    <row r="738530" spans="15:15" x14ac:dyDescent="0.25">
      <c r="O738530" s="9"/>
    </row>
    <row r="738551" spans="15:15" x14ac:dyDescent="0.25">
      <c r="O738551" s="9"/>
    </row>
    <row r="738572" spans="15:15" x14ac:dyDescent="0.25">
      <c r="O738572" s="9"/>
    </row>
    <row r="738593" spans="15:15" x14ac:dyDescent="0.25">
      <c r="O738593" s="9"/>
    </row>
    <row r="738614" spans="15:15" x14ac:dyDescent="0.25">
      <c r="O738614" s="9"/>
    </row>
    <row r="738635" spans="15:15" x14ac:dyDescent="0.25">
      <c r="O738635" s="9"/>
    </row>
    <row r="738656" spans="15:15" x14ac:dyDescent="0.25">
      <c r="O738656" s="9"/>
    </row>
    <row r="738677" spans="15:15" x14ac:dyDescent="0.25">
      <c r="O738677" s="9"/>
    </row>
    <row r="738698" spans="15:15" x14ac:dyDescent="0.25">
      <c r="O738698" s="9"/>
    </row>
    <row r="738719" spans="15:15" x14ac:dyDescent="0.25">
      <c r="O738719" s="9"/>
    </row>
    <row r="738740" spans="15:15" x14ac:dyDescent="0.25">
      <c r="O738740" s="9"/>
    </row>
    <row r="738761" spans="15:15" x14ac:dyDescent="0.25">
      <c r="O738761" s="9"/>
    </row>
    <row r="738782" spans="15:15" x14ac:dyDescent="0.25">
      <c r="O738782" s="9"/>
    </row>
    <row r="738803" spans="15:15" x14ac:dyDescent="0.25">
      <c r="O738803" s="9"/>
    </row>
    <row r="738824" spans="15:15" x14ac:dyDescent="0.25">
      <c r="O738824" s="9"/>
    </row>
    <row r="738845" spans="15:15" x14ac:dyDescent="0.25">
      <c r="O738845" s="9"/>
    </row>
    <row r="738866" spans="15:15" x14ac:dyDescent="0.25">
      <c r="O738866" s="9"/>
    </row>
    <row r="738887" spans="15:15" x14ac:dyDescent="0.25">
      <c r="O738887" s="9"/>
    </row>
    <row r="738908" spans="15:15" x14ac:dyDescent="0.25">
      <c r="O738908" s="9"/>
    </row>
    <row r="738929" spans="15:15" x14ac:dyDescent="0.25">
      <c r="O738929" s="9"/>
    </row>
    <row r="738950" spans="15:15" x14ac:dyDescent="0.25">
      <c r="O738950" s="9"/>
    </row>
    <row r="738971" spans="15:15" x14ac:dyDescent="0.25">
      <c r="O738971" s="9"/>
    </row>
    <row r="738992" spans="15:15" x14ac:dyDescent="0.25">
      <c r="O738992" s="9"/>
    </row>
    <row r="739013" spans="15:15" x14ac:dyDescent="0.25">
      <c r="O739013" s="9"/>
    </row>
    <row r="739034" spans="15:15" x14ac:dyDescent="0.25">
      <c r="O739034" s="9"/>
    </row>
    <row r="739055" spans="15:15" x14ac:dyDescent="0.25">
      <c r="O739055" s="9"/>
    </row>
    <row r="739076" spans="15:15" x14ac:dyDescent="0.25">
      <c r="O739076" s="9"/>
    </row>
    <row r="739097" spans="15:15" x14ac:dyDescent="0.25">
      <c r="O739097" s="9"/>
    </row>
    <row r="739118" spans="15:15" x14ac:dyDescent="0.25">
      <c r="O739118" s="9"/>
    </row>
    <row r="739139" spans="15:15" x14ac:dyDescent="0.25">
      <c r="O739139" s="9"/>
    </row>
    <row r="739160" spans="15:15" x14ac:dyDescent="0.25">
      <c r="O739160" s="9"/>
    </row>
    <row r="739181" spans="15:15" x14ac:dyDescent="0.25">
      <c r="O739181" s="9"/>
    </row>
    <row r="739202" spans="15:15" x14ac:dyDescent="0.25">
      <c r="O739202" s="9"/>
    </row>
    <row r="739223" spans="15:15" x14ac:dyDescent="0.25">
      <c r="O739223" s="9"/>
    </row>
    <row r="739244" spans="15:15" x14ac:dyDescent="0.25">
      <c r="O739244" s="9"/>
    </row>
    <row r="739265" spans="15:15" x14ac:dyDescent="0.25">
      <c r="O739265" s="9"/>
    </row>
    <row r="739286" spans="15:15" x14ac:dyDescent="0.25">
      <c r="O739286" s="9"/>
    </row>
    <row r="739307" spans="15:15" x14ac:dyDescent="0.25">
      <c r="O739307" s="9"/>
    </row>
    <row r="739328" spans="15:15" x14ac:dyDescent="0.25">
      <c r="O739328" s="9"/>
    </row>
    <row r="739349" spans="15:15" x14ac:dyDescent="0.25">
      <c r="O739349" s="9"/>
    </row>
    <row r="739370" spans="15:15" x14ac:dyDescent="0.25">
      <c r="O739370" s="9"/>
    </row>
    <row r="739391" spans="15:15" x14ac:dyDescent="0.25">
      <c r="O739391" s="9"/>
    </row>
    <row r="739412" spans="15:15" x14ac:dyDescent="0.25">
      <c r="O739412" s="9"/>
    </row>
    <row r="739433" spans="15:15" x14ac:dyDescent="0.25">
      <c r="O739433" s="9"/>
    </row>
    <row r="739454" spans="15:15" x14ac:dyDescent="0.25">
      <c r="O739454" s="9"/>
    </row>
    <row r="739475" spans="15:15" x14ac:dyDescent="0.25">
      <c r="O739475" s="9"/>
    </row>
    <row r="739496" spans="15:15" x14ac:dyDescent="0.25">
      <c r="O739496" s="9"/>
    </row>
    <row r="739517" spans="15:15" x14ac:dyDescent="0.25">
      <c r="O739517" s="9"/>
    </row>
    <row r="739538" spans="15:15" x14ac:dyDescent="0.25">
      <c r="O739538" s="9"/>
    </row>
    <row r="739559" spans="15:15" x14ac:dyDescent="0.25">
      <c r="O739559" s="9"/>
    </row>
    <row r="739580" spans="15:15" x14ac:dyDescent="0.25">
      <c r="O739580" s="9"/>
    </row>
    <row r="739601" spans="15:15" x14ac:dyDescent="0.25">
      <c r="O739601" s="9"/>
    </row>
    <row r="739622" spans="15:15" x14ac:dyDescent="0.25">
      <c r="O739622" s="9"/>
    </row>
    <row r="739643" spans="15:15" x14ac:dyDescent="0.25">
      <c r="O739643" s="9"/>
    </row>
    <row r="739664" spans="15:15" x14ac:dyDescent="0.25">
      <c r="O739664" s="9"/>
    </row>
    <row r="739685" spans="15:15" x14ac:dyDescent="0.25">
      <c r="O739685" s="9"/>
    </row>
    <row r="739706" spans="15:15" x14ac:dyDescent="0.25">
      <c r="O739706" s="9"/>
    </row>
    <row r="739727" spans="15:15" x14ac:dyDescent="0.25">
      <c r="O739727" s="9"/>
    </row>
    <row r="739748" spans="15:15" x14ac:dyDescent="0.25">
      <c r="O739748" s="9"/>
    </row>
    <row r="739769" spans="15:15" x14ac:dyDescent="0.25">
      <c r="O739769" s="9"/>
    </row>
    <row r="739790" spans="15:15" x14ac:dyDescent="0.25">
      <c r="O739790" s="9"/>
    </row>
    <row r="739811" spans="15:15" x14ac:dyDescent="0.25">
      <c r="O739811" s="9"/>
    </row>
    <row r="739832" spans="15:15" x14ac:dyDescent="0.25">
      <c r="O739832" s="9"/>
    </row>
    <row r="739853" spans="15:15" x14ac:dyDescent="0.25">
      <c r="O739853" s="9"/>
    </row>
    <row r="739874" spans="15:15" x14ac:dyDescent="0.25">
      <c r="O739874" s="9"/>
    </row>
    <row r="739895" spans="15:15" x14ac:dyDescent="0.25">
      <c r="O739895" s="9"/>
    </row>
    <row r="739916" spans="15:15" x14ac:dyDescent="0.25">
      <c r="O739916" s="9"/>
    </row>
    <row r="739937" spans="15:15" x14ac:dyDescent="0.25">
      <c r="O739937" s="9"/>
    </row>
    <row r="739958" spans="15:15" x14ac:dyDescent="0.25">
      <c r="O739958" s="9"/>
    </row>
    <row r="739979" spans="15:15" x14ac:dyDescent="0.25">
      <c r="O739979" s="9"/>
    </row>
    <row r="740000" spans="15:15" x14ac:dyDescent="0.25">
      <c r="O740000" s="9"/>
    </row>
    <row r="740021" spans="15:15" x14ac:dyDescent="0.25">
      <c r="O740021" s="9"/>
    </row>
    <row r="740042" spans="15:15" x14ac:dyDescent="0.25">
      <c r="O740042" s="9"/>
    </row>
    <row r="740063" spans="15:15" x14ac:dyDescent="0.25">
      <c r="O740063" s="9"/>
    </row>
    <row r="740084" spans="15:15" x14ac:dyDescent="0.25">
      <c r="O740084" s="9"/>
    </row>
    <row r="740105" spans="15:15" x14ac:dyDescent="0.25">
      <c r="O740105" s="9"/>
    </row>
    <row r="740126" spans="15:15" x14ac:dyDescent="0.25">
      <c r="O740126" s="9"/>
    </row>
    <row r="740147" spans="15:15" x14ac:dyDescent="0.25">
      <c r="O740147" s="9"/>
    </row>
    <row r="740168" spans="15:15" x14ac:dyDescent="0.25">
      <c r="O740168" s="9"/>
    </row>
    <row r="740189" spans="15:15" x14ac:dyDescent="0.25">
      <c r="O740189" s="9"/>
    </row>
    <row r="740210" spans="15:15" x14ac:dyDescent="0.25">
      <c r="O740210" s="9"/>
    </row>
    <row r="740231" spans="15:15" x14ac:dyDescent="0.25">
      <c r="O740231" s="9"/>
    </row>
    <row r="740252" spans="15:15" x14ac:dyDescent="0.25">
      <c r="O740252" s="9"/>
    </row>
    <row r="740273" spans="15:15" x14ac:dyDescent="0.25">
      <c r="O740273" s="9"/>
    </row>
    <row r="740294" spans="15:15" x14ac:dyDescent="0.25">
      <c r="O740294" s="9"/>
    </row>
    <row r="740315" spans="15:15" x14ac:dyDescent="0.25">
      <c r="O740315" s="9"/>
    </row>
    <row r="740336" spans="15:15" x14ac:dyDescent="0.25">
      <c r="O740336" s="9"/>
    </row>
    <row r="740357" spans="15:15" x14ac:dyDescent="0.25">
      <c r="O740357" s="9"/>
    </row>
    <row r="740378" spans="15:15" x14ac:dyDescent="0.25">
      <c r="O740378" s="9"/>
    </row>
    <row r="740399" spans="15:15" x14ac:dyDescent="0.25">
      <c r="O740399" s="9"/>
    </row>
    <row r="740420" spans="15:15" x14ac:dyDescent="0.25">
      <c r="O740420" s="9"/>
    </row>
    <row r="740441" spans="15:15" x14ac:dyDescent="0.25">
      <c r="O740441" s="9"/>
    </row>
    <row r="740462" spans="15:15" x14ac:dyDescent="0.25">
      <c r="O740462" s="9"/>
    </row>
    <row r="740483" spans="15:15" x14ac:dyDescent="0.25">
      <c r="O740483" s="9"/>
    </row>
    <row r="740504" spans="15:15" x14ac:dyDescent="0.25">
      <c r="O740504" s="9"/>
    </row>
    <row r="740525" spans="15:15" x14ac:dyDescent="0.25">
      <c r="O740525" s="9"/>
    </row>
    <row r="740546" spans="15:15" x14ac:dyDescent="0.25">
      <c r="O740546" s="9"/>
    </row>
    <row r="740567" spans="15:15" x14ac:dyDescent="0.25">
      <c r="O740567" s="9"/>
    </row>
    <row r="740588" spans="15:15" x14ac:dyDescent="0.25">
      <c r="O740588" s="9"/>
    </row>
    <row r="740609" spans="15:15" x14ac:dyDescent="0.25">
      <c r="O740609" s="9"/>
    </row>
    <row r="740630" spans="15:15" x14ac:dyDescent="0.25">
      <c r="O740630" s="9"/>
    </row>
    <row r="740651" spans="15:15" x14ac:dyDescent="0.25">
      <c r="O740651" s="9"/>
    </row>
    <row r="740672" spans="15:15" x14ac:dyDescent="0.25">
      <c r="O740672" s="9"/>
    </row>
    <row r="740693" spans="15:15" x14ac:dyDescent="0.25">
      <c r="O740693" s="9"/>
    </row>
    <row r="740714" spans="15:15" x14ac:dyDescent="0.25">
      <c r="O740714" s="9"/>
    </row>
    <row r="740735" spans="15:15" x14ac:dyDescent="0.25">
      <c r="O740735" s="9"/>
    </row>
    <row r="740756" spans="15:15" x14ac:dyDescent="0.25">
      <c r="O740756" s="9"/>
    </row>
    <row r="740777" spans="15:15" x14ac:dyDescent="0.25">
      <c r="O740777" s="9"/>
    </row>
    <row r="740798" spans="15:15" x14ac:dyDescent="0.25">
      <c r="O740798" s="9"/>
    </row>
    <row r="740819" spans="15:15" x14ac:dyDescent="0.25">
      <c r="O740819" s="9"/>
    </row>
    <row r="740840" spans="15:15" x14ac:dyDescent="0.25">
      <c r="O740840" s="9"/>
    </row>
    <row r="740861" spans="15:15" x14ac:dyDescent="0.25">
      <c r="O740861" s="9"/>
    </row>
    <row r="740882" spans="15:15" x14ac:dyDescent="0.25">
      <c r="O740882" s="9"/>
    </row>
    <row r="740903" spans="15:15" x14ac:dyDescent="0.25">
      <c r="O740903" s="9"/>
    </row>
    <row r="740924" spans="15:15" x14ac:dyDescent="0.25">
      <c r="O740924" s="9"/>
    </row>
    <row r="740945" spans="15:15" x14ac:dyDescent="0.25">
      <c r="O740945" s="9"/>
    </row>
    <row r="740966" spans="15:15" x14ac:dyDescent="0.25">
      <c r="O740966" s="9"/>
    </row>
    <row r="740987" spans="15:15" x14ac:dyDescent="0.25">
      <c r="O740987" s="9"/>
    </row>
    <row r="741008" spans="15:15" x14ac:dyDescent="0.25">
      <c r="O741008" s="9"/>
    </row>
    <row r="741029" spans="15:15" x14ac:dyDescent="0.25">
      <c r="O741029" s="9"/>
    </row>
    <row r="741050" spans="15:15" x14ac:dyDescent="0.25">
      <c r="O741050" s="9"/>
    </row>
    <row r="741071" spans="15:15" x14ac:dyDescent="0.25">
      <c r="O741071" s="9"/>
    </row>
    <row r="741092" spans="15:15" x14ac:dyDescent="0.25">
      <c r="O741092" s="9"/>
    </row>
    <row r="741113" spans="15:15" x14ac:dyDescent="0.25">
      <c r="O741113" s="9"/>
    </row>
    <row r="741134" spans="15:15" x14ac:dyDescent="0.25">
      <c r="O741134" s="9"/>
    </row>
    <row r="741155" spans="15:15" x14ac:dyDescent="0.25">
      <c r="O741155" s="9"/>
    </row>
    <row r="741176" spans="15:15" x14ac:dyDescent="0.25">
      <c r="O741176" s="9"/>
    </row>
    <row r="741197" spans="15:15" x14ac:dyDescent="0.25">
      <c r="O741197" s="9"/>
    </row>
    <row r="741218" spans="15:15" x14ac:dyDescent="0.25">
      <c r="O741218" s="9"/>
    </row>
    <row r="741239" spans="15:15" x14ac:dyDescent="0.25">
      <c r="O741239" s="9"/>
    </row>
    <row r="741260" spans="15:15" x14ac:dyDescent="0.25">
      <c r="O741260" s="9"/>
    </row>
    <row r="741281" spans="15:15" x14ac:dyDescent="0.25">
      <c r="O741281" s="9"/>
    </row>
    <row r="741302" spans="15:15" x14ac:dyDescent="0.25">
      <c r="O741302" s="9"/>
    </row>
    <row r="741323" spans="15:15" x14ac:dyDescent="0.25">
      <c r="O741323" s="9"/>
    </row>
    <row r="741344" spans="15:15" x14ac:dyDescent="0.25">
      <c r="O741344" s="9"/>
    </row>
    <row r="741365" spans="15:15" x14ac:dyDescent="0.25">
      <c r="O741365" s="9"/>
    </row>
    <row r="741386" spans="15:15" x14ac:dyDescent="0.25">
      <c r="O741386" s="9"/>
    </row>
    <row r="741407" spans="15:15" x14ac:dyDescent="0.25">
      <c r="O741407" s="9"/>
    </row>
    <row r="741428" spans="15:15" x14ac:dyDescent="0.25">
      <c r="O741428" s="9"/>
    </row>
    <row r="741449" spans="15:15" x14ac:dyDescent="0.25">
      <c r="O741449" s="9"/>
    </row>
    <row r="741470" spans="15:15" x14ac:dyDescent="0.25">
      <c r="O741470" s="9"/>
    </row>
    <row r="741491" spans="15:15" x14ac:dyDescent="0.25">
      <c r="O741491" s="9"/>
    </row>
    <row r="741512" spans="15:15" x14ac:dyDescent="0.25">
      <c r="O741512" s="9"/>
    </row>
    <row r="741533" spans="15:15" x14ac:dyDescent="0.25">
      <c r="O741533" s="9"/>
    </row>
    <row r="741554" spans="15:15" x14ac:dyDescent="0.25">
      <c r="O741554" s="9"/>
    </row>
    <row r="741575" spans="15:15" x14ac:dyDescent="0.25">
      <c r="O741575" s="9"/>
    </row>
    <row r="741596" spans="15:15" x14ac:dyDescent="0.25">
      <c r="O741596" s="9"/>
    </row>
    <row r="741617" spans="15:15" x14ac:dyDescent="0.25">
      <c r="O741617" s="9"/>
    </row>
    <row r="741638" spans="15:15" x14ac:dyDescent="0.25">
      <c r="O741638" s="9"/>
    </row>
    <row r="741659" spans="15:15" x14ac:dyDescent="0.25">
      <c r="O741659" s="9"/>
    </row>
    <row r="741680" spans="15:15" x14ac:dyDescent="0.25">
      <c r="O741680" s="9"/>
    </row>
    <row r="741701" spans="15:15" x14ac:dyDescent="0.25">
      <c r="O741701" s="9"/>
    </row>
    <row r="741722" spans="15:15" x14ac:dyDescent="0.25">
      <c r="O741722" s="9"/>
    </row>
    <row r="741743" spans="15:15" x14ac:dyDescent="0.25">
      <c r="O741743" s="9"/>
    </row>
    <row r="741764" spans="15:15" x14ac:dyDescent="0.25">
      <c r="O741764" s="9"/>
    </row>
    <row r="741785" spans="15:15" x14ac:dyDescent="0.25">
      <c r="O741785" s="9"/>
    </row>
    <row r="741806" spans="15:15" x14ac:dyDescent="0.25">
      <c r="O741806" s="9"/>
    </row>
    <row r="741827" spans="15:15" x14ac:dyDescent="0.25">
      <c r="O741827" s="9"/>
    </row>
    <row r="741848" spans="15:15" x14ac:dyDescent="0.25">
      <c r="O741848" s="9"/>
    </row>
    <row r="741869" spans="15:15" x14ac:dyDescent="0.25">
      <c r="O741869" s="9"/>
    </row>
    <row r="741890" spans="15:15" x14ac:dyDescent="0.25">
      <c r="O741890" s="9"/>
    </row>
    <row r="741911" spans="15:15" x14ac:dyDescent="0.25">
      <c r="O741911" s="9"/>
    </row>
    <row r="741932" spans="15:15" x14ac:dyDescent="0.25">
      <c r="O741932" s="9"/>
    </row>
    <row r="741953" spans="15:15" x14ac:dyDescent="0.25">
      <c r="O741953" s="9"/>
    </row>
    <row r="741974" spans="15:15" x14ac:dyDescent="0.25">
      <c r="O741974" s="9"/>
    </row>
    <row r="741995" spans="15:15" x14ac:dyDescent="0.25">
      <c r="O741995" s="9"/>
    </row>
    <row r="742016" spans="15:15" x14ac:dyDescent="0.25">
      <c r="O742016" s="9"/>
    </row>
    <row r="742037" spans="15:15" x14ac:dyDescent="0.25">
      <c r="O742037" s="9"/>
    </row>
    <row r="742058" spans="15:15" x14ac:dyDescent="0.25">
      <c r="O742058" s="9"/>
    </row>
    <row r="742079" spans="15:15" x14ac:dyDescent="0.25">
      <c r="O742079" s="9"/>
    </row>
    <row r="742100" spans="15:15" x14ac:dyDescent="0.25">
      <c r="O742100" s="9"/>
    </row>
    <row r="742121" spans="15:15" x14ac:dyDescent="0.25">
      <c r="O742121" s="9"/>
    </row>
    <row r="742142" spans="15:15" x14ac:dyDescent="0.25">
      <c r="O742142" s="9"/>
    </row>
    <row r="742163" spans="15:15" x14ac:dyDescent="0.25">
      <c r="O742163" s="9"/>
    </row>
    <row r="742184" spans="15:15" x14ac:dyDescent="0.25">
      <c r="O742184" s="9"/>
    </row>
    <row r="742205" spans="15:15" x14ac:dyDescent="0.25">
      <c r="O742205" s="9"/>
    </row>
    <row r="742226" spans="15:15" x14ac:dyDescent="0.25">
      <c r="O742226" s="9"/>
    </row>
    <row r="742247" spans="15:15" x14ac:dyDescent="0.25">
      <c r="O742247" s="9"/>
    </row>
    <row r="742268" spans="15:15" x14ac:dyDescent="0.25">
      <c r="O742268" s="9"/>
    </row>
    <row r="742289" spans="15:15" x14ac:dyDescent="0.25">
      <c r="O742289" s="9"/>
    </row>
    <row r="742310" spans="15:15" x14ac:dyDescent="0.25">
      <c r="O742310" s="9"/>
    </row>
    <row r="742331" spans="15:15" x14ac:dyDescent="0.25">
      <c r="O742331" s="9"/>
    </row>
    <row r="742352" spans="15:15" x14ac:dyDescent="0.25">
      <c r="O742352" s="9"/>
    </row>
    <row r="742373" spans="15:15" x14ac:dyDescent="0.25">
      <c r="O742373" s="9"/>
    </row>
    <row r="742394" spans="15:15" x14ac:dyDescent="0.25">
      <c r="O742394" s="9"/>
    </row>
    <row r="742415" spans="15:15" x14ac:dyDescent="0.25">
      <c r="O742415" s="9"/>
    </row>
    <row r="742436" spans="15:15" x14ac:dyDescent="0.25">
      <c r="O742436" s="9"/>
    </row>
    <row r="742457" spans="15:15" x14ac:dyDescent="0.25">
      <c r="O742457" s="9"/>
    </row>
    <row r="742478" spans="15:15" x14ac:dyDescent="0.25">
      <c r="O742478" s="9"/>
    </row>
    <row r="742499" spans="15:15" x14ac:dyDescent="0.25">
      <c r="O742499" s="9"/>
    </row>
    <row r="742520" spans="15:15" x14ac:dyDescent="0.25">
      <c r="O742520" s="9"/>
    </row>
    <row r="742541" spans="15:15" x14ac:dyDescent="0.25">
      <c r="O742541" s="9"/>
    </row>
    <row r="742562" spans="15:15" x14ac:dyDescent="0.25">
      <c r="O742562" s="9"/>
    </row>
    <row r="742583" spans="15:15" x14ac:dyDescent="0.25">
      <c r="O742583" s="9"/>
    </row>
    <row r="742604" spans="15:15" x14ac:dyDescent="0.25">
      <c r="O742604" s="9"/>
    </row>
    <row r="742625" spans="15:15" x14ac:dyDescent="0.25">
      <c r="O742625" s="9"/>
    </row>
    <row r="742646" spans="15:15" x14ac:dyDescent="0.25">
      <c r="O742646" s="9"/>
    </row>
    <row r="742667" spans="15:15" x14ac:dyDescent="0.25">
      <c r="O742667" s="9"/>
    </row>
    <row r="742688" spans="15:15" x14ac:dyDescent="0.25">
      <c r="O742688" s="9"/>
    </row>
    <row r="742709" spans="15:15" x14ac:dyDescent="0.25">
      <c r="O742709" s="9"/>
    </row>
    <row r="742730" spans="15:15" x14ac:dyDescent="0.25">
      <c r="O742730" s="9"/>
    </row>
    <row r="742751" spans="15:15" x14ac:dyDescent="0.25">
      <c r="O742751" s="9"/>
    </row>
    <row r="742772" spans="15:15" x14ac:dyDescent="0.25">
      <c r="O742772" s="9"/>
    </row>
    <row r="742793" spans="15:15" x14ac:dyDescent="0.25">
      <c r="O742793" s="9"/>
    </row>
    <row r="742814" spans="15:15" x14ac:dyDescent="0.25">
      <c r="O742814" s="9"/>
    </row>
    <row r="742835" spans="15:15" x14ac:dyDescent="0.25">
      <c r="O742835" s="9"/>
    </row>
    <row r="742856" spans="15:15" x14ac:dyDescent="0.25">
      <c r="O742856" s="9"/>
    </row>
    <row r="742877" spans="15:15" x14ac:dyDescent="0.25">
      <c r="O742877" s="9"/>
    </row>
    <row r="742898" spans="15:15" x14ac:dyDescent="0.25">
      <c r="O742898" s="9"/>
    </row>
    <row r="742919" spans="15:15" x14ac:dyDescent="0.25">
      <c r="O742919" s="9"/>
    </row>
    <row r="742940" spans="15:15" x14ac:dyDescent="0.25">
      <c r="O742940" s="9"/>
    </row>
    <row r="742961" spans="15:15" x14ac:dyDescent="0.25">
      <c r="O742961" s="9"/>
    </row>
    <row r="742982" spans="15:15" x14ac:dyDescent="0.25">
      <c r="O742982" s="9"/>
    </row>
    <row r="743003" spans="15:15" x14ac:dyDescent="0.25">
      <c r="O743003" s="9"/>
    </row>
    <row r="743024" spans="15:15" x14ac:dyDescent="0.25">
      <c r="O743024" s="9"/>
    </row>
    <row r="743045" spans="15:15" x14ac:dyDescent="0.25">
      <c r="O743045" s="9"/>
    </row>
    <row r="743066" spans="15:15" x14ac:dyDescent="0.25">
      <c r="O743066" s="9"/>
    </row>
    <row r="743087" spans="15:15" x14ac:dyDescent="0.25">
      <c r="O743087" s="9"/>
    </row>
    <row r="743108" spans="15:15" x14ac:dyDescent="0.25">
      <c r="O743108" s="9"/>
    </row>
    <row r="743129" spans="15:15" x14ac:dyDescent="0.25">
      <c r="O743129" s="9"/>
    </row>
    <row r="743150" spans="15:15" x14ac:dyDescent="0.25">
      <c r="O743150" s="9"/>
    </row>
    <row r="743171" spans="15:15" x14ac:dyDescent="0.25">
      <c r="O743171" s="9"/>
    </row>
    <row r="743192" spans="15:15" x14ac:dyDescent="0.25">
      <c r="O743192" s="9"/>
    </row>
    <row r="743213" spans="15:15" x14ac:dyDescent="0.25">
      <c r="O743213" s="9"/>
    </row>
    <row r="743234" spans="15:15" x14ac:dyDescent="0.25">
      <c r="O743234" s="9"/>
    </row>
    <row r="743255" spans="15:15" x14ac:dyDescent="0.25">
      <c r="O743255" s="9"/>
    </row>
    <row r="743276" spans="15:15" x14ac:dyDescent="0.25">
      <c r="O743276" s="9"/>
    </row>
    <row r="743297" spans="15:15" x14ac:dyDescent="0.25">
      <c r="O743297" s="9"/>
    </row>
    <row r="743318" spans="15:15" x14ac:dyDescent="0.25">
      <c r="O743318" s="9"/>
    </row>
    <row r="743339" spans="15:15" x14ac:dyDescent="0.25">
      <c r="O743339" s="9"/>
    </row>
    <row r="743360" spans="15:15" x14ac:dyDescent="0.25">
      <c r="O743360" s="9"/>
    </row>
    <row r="743381" spans="15:15" x14ac:dyDescent="0.25">
      <c r="O743381" s="9"/>
    </row>
    <row r="743402" spans="15:15" x14ac:dyDescent="0.25">
      <c r="O743402" s="9"/>
    </row>
    <row r="743423" spans="15:15" x14ac:dyDescent="0.25">
      <c r="O743423" s="9"/>
    </row>
    <row r="743444" spans="15:15" x14ac:dyDescent="0.25">
      <c r="O743444" s="9"/>
    </row>
    <row r="743465" spans="15:15" x14ac:dyDescent="0.25">
      <c r="O743465" s="9"/>
    </row>
    <row r="743486" spans="15:15" x14ac:dyDescent="0.25">
      <c r="O743486" s="9"/>
    </row>
    <row r="743507" spans="15:15" x14ac:dyDescent="0.25">
      <c r="O743507" s="9"/>
    </row>
    <row r="743528" spans="15:15" x14ac:dyDescent="0.25">
      <c r="O743528" s="9"/>
    </row>
    <row r="743549" spans="15:15" x14ac:dyDescent="0.25">
      <c r="O743549" s="9"/>
    </row>
    <row r="743570" spans="15:15" x14ac:dyDescent="0.25">
      <c r="O743570" s="9"/>
    </row>
    <row r="743591" spans="15:15" x14ac:dyDescent="0.25">
      <c r="O743591" s="9"/>
    </row>
    <row r="743612" spans="15:15" x14ac:dyDescent="0.25">
      <c r="O743612" s="9"/>
    </row>
    <row r="743633" spans="15:15" x14ac:dyDescent="0.25">
      <c r="O743633" s="9"/>
    </row>
    <row r="743654" spans="15:15" x14ac:dyDescent="0.25">
      <c r="O743654" s="9"/>
    </row>
    <row r="743675" spans="15:15" x14ac:dyDescent="0.25">
      <c r="O743675" s="9"/>
    </row>
    <row r="743696" spans="15:15" x14ac:dyDescent="0.25">
      <c r="O743696" s="9"/>
    </row>
    <row r="743717" spans="15:15" x14ac:dyDescent="0.25">
      <c r="O743717" s="9"/>
    </row>
    <row r="743738" spans="15:15" x14ac:dyDescent="0.25">
      <c r="O743738" s="9"/>
    </row>
    <row r="743759" spans="15:15" x14ac:dyDescent="0.25">
      <c r="O743759" s="9"/>
    </row>
    <row r="743780" spans="15:15" x14ac:dyDescent="0.25">
      <c r="O743780" s="9"/>
    </row>
    <row r="743801" spans="15:15" x14ac:dyDescent="0.25">
      <c r="O743801" s="9"/>
    </row>
    <row r="743822" spans="15:15" x14ac:dyDescent="0.25">
      <c r="O743822" s="9"/>
    </row>
    <row r="743843" spans="15:15" x14ac:dyDescent="0.25">
      <c r="O743843" s="9"/>
    </row>
    <row r="743864" spans="15:15" x14ac:dyDescent="0.25">
      <c r="O743864" s="9"/>
    </row>
    <row r="743885" spans="15:15" x14ac:dyDescent="0.25">
      <c r="O743885" s="9"/>
    </row>
    <row r="743906" spans="15:15" x14ac:dyDescent="0.25">
      <c r="O743906" s="9"/>
    </row>
    <row r="743927" spans="15:15" x14ac:dyDescent="0.25">
      <c r="O743927" s="9"/>
    </row>
    <row r="743948" spans="15:15" x14ac:dyDescent="0.25">
      <c r="O743948" s="9"/>
    </row>
    <row r="743969" spans="15:15" x14ac:dyDescent="0.25">
      <c r="O743969" s="9"/>
    </row>
    <row r="743990" spans="15:15" x14ac:dyDescent="0.25">
      <c r="O743990" s="9"/>
    </row>
    <row r="744011" spans="15:15" x14ac:dyDescent="0.25">
      <c r="O744011" s="9"/>
    </row>
    <row r="744032" spans="15:15" x14ac:dyDescent="0.25">
      <c r="O744032" s="9"/>
    </row>
    <row r="744053" spans="15:15" x14ac:dyDescent="0.25">
      <c r="O744053" s="9"/>
    </row>
    <row r="744074" spans="15:15" x14ac:dyDescent="0.25">
      <c r="O744074" s="9"/>
    </row>
    <row r="744095" spans="15:15" x14ac:dyDescent="0.25">
      <c r="O744095" s="9"/>
    </row>
    <row r="744116" spans="15:15" x14ac:dyDescent="0.25">
      <c r="O744116" s="9"/>
    </row>
    <row r="744137" spans="15:15" x14ac:dyDescent="0.25">
      <c r="O744137" s="9"/>
    </row>
    <row r="744158" spans="15:15" x14ac:dyDescent="0.25">
      <c r="O744158" s="9"/>
    </row>
    <row r="744179" spans="15:15" x14ac:dyDescent="0.25">
      <c r="O744179" s="9"/>
    </row>
    <row r="744200" spans="15:15" x14ac:dyDescent="0.25">
      <c r="O744200" s="9"/>
    </row>
    <row r="744221" spans="15:15" x14ac:dyDescent="0.25">
      <c r="O744221" s="9"/>
    </row>
    <row r="744242" spans="15:15" x14ac:dyDescent="0.25">
      <c r="O744242" s="9"/>
    </row>
    <row r="744263" spans="15:15" x14ac:dyDescent="0.25">
      <c r="O744263" s="9"/>
    </row>
    <row r="744284" spans="15:15" x14ac:dyDescent="0.25">
      <c r="O744284" s="9"/>
    </row>
    <row r="744305" spans="15:15" x14ac:dyDescent="0.25">
      <c r="O744305" s="9"/>
    </row>
    <row r="744326" spans="15:15" x14ac:dyDescent="0.25">
      <c r="O744326" s="9"/>
    </row>
    <row r="744347" spans="15:15" x14ac:dyDescent="0.25">
      <c r="O744347" s="9"/>
    </row>
    <row r="744368" spans="15:15" x14ac:dyDescent="0.25">
      <c r="O744368" s="9"/>
    </row>
    <row r="744389" spans="15:15" x14ac:dyDescent="0.25">
      <c r="O744389" s="9"/>
    </row>
    <row r="744410" spans="15:15" x14ac:dyDescent="0.25">
      <c r="O744410" s="9"/>
    </row>
    <row r="744431" spans="15:15" x14ac:dyDescent="0.25">
      <c r="O744431" s="9"/>
    </row>
    <row r="744452" spans="15:15" x14ac:dyDescent="0.25">
      <c r="O744452" s="9"/>
    </row>
    <row r="744473" spans="15:15" x14ac:dyDescent="0.25">
      <c r="O744473" s="9"/>
    </row>
    <row r="744494" spans="15:15" x14ac:dyDescent="0.25">
      <c r="O744494" s="9"/>
    </row>
    <row r="744515" spans="15:15" x14ac:dyDescent="0.25">
      <c r="O744515" s="9"/>
    </row>
    <row r="744536" spans="15:15" x14ac:dyDescent="0.25">
      <c r="O744536" s="9"/>
    </row>
    <row r="744557" spans="15:15" x14ac:dyDescent="0.25">
      <c r="O744557" s="9"/>
    </row>
    <row r="744578" spans="15:15" x14ac:dyDescent="0.25">
      <c r="O744578" s="9"/>
    </row>
    <row r="744599" spans="15:15" x14ac:dyDescent="0.25">
      <c r="O744599" s="9"/>
    </row>
    <row r="744620" spans="15:15" x14ac:dyDescent="0.25">
      <c r="O744620" s="9"/>
    </row>
    <row r="744641" spans="15:15" x14ac:dyDescent="0.25">
      <c r="O744641" s="9"/>
    </row>
    <row r="744662" spans="15:15" x14ac:dyDescent="0.25">
      <c r="O744662" s="9"/>
    </row>
    <row r="744683" spans="15:15" x14ac:dyDescent="0.25">
      <c r="O744683" s="9"/>
    </row>
    <row r="744704" spans="15:15" x14ac:dyDescent="0.25">
      <c r="O744704" s="9"/>
    </row>
    <row r="744725" spans="15:15" x14ac:dyDescent="0.25">
      <c r="O744725" s="9"/>
    </row>
    <row r="744746" spans="15:15" x14ac:dyDescent="0.25">
      <c r="O744746" s="9"/>
    </row>
    <row r="744767" spans="15:15" x14ac:dyDescent="0.25">
      <c r="O744767" s="9"/>
    </row>
    <row r="744788" spans="15:15" x14ac:dyDescent="0.25">
      <c r="O744788" s="9"/>
    </row>
    <row r="744809" spans="15:15" x14ac:dyDescent="0.25">
      <c r="O744809" s="9"/>
    </row>
    <row r="744830" spans="15:15" x14ac:dyDescent="0.25">
      <c r="O744830" s="9"/>
    </row>
    <row r="744851" spans="15:15" x14ac:dyDescent="0.25">
      <c r="O744851" s="9"/>
    </row>
    <row r="744872" spans="15:15" x14ac:dyDescent="0.25">
      <c r="O744872" s="9"/>
    </row>
    <row r="744893" spans="15:15" x14ac:dyDescent="0.25">
      <c r="O744893" s="9"/>
    </row>
    <row r="744914" spans="15:15" x14ac:dyDescent="0.25">
      <c r="O744914" s="9"/>
    </row>
    <row r="744935" spans="15:15" x14ac:dyDescent="0.25">
      <c r="O744935" s="9"/>
    </row>
    <row r="744956" spans="15:15" x14ac:dyDescent="0.25">
      <c r="O744956" s="9"/>
    </row>
    <row r="744977" spans="15:15" x14ac:dyDescent="0.25">
      <c r="O744977" s="9"/>
    </row>
    <row r="744998" spans="15:15" x14ac:dyDescent="0.25">
      <c r="O744998" s="9"/>
    </row>
    <row r="745019" spans="15:15" x14ac:dyDescent="0.25">
      <c r="O745019" s="9"/>
    </row>
    <row r="745040" spans="15:15" x14ac:dyDescent="0.25">
      <c r="O745040" s="9"/>
    </row>
    <row r="745061" spans="15:15" x14ac:dyDescent="0.25">
      <c r="O745061" s="9"/>
    </row>
    <row r="745082" spans="15:15" x14ac:dyDescent="0.25">
      <c r="O745082" s="9"/>
    </row>
    <row r="745103" spans="15:15" x14ac:dyDescent="0.25">
      <c r="O745103" s="9"/>
    </row>
    <row r="745124" spans="15:15" x14ac:dyDescent="0.25">
      <c r="O745124" s="9"/>
    </row>
    <row r="745145" spans="15:15" x14ac:dyDescent="0.25">
      <c r="O745145" s="9"/>
    </row>
    <row r="745166" spans="15:15" x14ac:dyDescent="0.25">
      <c r="O745166" s="9"/>
    </row>
    <row r="745187" spans="15:15" x14ac:dyDescent="0.25">
      <c r="O745187" s="9"/>
    </row>
    <row r="745208" spans="15:15" x14ac:dyDescent="0.25">
      <c r="O745208" s="9"/>
    </row>
    <row r="745229" spans="15:15" x14ac:dyDescent="0.25">
      <c r="O745229" s="9"/>
    </row>
    <row r="745250" spans="15:15" x14ac:dyDescent="0.25">
      <c r="O745250" s="9"/>
    </row>
    <row r="745271" spans="15:15" x14ac:dyDescent="0.25">
      <c r="O745271" s="9"/>
    </row>
    <row r="745292" spans="15:15" x14ac:dyDescent="0.25">
      <c r="O745292" s="9"/>
    </row>
    <row r="745313" spans="15:15" x14ac:dyDescent="0.25">
      <c r="O745313" s="9"/>
    </row>
    <row r="745334" spans="15:15" x14ac:dyDescent="0.25">
      <c r="O745334" s="9"/>
    </row>
    <row r="745355" spans="15:15" x14ac:dyDescent="0.25">
      <c r="O745355" s="9"/>
    </row>
    <row r="745376" spans="15:15" x14ac:dyDescent="0.25">
      <c r="O745376" s="9"/>
    </row>
    <row r="745397" spans="15:15" x14ac:dyDescent="0.25">
      <c r="O745397" s="9"/>
    </row>
    <row r="745418" spans="15:15" x14ac:dyDescent="0.25">
      <c r="O745418" s="9"/>
    </row>
    <row r="745439" spans="15:15" x14ac:dyDescent="0.25">
      <c r="O745439" s="9"/>
    </row>
    <row r="745460" spans="15:15" x14ac:dyDescent="0.25">
      <c r="O745460" s="9"/>
    </row>
    <row r="745481" spans="15:15" x14ac:dyDescent="0.25">
      <c r="O745481" s="9"/>
    </row>
    <row r="745502" spans="15:15" x14ac:dyDescent="0.25">
      <c r="O745502" s="9"/>
    </row>
    <row r="745523" spans="15:15" x14ac:dyDescent="0.25">
      <c r="O745523" s="9"/>
    </row>
    <row r="745544" spans="15:15" x14ac:dyDescent="0.25">
      <c r="O745544" s="9"/>
    </row>
    <row r="745565" spans="15:15" x14ac:dyDescent="0.25">
      <c r="O745565" s="9"/>
    </row>
    <row r="745586" spans="15:15" x14ac:dyDescent="0.25">
      <c r="O745586" s="9"/>
    </row>
    <row r="745607" spans="15:15" x14ac:dyDescent="0.25">
      <c r="O745607" s="9"/>
    </row>
    <row r="745628" spans="15:15" x14ac:dyDescent="0.25">
      <c r="O745628" s="9"/>
    </row>
    <row r="745649" spans="15:15" x14ac:dyDescent="0.25">
      <c r="O745649" s="9"/>
    </row>
    <row r="745670" spans="15:15" x14ac:dyDescent="0.25">
      <c r="O745670" s="9"/>
    </row>
    <row r="745691" spans="15:15" x14ac:dyDescent="0.25">
      <c r="O745691" s="9"/>
    </row>
    <row r="745712" spans="15:15" x14ac:dyDescent="0.25">
      <c r="O745712" s="9"/>
    </row>
    <row r="745733" spans="15:15" x14ac:dyDescent="0.25">
      <c r="O745733" s="9"/>
    </row>
    <row r="745754" spans="15:15" x14ac:dyDescent="0.25">
      <c r="O745754" s="9"/>
    </row>
    <row r="745775" spans="15:15" x14ac:dyDescent="0.25">
      <c r="O745775" s="9"/>
    </row>
    <row r="745796" spans="15:15" x14ac:dyDescent="0.25">
      <c r="O745796" s="9"/>
    </row>
    <row r="745817" spans="15:15" x14ac:dyDescent="0.25">
      <c r="O745817" s="9"/>
    </row>
    <row r="745838" spans="15:15" x14ac:dyDescent="0.25">
      <c r="O745838" s="9"/>
    </row>
    <row r="745859" spans="15:15" x14ac:dyDescent="0.25">
      <c r="O745859" s="9"/>
    </row>
    <row r="745880" spans="15:15" x14ac:dyDescent="0.25">
      <c r="O745880" s="9"/>
    </row>
    <row r="745901" spans="15:15" x14ac:dyDescent="0.25">
      <c r="O745901" s="9"/>
    </row>
    <row r="745922" spans="15:15" x14ac:dyDescent="0.25">
      <c r="O745922" s="9"/>
    </row>
    <row r="745943" spans="15:15" x14ac:dyDescent="0.25">
      <c r="O745943" s="9"/>
    </row>
    <row r="745964" spans="15:15" x14ac:dyDescent="0.25">
      <c r="O745964" s="9"/>
    </row>
    <row r="745985" spans="15:15" x14ac:dyDescent="0.25">
      <c r="O745985" s="9"/>
    </row>
    <row r="746006" spans="15:15" x14ac:dyDescent="0.25">
      <c r="O746006" s="9"/>
    </row>
    <row r="746027" spans="15:15" x14ac:dyDescent="0.25">
      <c r="O746027" s="9"/>
    </row>
    <row r="746048" spans="15:15" x14ac:dyDescent="0.25">
      <c r="O746048" s="9"/>
    </row>
    <row r="746069" spans="15:15" x14ac:dyDescent="0.25">
      <c r="O746069" s="9"/>
    </row>
    <row r="746090" spans="15:15" x14ac:dyDescent="0.25">
      <c r="O746090" s="9"/>
    </row>
    <row r="746111" spans="15:15" x14ac:dyDescent="0.25">
      <c r="O746111" s="9"/>
    </row>
    <row r="746132" spans="15:15" x14ac:dyDescent="0.25">
      <c r="O746132" s="9"/>
    </row>
    <row r="746153" spans="15:15" x14ac:dyDescent="0.25">
      <c r="O746153" s="9"/>
    </row>
    <row r="746174" spans="15:15" x14ac:dyDescent="0.25">
      <c r="O746174" s="9"/>
    </row>
    <row r="746195" spans="15:15" x14ac:dyDescent="0.25">
      <c r="O746195" s="9"/>
    </row>
    <row r="746216" spans="15:15" x14ac:dyDescent="0.25">
      <c r="O746216" s="9"/>
    </row>
    <row r="746237" spans="15:15" x14ac:dyDescent="0.25">
      <c r="O746237" s="9"/>
    </row>
    <row r="746258" spans="15:15" x14ac:dyDescent="0.25">
      <c r="O746258" s="9"/>
    </row>
    <row r="746279" spans="15:15" x14ac:dyDescent="0.25">
      <c r="O746279" s="9"/>
    </row>
    <row r="746300" spans="15:15" x14ac:dyDescent="0.25">
      <c r="O746300" s="9"/>
    </row>
    <row r="746321" spans="15:15" x14ac:dyDescent="0.25">
      <c r="O746321" s="9"/>
    </row>
    <row r="746342" spans="15:15" x14ac:dyDescent="0.25">
      <c r="O746342" s="9"/>
    </row>
    <row r="746363" spans="15:15" x14ac:dyDescent="0.25">
      <c r="O746363" s="9"/>
    </row>
    <row r="746384" spans="15:15" x14ac:dyDescent="0.25">
      <c r="O746384" s="9"/>
    </row>
    <row r="746405" spans="15:15" x14ac:dyDescent="0.25">
      <c r="O746405" s="9"/>
    </row>
    <row r="746426" spans="15:15" x14ac:dyDescent="0.25">
      <c r="O746426" s="9"/>
    </row>
    <row r="746447" spans="15:15" x14ac:dyDescent="0.25">
      <c r="O746447" s="9"/>
    </row>
    <row r="746468" spans="15:15" x14ac:dyDescent="0.25">
      <c r="O746468" s="9"/>
    </row>
    <row r="746489" spans="15:15" x14ac:dyDescent="0.25">
      <c r="O746489" s="9"/>
    </row>
    <row r="746510" spans="15:15" x14ac:dyDescent="0.25">
      <c r="O746510" s="9"/>
    </row>
    <row r="746531" spans="15:15" x14ac:dyDescent="0.25">
      <c r="O746531" s="9"/>
    </row>
    <row r="746552" spans="15:15" x14ac:dyDescent="0.25">
      <c r="O746552" s="9"/>
    </row>
    <row r="746573" spans="15:15" x14ac:dyDescent="0.25">
      <c r="O746573" s="9"/>
    </row>
    <row r="746594" spans="15:15" x14ac:dyDescent="0.25">
      <c r="O746594" s="9"/>
    </row>
    <row r="746615" spans="15:15" x14ac:dyDescent="0.25">
      <c r="O746615" s="9"/>
    </row>
    <row r="746636" spans="15:15" x14ac:dyDescent="0.25">
      <c r="O746636" s="9"/>
    </row>
    <row r="746657" spans="15:15" x14ac:dyDescent="0.25">
      <c r="O746657" s="9"/>
    </row>
    <row r="746678" spans="15:15" x14ac:dyDescent="0.25">
      <c r="O746678" s="9"/>
    </row>
    <row r="746699" spans="15:15" x14ac:dyDescent="0.25">
      <c r="O746699" s="9"/>
    </row>
    <row r="746720" spans="15:15" x14ac:dyDescent="0.25">
      <c r="O746720" s="9"/>
    </row>
    <row r="746741" spans="15:15" x14ac:dyDescent="0.25">
      <c r="O746741" s="9"/>
    </row>
    <row r="746762" spans="15:15" x14ac:dyDescent="0.25">
      <c r="O746762" s="9"/>
    </row>
    <row r="746783" spans="15:15" x14ac:dyDescent="0.25">
      <c r="O746783" s="9"/>
    </row>
    <row r="746804" spans="15:15" x14ac:dyDescent="0.25">
      <c r="O746804" s="9"/>
    </row>
    <row r="746825" spans="15:15" x14ac:dyDescent="0.25">
      <c r="O746825" s="9"/>
    </row>
    <row r="746846" spans="15:15" x14ac:dyDescent="0.25">
      <c r="O746846" s="9"/>
    </row>
    <row r="746867" spans="15:15" x14ac:dyDescent="0.25">
      <c r="O746867" s="9"/>
    </row>
    <row r="746888" spans="15:15" x14ac:dyDescent="0.25">
      <c r="O746888" s="9"/>
    </row>
    <row r="746909" spans="15:15" x14ac:dyDescent="0.25">
      <c r="O746909" s="9"/>
    </row>
    <row r="746930" spans="15:15" x14ac:dyDescent="0.25">
      <c r="O746930" s="9"/>
    </row>
    <row r="746951" spans="15:15" x14ac:dyDescent="0.25">
      <c r="O746951" s="9"/>
    </row>
    <row r="746972" spans="15:15" x14ac:dyDescent="0.25">
      <c r="O746972" s="9"/>
    </row>
    <row r="746993" spans="15:15" x14ac:dyDescent="0.25">
      <c r="O746993" s="9"/>
    </row>
    <row r="747014" spans="15:15" x14ac:dyDescent="0.25">
      <c r="O747014" s="9"/>
    </row>
    <row r="747035" spans="15:15" x14ac:dyDescent="0.25">
      <c r="O747035" s="9"/>
    </row>
    <row r="747056" spans="15:15" x14ac:dyDescent="0.25">
      <c r="O747056" s="9"/>
    </row>
    <row r="747077" spans="15:15" x14ac:dyDescent="0.25">
      <c r="O747077" s="9"/>
    </row>
    <row r="747098" spans="15:15" x14ac:dyDescent="0.25">
      <c r="O747098" s="9"/>
    </row>
    <row r="747119" spans="15:15" x14ac:dyDescent="0.25">
      <c r="O747119" s="9"/>
    </row>
    <row r="747140" spans="15:15" x14ac:dyDescent="0.25">
      <c r="O747140" s="9"/>
    </row>
    <row r="747161" spans="15:15" x14ac:dyDescent="0.25">
      <c r="O747161" s="9"/>
    </row>
    <row r="747182" spans="15:15" x14ac:dyDescent="0.25">
      <c r="O747182" s="9"/>
    </row>
    <row r="747203" spans="15:15" x14ac:dyDescent="0.25">
      <c r="O747203" s="9"/>
    </row>
    <row r="747224" spans="15:15" x14ac:dyDescent="0.25">
      <c r="O747224" s="9"/>
    </row>
    <row r="747245" spans="15:15" x14ac:dyDescent="0.25">
      <c r="O747245" s="9"/>
    </row>
    <row r="747266" spans="15:15" x14ac:dyDescent="0.25">
      <c r="O747266" s="9"/>
    </row>
    <row r="747287" spans="15:15" x14ac:dyDescent="0.25">
      <c r="O747287" s="9"/>
    </row>
    <row r="747308" spans="15:15" x14ac:dyDescent="0.25">
      <c r="O747308" s="9"/>
    </row>
    <row r="747329" spans="15:15" x14ac:dyDescent="0.25">
      <c r="O747329" s="9"/>
    </row>
    <row r="747350" spans="15:15" x14ac:dyDescent="0.25">
      <c r="O747350" s="9"/>
    </row>
    <row r="747371" spans="15:15" x14ac:dyDescent="0.25">
      <c r="O747371" s="9"/>
    </row>
    <row r="747392" spans="15:15" x14ac:dyDescent="0.25">
      <c r="O747392" s="9"/>
    </row>
    <row r="747413" spans="15:15" x14ac:dyDescent="0.25">
      <c r="O747413" s="9"/>
    </row>
    <row r="747434" spans="15:15" x14ac:dyDescent="0.25">
      <c r="O747434" s="9"/>
    </row>
    <row r="747455" spans="15:15" x14ac:dyDescent="0.25">
      <c r="O747455" s="9"/>
    </row>
    <row r="747476" spans="15:15" x14ac:dyDescent="0.25">
      <c r="O747476" s="9"/>
    </row>
    <row r="747497" spans="15:15" x14ac:dyDescent="0.25">
      <c r="O747497" s="9"/>
    </row>
    <row r="747518" spans="15:15" x14ac:dyDescent="0.25">
      <c r="O747518" s="9"/>
    </row>
    <row r="747539" spans="15:15" x14ac:dyDescent="0.25">
      <c r="O747539" s="9"/>
    </row>
    <row r="747560" spans="15:15" x14ac:dyDescent="0.25">
      <c r="O747560" s="9"/>
    </row>
    <row r="747581" spans="15:15" x14ac:dyDescent="0.25">
      <c r="O747581" s="9"/>
    </row>
    <row r="747602" spans="15:15" x14ac:dyDescent="0.25">
      <c r="O747602" s="9"/>
    </row>
    <row r="747623" spans="15:15" x14ac:dyDescent="0.25">
      <c r="O747623" s="9"/>
    </row>
    <row r="747644" spans="15:15" x14ac:dyDescent="0.25">
      <c r="O747644" s="9"/>
    </row>
    <row r="747665" spans="15:15" x14ac:dyDescent="0.25">
      <c r="O747665" s="9"/>
    </row>
    <row r="747686" spans="15:15" x14ac:dyDescent="0.25">
      <c r="O747686" s="9"/>
    </row>
    <row r="747707" spans="15:15" x14ac:dyDescent="0.25">
      <c r="O747707" s="9"/>
    </row>
    <row r="747728" spans="15:15" x14ac:dyDescent="0.25">
      <c r="O747728" s="9"/>
    </row>
    <row r="747749" spans="15:15" x14ac:dyDescent="0.25">
      <c r="O747749" s="9"/>
    </row>
    <row r="747770" spans="15:15" x14ac:dyDescent="0.25">
      <c r="O747770" s="9"/>
    </row>
    <row r="747791" spans="15:15" x14ac:dyDescent="0.25">
      <c r="O747791" s="9"/>
    </row>
    <row r="747812" spans="15:15" x14ac:dyDescent="0.25">
      <c r="O747812" s="9"/>
    </row>
    <row r="747833" spans="15:15" x14ac:dyDescent="0.25">
      <c r="O747833" s="9"/>
    </row>
    <row r="747854" spans="15:15" x14ac:dyDescent="0.25">
      <c r="O747854" s="9"/>
    </row>
    <row r="747875" spans="15:15" x14ac:dyDescent="0.25">
      <c r="O747875" s="9"/>
    </row>
    <row r="747896" spans="15:15" x14ac:dyDescent="0.25">
      <c r="O747896" s="9"/>
    </row>
    <row r="747917" spans="15:15" x14ac:dyDescent="0.25">
      <c r="O747917" s="9"/>
    </row>
    <row r="747938" spans="15:15" x14ac:dyDescent="0.25">
      <c r="O747938" s="9"/>
    </row>
    <row r="747959" spans="15:15" x14ac:dyDescent="0.25">
      <c r="O747959" s="9"/>
    </row>
    <row r="747980" spans="15:15" x14ac:dyDescent="0.25">
      <c r="O747980" s="9"/>
    </row>
    <row r="748001" spans="15:15" x14ac:dyDescent="0.25">
      <c r="O748001" s="9"/>
    </row>
    <row r="748022" spans="15:15" x14ac:dyDescent="0.25">
      <c r="O748022" s="9"/>
    </row>
    <row r="748043" spans="15:15" x14ac:dyDescent="0.25">
      <c r="O748043" s="9"/>
    </row>
    <row r="748064" spans="15:15" x14ac:dyDescent="0.25">
      <c r="O748064" s="9"/>
    </row>
    <row r="748085" spans="15:15" x14ac:dyDescent="0.25">
      <c r="O748085" s="9"/>
    </row>
    <row r="748106" spans="15:15" x14ac:dyDescent="0.25">
      <c r="O748106" s="9"/>
    </row>
    <row r="748127" spans="15:15" x14ac:dyDescent="0.25">
      <c r="O748127" s="9"/>
    </row>
    <row r="748148" spans="15:15" x14ac:dyDescent="0.25">
      <c r="O748148" s="9"/>
    </row>
    <row r="748169" spans="15:15" x14ac:dyDescent="0.25">
      <c r="O748169" s="9"/>
    </row>
    <row r="748190" spans="15:15" x14ac:dyDescent="0.25">
      <c r="O748190" s="9"/>
    </row>
    <row r="748211" spans="15:15" x14ac:dyDescent="0.25">
      <c r="O748211" s="9"/>
    </row>
    <row r="748232" spans="15:15" x14ac:dyDescent="0.25">
      <c r="O748232" s="9"/>
    </row>
    <row r="748253" spans="15:15" x14ac:dyDescent="0.25">
      <c r="O748253" s="9"/>
    </row>
    <row r="748274" spans="15:15" x14ac:dyDescent="0.25">
      <c r="O748274" s="9"/>
    </row>
    <row r="748295" spans="15:15" x14ac:dyDescent="0.25">
      <c r="O748295" s="9"/>
    </row>
    <row r="748316" spans="15:15" x14ac:dyDescent="0.25">
      <c r="O748316" s="9"/>
    </row>
    <row r="748337" spans="15:15" x14ac:dyDescent="0.25">
      <c r="O748337" s="9"/>
    </row>
    <row r="748358" spans="15:15" x14ac:dyDescent="0.25">
      <c r="O748358" s="9"/>
    </row>
    <row r="748379" spans="15:15" x14ac:dyDescent="0.25">
      <c r="O748379" s="9"/>
    </row>
    <row r="748400" spans="15:15" x14ac:dyDescent="0.25">
      <c r="O748400" s="9"/>
    </row>
    <row r="748421" spans="15:15" x14ac:dyDescent="0.25">
      <c r="O748421" s="9"/>
    </row>
    <row r="748442" spans="15:15" x14ac:dyDescent="0.25">
      <c r="O748442" s="9"/>
    </row>
    <row r="748463" spans="15:15" x14ac:dyDescent="0.25">
      <c r="O748463" s="9"/>
    </row>
    <row r="748484" spans="15:15" x14ac:dyDescent="0.25">
      <c r="O748484" s="9"/>
    </row>
    <row r="748505" spans="15:15" x14ac:dyDescent="0.25">
      <c r="O748505" s="9"/>
    </row>
    <row r="748526" spans="15:15" x14ac:dyDescent="0.25">
      <c r="O748526" s="9"/>
    </row>
    <row r="748547" spans="15:15" x14ac:dyDescent="0.25">
      <c r="O748547" s="9"/>
    </row>
    <row r="748568" spans="15:15" x14ac:dyDescent="0.25">
      <c r="O748568" s="9"/>
    </row>
    <row r="748589" spans="15:15" x14ac:dyDescent="0.25">
      <c r="O748589" s="9"/>
    </row>
    <row r="748610" spans="15:15" x14ac:dyDescent="0.25">
      <c r="O748610" s="9"/>
    </row>
    <row r="748631" spans="15:15" x14ac:dyDescent="0.25">
      <c r="O748631" s="9"/>
    </row>
    <row r="748652" spans="15:15" x14ac:dyDescent="0.25">
      <c r="O748652" s="9"/>
    </row>
    <row r="748673" spans="15:15" x14ac:dyDescent="0.25">
      <c r="O748673" s="9"/>
    </row>
    <row r="748694" spans="15:15" x14ac:dyDescent="0.25">
      <c r="O748694" s="9"/>
    </row>
    <row r="748715" spans="15:15" x14ac:dyDescent="0.25">
      <c r="O748715" s="9"/>
    </row>
    <row r="748736" spans="15:15" x14ac:dyDescent="0.25">
      <c r="O748736" s="9"/>
    </row>
    <row r="748757" spans="15:15" x14ac:dyDescent="0.25">
      <c r="O748757" s="9"/>
    </row>
    <row r="748778" spans="15:15" x14ac:dyDescent="0.25">
      <c r="O748778" s="9"/>
    </row>
    <row r="748799" spans="15:15" x14ac:dyDescent="0.25">
      <c r="O748799" s="9"/>
    </row>
    <row r="748820" spans="15:15" x14ac:dyDescent="0.25">
      <c r="O748820" s="9"/>
    </row>
    <row r="748841" spans="15:15" x14ac:dyDescent="0.25">
      <c r="O748841" s="9"/>
    </row>
    <row r="748862" spans="15:15" x14ac:dyDescent="0.25">
      <c r="O748862" s="9"/>
    </row>
    <row r="748883" spans="15:15" x14ac:dyDescent="0.25">
      <c r="O748883" s="9"/>
    </row>
    <row r="748904" spans="15:15" x14ac:dyDescent="0.25">
      <c r="O748904" s="9"/>
    </row>
    <row r="748925" spans="15:15" x14ac:dyDescent="0.25">
      <c r="O748925" s="9"/>
    </row>
    <row r="748946" spans="15:15" x14ac:dyDescent="0.25">
      <c r="O748946" s="9"/>
    </row>
    <row r="748967" spans="15:15" x14ac:dyDescent="0.25">
      <c r="O748967" s="9"/>
    </row>
    <row r="748988" spans="15:15" x14ac:dyDescent="0.25">
      <c r="O748988" s="9"/>
    </row>
    <row r="749009" spans="15:15" x14ac:dyDescent="0.25">
      <c r="O749009" s="9"/>
    </row>
    <row r="749030" spans="15:15" x14ac:dyDescent="0.25">
      <c r="O749030" s="9"/>
    </row>
    <row r="749051" spans="15:15" x14ac:dyDescent="0.25">
      <c r="O749051" s="9"/>
    </row>
    <row r="749072" spans="15:15" x14ac:dyDescent="0.25">
      <c r="O749072" s="9"/>
    </row>
    <row r="749093" spans="15:15" x14ac:dyDescent="0.25">
      <c r="O749093" s="9"/>
    </row>
    <row r="749114" spans="15:15" x14ac:dyDescent="0.25">
      <c r="O749114" s="9"/>
    </row>
    <row r="749135" spans="15:15" x14ac:dyDescent="0.25">
      <c r="O749135" s="9"/>
    </row>
    <row r="749156" spans="15:15" x14ac:dyDescent="0.25">
      <c r="O749156" s="9"/>
    </row>
    <row r="749177" spans="15:15" x14ac:dyDescent="0.25">
      <c r="O749177" s="9"/>
    </row>
    <row r="749198" spans="15:15" x14ac:dyDescent="0.25">
      <c r="O749198" s="9"/>
    </row>
    <row r="749219" spans="15:15" x14ac:dyDescent="0.25">
      <c r="O749219" s="9"/>
    </row>
    <row r="749240" spans="15:15" x14ac:dyDescent="0.25">
      <c r="O749240" s="9"/>
    </row>
    <row r="749261" spans="15:15" x14ac:dyDescent="0.25">
      <c r="O749261" s="9"/>
    </row>
    <row r="749282" spans="15:15" x14ac:dyDescent="0.25">
      <c r="O749282" s="9"/>
    </row>
    <row r="749303" spans="15:15" x14ac:dyDescent="0.25">
      <c r="O749303" s="9"/>
    </row>
    <row r="749324" spans="15:15" x14ac:dyDescent="0.25">
      <c r="O749324" s="9"/>
    </row>
    <row r="749345" spans="15:15" x14ac:dyDescent="0.25">
      <c r="O749345" s="9"/>
    </row>
    <row r="749366" spans="15:15" x14ac:dyDescent="0.25">
      <c r="O749366" s="9"/>
    </row>
    <row r="749387" spans="15:15" x14ac:dyDescent="0.25">
      <c r="O749387" s="9"/>
    </row>
    <row r="749408" spans="15:15" x14ac:dyDescent="0.25">
      <c r="O749408" s="9"/>
    </row>
    <row r="749429" spans="15:15" x14ac:dyDescent="0.25">
      <c r="O749429" s="9"/>
    </row>
    <row r="749450" spans="15:15" x14ac:dyDescent="0.25">
      <c r="O749450" s="9"/>
    </row>
    <row r="749471" spans="15:15" x14ac:dyDescent="0.25">
      <c r="O749471" s="9"/>
    </row>
    <row r="749492" spans="15:15" x14ac:dyDescent="0.25">
      <c r="O749492" s="9"/>
    </row>
    <row r="749513" spans="15:15" x14ac:dyDescent="0.25">
      <c r="O749513" s="9"/>
    </row>
    <row r="749534" spans="15:15" x14ac:dyDescent="0.25">
      <c r="O749534" s="9"/>
    </row>
    <row r="749555" spans="15:15" x14ac:dyDescent="0.25">
      <c r="O749555" s="9"/>
    </row>
    <row r="749576" spans="15:15" x14ac:dyDescent="0.25">
      <c r="O749576" s="9"/>
    </row>
    <row r="749597" spans="15:15" x14ac:dyDescent="0.25">
      <c r="O749597" s="9"/>
    </row>
    <row r="749618" spans="15:15" x14ac:dyDescent="0.25">
      <c r="O749618" s="9"/>
    </row>
    <row r="749639" spans="15:15" x14ac:dyDescent="0.25">
      <c r="O749639" s="9"/>
    </row>
    <row r="749660" spans="15:15" x14ac:dyDescent="0.25">
      <c r="O749660" s="9"/>
    </row>
    <row r="749681" spans="15:15" x14ac:dyDescent="0.25">
      <c r="O749681" s="9"/>
    </row>
    <row r="749702" spans="15:15" x14ac:dyDescent="0.25">
      <c r="O749702" s="9"/>
    </row>
    <row r="749723" spans="15:15" x14ac:dyDescent="0.25">
      <c r="O749723" s="9"/>
    </row>
    <row r="749744" spans="15:15" x14ac:dyDescent="0.25">
      <c r="O749744" s="9"/>
    </row>
    <row r="749765" spans="15:15" x14ac:dyDescent="0.25">
      <c r="O749765" s="9"/>
    </row>
    <row r="749786" spans="15:15" x14ac:dyDescent="0.25">
      <c r="O749786" s="9"/>
    </row>
    <row r="749807" spans="15:15" x14ac:dyDescent="0.25">
      <c r="O749807" s="9"/>
    </row>
    <row r="749828" spans="15:15" x14ac:dyDescent="0.25">
      <c r="O749828" s="9"/>
    </row>
    <row r="749849" spans="15:15" x14ac:dyDescent="0.25">
      <c r="O749849" s="9"/>
    </row>
    <row r="749870" spans="15:15" x14ac:dyDescent="0.25">
      <c r="O749870" s="9"/>
    </row>
    <row r="749891" spans="15:15" x14ac:dyDescent="0.25">
      <c r="O749891" s="9"/>
    </row>
    <row r="749912" spans="15:15" x14ac:dyDescent="0.25">
      <c r="O749912" s="9"/>
    </row>
    <row r="749933" spans="15:15" x14ac:dyDescent="0.25">
      <c r="O749933" s="9"/>
    </row>
    <row r="749954" spans="15:15" x14ac:dyDescent="0.25">
      <c r="O749954" s="9"/>
    </row>
    <row r="749975" spans="15:15" x14ac:dyDescent="0.25">
      <c r="O749975" s="9"/>
    </row>
    <row r="749996" spans="15:15" x14ac:dyDescent="0.25">
      <c r="O749996" s="9"/>
    </row>
    <row r="750017" spans="15:15" x14ac:dyDescent="0.25">
      <c r="O750017" s="9"/>
    </row>
    <row r="750038" spans="15:15" x14ac:dyDescent="0.25">
      <c r="O750038" s="9"/>
    </row>
    <row r="750059" spans="15:15" x14ac:dyDescent="0.25">
      <c r="O750059" s="9"/>
    </row>
    <row r="750080" spans="15:15" x14ac:dyDescent="0.25">
      <c r="O750080" s="9"/>
    </row>
    <row r="750101" spans="15:15" x14ac:dyDescent="0.25">
      <c r="O750101" s="9"/>
    </row>
    <row r="750122" spans="15:15" x14ac:dyDescent="0.25">
      <c r="O750122" s="9"/>
    </row>
    <row r="750143" spans="15:15" x14ac:dyDescent="0.25">
      <c r="O750143" s="9"/>
    </row>
    <row r="750164" spans="15:15" x14ac:dyDescent="0.25">
      <c r="O750164" s="9"/>
    </row>
    <row r="750185" spans="15:15" x14ac:dyDescent="0.25">
      <c r="O750185" s="9"/>
    </row>
    <row r="750206" spans="15:15" x14ac:dyDescent="0.25">
      <c r="O750206" s="9"/>
    </row>
    <row r="750227" spans="15:15" x14ac:dyDescent="0.25">
      <c r="O750227" s="9"/>
    </row>
    <row r="750248" spans="15:15" x14ac:dyDescent="0.25">
      <c r="O750248" s="9"/>
    </row>
    <row r="750269" spans="15:15" x14ac:dyDescent="0.25">
      <c r="O750269" s="9"/>
    </row>
    <row r="750290" spans="15:15" x14ac:dyDescent="0.25">
      <c r="O750290" s="9"/>
    </row>
    <row r="750311" spans="15:15" x14ac:dyDescent="0.25">
      <c r="O750311" s="9"/>
    </row>
    <row r="750332" spans="15:15" x14ac:dyDescent="0.25">
      <c r="O750332" s="9"/>
    </row>
    <row r="750353" spans="15:15" x14ac:dyDescent="0.25">
      <c r="O750353" s="9"/>
    </row>
    <row r="750374" spans="15:15" x14ac:dyDescent="0.25">
      <c r="O750374" s="9"/>
    </row>
    <row r="750395" spans="15:15" x14ac:dyDescent="0.25">
      <c r="O750395" s="9"/>
    </row>
    <row r="750416" spans="15:15" x14ac:dyDescent="0.25">
      <c r="O750416" s="9"/>
    </row>
    <row r="750437" spans="15:15" x14ac:dyDescent="0.25">
      <c r="O750437" s="9"/>
    </row>
    <row r="750458" spans="15:15" x14ac:dyDescent="0.25">
      <c r="O750458" s="9"/>
    </row>
    <row r="750479" spans="15:15" x14ac:dyDescent="0.25">
      <c r="O750479" s="9"/>
    </row>
    <row r="750500" spans="15:15" x14ac:dyDescent="0.25">
      <c r="O750500" s="9"/>
    </row>
    <row r="750521" spans="15:15" x14ac:dyDescent="0.25">
      <c r="O750521" s="9"/>
    </row>
    <row r="750542" spans="15:15" x14ac:dyDescent="0.25">
      <c r="O750542" s="9"/>
    </row>
    <row r="750563" spans="15:15" x14ac:dyDescent="0.25">
      <c r="O750563" s="9"/>
    </row>
    <row r="750584" spans="15:15" x14ac:dyDescent="0.25">
      <c r="O750584" s="9"/>
    </row>
    <row r="750605" spans="15:15" x14ac:dyDescent="0.25">
      <c r="O750605" s="9"/>
    </row>
    <row r="750626" spans="15:15" x14ac:dyDescent="0.25">
      <c r="O750626" s="9"/>
    </row>
    <row r="750647" spans="15:15" x14ac:dyDescent="0.25">
      <c r="O750647" s="9"/>
    </row>
    <row r="750668" spans="15:15" x14ac:dyDescent="0.25">
      <c r="O750668" s="9"/>
    </row>
    <row r="750689" spans="15:15" x14ac:dyDescent="0.25">
      <c r="O750689" s="9"/>
    </row>
    <row r="750710" spans="15:15" x14ac:dyDescent="0.25">
      <c r="O750710" s="9"/>
    </row>
    <row r="750731" spans="15:15" x14ac:dyDescent="0.25">
      <c r="O750731" s="9"/>
    </row>
    <row r="750752" spans="15:15" x14ac:dyDescent="0.25">
      <c r="O750752" s="9"/>
    </row>
    <row r="750773" spans="15:15" x14ac:dyDescent="0.25">
      <c r="O750773" s="9"/>
    </row>
    <row r="750794" spans="15:15" x14ac:dyDescent="0.25">
      <c r="O750794" s="9"/>
    </row>
    <row r="750815" spans="15:15" x14ac:dyDescent="0.25">
      <c r="O750815" s="9"/>
    </row>
    <row r="750836" spans="15:15" x14ac:dyDescent="0.25">
      <c r="O750836" s="9"/>
    </row>
    <row r="750857" spans="15:15" x14ac:dyDescent="0.25">
      <c r="O750857" s="9"/>
    </row>
    <row r="750878" spans="15:15" x14ac:dyDescent="0.25">
      <c r="O750878" s="9"/>
    </row>
    <row r="750899" spans="15:15" x14ac:dyDescent="0.25">
      <c r="O750899" s="9"/>
    </row>
    <row r="750920" spans="15:15" x14ac:dyDescent="0.25">
      <c r="O750920" s="9"/>
    </row>
    <row r="750941" spans="15:15" x14ac:dyDescent="0.25">
      <c r="O750941" s="9"/>
    </row>
    <row r="750962" spans="15:15" x14ac:dyDescent="0.25">
      <c r="O750962" s="9"/>
    </row>
    <row r="750983" spans="15:15" x14ac:dyDescent="0.25">
      <c r="O750983" s="9"/>
    </row>
    <row r="751004" spans="15:15" x14ac:dyDescent="0.25">
      <c r="O751004" s="9"/>
    </row>
    <row r="751025" spans="15:15" x14ac:dyDescent="0.25">
      <c r="O751025" s="9"/>
    </row>
    <row r="751046" spans="15:15" x14ac:dyDescent="0.25">
      <c r="O751046" s="9"/>
    </row>
    <row r="751067" spans="15:15" x14ac:dyDescent="0.25">
      <c r="O751067" s="9"/>
    </row>
    <row r="751088" spans="15:15" x14ac:dyDescent="0.25">
      <c r="O751088" s="9"/>
    </row>
    <row r="751109" spans="15:15" x14ac:dyDescent="0.25">
      <c r="O751109" s="9"/>
    </row>
    <row r="751130" spans="15:15" x14ac:dyDescent="0.25">
      <c r="O751130" s="9"/>
    </row>
    <row r="751151" spans="15:15" x14ac:dyDescent="0.25">
      <c r="O751151" s="9"/>
    </row>
    <row r="751172" spans="15:15" x14ac:dyDescent="0.25">
      <c r="O751172" s="9"/>
    </row>
    <row r="751193" spans="15:15" x14ac:dyDescent="0.25">
      <c r="O751193" s="9"/>
    </row>
    <row r="751214" spans="15:15" x14ac:dyDescent="0.25">
      <c r="O751214" s="9"/>
    </row>
    <row r="751235" spans="15:15" x14ac:dyDescent="0.25">
      <c r="O751235" s="9"/>
    </row>
    <row r="751256" spans="15:15" x14ac:dyDescent="0.25">
      <c r="O751256" s="9"/>
    </row>
    <row r="751277" spans="15:15" x14ac:dyDescent="0.25">
      <c r="O751277" s="9"/>
    </row>
    <row r="751298" spans="15:15" x14ac:dyDescent="0.25">
      <c r="O751298" s="9"/>
    </row>
    <row r="751319" spans="15:15" x14ac:dyDescent="0.25">
      <c r="O751319" s="9"/>
    </row>
    <row r="751340" spans="15:15" x14ac:dyDescent="0.25">
      <c r="O751340" s="9"/>
    </row>
    <row r="751361" spans="15:15" x14ac:dyDescent="0.25">
      <c r="O751361" s="9"/>
    </row>
    <row r="751382" spans="15:15" x14ac:dyDescent="0.25">
      <c r="O751382" s="9"/>
    </row>
    <row r="751403" spans="15:15" x14ac:dyDescent="0.25">
      <c r="O751403" s="9"/>
    </row>
    <row r="751424" spans="15:15" x14ac:dyDescent="0.25">
      <c r="O751424" s="9"/>
    </row>
    <row r="751445" spans="15:15" x14ac:dyDescent="0.25">
      <c r="O751445" s="9"/>
    </row>
    <row r="751466" spans="15:15" x14ac:dyDescent="0.25">
      <c r="O751466" s="9"/>
    </row>
    <row r="751487" spans="15:15" x14ac:dyDescent="0.25">
      <c r="O751487" s="9"/>
    </row>
    <row r="751508" spans="15:15" x14ac:dyDescent="0.25">
      <c r="O751508" s="9"/>
    </row>
    <row r="751529" spans="15:15" x14ac:dyDescent="0.25">
      <c r="O751529" s="9"/>
    </row>
    <row r="751550" spans="15:15" x14ac:dyDescent="0.25">
      <c r="O751550" s="9"/>
    </row>
    <row r="751571" spans="15:15" x14ac:dyDescent="0.25">
      <c r="O751571" s="9"/>
    </row>
    <row r="751592" spans="15:15" x14ac:dyDescent="0.25">
      <c r="O751592" s="9"/>
    </row>
    <row r="751613" spans="15:15" x14ac:dyDescent="0.25">
      <c r="O751613" s="9"/>
    </row>
    <row r="751634" spans="15:15" x14ac:dyDescent="0.25">
      <c r="O751634" s="9"/>
    </row>
    <row r="751655" spans="15:15" x14ac:dyDescent="0.25">
      <c r="O751655" s="9"/>
    </row>
    <row r="751676" spans="15:15" x14ac:dyDescent="0.25">
      <c r="O751676" s="9"/>
    </row>
    <row r="751697" spans="15:15" x14ac:dyDescent="0.25">
      <c r="O751697" s="9"/>
    </row>
    <row r="751718" spans="15:15" x14ac:dyDescent="0.25">
      <c r="O751718" s="9"/>
    </row>
    <row r="751739" spans="15:15" x14ac:dyDescent="0.25">
      <c r="O751739" s="9"/>
    </row>
    <row r="751760" spans="15:15" x14ac:dyDescent="0.25">
      <c r="O751760" s="9"/>
    </row>
    <row r="751781" spans="15:15" x14ac:dyDescent="0.25">
      <c r="O751781" s="9"/>
    </row>
    <row r="751802" spans="15:15" x14ac:dyDescent="0.25">
      <c r="O751802" s="9"/>
    </row>
    <row r="751823" spans="15:15" x14ac:dyDescent="0.25">
      <c r="O751823" s="9"/>
    </row>
    <row r="751844" spans="15:15" x14ac:dyDescent="0.25">
      <c r="O751844" s="9"/>
    </row>
    <row r="751865" spans="15:15" x14ac:dyDescent="0.25">
      <c r="O751865" s="9"/>
    </row>
    <row r="751886" spans="15:15" x14ac:dyDescent="0.25">
      <c r="O751886" s="9"/>
    </row>
    <row r="751907" spans="15:15" x14ac:dyDescent="0.25">
      <c r="O751907" s="9"/>
    </row>
    <row r="751928" spans="15:15" x14ac:dyDescent="0.25">
      <c r="O751928" s="9"/>
    </row>
    <row r="751949" spans="15:15" x14ac:dyDescent="0.25">
      <c r="O751949" s="9"/>
    </row>
    <row r="751970" spans="15:15" x14ac:dyDescent="0.25">
      <c r="O751970" s="9"/>
    </row>
    <row r="751991" spans="15:15" x14ac:dyDescent="0.25">
      <c r="O751991" s="9"/>
    </row>
    <row r="752012" spans="15:15" x14ac:dyDescent="0.25">
      <c r="O752012" s="9"/>
    </row>
    <row r="752033" spans="15:15" x14ac:dyDescent="0.25">
      <c r="O752033" s="9"/>
    </row>
    <row r="752054" spans="15:15" x14ac:dyDescent="0.25">
      <c r="O752054" s="9"/>
    </row>
    <row r="752075" spans="15:15" x14ac:dyDescent="0.25">
      <c r="O752075" s="9"/>
    </row>
    <row r="752096" spans="15:15" x14ac:dyDescent="0.25">
      <c r="O752096" s="9"/>
    </row>
    <row r="752117" spans="15:15" x14ac:dyDescent="0.25">
      <c r="O752117" s="9"/>
    </row>
    <row r="752138" spans="15:15" x14ac:dyDescent="0.25">
      <c r="O752138" s="9"/>
    </row>
    <row r="752159" spans="15:15" x14ac:dyDescent="0.25">
      <c r="O752159" s="9"/>
    </row>
    <row r="752180" spans="15:15" x14ac:dyDescent="0.25">
      <c r="O752180" s="9"/>
    </row>
    <row r="752201" spans="15:15" x14ac:dyDescent="0.25">
      <c r="O752201" s="9"/>
    </row>
    <row r="752222" spans="15:15" x14ac:dyDescent="0.25">
      <c r="O752222" s="9"/>
    </row>
    <row r="752243" spans="15:15" x14ac:dyDescent="0.25">
      <c r="O752243" s="9"/>
    </row>
    <row r="752264" spans="15:15" x14ac:dyDescent="0.25">
      <c r="O752264" s="9"/>
    </row>
    <row r="752285" spans="15:15" x14ac:dyDescent="0.25">
      <c r="O752285" s="9"/>
    </row>
    <row r="752306" spans="15:15" x14ac:dyDescent="0.25">
      <c r="O752306" s="9"/>
    </row>
    <row r="752327" spans="15:15" x14ac:dyDescent="0.25">
      <c r="O752327" s="9"/>
    </row>
    <row r="752348" spans="15:15" x14ac:dyDescent="0.25">
      <c r="O752348" s="9"/>
    </row>
    <row r="752369" spans="15:15" x14ac:dyDescent="0.25">
      <c r="O752369" s="9"/>
    </row>
    <row r="752390" spans="15:15" x14ac:dyDescent="0.25">
      <c r="O752390" s="9"/>
    </row>
    <row r="752411" spans="15:15" x14ac:dyDescent="0.25">
      <c r="O752411" s="9"/>
    </row>
    <row r="752432" spans="15:15" x14ac:dyDescent="0.25">
      <c r="O752432" s="9"/>
    </row>
    <row r="752453" spans="15:15" x14ac:dyDescent="0.25">
      <c r="O752453" s="9"/>
    </row>
    <row r="752474" spans="15:15" x14ac:dyDescent="0.25">
      <c r="O752474" s="9"/>
    </row>
    <row r="752495" spans="15:15" x14ac:dyDescent="0.25">
      <c r="O752495" s="9"/>
    </row>
    <row r="752516" spans="15:15" x14ac:dyDescent="0.25">
      <c r="O752516" s="9"/>
    </row>
    <row r="752537" spans="15:15" x14ac:dyDescent="0.25">
      <c r="O752537" s="9"/>
    </row>
    <row r="752558" spans="15:15" x14ac:dyDescent="0.25">
      <c r="O752558" s="9"/>
    </row>
    <row r="752579" spans="15:15" x14ac:dyDescent="0.25">
      <c r="O752579" s="9"/>
    </row>
    <row r="752600" spans="15:15" x14ac:dyDescent="0.25">
      <c r="O752600" s="9"/>
    </row>
    <row r="752621" spans="15:15" x14ac:dyDescent="0.25">
      <c r="O752621" s="9"/>
    </row>
    <row r="752642" spans="15:15" x14ac:dyDescent="0.25">
      <c r="O752642" s="9"/>
    </row>
    <row r="752663" spans="15:15" x14ac:dyDescent="0.25">
      <c r="O752663" s="9"/>
    </row>
    <row r="752684" spans="15:15" x14ac:dyDescent="0.25">
      <c r="O752684" s="9"/>
    </row>
    <row r="752705" spans="15:15" x14ac:dyDescent="0.25">
      <c r="O752705" s="9"/>
    </row>
    <row r="752726" spans="15:15" x14ac:dyDescent="0.25">
      <c r="O752726" s="9"/>
    </row>
    <row r="752747" spans="15:15" x14ac:dyDescent="0.25">
      <c r="O752747" s="9"/>
    </row>
    <row r="752768" spans="15:15" x14ac:dyDescent="0.25">
      <c r="O752768" s="9"/>
    </row>
    <row r="752789" spans="15:15" x14ac:dyDescent="0.25">
      <c r="O752789" s="9"/>
    </row>
    <row r="752810" spans="15:15" x14ac:dyDescent="0.25">
      <c r="O752810" s="9"/>
    </row>
    <row r="752831" spans="15:15" x14ac:dyDescent="0.25">
      <c r="O752831" s="9"/>
    </row>
    <row r="752852" spans="15:15" x14ac:dyDescent="0.25">
      <c r="O752852" s="9"/>
    </row>
    <row r="752873" spans="15:15" x14ac:dyDescent="0.25">
      <c r="O752873" s="9"/>
    </row>
    <row r="752894" spans="15:15" x14ac:dyDescent="0.25">
      <c r="O752894" s="9"/>
    </row>
    <row r="752915" spans="15:15" x14ac:dyDescent="0.25">
      <c r="O752915" s="9"/>
    </row>
    <row r="752936" spans="15:15" x14ac:dyDescent="0.25">
      <c r="O752936" s="9"/>
    </row>
    <row r="752957" spans="15:15" x14ac:dyDescent="0.25">
      <c r="O752957" s="9"/>
    </row>
    <row r="752978" spans="15:15" x14ac:dyDescent="0.25">
      <c r="O752978" s="9"/>
    </row>
    <row r="752999" spans="15:15" x14ac:dyDescent="0.25">
      <c r="O752999" s="9"/>
    </row>
    <row r="753020" spans="15:15" x14ac:dyDescent="0.25">
      <c r="O753020" s="9"/>
    </row>
    <row r="753041" spans="15:15" x14ac:dyDescent="0.25">
      <c r="O753041" s="9"/>
    </row>
    <row r="753062" spans="15:15" x14ac:dyDescent="0.25">
      <c r="O753062" s="9"/>
    </row>
    <row r="753083" spans="15:15" x14ac:dyDescent="0.25">
      <c r="O753083" s="9"/>
    </row>
    <row r="753104" spans="15:15" x14ac:dyDescent="0.25">
      <c r="O753104" s="9"/>
    </row>
    <row r="753125" spans="15:15" x14ac:dyDescent="0.25">
      <c r="O753125" s="9"/>
    </row>
    <row r="753146" spans="15:15" x14ac:dyDescent="0.25">
      <c r="O753146" s="9"/>
    </row>
    <row r="753167" spans="15:15" x14ac:dyDescent="0.25">
      <c r="O753167" s="9"/>
    </row>
    <row r="753188" spans="15:15" x14ac:dyDescent="0.25">
      <c r="O753188" s="9"/>
    </row>
    <row r="753209" spans="15:15" x14ac:dyDescent="0.25">
      <c r="O753209" s="9"/>
    </row>
    <row r="753230" spans="15:15" x14ac:dyDescent="0.25">
      <c r="O753230" s="9"/>
    </row>
    <row r="753251" spans="15:15" x14ac:dyDescent="0.25">
      <c r="O753251" s="9"/>
    </row>
    <row r="753272" spans="15:15" x14ac:dyDescent="0.25">
      <c r="O753272" s="9"/>
    </row>
    <row r="753293" spans="15:15" x14ac:dyDescent="0.25">
      <c r="O753293" s="9"/>
    </row>
    <row r="753314" spans="15:15" x14ac:dyDescent="0.25">
      <c r="O753314" s="9"/>
    </row>
    <row r="753335" spans="15:15" x14ac:dyDescent="0.25">
      <c r="O753335" s="9"/>
    </row>
    <row r="753356" spans="15:15" x14ac:dyDescent="0.25">
      <c r="O753356" s="9"/>
    </row>
    <row r="753377" spans="15:15" x14ac:dyDescent="0.25">
      <c r="O753377" s="9"/>
    </row>
    <row r="753398" spans="15:15" x14ac:dyDescent="0.25">
      <c r="O753398" s="9"/>
    </row>
    <row r="753419" spans="15:15" x14ac:dyDescent="0.25">
      <c r="O753419" s="9"/>
    </row>
    <row r="753440" spans="15:15" x14ac:dyDescent="0.25">
      <c r="O753440" s="9"/>
    </row>
    <row r="753461" spans="15:15" x14ac:dyDescent="0.25">
      <c r="O753461" s="9"/>
    </row>
    <row r="753482" spans="15:15" x14ac:dyDescent="0.25">
      <c r="O753482" s="9"/>
    </row>
    <row r="753503" spans="15:15" x14ac:dyDescent="0.25">
      <c r="O753503" s="9"/>
    </row>
    <row r="753524" spans="15:15" x14ac:dyDescent="0.25">
      <c r="O753524" s="9"/>
    </row>
    <row r="753545" spans="15:15" x14ac:dyDescent="0.25">
      <c r="O753545" s="9"/>
    </row>
    <row r="753566" spans="15:15" x14ac:dyDescent="0.25">
      <c r="O753566" s="9"/>
    </row>
    <row r="753587" spans="15:15" x14ac:dyDescent="0.25">
      <c r="O753587" s="9"/>
    </row>
    <row r="753608" spans="15:15" x14ac:dyDescent="0.25">
      <c r="O753608" s="9"/>
    </row>
    <row r="753629" spans="15:15" x14ac:dyDescent="0.25">
      <c r="O753629" s="9"/>
    </row>
    <row r="753650" spans="15:15" x14ac:dyDescent="0.25">
      <c r="O753650" s="9"/>
    </row>
    <row r="753671" spans="15:15" x14ac:dyDescent="0.25">
      <c r="O753671" s="9"/>
    </row>
    <row r="753692" spans="15:15" x14ac:dyDescent="0.25">
      <c r="O753692" s="9"/>
    </row>
    <row r="753713" spans="15:15" x14ac:dyDescent="0.25">
      <c r="O753713" s="9"/>
    </row>
    <row r="753734" spans="15:15" x14ac:dyDescent="0.25">
      <c r="O753734" s="9"/>
    </row>
    <row r="753755" spans="15:15" x14ac:dyDescent="0.25">
      <c r="O753755" s="9"/>
    </row>
    <row r="753776" spans="15:15" x14ac:dyDescent="0.25">
      <c r="O753776" s="9"/>
    </row>
    <row r="753797" spans="15:15" x14ac:dyDescent="0.25">
      <c r="O753797" s="9"/>
    </row>
    <row r="753818" spans="15:15" x14ac:dyDescent="0.25">
      <c r="O753818" s="9"/>
    </row>
    <row r="753839" spans="15:15" x14ac:dyDescent="0.25">
      <c r="O753839" s="9"/>
    </row>
    <row r="753860" spans="15:15" x14ac:dyDescent="0.25">
      <c r="O753860" s="9"/>
    </row>
    <row r="753881" spans="15:15" x14ac:dyDescent="0.25">
      <c r="O753881" s="9"/>
    </row>
    <row r="753902" spans="15:15" x14ac:dyDescent="0.25">
      <c r="O753902" s="9"/>
    </row>
    <row r="753923" spans="15:15" x14ac:dyDescent="0.25">
      <c r="O753923" s="9"/>
    </row>
    <row r="753944" spans="15:15" x14ac:dyDescent="0.25">
      <c r="O753944" s="9"/>
    </row>
    <row r="753965" spans="15:15" x14ac:dyDescent="0.25">
      <c r="O753965" s="9"/>
    </row>
    <row r="753986" spans="15:15" x14ac:dyDescent="0.25">
      <c r="O753986" s="9"/>
    </row>
    <row r="754007" spans="15:15" x14ac:dyDescent="0.25">
      <c r="O754007" s="9"/>
    </row>
    <row r="754028" spans="15:15" x14ac:dyDescent="0.25">
      <c r="O754028" s="9"/>
    </row>
    <row r="754049" spans="15:15" x14ac:dyDescent="0.25">
      <c r="O754049" s="9"/>
    </row>
    <row r="754070" spans="15:15" x14ac:dyDescent="0.25">
      <c r="O754070" s="9"/>
    </row>
    <row r="754091" spans="15:15" x14ac:dyDescent="0.25">
      <c r="O754091" s="9"/>
    </row>
    <row r="754112" spans="15:15" x14ac:dyDescent="0.25">
      <c r="O754112" s="9"/>
    </row>
    <row r="754133" spans="15:15" x14ac:dyDescent="0.25">
      <c r="O754133" s="9"/>
    </row>
    <row r="754154" spans="15:15" x14ac:dyDescent="0.25">
      <c r="O754154" s="9"/>
    </row>
    <row r="754175" spans="15:15" x14ac:dyDescent="0.25">
      <c r="O754175" s="9"/>
    </row>
    <row r="754196" spans="15:15" x14ac:dyDescent="0.25">
      <c r="O754196" s="9"/>
    </row>
    <row r="754217" spans="15:15" x14ac:dyDescent="0.25">
      <c r="O754217" s="9"/>
    </row>
    <row r="754238" spans="15:15" x14ac:dyDescent="0.25">
      <c r="O754238" s="9"/>
    </row>
    <row r="754259" spans="15:15" x14ac:dyDescent="0.25">
      <c r="O754259" s="9"/>
    </row>
    <row r="754280" spans="15:15" x14ac:dyDescent="0.25">
      <c r="O754280" s="9"/>
    </row>
    <row r="754301" spans="15:15" x14ac:dyDescent="0.25">
      <c r="O754301" s="9"/>
    </row>
    <row r="754322" spans="15:15" x14ac:dyDescent="0.25">
      <c r="O754322" s="9"/>
    </row>
    <row r="754343" spans="15:15" x14ac:dyDescent="0.25">
      <c r="O754343" s="9"/>
    </row>
    <row r="754364" spans="15:15" x14ac:dyDescent="0.25">
      <c r="O754364" s="9"/>
    </row>
    <row r="754385" spans="15:15" x14ac:dyDescent="0.25">
      <c r="O754385" s="9"/>
    </row>
    <row r="754406" spans="15:15" x14ac:dyDescent="0.25">
      <c r="O754406" s="9"/>
    </row>
    <row r="754427" spans="15:15" x14ac:dyDescent="0.25">
      <c r="O754427" s="9"/>
    </row>
    <row r="754448" spans="15:15" x14ac:dyDescent="0.25">
      <c r="O754448" s="9"/>
    </row>
    <row r="754469" spans="15:15" x14ac:dyDescent="0.25">
      <c r="O754469" s="9"/>
    </row>
    <row r="754490" spans="15:15" x14ac:dyDescent="0.25">
      <c r="O754490" s="9"/>
    </row>
    <row r="754511" spans="15:15" x14ac:dyDescent="0.25">
      <c r="O754511" s="9"/>
    </row>
    <row r="754532" spans="15:15" x14ac:dyDescent="0.25">
      <c r="O754532" s="9"/>
    </row>
    <row r="754553" spans="15:15" x14ac:dyDescent="0.25">
      <c r="O754553" s="9"/>
    </row>
    <row r="754574" spans="15:15" x14ac:dyDescent="0.25">
      <c r="O754574" s="9"/>
    </row>
    <row r="754595" spans="15:15" x14ac:dyDescent="0.25">
      <c r="O754595" s="9"/>
    </row>
    <row r="754616" spans="15:15" x14ac:dyDescent="0.25">
      <c r="O754616" s="9"/>
    </row>
    <row r="754637" spans="15:15" x14ac:dyDescent="0.25">
      <c r="O754637" s="9"/>
    </row>
    <row r="754658" spans="15:15" x14ac:dyDescent="0.25">
      <c r="O754658" s="9"/>
    </row>
    <row r="754679" spans="15:15" x14ac:dyDescent="0.25">
      <c r="O754679" s="9"/>
    </row>
    <row r="754700" spans="15:15" x14ac:dyDescent="0.25">
      <c r="O754700" s="9"/>
    </row>
    <row r="754721" spans="15:15" x14ac:dyDescent="0.25">
      <c r="O754721" s="9"/>
    </row>
    <row r="754742" spans="15:15" x14ac:dyDescent="0.25">
      <c r="O754742" s="9"/>
    </row>
    <row r="754763" spans="15:15" x14ac:dyDescent="0.25">
      <c r="O754763" s="9"/>
    </row>
    <row r="754784" spans="15:15" x14ac:dyDescent="0.25">
      <c r="O754784" s="9"/>
    </row>
    <row r="754805" spans="15:15" x14ac:dyDescent="0.25">
      <c r="O754805" s="9"/>
    </row>
    <row r="754826" spans="15:15" x14ac:dyDescent="0.25">
      <c r="O754826" s="9"/>
    </row>
    <row r="754847" spans="15:15" x14ac:dyDescent="0.25">
      <c r="O754847" s="9"/>
    </row>
    <row r="754868" spans="15:15" x14ac:dyDescent="0.25">
      <c r="O754868" s="9"/>
    </row>
    <row r="754889" spans="15:15" x14ac:dyDescent="0.25">
      <c r="O754889" s="9"/>
    </row>
    <row r="754910" spans="15:15" x14ac:dyDescent="0.25">
      <c r="O754910" s="9"/>
    </row>
    <row r="754931" spans="15:15" x14ac:dyDescent="0.25">
      <c r="O754931" s="9"/>
    </row>
    <row r="754952" spans="15:15" x14ac:dyDescent="0.25">
      <c r="O754952" s="9"/>
    </row>
    <row r="754973" spans="15:15" x14ac:dyDescent="0.25">
      <c r="O754973" s="9"/>
    </row>
    <row r="754994" spans="15:15" x14ac:dyDescent="0.25">
      <c r="O754994" s="9"/>
    </row>
    <row r="755015" spans="15:15" x14ac:dyDescent="0.25">
      <c r="O755015" s="9"/>
    </row>
    <row r="755036" spans="15:15" x14ac:dyDescent="0.25">
      <c r="O755036" s="9"/>
    </row>
    <row r="755057" spans="15:15" x14ac:dyDescent="0.25">
      <c r="O755057" s="9"/>
    </row>
    <row r="755078" spans="15:15" x14ac:dyDescent="0.25">
      <c r="O755078" s="9"/>
    </row>
    <row r="755099" spans="15:15" x14ac:dyDescent="0.25">
      <c r="O755099" s="9"/>
    </row>
    <row r="755120" spans="15:15" x14ac:dyDescent="0.25">
      <c r="O755120" s="9"/>
    </row>
    <row r="755141" spans="15:15" x14ac:dyDescent="0.25">
      <c r="O755141" s="9"/>
    </row>
    <row r="755162" spans="15:15" x14ac:dyDescent="0.25">
      <c r="O755162" s="9"/>
    </row>
    <row r="755183" spans="15:15" x14ac:dyDescent="0.25">
      <c r="O755183" s="9"/>
    </row>
    <row r="755204" spans="15:15" x14ac:dyDescent="0.25">
      <c r="O755204" s="9"/>
    </row>
    <row r="755225" spans="15:15" x14ac:dyDescent="0.25">
      <c r="O755225" s="9"/>
    </row>
    <row r="755246" spans="15:15" x14ac:dyDescent="0.25">
      <c r="O755246" s="9"/>
    </row>
    <row r="755267" spans="15:15" x14ac:dyDescent="0.25">
      <c r="O755267" s="9"/>
    </row>
    <row r="755288" spans="15:15" x14ac:dyDescent="0.25">
      <c r="O755288" s="9"/>
    </row>
    <row r="755309" spans="15:15" x14ac:dyDescent="0.25">
      <c r="O755309" s="9"/>
    </row>
    <row r="755330" spans="15:15" x14ac:dyDescent="0.25">
      <c r="O755330" s="9"/>
    </row>
    <row r="755351" spans="15:15" x14ac:dyDescent="0.25">
      <c r="O755351" s="9"/>
    </row>
    <row r="755372" spans="15:15" x14ac:dyDescent="0.25">
      <c r="O755372" s="9"/>
    </row>
    <row r="755393" spans="15:15" x14ac:dyDescent="0.25">
      <c r="O755393" s="9"/>
    </row>
    <row r="755414" spans="15:15" x14ac:dyDescent="0.25">
      <c r="O755414" s="9"/>
    </row>
    <row r="755435" spans="15:15" x14ac:dyDescent="0.25">
      <c r="O755435" s="9"/>
    </row>
    <row r="755456" spans="15:15" x14ac:dyDescent="0.25">
      <c r="O755456" s="9"/>
    </row>
    <row r="755477" spans="15:15" x14ac:dyDescent="0.25">
      <c r="O755477" s="9"/>
    </row>
    <row r="755498" spans="15:15" x14ac:dyDescent="0.25">
      <c r="O755498" s="9"/>
    </row>
    <row r="755519" spans="15:15" x14ac:dyDescent="0.25">
      <c r="O755519" s="9"/>
    </row>
    <row r="755540" spans="15:15" x14ac:dyDescent="0.25">
      <c r="O755540" s="9"/>
    </row>
    <row r="755561" spans="15:15" x14ac:dyDescent="0.25">
      <c r="O755561" s="9"/>
    </row>
    <row r="755582" spans="15:15" x14ac:dyDescent="0.25">
      <c r="O755582" s="9"/>
    </row>
    <row r="755603" spans="15:15" x14ac:dyDescent="0.25">
      <c r="O755603" s="9"/>
    </row>
    <row r="755624" spans="15:15" x14ac:dyDescent="0.25">
      <c r="O755624" s="9"/>
    </row>
    <row r="755645" spans="15:15" x14ac:dyDescent="0.25">
      <c r="O755645" s="9"/>
    </row>
    <row r="755666" spans="15:15" x14ac:dyDescent="0.25">
      <c r="O755666" s="9"/>
    </row>
    <row r="755687" spans="15:15" x14ac:dyDescent="0.25">
      <c r="O755687" s="9"/>
    </row>
    <row r="755708" spans="15:15" x14ac:dyDescent="0.25">
      <c r="O755708" s="9"/>
    </row>
    <row r="755729" spans="15:15" x14ac:dyDescent="0.25">
      <c r="O755729" s="9"/>
    </row>
    <row r="755750" spans="15:15" x14ac:dyDescent="0.25">
      <c r="O755750" s="9"/>
    </row>
    <row r="755771" spans="15:15" x14ac:dyDescent="0.25">
      <c r="O755771" s="9"/>
    </row>
    <row r="755792" spans="15:15" x14ac:dyDescent="0.25">
      <c r="O755792" s="9"/>
    </row>
    <row r="755813" spans="15:15" x14ac:dyDescent="0.25">
      <c r="O755813" s="9"/>
    </row>
    <row r="755834" spans="15:15" x14ac:dyDescent="0.25">
      <c r="O755834" s="9"/>
    </row>
    <row r="755855" spans="15:15" x14ac:dyDescent="0.25">
      <c r="O755855" s="9"/>
    </row>
    <row r="755876" spans="15:15" x14ac:dyDescent="0.25">
      <c r="O755876" s="9"/>
    </row>
    <row r="755897" spans="15:15" x14ac:dyDescent="0.25">
      <c r="O755897" s="9"/>
    </row>
    <row r="755918" spans="15:15" x14ac:dyDescent="0.25">
      <c r="O755918" s="9"/>
    </row>
    <row r="755939" spans="15:15" x14ac:dyDescent="0.25">
      <c r="O755939" s="9"/>
    </row>
    <row r="755960" spans="15:15" x14ac:dyDescent="0.25">
      <c r="O755960" s="9"/>
    </row>
    <row r="755981" spans="15:15" x14ac:dyDescent="0.25">
      <c r="O755981" s="9"/>
    </row>
    <row r="756002" spans="15:15" x14ac:dyDescent="0.25">
      <c r="O756002" s="9"/>
    </row>
    <row r="756023" spans="15:15" x14ac:dyDescent="0.25">
      <c r="O756023" s="9"/>
    </row>
    <row r="756044" spans="15:15" x14ac:dyDescent="0.25">
      <c r="O756044" s="9"/>
    </row>
    <row r="756065" spans="15:15" x14ac:dyDescent="0.25">
      <c r="O756065" s="9"/>
    </row>
    <row r="756086" spans="15:15" x14ac:dyDescent="0.25">
      <c r="O756086" s="9"/>
    </row>
    <row r="756107" spans="15:15" x14ac:dyDescent="0.25">
      <c r="O756107" s="9"/>
    </row>
    <row r="756128" spans="15:15" x14ac:dyDescent="0.25">
      <c r="O756128" s="9"/>
    </row>
    <row r="756149" spans="15:15" x14ac:dyDescent="0.25">
      <c r="O756149" s="9"/>
    </row>
    <row r="756170" spans="15:15" x14ac:dyDescent="0.25">
      <c r="O756170" s="9"/>
    </row>
    <row r="756191" spans="15:15" x14ac:dyDescent="0.25">
      <c r="O756191" s="9"/>
    </row>
    <row r="756212" spans="15:15" x14ac:dyDescent="0.25">
      <c r="O756212" s="9"/>
    </row>
    <row r="756233" spans="15:15" x14ac:dyDescent="0.25">
      <c r="O756233" s="9"/>
    </row>
    <row r="756254" spans="15:15" x14ac:dyDescent="0.25">
      <c r="O756254" s="9"/>
    </row>
    <row r="756275" spans="15:15" x14ac:dyDescent="0.25">
      <c r="O756275" s="9"/>
    </row>
    <row r="756296" spans="15:15" x14ac:dyDescent="0.25">
      <c r="O756296" s="9"/>
    </row>
    <row r="756317" spans="15:15" x14ac:dyDescent="0.25">
      <c r="O756317" s="9"/>
    </row>
    <row r="756338" spans="15:15" x14ac:dyDescent="0.25">
      <c r="O756338" s="9"/>
    </row>
    <row r="756359" spans="15:15" x14ac:dyDescent="0.25">
      <c r="O756359" s="9"/>
    </row>
    <row r="756380" spans="15:15" x14ac:dyDescent="0.25">
      <c r="O756380" s="9"/>
    </row>
    <row r="756401" spans="15:15" x14ac:dyDescent="0.25">
      <c r="O756401" s="9"/>
    </row>
    <row r="756422" spans="15:15" x14ac:dyDescent="0.25">
      <c r="O756422" s="9"/>
    </row>
    <row r="756443" spans="15:15" x14ac:dyDescent="0.25">
      <c r="O756443" s="9"/>
    </row>
    <row r="756464" spans="15:15" x14ac:dyDescent="0.25">
      <c r="O756464" s="9"/>
    </row>
    <row r="756485" spans="15:15" x14ac:dyDescent="0.25">
      <c r="O756485" s="9"/>
    </row>
    <row r="756506" spans="15:15" x14ac:dyDescent="0.25">
      <c r="O756506" s="9"/>
    </row>
    <row r="756527" spans="15:15" x14ac:dyDescent="0.25">
      <c r="O756527" s="9"/>
    </row>
    <row r="756548" spans="15:15" x14ac:dyDescent="0.25">
      <c r="O756548" s="9"/>
    </row>
    <row r="756569" spans="15:15" x14ac:dyDescent="0.25">
      <c r="O756569" s="9"/>
    </row>
    <row r="756590" spans="15:15" x14ac:dyDescent="0.25">
      <c r="O756590" s="9"/>
    </row>
    <row r="756611" spans="15:15" x14ac:dyDescent="0.25">
      <c r="O756611" s="9"/>
    </row>
    <row r="756632" spans="15:15" x14ac:dyDescent="0.25">
      <c r="O756632" s="9"/>
    </row>
    <row r="756653" spans="15:15" x14ac:dyDescent="0.25">
      <c r="O756653" s="9"/>
    </row>
    <row r="756674" spans="15:15" x14ac:dyDescent="0.25">
      <c r="O756674" s="9"/>
    </row>
    <row r="756695" spans="15:15" x14ac:dyDescent="0.25">
      <c r="O756695" s="9"/>
    </row>
    <row r="756716" spans="15:15" x14ac:dyDescent="0.25">
      <c r="O756716" s="9"/>
    </row>
    <row r="756737" spans="15:15" x14ac:dyDescent="0.25">
      <c r="O756737" s="9"/>
    </row>
    <row r="756758" spans="15:15" x14ac:dyDescent="0.25">
      <c r="O756758" s="9"/>
    </row>
    <row r="756779" spans="15:15" x14ac:dyDescent="0.25">
      <c r="O756779" s="9"/>
    </row>
    <row r="756800" spans="15:15" x14ac:dyDescent="0.25">
      <c r="O756800" s="9"/>
    </row>
    <row r="756821" spans="15:15" x14ac:dyDescent="0.25">
      <c r="O756821" s="9"/>
    </row>
    <row r="756842" spans="15:15" x14ac:dyDescent="0.25">
      <c r="O756842" s="9"/>
    </row>
    <row r="756863" spans="15:15" x14ac:dyDescent="0.25">
      <c r="O756863" s="9"/>
    </row>
    <row r="756884" spans="15:15" x14ac:dyDescent="0.25">
      <c r="O756884" s="9"/>
    </row>
    <row r="756905" spans="15:15" x14ac:dyDescent="0.25">
      <c r="O756905" s="9"/>
    </row>
    <row r="756926" spans="15:15" x14ac:dyDescent="0.25">
      <c r="O756926" s="9"/>
    </row>
    <row r="756947" spans="15:15" x14ac:dyDescent="0.25">
      <c r="O756947" s="9"/>
    </row>
    <row r="756968" spans="15:15" x14ac:dyDescent="0.25">
      <c r="O756968" s="9"/>
    </row>
    <row r="756989" spans="15:15" x14ac:dyDescent="0.25">
      <c r="O756989" s="9"/>
    </row>
    <row r="757010" spans="15:15" x14ac:dyDescent="0.25">
      <c r="O757010" s="9"/>
    </row>
    <row r="757031" spans="15:15" x14ac:dyDescent="0.25">
      <c r="O757031" s="9"/>
    </row>
    <row r="757052" spans="15:15" x14ac:dyDescent="0.25">
      <c r="O757052" s="9"/>
    </row>
    <row r="757073" spans="15:15" x14ac:dyDescent="0.25">
      <c r="O757073" s="9"/>
    </row>
    <row r="757094" spans="15:15" x14ac:dyDescent="0.25">
      <c r="O757094" s="9"/>
    </row>
    <row r="757115" spans="15:15" x14ac:dyDescent="0.25">
      <c r="O757115" s="9"/>
    </row>
    <row r="757136" spans="15:15" x14ac:dyDescent="0.25">
      <c r="O757136" s="9"/>
    </row>
    <row r="757157" spans="15:15" x14ac:dyDescent="0.25">
      <c r="O757157" s="9"/>
    </row>
    <row r="757178" spans="15:15" x14ac:dyDescent="0.25">
      <c r="O757178" s="9"/>
    </row>
    <row r="757199" spans="15:15" x14ac:dyDescent="0.25">
      <c r="O757199" s="9"/>
    </row>
    <row r="757220" spans="15:15" x14ac:dyDescent="0.25">
      <c r="O757220" s="9"/>
    </row>
    <row r="757241" spans="15:15" x14ac:dyDescent="0.25">
      <c r="O757241" s="9"/>
    </row>
    <row r="757262" spans="15:15" x14ac:dyDescent="0.25">
      <c r="O757262" s="9"/>
    </row>
    <row r="757283" spans="15:15" x14ac:dyDescent="0.25">
      <c r="O757283" s="9"/>
    </row>
    <row r="757304" spans="15:15" x14ac:dyDescent="0.25">
      <c r="O757304" s="9"/>
    </row>
    <row r="757325" spans="15:15" x14ac:dyDescent="0.25">
      <c r="O757325" s="9"/>
    </row>
    <row r="757346" spans="15:15" x14ac:dyDescent="0.25">
      <c r="O757346" s="9"/>
    </row>
    <row r="757367" spans="15:15" x14ac:dyDescent="0.25">
      <c r="O757367" s="9"/>
    </row>
    <row r="757388" spans="15:15" x14ac:dyDescent="0.25">
      <c r="O757388" s="9"/>
    </row>
    <row r="757409" spans="15:15" x14ac:dyDescent="0.25">
      <c r="O757409" s="9"/>
    </row>
    <row r="757430" spans="15:15" x14ac:dyDescent="0.25">
      <c r="O757430" s="9"/>
    </row>
    <row r="757451" spans="15:15" x14ac:dyDescent="0.25">
      <c r="O757451" s="9"/>
    </row>
    <row r="757472" spans="15:15" x14ac:dyDescent="0.25">
      <c r="O757472" s="9"/>
    </row>
    <row r="757493" spans="15:15" x14ac:dyDescent="0.25">
      <c r="O757493" s="9"/>
    </row>
    <row r="757514" spans="15:15" x14ac:dyDescent="0.25">
      <c r="O757514" s="9"/>
    </row>
    <row r="757535" spans="15:15" x14ac:dyDescent="0.25">
      <c r="O757535" s="9"/>
    </row>
    <row r="757556" spans="15:15" x14ac:dyDescent="0.25">
      <c r="O757556" s="9"/>
    </row>
    <row r="757577" spans="15:15" x14ac:dyDescent="0.25">
      <c r="O757577" s="9"/>
    </row>
    <row r="757598" spans="15:15" x14ac:dyDescent="0.25">
      <c r="O757598" s="9"/>
    </row>
    <row r="757619" spans="15:15" x14ac:dyDescent="0.25">
      <c r="O757619" s="9"/>
    </row>
    <row r="757640" spans="15:15" x14ac:dyDescent="0.25">
      <c r="O757640" s="9"/>
    </row>
    <row r="757661" spans="15:15" x14ac:dyDescent="0.25">
      <c r="O757661" s="9"/>
    </row>
    <row r="757682" spans="15:15" x14ac:dyDescent="0.25">
      <c r="O757682" s="9"/>
    </row>
    <row r="757703" spans="15:15" x14ac:dyDescent="0.25">
      <c r="O757703" s="9"/>
    </row>
    <row r="757724" spans="15:15" x14ac:dyDescent="0.25">
      <c r="O757724" s="9"/>
    </row>
    <row r="757745" spans="15:15" x14ac:dyDescent="0.25">
      <c r="O757745" s="9"/>
    </row>
    <row r="757766" spans="15:15" x14ac:dyDescent="0.25">
      <c r="O757766" s="9"/>
    </row>
    <row r="757787" spans="15:15" x14ac:dyDescent="0.25">
      <c r="O757787" s="9"/>
    </row>
    <row r="757808" spans="15:15" x14ac:dyDescent="0.25">
      <c r="O757808" s="9"/>
    </row>
    <row r="757829" spans="15:15" x14ac:dyDescent="0.25">
      <c r="O757829" s="9"/>
    </row>
    <row r="757850" spans="15:15" x14ac:dyDescent="0.25">
      <c r="O757850" s="9"/>
    </row>
    <row r="757871" spans="15:15" x14ac:dyDescent="0.25">
      <c r="O757871" s="9"/>
    </row>
    <row r="757892" spans="15:15" x14ac:dyDescent="0.25">
      <c r="O757892" s="9"/>
    </row>
    <row r="757913" spans="15:15" x14ac:dyDescent="0.25">
      <c r="O757913" s="9"/>
    </row>
    <row r="757934" spans="15:15" x14ac:dyDescent="0.25">
      <c r="O757934" s="9"/>
    </row>
    <row r="757955" spans="15:15" x14ac:dyDescent="0.25">
      <c r="O757955" s="9"/>
    </row>
    <row r="757976" spans="15:15" x14ac:dyDescent="0.25">
      <c r="O757976" s="9"/>
    </row>
    <row r="757997" spans="15:15" x14ac:dyDescent="0.25">
      <c r="O757997" s="9"/>
    </row>
    <row r="758018" spans="15:15" x14ac:dyDescent="0.25">
      <c r="O758018" s="9"/>
    </row>
    <row r="758039" spans="15:15" x14ac:dyDescent="0.25">
      <c r="O758039" s="9"/>
    </row>
    <row r="758060" spans="15:15" x14ac:dyDescent="0.25">
      <c r="O758060" s="9"/>
    </row>
    <row r="758081" spans="15:15" x14ac:dyDescent="0.25">
      <c r="O758081" s="9"/>
    </row>
    <row r="758102" spans="15:15" x14ac:dyDescent="0.25">
      <c r="O758102" s="9"/>
    </row>
    <row r="758123" spans="15:15" x14ac:dyDescent="0.25">
      <c r="O758123" s="9"/>
    </row>
    <row r="758144" spans="15:15" x14ac:dyDescent="0.25">
      <c r="O758144" s="9"/>
    </row>
    <row r="758165" spans="15:15" x14ac:dyDescent="0.25">
      <c r="O758165" s="9"/>
    </row>
    <row r="758186" spans="15:15" x14ac:dyDescent="0.25">
      <c r="O758186" s="9"/>
    </row>
    <row r="758207" spans="15:15" x14ac:dyDescent="0.25">
      <c r="O758207" s="9"/>
    </row>
    <row r="758228" spans="15:15" x14ac:dyDescent="0.25">
      <c r="O758228" s="9"/>
    </row>
    <row r="758249" spans="15:15" x14ac:dyDescent="0.25">
      <c r="O758249" s="9"/>
    </row>
    <row r="758270" spans="15:15" x14ac:dyDescent="0.25">
      <c r="O758270" s="9"/>
    </row>
    <row r="758291" spans="15:15" x14ac:dyDescent="0.25">
      <c r="O758291" s="9"/>
    </row>
    <row r="758312" spans="15:15" x14ac:dyDescent="0.25">
      <c r="O758312" s="9"/>
    </row>
    <row r="758333" spans="15:15" x14ac:dyDescent="0.25">
      <c r="O758333" s="9"/>
    </row>
    <row r="758354" spans="15:15" x14ac:dyDescent="0.25">
      <c r="O758354" s="9"/>
    </row>
    <row r="758375" spans="15:15" x14ac:dyDescent="0.25">
      <c r="O758375" s="9"/>
    </row>
    <row r="758396" spans="15:15" x14ac:dyDescent="0.25">
      <c r="O758396" s="9"/>
    </row>
    <row r="758417" spans="15:15" x14ac:dyDescent="0.25">
      <c r="O758417" s="9"/>
    </row>
    <row r="758438" spans="15:15" x14ac:dyDescent="0.25">
      <c r="O758438" s="9"/>
    </row>
    <row r="758459" spans="15:15" x14ac:dyDescent="0.25">
      <c r="O758459" s="9"/>
    </row>
    <row r="758480" spans="15:15" x14ac:dyDescent="0.25">
      <c r="O758480" s="9"/>
    </row>
    <row r="758501" spans="15:15" x14ac:dyDescent="0.25">
      <c r="O758501" s="9"/>
    </row>
    <row r="758522" spans="15:15" x14ac:dyDescent="0.25">
      <c r="O758522" s="9"/>
    </row>
    <row r="758543" spans="15:15" x14ac:dyDescent="0.25">
      <c r="O758543" s="9"/>
    </row>
    <row r="758564" spans="15:15" x14ac:dyDescent="0.25">
      <c r="O758564" s="9"/>
    </row>
    <row r="758585" spans="15:15" x14ac:dyDescent="0.25">
      <c r="O758585" s="9"/>
    </row>
    <row r="758606" spans="15:15" x14ac:dyDescent="0.25">
      <c r="O758606" s="9"/>
    </row>
    <row r="758627" spans="15:15" x14ac:dyDescent="0.25">
      <c r="O758627" s="9"/>
    </row>
    <row r="758648" spans="15:15" x14ac:dyDescent="0.25">
      <c r="O758648" s="9"/>
    </row>
    <row r="758669" spans="15:15" x14ac:dyDescent="0.25">
      <c r="O758669" s="9"/>
    </row>
    <row r="758690" spans="15:15" x14ac:dyDescent="0.25">
      <c r="O758690" s="9"/>
    </row>
    <row r="758711" spans="15:15" x14ac:dyDescent="0.25">
      <c r="O758711" s="9"/>
    </row>
    <row r="758732" spans="15:15" x14ac:dyDescent="0.25">
      <c r="O758732" s="9"/>
    </row>
    <row r="758753" spans="15:15" x14ac:dyDescent="0.25">
      <c r="O758753" s="9"/>
    </row>
    <row r="758774" spans="15:15" x14ac:dyDescent="0.25">
      <c r="O758774" s="9"/>
    </row>
    <row r="758795" spans="15:15" x14ac:dyDescent="0.25">
      <c r="O758795" s="9"/>
    </row>
    <row r="758816" spans="15:15" x14ac:dyDescent="0.25">
      <c r="O758816" s="9"/>
    </row>
    <row r="758837" spans="15:15" x14ac:dyDescent="0.25">
      <c r="O758837" s="9"/>
    </row>
    <row r="758858" spans="15:15" x14ac:dyDescent="0.25">
      <c r="O758858" s="9"/>
    </row>
    <row r="758879" spans="15:15" x14ac:dyDescent="0.25">
      <c r="O758879" s="9"/>
    </row>
    <row r="758900" spans="15:15" x14ac:dyDescent="0.25">
      <c r="O758900" s="9"/>
    </row>
    <row r="758921" spans="15:15" x14ac:dyDescent="0.25">
      <c r="O758921" s="9"/>
    </row>
    <row r="758942" spans="15:15" x14ac:dyDescent="0.25">
      <c r="O758942" s="9"/>
    </row>
    <row r="758963" spans="15:15" x14ac:dyDescent="0.25">
      <c r="O758963" s="9"/>
    </row>
    <row r="758984" spans="15:15" x14ac:dyDescent="0.25">
      <c r="O758984" s="9"/>
    </row>
    <row r="759005" spans="15:15" x14ac:dyDescent="0.25">
      <c r="O759005" s="9"/>
    </row>
    <row r="759026" spans="15:15" x14ac:dyDescent="0.25">
      <c r="O759026" s="9"/>
    </row>
    <row r="759047" spans="15:15" x14ac:dyDescent="0.25">
      <c r="O759047" s="9"/>
    </row>
    <row r="759068" spans="15:15" x14ac:dyDescent="0.25">
      <c r="O759068" s="9"/>
    </row>
    <row r="759089" spans="15:15" x14ac:dyDescent="0.25">
      <c r="O759089" s="9"/>
    </row>
    <row r="759110" spans="15:15" x14ac:dyDescent="0.25">
      <c r="O759110" s="9"/>
    </row>
    <row r="759131" spans="15:15" x14ac:dyDescent="0.25">
      <c r="O759131" s="9"/>
    </row>
    <row r="759152" spans="15:15" x14ac:dyDescent="0.25">
      <c r="O759152" s="9"/>
    </row>
    <row r="759173" spans="15:15" x14ac:dyDescent="0.25">
      <c r="O759173" s="9"/>
    </row>
    <row r="759194" spans="15:15" x14ac:dyDescent="0.25">
      <c r="O759194" s="9"/>
    </row>
    <row r="759215" spans="15:15" x14ac:dyDescent="0.25">
      <c r="O759215" s="9"/>
    </row>
    <row r="759236" spans="15:15" x14ac:dyDescent="0.25">
      <c r="O759236" s="9"/>
    </row>
    <row r="759257" spans="15:15" x14ac:dyDescent="0.25">
      <c r="O759257" s="9"/>
    </row>
    <row r="759278" spans="15:15" x14ac:dyDescent="0.25">
      <c r="O759278" s="9"/>
    </row>
    <row r="759299" spans="15:15" x14ac:dyDescent="0.25">
      <c r="O759299" s="9"/>
    </row>
    <row r="759320" spans="15:15" x14ac:dyDescent="0.25">
      <c r="O759320" s="9"/>
    </row>
    <row r="759341" spans="15:15" x14ac:dyDescent="0.25">
      <c r="O759341" s="9"/>
    </row>
    <row r="759362" spans="15:15" x14ac:dyDescent="0.25">
      <c r="O759362" s="9"/>
    </row>
    <row r="759383" spans="15:15" x14ac:dyDescent="0.25">
      <c r="O759383" s="9"/>
    </row>
    <row r="759404" spans="15:15" x14ac:dyDescent="0.25">
      <c r="O759404" s="9"/>
    </row>
    <row r="759425" spans="15:15" x14ac:dyDescent="0.25">
      <c r="O759425" s="9"/>
    </row>
    <row r="759446" spans="15:15" x14ac:dyDescent="0.25">
      <c r="O759446" s="9"/>
    </row>
    <row r="759467" spans="15:15" x14ac:dyDescent="0.25">
      <c r="O759467" s="9"/>
    </row>
    <row r="759488" spans="15:15" x14ac:dyDescent="0.25">
      <c r="O759488" s="9"/>
    </row>
    <row r="759509" spans="15:15" x14ac:dyDescent="0.25">
      <c r="O759509" s="9"/>
    </row>
    <row r="759530" spans="15:15" x14ac:dyDescent="0.25">
      <c r="O759530" s="9"/>
    </row>
    <row r="759551" spans="15:15" x14ac:dyDescent="0.25">
      <c r="O759551" s="9"/>
    </row>
    <row r="759572" spans="15:15" x14ac:dyDescent="0.25">
      <c r="O759572" s="9"/>
    </row>
    <row r="759593" spans="15:15" x14ac:dyDescent="0.25">
      <c r="O759593" s="9"/>
    </row>
    <row r="759614" spans="15:15" x14ac:dyDescent="0.25">
      <c r="O759614" s="9"/>
    </row>
    <row r="759635" spans="15:15" x14ac:dyDescent="0.25">
      <c r="O759635" s="9"/>
    </row>
    <row r="759656" spans="15:15" x14ac:dyDescent="0.25">
      <c r="O759656" s="9"/>
    </row>
    <row r="759677" spans="15:15" x14ac:dyDescent="0.25">
      <c r="O759677" s="9"/>
    </row>
    <row r="759698" spans="15:15" x14ac:dyDescent="0.25">
      <c r="O759698" s="9"/>
    </row>
    <row r="759719" spans="15:15" x14ac:dyDescent="0.25">
      <c r="O759719" s="9"/>
    </row>
    <row r="759740" spans="15:15" x14ac:dyDescent="0.25">
      <c r="O759740" s="9"/>
    </row>
    <row r="759761" spans="15:15" x14ac:dyDescent="0.25">
      <c r="O759761" s="9"/>
    </row>
    <row r="759782" spans="15:15" x14ac:dyDescent="0.25">
      <c r="O759782" s="9"/>
    </row>
    <row r="759803" spans="15:15" x14ac:dyDescent="0.25">
      <c r="O759803" s="9"/>
    </row>
    <row r="759824" spans="15:15" x14ac:dyDescent="0.25">
      <c r="O759824" s="9"/>
    </row>
    <row r="759845" spans="15:15" x14ac:dyDescent="0.25">
      <c r="O759845" s="9"/>
    </row>
    <row r="759866" spans="15:15" x14ac:dyDescent="0.25">
      <c r="O759866" s="9"/>
    </row>
    <row r="759887" spans="15:15" x14ac:dyDescent="0.25">
      <c r="O759887" s="9"/>
    </row>
    <row r="759908" spans="15:15" x14ac:dyDescent="0.25">
      <c r="O759908" s="9"/>
    </row>
    <row r="759929" spans="15:15" x14ac:dyDescent="0.25">
      <c r="O759929" s="9"/>
    </row>
    <row r="759950" spans="15:15" x14ac:dyDescent="0.25">
      <c r="O759950" s="9"/>
    </row>
    <row r="759971" spans="15:15" x14ac:dyDescent="0.25">
      <c r="O759971" s="9"/>
    </row>
    <row r="759992" spans="15:15" x14ac:dyDescent="0.25">
      <c r="O759992" s="9"/>
    </row>
    <row r="760013" spans="15:15" x14ac:dyDescent="0.25">
      <c r="O760013" s="9"/>
    </row>
    <row r="760034" spans="15:15" x14ac:dyDescent="0.25">
      <c r="O760034" s="9"/>
    </row>
    <row r="760055" spans="15:15" x14ac:dyDescent="0.25">
      <c r="O760055" s="9"/>
    </row>
    <row r="760076" spans="15:15" x14ac:dyDescent="0.25">
      <c r="O760076" s="9"/>
    </row>
    <row r="760097" spans="15:15" x14ac:dyDescent="0.25">
      <c r="O760097" s="9"/>
    </row>
    <row r="760118" spans="15:15" x14ac:dyDescent="0.25">
      <c r="O760118" s="9"/>
    </row>
    <row r="760139" spans="15:15" x14ac:dyDescent="0.25">
      <c r="O760139" s="9"/>
    </row>
    <row r="760160" spans="15:15" x14ac:dyDescent="0.25">
      <c r="O760160" s="9"/>
    </row>
    <row r="760181" spans="15:15" x14ac:dyDescent="0.25">
      <c r="O760181" s="9"/>
    </row>
    <row r="760202" spans="15:15" x14ac:dyDescent="0.25">
      <c r="O760202" s="9"/>
    </row>
    <row r="760223" spans="15:15" x14ac:dyDescent="0.25">
      <c r="O760223" s="9"/>
    </row>
    <row r="760244" spans="15:15" x14ac:dyDescent="0.25">
      <c r="O760244" s="9"/>
    </row>
    <row r="760265" spans="15:15" x14ac:dyDescent="0.25">
      <c r="O760265" s="9"/>
    </row>
    <row r="760286" spans="15:15" x14ac:dyDescent="0.25">
      <c r="O760286" s="9"/>
    </row>
    <row r="760307" spans="15:15" x14ac:dyDescent="0.25">
      <c r="O760307" s="9"/>
    </row>
    <row r="760328" spans="15:15" x14ac:dyDescent="0.25">
      <c r="O760328" s="9"/>
    </row>
    <row r="760349" spans="15:15" x14ac:dyDescent="0.25">
      <c r="O760349" s="9"/>
    </row>
    <row r="760370" spans="15:15" x14ac:dyDescent="0.25">
      <c r="O760370" s="9"/>
    </row>
    <row r="760391" spans="15:15" x14ac:dyDescent="0.25">
      <c r="O760391" s="9"/>
    </row>
    <row r="760412" spans="15:15" x14ac:dyDescent="0.25">
      <c r="O760412" s="9"/>
    </row>
    <row r="760433" spans="15:15" x14ac:dyDescent="0.25">
      <c r="O760433" s="9"/>
    </row>
    <row r="760454" spans="15:15" x14ac:dyDescent="0.25">
      <c r="O760454" s="9"/>
    </row>
    <row r="760475" spans="15:15" x14ac:dyDescent="0.25">
      <c r="O760475" s="9"/>
    </row>
    <row r="760496" spans="15:15" x14ac:dyDescent="0.25">
      <c r="O760496" s="9"/>
    </row>
    <row r="760517" spans="15:15" x14ac:dyDescent="0.25">
      <c r="O760517" s="9"/>
    </row>
    <row r="760538" spans="15:15" x14ac:dyDescent="0.25">
      <c r="O760538" s="9"/>
    </row>
    <row r="760559" spans="15:15" x14ac:dyDescent="0.25">
      <c r="O760559" s="9"/>
    </row>
    <row r="760580" spans="15:15" x14ac:dyDescent="0.25">
      <c r="O760580" s="9"/>
    </row>
    <row r="760601" spans="15:15" x14ac:dyDescent="0.25">
      <c r="O760601" s="9"/>
    </row>
    <row r="760622" spans="15:15" x14ac:dyDescent="0.25">
      <c r="O760622" s="9"/>
    </row>
    <row r="760643" spans="15:15" x14ac:dyDescent="0.25">
      <c r="O760643" s="9"/>
    </row>
    <row r="760664" spans="15:15" x14ac:dyDescent="0.25">
      <c r="O760664" s="9"/>
    </row>
    <row r="760685" spans="15:15" x14ac:dyDescent="0.25">
      <c r="O760685" s="9"/>
    </row>
    <row r="760706" spans="15:15" x14ac:dyDescent="0.25">
      <c r="O760706" s="9"/>
    </row>
    <row r="760727" spans="15:15" x14ac:dyDescent="0.25">
      <c r="O760727" s="9"/>
    </row>
    <row r="760748" spans="15:15" x14ac:dyDescent="0.25">
      <c r="O760748" s="9"/>
    </row>
    <row r="760769" spans="15:15" x14ac:dyDescent="0.25">
      <c r="O760769" s="9"/>
    </row>
    <row r="760790" spans="15:15" x14ac:dyDescent="0.25">
      <c r="O760790" s="9"/>
    </row>
    <row r="760811" spans="15:15" x14ac:dyDescent="0.25">
      <c r="O760811" s="9"/>
    </row>
    <row r="760832" spans="15:15" x14ac:dyDescent="0.25">
      <c r="O760832" s="9"/>
    </row>
    <row r="760853" spans="15:15" x14ac:dyDescent="0.25">
      <c r="O760853" s="9"/>
    </row>
    <row r="760874" spans="15:15" x14ac:dyDescent="0.25">
      <c r="O760874" s="9"/>
    </row>
    <row r="760895" spans="15:15" x14ac:dyDescent="0.25">
      <c r="O760895" s="9"/>
    </row>
    <row r="760916" spans="15:15" x14ac:dyDescent="0.25">
      <c r="O760916" s="9"/>
    </row>
    <row r="760937" spans="15:15" x14ac:dyDescent="0.25">
      <c r="O760937" s="9"/>
    </row>
    <row r="760958" spans="15:15" x14ac:dyDescent="0.25">
      <c r="O760958" s="9"/>
    </row>
    <row r="760979" spans="15:15" x14ac:dyDescent="0.25">
      <c r="O760979" s="9"/>
    </row>
    <row r="761000" spans="15:15" x14ac:dyDescent="0.25">
      <c r="O761000" s="9"/>
    </row>
    <row r="761021" spans="15:15" x14ac:dyDescent="0.25">
      <c r="O761021" s="9"/>
    </row>
    <row r="761042" spans="15:15" x14ac:dyDescent="0.25">
      <c r="O761042" s="9"/>
    </row>
    <row r="761063" spans="15:15" x14ac:dyDescent="0.25">
      <c r="O761063" s="9"/>
    </row>
    <row r="761084" spans="15:15" x14ac:dyDescent="0.25">
      <c r="O761084" s="9"/>
    </row>
    <row r="761105" spans="15:15" x14ac:dyDescent="0.25">
      <c r="O761105" s="9"/>
    </row>
    <row r="761126" spans="15:15" x14ac:dyDescent="0.25">
      <c r="O761126" s="9"/>
    </row>
    <row r="761147" spans="15:15" x14ac:dyDescent="0.25">
      <c r="O761147" s="9"/>
    </row>
    <row r="761168" spans="15:15" x14ac:dyDescent="0.25">
      <c r="O761168" s="9"/>
    </row>
    <row r="761189" spans="15:15" x14ac:dyDescent="0.25">
      <c r="O761189" s="9"/>
    </row>
    <row r="761210" spans="15:15" x14ac:dyDescent="0.25">
      <c r="O761210" s="9"/>
    </row>
    <row r="761231" spans="15:15" x14ac:dyDescent="0.25">
      <c r="O761231" s="9"/>
    </row>
    <row r="761252" spans="15:15" x14ac:dyDescent="0.25">
      <c r="O761252" s="9"/>
    </row>
    <row r="761273" spans="15:15" x14ac:dyDescent="0.25">
      <c r="O761273" s="9"/>
    </row>
    <row r="761294" spans="15:15" x14ac:dyDescent="0.25">
      <c r="O761294" s="9"/>
    </row>
    <row r="761315" spans="15:15" x14ac:dyDescent="0.25">
      <c r="O761315" s="9"/>
    </row>
    <row r="761336" spans="15:15" x14ac:dyDescent="0.25">
      <c r="O761336" s="9"/>
    </row>
    <row r="761357" spans="15:15" x14ac:dyDescent="0.25">
      <c r="O761357" s="9"/>
    </row>
    <row r="761378" spans="15:15" x14ac:dyDescent="0.25">
      <c r="O761378" s="9"/>
    </row>
    <row r="761399" spans="15:15" x14ac:dyDescent="0.25">
      <c r="O761399" s="9"/>
    </row>
    <row r="761420" spans="15:15" x14ac:dyDescent="0.25">
      <c r="O761420" s="9"/>
    </row>
    <row r="761441" spans="15:15" x14ac:dyDescent="0.25">
      <c r="O761441" s="9"/>
    </row>
    <row r="761462" spans="15:15" x14ac:dyDescent="0.25">
      <c r="O761462" s="9"/>
    </row>
    <row r="761483" spans="15:15" x14ac:dyDescent="0.25">
      <c r="O761483" s="9"/>
    </row>
    <row r="761504" spans="15:15" x14ac:dyDescent="0.25">
      <c r="O761504" s="9"/>
    </row>
    <row r="761525" spans="15:15" x14ac:dyDescent="0.25">
      <c r="O761525" s="9"/>
    </row>
    <row r="761546" spans="15:15" x14ac:dyDescent="0.25">
      <c r="O761546" s="9"/>
    </row>
    <row r="761567" spans="15:15" x14ac:dyDescent="0.25">
      <c r="O761567" s="9"/>
    </row>
    <row r="761588" spans="15:15" x14ac:dyDescent="0.25">
      <c r="O761588" s="9"/>
    </row>
    <row r="761609" spans="15:15" x14ac:dyDescent="0.25">
      <c r="O761609" s="9"/>
    </row>
    <row r="761630" spans="15:15" x14ac:dyDescent="0.25">
      <c r="O761630" s="9"/>
    </row>
    <row r="761651" spans="15:15" x14ac:dyDescent="0.25">
      <c r="O761651" s="9"/>
    </row>
    <row r="761672" spans="15:15" x14ac:dyDescent="0.25">
      <c r="O761672" s="9"/>
    </row>
    <row r="761693" spans="15:15" x14ac:dyDescent="0.25">
      <c r="O761693" s="9"/>
    </row>
    <row r="761714" spans="15:15" x14ac:dyDescent="0.25">
      <c r="O761714" s="9"/>
    </row>
    <row r="761735" spans="15:15" x14ac:dyDescent="0.25">
      <c r="O761735" s="9"/>
    </row>
    <row r="761756" spans="15:15" x14ac:dyDescent="0.25">
      <c r="O761756" s="9"/>
    </row>
    <row r="761777" spans="15:15" x14ac:dyDescent="0.25">
      <c r="O761777" s="9"/>
    </row>
    <row r="761798" spans="15:15" x14ac:dyDescent="0.25">
      <c r="O761798" s="9"/>
    </row>
    <row r="761819" spans="15:15" x14ac:dyDescent="0.25">
      <c r="O761819" s="9"/>
    </row>
    <row r="761840" spans="15:15" x14ac:dyDescent="0.25">
      <c r="O761840" s="9"/>
    </row>
    <row r="761861" spans="15:15" x14ac:dyDescent="0.25">
      <c r="O761861" s="9"/>
    </row>
    <row r="761882" spans="15:15" x14ac:dyDescent="0.25">
      <c r="O761882" s="9"/>
    </row>
    <row r="761903" spans="15:15" x14ac:dyDescent="0.25">
      <c r="O761903" s="9"/>
    </row>
    <row r="761924" spans="15:15" x14ac:dyDescent="0.25">
      <c r="O761924" s="9"/>
    </row>
    <row r="761945" spans="15:15" x14ac:dyDescent="0.25">
      <c r="O761945" s="9"/>
    </row>
    <row r="761966" spans="15:15" x14ac:dyDescent="0.25">
      <c r="O761966" s="9"/>
    </row>
    <row r="761987" spans="15:15" x14ac:dyDescent="0.25">
      <c r="O761987" s="9"/>
    </row>
    <row r="762008" spans="15:15" x14ac:dyDescent="0.25">
      <c r="O762008" s="9"/>
    </row>
    <row r="762029" spans="15:15" x14ac:dyDescent="0.25">
      <c r="O762029" s="9"/>
    </row>
    <row r="762050" spans="15:15" x14ac:dyDescent="0.25">
      <c r="O762050" s="9"/>
    </row>
    <row r="762071" spans="15:15" x14ac:dyDescent="0.25">
      <c r="O762071" s="9"/>
    </row>
    <row r="762092" spans="15:15" x14ac:dyDescent="0.25">
      <c r="O762092" s="9"/>
    </row>
    <row r="762113" spans="15:15" x14ac:dyDescent="0.25">
      <c r="O762113" s="9"/>
    </row>
    <row r="762134" spans="15:15" x14ac:dyDescent="0.25">
      <c r="O762134" s="9"/>
    </row>
    <row r="762155" spans="15:15" x14ac:dyDescent="0.25">
      <c r="O762155" s="9"/>
    </row>
    <row r="762176" spans="15:15" x14ac:dyDescent="0.25">
      <c r="O762176" s="9"/>
    </row>
    <row r="762197" spans="15:15" x14ac:dyDescent="0.25">
      <c r="O762197" s="9"/>
    </row>
    <row r="762218" spans="15:15" x14ac:dyDescent="0.25">
      <c r="O762218" s="9"/>
    </row>
    <row r="762239" spans="15:15" x14ac:dyDescent="0.25">
      <c r="O762239" s="9"/>
    </row>
    <row r="762260" spans="15:15" x14ac:dyDescent="0.25">
      <c r="O762260" s="9"/>
    </row>
    <row r="762281" spans="15:15" x14ac:dyDescent="0.25">
      <c r="O762281" s="9"/>
    </row>
    <row r="762302" spans="15:15" x14ac:dyDescent="0.25">
      <c r="O762302" s="9"/>
    </row>
    <row r="762323" spans="15:15" x14ac:dyDescent="0.25">
      <c r="O762323" s="9"/>
    </row>
    <row r="762344" spans="15:15" x14ac:dyDescent="0.25">
      <c r="O762344" s="9"/>
    </row>
    <row r="762365" spans="15:15" x14ac:dyDescent="0.25">
      <c r="O762365" s="9"/>
    </row>
    <row r="762386" spans="15:15" x14ac:dyDescent="0.25">
      <c r="O762386" s="9"/>
    </row>
    <row r="762407" spans="15:15" x14ac:dyDescent="0.25">
      <c r="O762407" s="9"/>
    </row>
    <row r="762428" spans="15:15" x14ac:dyDescent="0.25">
      <c r="O762428" s="9"/>
    </row>
    <row r="762449" spans="15:15" x14ac:dyDescent="0.25">
      <c r="O762449" s="9"/>
    </row>
    <row r="762470" spans="15:15" x14ac:dyDescent="0.25">
      <c r="O762470" s="9"/>
    </row>
    <row r="762491" spans="15:15" x14ac:dyDescent="0.25">
      <c r="O762491" s="9"/>
    </row>
    <row r="762512" spans="15:15" x14ac:dyDescent="0.25">
      <c r="O762512" s="9"/>
    </row>
    <row r="762533" spans="15:15" x14ac:dyDescent="0.25">
      <c r="O762533" s="9"/>
    </row>
    <row r="762554" spans="15:15" x14ac:dyDescent="0.25">
      <c r="O762554" s="9"/>
    </row>
    <row r="762575" spans="15:15" x14ac:dyDescent="0.25">
      <c r="O762575" s="9"/>
    </row>
    <row r="762596" spans="15:15" x14ac:dyDescent="0.25">
      <c r="O762596" s="9"/>
    </row>
    <row r="762617" spans="15:15" x14ac:dyDescent="0.25">
      <c r="O762617" s="9"/>
    </row>
    <row r="762638" spans="15:15" x14ac:dyDescent="0.25">
      <c r="O762638" s="9"/>
    </row>
    <row r="762659" spans="15:15" x14ac:dyDescent="0.25">
      <c r="O762659" s="9"/>
    </row>
    <row r="762680" spans="15:15" x14ac:dyDescent="0.25">
      <c r="O762680" s="9"/>
    </row>
    <row r="762701" spans="15:15" x14ac:dyDescent="0.25">
      <c r="O762701" s="9"/>
    </row>
    <row r="762722" spans="15:15" x14ac:dyDescent="0.25">
      <c r="O762722" s="9"/>
    </row>
    <row r="762743" spans="15:15" x14ac:dyDescent="0.25">
      <c r="O762743" s="9"/>
    </row>
    <row r="762764" spans="15:15" x14ac:dyDescent="0.25">
      <c r="O762764" s="9"/>
    </row>
    <row r="762785" spans="15:15" x14ac:dyDescent="0.25">
      <c r="O762785" s="9"/>
    </row>
    <row r="762806" spans="15:15" x14ac:dyDescent="0.25">
      <c r="O762806" s="9"/>
    </row>
    <row r="762827" spans="15:15" x14ac:dyDescent="0.25">
      <c r="O762827" s="9"/>
    </row>
    <row r="762848" spans="15:15" x14ac:dyDescent="0.25">
      <c r="O762848" s="9"/>
    </row>
    <row r="762869" spans="15:15" x14ac:dyDescent="0.25">
      <c r="O762869" s="9"/>
    </row>
    <row r="762890" spans="15:15" x14ac:dyDescent="0.25">
      <c r="O762890" s="9"/>
    </row>
    <row r="762911" spans="15:15" x14ac:dyDescent="0.25">
      <c r="O762911" s="9"/>
    </row>
    <row r="762932" spans="15:15" x14ac:dyDescent="0.25">
      <c r="O762932" s="9"/>
    </row>
    <row r="762953" spans="15:15" x14ac:dyDescent="0.25">
      <c r="O762953" s="9"/>
    </row>
    <row r="762974" spans="15:15" x14ac:dyDescent="0.25">
      <c r="O762974" s="9"/>
    </row>
    <row r="762995" spans="15:15" x14ac:dyDescent="0.25">
      <c r="O762995" s="9"/>
    </row>
    <row r="763016" spans="15:15" x14ac:dyDescent="0.25">
      <c r="O763016" s="9"/>
    </row>
    <row r="763037" spans="15:15" x14ac:dyDescent="0.25">
      <c r="O763037" s="9"/>
    </row>
    <row r="763058" spans="15:15" x14ac:dyDescent="0.25">
      <c r="O763058" s="9"/>
    </row>
    <row r="763079" spans="15:15" x14ac:dyDescent="0.25">
      <c r="O763079" s="9"/>
    </row>
    <row r="763100" spans="15:15" x14ac:dyDescent="0.25">
      <c r="O763100" s="9"/>
    </row>
    <row r="763121" spans="15:15" x14ac:dyDescent="0.25">
      <c r="O763121" s="9"/>
    </row>
    <row r="763142" spans="15:15" x14ac:dyDescent="0.25">
      <c r="O763142" s="9"/>
    </row>
    <row r="763163" spans="15:15" x14ac:dyDescent="0.25">
      <c r="O763163" s="9"/>
    </row>
    <row r="763184" spans="15:15" x14ac:dyDescent="0.25">
      <c r="O763184" s="9"/>
    </row>
    <row r="763205" spans="15:15" x14ac:dyDescent="0.25">
      <c r="O763205" s="9"/>
    </row>
    <row r="763226" spans="15:15" x14ac:dyDescent="0.25">
      <c r="O763226" s="9"/>
    </row>
    <row r="763247" spans="15:15" x14ac:dyDescent="0.25">
      <c r="O763247" s="9"/>
    </row>
    <row r="763268" spans="15:15" x14ac:dyDescent="0.25">
      <c r="O763268" s="9"/>
    </row>
    <row r="763289" spans="15:15" x14ac:dyDescent="0.25">
      <c r="O763289" s="9"/>
    </row>
    <row r="763310" spans="15:15" x14ac:dyDescent="0.25">
      <c r="O763310" s="9"/>
    </row>
    <row r="763331" spans="15:15" x14ac:dyDescent="0.25">
      <c r="O763331" s="9"/>
    </row>
    <row r="763352" spans="15:15" x14ac:dyDescent="0.25">
      <c r="O763352" s="9"/>
    </row>
    <row r="763373" spans="15:15" x14ac:dyDescent="0.25">
      <c r="O763373" s="9"/>
    </row>
    <row r="763394" spans="15:15" x14ac:dyDescent="0.25">
      <c r="O763394" s="9"/>
    </row>
    <row r="763415" spans="15:15" x14ac:dyDescent="0.25">
      <c r="O763415" s="9"/>
    </row>
    <row r="763436" spans="15:15" x14ac:dyDescent="0.25">
      <c r="O763436" s="9"/>
    </row>
    <row r="763457" spans="15:15" x14ac:dyDescent="0.25">
      <c r="O763457" s="9"/>
    </row>
    <row r="763478" spans="15:15" x14ac:dyDescent="0.25">
      <c r="O763478" s="9"/>
    </row>
    <row r="763499" spans="15:15" x14ac:dyDescent="0.25">
      <c r="O763499" s="9"/>
    </row>
    <row r="763520" spans="15:15" x14ac:dyDescent="0.25">
      <c r="O763520" s="9"/>
    </row>
    <row r="763541" spans="15:15" x14ac:dyDescent="0.25">
      <c r="O763541" s="9"/>
    </row>
    <row r="763562" spans="15:15" x14ac:dyDescent="0.25">
      <c r="O763562" s="9"/>
    </row>
    <row r="763583" spans="15:15" x14ac:dyDescent="0.25">
      <c r="O763583" s="9"/>
    </row>
    <row r="763604" spans="15:15" x14ac:dyDescent="0.25">
      <c r="O763604" s="9"/>
    </row>
    <row r="763625" spans="15:15" x14ac:dyDescent="0.25">
      <c r="O763625" s="9"/>
    </row>
    <row r="763646" spans="15:15" x14ac:dyDescent="0.25">
      <c r="O763646" s="9"/>
    </row>
    <row r="763667" spans="15:15" x14ac:dyDescent="0.25">
      <c r="O763667" s="9"/>
    </row>
    <row r="763688" spans="15:15" x14ac:dyDescent="0.25">
      <c r="O763688" s="9"/>
    </row>
    <row r="763709" spans="15:15" x14ac:dyDescent="0.25">
      <c r="O763709" s="9"/>
    </row>
    <row r="763730" spans="15:15" x14ac:dyDescent="0.25">
      <c r="O763730" s="9"/>
    </row>
    <row r="763751" spans="15:15" x14ac:dyDescent="0.25">
      <c r="O763751" s="9"/>
    </row>
    <row r="763772" spans="15:15" x14ac:dyDescent="0.25">
      <c r="O763772" s="9"/>
    </row>
    <row r="763793" spans="15:15" x14ac:dyDescent="0.25">
      <c r="O763793" s="9"/>
    </row>
    <row r="763814" spans="15:15" x14ac:dyDescent="0.25">
      <c r="O763814" s="9"/>
    </row>
    <row r="763835" spans="15:15" x14ac:dyDescent="0.25">
      <c r="O763835" s="9"/>
    </row>
    <row r="763856" spans="15:15" x14ac:dyDescent="0.25">
      <c r="O763856" s="9"/>
    </row>
    <row r="763877" spans="15:15" x14ac:dyDescent="0.25">
      <c r="O763877" s="9"/>
    </row>
    <row r="763898" spans="15:15" x14ac:dyDescent="0.25">
      <c r="O763898" s="9"/>
    </row>
    <row r="763919" spans="15:15" x14ac:dyDescent="0.25">
      <c r="O763919" s="9"/>
    </row>
    <row r="763940" spans="15:15" x14ac:dyDescent="0.25">
      <c r="O763940" s="9"/>
    </row>
    <row r="763961" spans="15:15" x14ac:dyDescent="0.25">
      <c r="O763961" s="9"/>
    </row>
    <row r="763982" spans="15:15" x14ac:dyDescent="0.25">
      <c r="O763982" s="9"/>
    </row>
    <row r="764003" spans="15:15" x14ac:dyDescent="0.25">
      <c r="O764003" s="9"/>
    </row>
    <row r="764024" spans="15:15" x14ac:dyDescent="0.25">
      <c r="O764024" s="9"/>
    </row>
    <row r="764045" spans="15:15" x14ac:dyDescent="0.25">
      <c r="O764045" s="9"/>
    </row>
    <row r="764066" spans="15:15" x14ac:dyDescent="0.25">
      <c r="O764066" s="9"/>
    </row>
    <row r="764087" spans="15:15" x14ac:dyDescent="0.25">
      <c r="O764087" s="9"/>
    </row>
    <row r="764108" spans="15:15" x14ac:dyDescent="0.25">
      <c r="O764108" s="9"/>
    </row>
    <row r="764129" spans="15:15" x14ac:dyDescent="0.25">
      <c r="O764129" s="9"/>
    </row>
    <row r="764150" spans="15:15" x14ac:dyDescent="0.25">
      <c r="O764150" s="9"/>
    </row>
    <row r="764171" spans="15:15" x14ac:dyDescent="0.25">
      <c r="O764171" s="9"/>
    </row>
    <row r="764192" spans="15:15" x14ac:dyDescent="0.25">
      <c r="O764192" s="9"/>
    </row>
    <row r="764213" spans="15:15" x14ac:dyDescent="0.25">
      <c r="O764213" s="9"/>
    </row>
    <row r="764234" spans="15:15" x14ac:dyDescent="0.25">
      <c r="O764234" s="9"/>
    </row>
    <row r="764255" spans="15:15" x14ac:dyDescent="0.25">
      <c r="O764255" s="9"/>
    </row>
    <row r="764276" spans="15:15" x14ac:dyDescent="0.25">
      <c r="O764276" s="9"/>
    </row>
    <row r="764297" spans="15:15" x14ac:dyDescent="0.25">
      <c r="O764297" s="9"/>
    </row>
    <row r="764318" spans="15:15" x14ac:dyDescent="0.25">
      <c r="O764318" s="9"/>
    </row>
    <row r="764339" spans="15:15" x14ac:dyDescent="0.25">
      <c r="O764339" s="9"/>
    </row>
    <row r="764360" spans="15:15" x14ac:dyDescent="0.25">
      <c r="O764360" s="9"/>
    </row>
    <row r="764381" spans="15:15" x14ac:dyDescent="0.25">
      <c r="O764381" s="9"/>
    </row>
    <row r="764402" spans="15:15" x14ac:dyDescent="0.25">
      <c r="O764402" s="9"/>
    </row>
    <row r="764423" spans="15:15" x14ac:dyDescent="0.25">
      <c r="O764423" s="9"/>
    </row>
    <row r="764444" spans="15:15" x14ac:dyDescent="0.25">
      <c r="O764444" s="9"/>
    </row>
    <row r="764465" spans="15:15" x14ac:dyDescent="0.25">
      <c r="O764465" s="9"/>
    </row>
    <row r="764486" spans="15:15" x14ac:dyDescent="0.25">
      <c r="O764486" s="9"/>
    </row>
    <row r="764507" spans="15:15" x14ac:dyDescent="0.25">
      <c r="O764507" s="9"/>
    </row>
    <row r="764528" spans="15:15" x14ac:dyDescent="0.25">
      <c r="O764528" s="9"/>
    </row>
    <row r="764549" spans="15:15" x14ac:dyDescent="0.25">
      <c r="O764549" s="9"/>
    </row>
    <row r="764570" spans="15:15" x14ac:dyDescent="0.25">
      <c r="O764570" s="9"/>
    </row>
    <row r="764591" spans="15:15" x14ac:dyDescent="0.25">
      <c r="O764591" s="9"/>
    </row>
    <row r="764612" spans="15:15" x14ac:dyDescent="0.25">
      <c r="O764612" s="9"/>
    </row>
    <row r="764633" spans="15:15" x14ac:dyDescent="0.25">
      <c r="O764633" s="9"/>
    </row>
    <row r="764654" spans="15:15" x14ac:dyDescent="0.25">
      <c r="O764654" s="9"/>
    </row>
    <row r="764675" spans="15:15" x14ac:dyDescent="0.25">
      <c r="O764675" s="9"/>
    </row>
    <row r="764696" spans="15:15" x14ac:dyDescent="0.25">
      <c r="O764696" s="9"/>
    </row>
    <row r="764717" spans="15:15" x14ac:dyDescent="0.25">
      <c r="O764717" s="9"/>
    </row>
    <row r="764738" spans="15:15" x14ac:dyDescent="0.25">
      <c r="O764738" s="9"/>
    </row>
    <row r="764759" spans="15:15" x14ac:dyDescent="0.25">
      <c r="O764759" s="9"/>
    </row>
    <row r="764780" spans="15:15" x14ac:dyDescent="0.25">
      <c r="O764780" s="9"/>
    </row>
    <row r="764801" spans="15:15" x14ac:dyDescent="0.25">
      <c r="O764801" s="9"/>
    </row>
    <row r="764822" spans="15:15" x14ac:dyDescent="0.25">
      <c r="O764822" s="9"/>
    </row>
    <row r="764843" spans="15:15" x14ac:dyDescent="0.25">
      <c r="O764843" s="9"/>
    </row>
    <row r="764864" spans="15:15" x14ac:dyDescent="0.25">
      <c r="O764864" s="9"/>
    </row>
    <row r="764885" spans="15:15" x14ac:dyDescent="0.25">
      <c r="O764885" s="9"/>
    </row>
    <row r="764906" spans="15:15" x14ac:dyDescent="0.25">
      <c r="O764906" s="9"/>
    </row>
    <row r="764927" spans="15:15" x14ac:dyDescent="0.25">
      <c r="O764927" s="9"/>
    </row>
    <row r="764948" spans="15:15" x14ac:dyDescent="0.25">
      <c r="O764948" s="9"/>
    </row>
    <row r="764969" spans="15:15" x14ac:dyDescent="0.25">
      <c r="O764969" s="9"/>
    </row>
    <row r="764990" spans="15:15" x14ac:dyDescent="0.25">
      <c r="O764990" s="9"/>
    </row>
    <row r="765011" spans="15:15" x14ac:dyDescent="0.25">
      <c r="O765011" s="9"/>
    </row>
    <row r="765032" spans="15:15" x14ac:dyDescent="0.25">
      <c r="O765032" s="9"/>
    </row>
    <row r="765053" spans="15:15" x14ac:dyDescent="0.25">
      <c r="O765053" s="9"/>
    </row>
    <row r="765074" spans="15:15" x14ac:dyDescent="0.25">
      <c r="O765074" s="9"/>
    </row>
    <row r="765095" spans="15:15" x14ac:dyDescent="0.25">
      <c r="O765095" s="9"/>
    </row>
    <row r="765116" spans="15:15" x14ac:dyDescent="0.25">
      <c r="O765116" s="9"/>
    </row>
    <row r="765137" spans="15:15" x14ac:dyDescent="0.25">
      <c r="O765137" s="9"/>
    </row>
    <row r="765158" spans="15:15" x14ac:dyDescent="0.25">
      <c r="O765158" s="9"/>
    </row>
    <row r="765179" spans="15:15" x14ac:dyDescent="0.25">
      <c r="O765179" s="9"/>
    </row>
    <row r="765200" spans="15:15" x14ac:dyDescent="0.25">
      <c r="O765200" s="9"/>
    </row>
    <row r="765221" spans="15:15" x14ac:dyDescent="0.25">
      <c r="O765221" s="9"/>
    </row>
    <row r="765242" spans="15:15" x14ac:dyDescent="0.25">
      <c r="O765242" s="9"/>
    </row>
    <row r="765263" spans="15:15" x14ac:dyDescent="0.25">
      <c r="O765263" s="9"/>
    </row>
    <row r="765284" spans="15:15" x14ac:dyDescent="0.25">
      <c r="O765284" s="9"/>
    </row>
    <row r="765305" spans="15:15" x14ac:dyDescent="0.25">
      <c r="O765305" s="9"/>
    </row>
    <row r="765326" spans="15:15" x14ac:dyDescent="0.25">
      <c r="O765326" s="9"/>
    </row>
    <row r="765347" spans="15:15" x14ac:dyDescent="0.25">
      <c r="O765347" s="9"/>
    </row>
    <row r="765368" spans="15:15" x14ac:dyDescent="0.25">
      <c r="O765368" s="9"/>
    </row>
    <row r="765389" spans="15:15" x14ac:dyDescent="0.25">
      <c r="O765389" s="9"/>
    </row>
    <row r="765410" spans="15:15" x14ac:dyDescent="0.25">
      <c r="O765410" s="9"/>
    </row>
    <row r="765431" spans="15:15" x14ac:dyDescent="0.25">
      <c r="O765431" s="9"/>
    </row>
    <row r="765452" spans="15:15" x14ac:dyDescent="0.25">
      <c r="O765452" s="9"/>
    </row>
    <row r="765473" spans="15:15" x14ac:dyDescent="0.25">
      <c r="O765473" s="9"/>
    </row>
    <row r="765494" spans="15:15" x14ac:dyDescent="0.25">
      <c r="O765494" s="9"/>
    </row>
    <row r="765515" spans="15:15" x14ac:dyDescent="0.25">
      <c r="O765515" s="9"/>
    </row>
    <row r="765536" spans="15:15" x14ac:dyDescent="0.25">
      <c r="O765536" s="9"/>
    </row>
    <row r="765557" spans="15:15" x14ac:dyDescent="0.25">
      <c r="O765557" s="9"/>
    </row>
    <row r="765578" spans="15:15" x14ac:dyDescent="0.25">
      <c r="O765578" s="9"/>
    </row>
    <row r="765599" spans="15:15" x14ac:dyDescent="0.25">
      <c r="O765599" s="9"/>
    </row>
    <row r="765620" spans="15:15" x14ac:dyDescent="0.25">
      <c r="O765620" s="9"/>
    </row>
    <row r="765641" spans="15:15" x14ac:dyDescent="0.25">
      <c r="O765641" s="9"/>
    </row>
    <row r="765662" spans="15:15" x14ac:dyDescent="0.25">
      <c r="O765662" s="9"/>
    </row>
    <row r="765683" spans="15:15" x14ac:dyDescent="0.25">
      <c r="O765683" s="9"/>
    </row>
    <row r="765704" spans="15:15" x14ac:dyDescent="0.25">
      <c r="O765704" s="9"/>
    </row>
    <row r="765725" spans="15:15" x14ac:dyDescent="0.25">
      <c r="O765725" s="9"/>
    </row>
    <row r="765746" spans="15:15" x14ac:dyDescent="0.25">
      <c r="O765746" s="9"/>
    </row>
    <row r="765767" spans="15:15" x14ac:dyDescent="0.25">
      <c r="O765767" s="9"/>
    </row>
    <row r="765788" spans="15:15" x14ac:dyDescent="0.25">
      <c r="O765788" s="9"/>
    </row>
    <row r="765809" spans="15:15" x14ac:dyDescent="0.25">
      <c r="O765809" s="9"/>
    </row>
    <row r="765830" spans="15:15" x14ac:dyDescent="0.25">
      <c r="O765830" s="9"/>
    </row>
    <row r="765851" spans="15:15" x14ac:dyDescent="0.25">
      <c r="O765851" s="9"/>
    </row>
    <row r="765872" spans="15:15" x14ac:dyDescent="0.25">
      <c r="O765872" s="9"/>
    </row>
    <row r="765893" spans="15:15" x14ac:dyDescent="0.25">
      <c r="O765893" s="9"/>
    </row>
    <row r="765914" spans="15:15" x14ac:dyDescent="0.25">
      <c r="O765914" s="9"/>
    </row>
    <row r="765935" spans="15:15" x14ac:dyDescent="0.25">
      <c r="O765935" s="9"/>
    </row>
    <row r="765956" spans="15:15" x14ac:dyDescent="0.25">
      <c r="O765956" s="9"/>
    </row>
    <row r="765977" spans="15:15" x14ac:dyDescent="0.25">
      <c r="O765977" s="9"/>
    </row>
    <row r="765998" spans="15:15" x14ac:dyDescent="0.25">
      <c r="O765998" s="9"/>
    </row>
    <row r="766019" spans="15:15" x14ac:dyDescent="0.25">
      <c r="O766019" s="9"/>
    </row>
    <row r="766040" spans="15:15" x14ac:dyDescent="0.25">
      <c r="O766040" s="9"/>
    </row>
    <row r="766061" spans="15:15" x14ac:dyDescent="0.25">
      <c r="O766061" s="9"/>
    </row>
    <row r="766082" spans="15:15" x14ac:dyDescent="0.25">
      <c r="O766082" s="9"/>
    </row>
    <row r="766103" spans="15:15" x14ac:dyDescent="0.25">
      <c r="O766103" s="9"/>
    </row>
    <row r="766124" spans="15:15" x14ac:dyDescent="0.25">
      <c r="O766124" s="9"/>
    </row>
    <row r="766145" spans="15:15" x14ac:dyDescent="0.25">
      <c r="O766145" s="9"/>
    </row>
    <row r="766166" spans="15:15" x14ac:dyDescent="0.25">
      <c r="O766166" s="9"/>
    </row>
    <row r="766187" spans="15:15" x14ac:dyDescent="0.25">
      <c r="O766187" s="9"/>
    </row>
    <row r="766208" spans="15:15" x14ac:dyDescent="0.25">
      <c r="O766208" s="9"/>
    </row>
    <row r="766229" spans="15:15" x14ac:dyDescent="0.25">
      <c r="O766229" s="9"/>
    </row>
    <row r="766250" spans="15:15" x14ac:dyDescent="0.25">
      <c r="O766250" s="9"/>
    </row>
    <row r="766271" spans="15:15" x14ac:dyDescent="0.25">
      <c r="O766271" s="9"/>
    </row>
    <row r="766292" spans="15:15" x14ac:dyDescent="0.25">
      <c r="O766292" s="9"/>
    </row>
    <row r="766313" spans="15:15" x14ac:dyDescent="0.25">
      <c r="O766313" s="9"/>
    </row>
    <row r="766334" spans="15:15" x14ac:dyDescent="0.25">
      <c r="O766334" s="9"/>
    </row>
    <row r="766355" spans="15:15" x14ac:dyDescent="0.25">
      <c r="O766355" s="9"/>
    </row>
    <row r="766376" spans="15:15" x14ac:dyDescent="0.25">
      <c r="O766376" s="9"/>
    </row>
    <row r="766397" spans="15:15" x14ac:dyDescent="0.25">
      <c r="O766397" s="9"/>
    </row>
    <row r="766418" spans="15:15" x14ac:dyDescent="0.25">
      <c r="O766418" s="9"/>
    </row>
    <row r="766439" spans="15:15" x14ac:dyDescent="0.25">
      <c r="O766439" s="9"/>
    </row>
    <row r="766460" spans="15:15" x14ac:dyDescent="0.25">
      <c r="O766460" s="9"/>
    </row>
    <row r="766481" spans="15:15" x14ac:dyDescent="0.25">
      <c r="O766481" s="9"/>
    </row>
    <row r="766502" spans="15:15" x14ac:dyDescent="0.25">
      <c r="O766502" s="9"/>
    </row>
    <row r="766523" spans="15:15" x14ac:dyDescent="0.25">
      <c r="O766523" s="9"/>
    </row>
    <row r="766544" spans="15:15" x14ac:dyDescent="0.25">
      <c r="O766544" s="9"/>
    </row>
    <row r="766565" spans="15:15" x14ac:dyDescent="0.25">
      <c r="O766565" s="9"/>
    </row>
    <row r="766586" spans="15:15" x14ac:dyDescent="0.25">
      <c r="O766586" s="9"/>
    </row>
    <row r="766607" spans="15:15" x14ac:dyDescent="0.25">
      <c r="O766607" s="9"/>
    </row>
    <row r="766628" spans="15:15" x14ac:dyDescent="0.25">
      <c r="O766628" s="9"/>
    </row>
    <row r="766649" spans="15:15" x14ac:dyDescent="0.25">
      <c r="O766649" s="9"/>
    </row>
    <row r="766670" spans="15:15" x14ac:dyDescent="0.25">
      <c r="O766670" s="9"/>
    </row>
    <row r="766691" spans="15:15" x14ac:dyDescent="0.25">
      <c r="O766691" s="9"/>
    </row>
    <row r="766712" spans="15:15" x14ac:dyDescent="0.25">
      <c r="O766712" s="9"/>
    </row>
    <row r="766733" spans="15:15" x14ac:dyDescent="0.25">
      <c r="O766733" s="9"/>
    </row>
    <row r="766754" spans="15:15" x14ac:dyDescent="0.25">
      <c r="O766754" s="9"/>
    </row>
    <row r="766775" spans="15:15" x14ac:dyDescent="0.25">
      <c r="O766775" s="9"/>
    </row>
    <row r="766796" spans="15:15" x14ac:dyDescent="0.25">
      <c r="O766796" s="9"/>
    </row>
    <row r="766817" spans="15:15" x14ac:dyDescent="0.25">
      <c r="O766817" s="9"/>
    </row>
    <row r="766838" spans="15:15" x14ac:dyDescent="0.25">
      <c r="O766838" s="9"/>
    </row>
    <row r="766859" spans="15:15" x14ac:dyDescent="0.25">
      <c r="O766859" s="9"/>
    </row>
    <row r="766880" spans="15:15" x14ac:dyDescent="0.25">
      <c r="O766880" s="9"/>
    </row>
    <row r="766901" spans="15:15" x14ac:dyDescent="0.25">
      <c r="O766901" s="9"/>
    </row>
    <row r="766922" spans="15:15" x14ac:dyDescent="0.25">
      <c r="O766922" s="9"/>
    </row>
    <row r="766943" spans="15:15" x14ac:dyDescent="0.25">
      <c r="O766943" s="9"/>
    </row>
    <row r="766964" spans="15:15" x14ac:dyDescent="0.25">
      <c r="O766964" s="9"/>
    </row>
    <row r="766985" spans="15:15" x14ac:dyDescent="0.25">
      <c r="O766985" s="9"/>
    </row>
    <row r="767006" spans="15:15" x14ac:dyDescent="0.25">
      <c r="O767006" s="9"/>
    </row>
    <row r="767027" spans="15:15" x14ac:dyDescent="0.25">
      <c r="O767027" s="9"/>
    </row>
    <row r="767048" spans="15:15" x14ac:dyDescent="0.25">
      <c r="O767048" s="9"/>
    </row>
    <row r="767069" spans="15:15" x14ac:dyDescent="0.25">
      <c r="O767069" s="9"/>
    </row>
    <row r="767090" spans="15:15" x14ac:dyDescent="0.25">
      <c r="O767090" s="9"/>
    </row>
    <row r="767111" spans="15:15" x14ac:dyDescent="0.25">
      <c r="O767111" s="9"/>
    </row>
    <row r="767132" spans="15:15" x14ac:dyDescent="0.25">
      <c r="O767132" s="9"/>
    </row>
    <row r="767153" spans="15:15" x14ac:dyDescent="0.25">
      <c r="O767153" s="9"/>
    </row>
    <row r="767174" spans="15:15" x14ac:dyDescent="0.25">
      <c r="O767174" s="9"/>
    </row>
    <row r="767195" spans="15:15" x14ac:dyDescent="0.25">
      <c r="O767195" s="9"/>
    </row>
    <row r="767216" spans="15:15" x14ac:dyDescent="0.25">
      <c r="O767216" s="9"/>
    </row>
    <row r="767237" spans="15:15" x14ac:dyDescent="0.25">
      <c r="O767237" s="9"/>
    </row>
    <row r="767258" spans="15:15" x14ac:dyDescent="0.25">
      <c r="O767258" s="9"/>
    </row>
    <row r="767279" spans="15:15" x14ac:dyDescent="0.25">
      <c r="O767279" s="9"/>
    </row>
    <row r="767300" spans="15:15" x14ac:dyDescent="0.25">
      <c r="O767300" s="9"/>
    </row>
    <row r="767321" spans="15:15" x14ac:dyDescent="0.25">
      <c r="O767321" s="9"/>
    </row>
    <row r="767342" spans="15:15" x14ac:dyDescent="0.25">
      <c r="O767342" s="9"/>
    </row>
    <row r="767363" spans="15:15" x14ac:dyDescent="0.25">
      <c r="O767363" s="9"/>
    </row>
    <row r="767384" spans="15:15" x14ac:dyDescent="0.25">
      <c r="O767384" s="9"/>
    </row>
    <row r="767405" spans="15:15" x14ac:dyDescent="0.25">
      <c r="O767405" s="9"/>
    </row>
    <row r="767426" spans="15:15" x14ac:dyDescent="0.25">
      <c r="O767426" s="9"/>
    </row>
    <row r="767447" spans="15:15" x14ac:dyDescent="0.25">
      <c r="O767447" s="9"/>
    </row>
    <row r="767468" spans="15:15" x14ac:dyDescent="0.25">
      <c r="O767468" s="9"/>
    </row>
    <row r="767489" spans="15:15" x14ac:dyDescent="0.25">
      <c r="O767489" s="9"/>
    </row>
    <row r="767510" spans="15:15" x14ac:dyDescent="0.25">
      <c r="O767510" s="9"/>
    </row>
    <row r="767531" spans="15:15" x14ac:dyDescent="0.25">
      <c r="O767531" s="9"/>
    </row>
    <row r="767552" spans="15:15" x14ac:dyDescent="0.25">
      <c r="O767552" s="9"/>
    </row>
    <row r="767573" spans="15:15" x14ac:dyDescent="0.25">
      <c r="O767573" s="9"/>
    </row>
    <row r="767594" spans="15:15" x14ac:dyDescent="0.25">
      <c r="O767594" s="9"/>
    </row>
    <row r="767615" spans="15:15" x14ac:dyDescent="0.25">
      <c r="O767615" s="9"/>
    </row>
    <row r="767636" spans="15:15" x14ac:dyDescent="0.25">
      <c r="O767636" s="9"/>
    </row>
    <row r="767657" spans="15:15" x14ac:dyDescent="0.25">
      <c r="O767657" s="9"/>
    </row>
    <row r="767678" spans="15:15" x14ac:dyDescent="0.25">
      <c r="O767678" s="9"/>
    </row>
    <row r="767699" spans="15:15" x14ac:dyDescent="0.25">
      <c r="O767699" s="9"/>
    </row>
    <row r="767720" spans="15:15" x14ac:dyDescent="0.25">
      <c r="O767720" s="9"/>
    </row>
    <row r="767741" spans="15:15" x14ac:dyDescent="0.25">
      <c r="O767741" s="9"/>
    </row>
    <row r="767762" spans="15:15" x14ac:dyDescent="0.25">
      <c r="O767762" s="9"/>
    </row>
    <row r="767783" spans="15:15" x14ac:dyDescent="0.25">
      <c r="O767783" s="9"/>
    </row>
    <row r="767804" spans="15:15" x14ac:dyDescent="0.25">
      <c r="O767804" s="9"/>
    </row>
    <row r="767825" spans="15:15" x14ac:dyDescent="0.25">
      <c r="O767825" s="9"/>
    </row>
    <row r="767846" spans="15:15" x14ac:dyDescent="0.25">
      <c r="O767846" s="9"/>
    </row>
    <row r="767867" spans="15:15" x14ac:dyDescent="0.25">
      <c r="O767867" s="9"/>
    </row>
    <row r="767888" spans="15:15" x14ac:dyDescent="0.25">
      <c r="O767888" s="9"/>
    </row>
    <row r="767909" spans="15:15" x14ac:dyDescent="0.25">
      <c r="O767909" s="9"/>
    </row>
    <row r="767930" spans="15:15" x14ac:dyDescent="0.25">
      <c r="O767930" s="9"/>
    </row>
    <row r="767951" spans="15:15" x14ac:dyDescent="0.25">
      <c r="O767951" s="9"/>
    </row>
    <row r="767972" spans="15:15" x14ac:dyDescent="0.25">
      <c r="O767972" s="9"/>
    </row>
    <row r="767993" spans="15:15" x14ac:dyDescent="0.25">
      <c r="O767993" s="9"/>
    </row>
    <row r="768014" spans="15:15" x14ac:dyDescent="0.25">
      <c r="O768014" s="9"/>
    </row>
    <row r="768035" spans="15:15" x14ac:dyDescent="0.25">
      <c r="O768035" s="9"/>
    </row>
    <row r="768056" spans="15:15" x14ac:dyDescent="0.25">
      <c r="O768056" s="9"/>
    </row>
    <row r="768077" spans="15:15" x14ac:dyDescent="0.25">
      <c r="O768077" s="9"/>
    </row>
    <row r="768098" spans="15:15" x14ac:dyDescent="0.25">
      <c r="O768098" s="9"/>
    </row>
    <row r="768119" spans="15:15" x14ac:dyDescent="0.25">
      <c r="O768119" s="9"/>
    </row>
    <row r="768140" spans="15:15" x14ac:dyDescent="0.25">
      <c r="O768140" s="9"/>
    </row>
    <row r="768161" spans="15:15" x14ac:dyDescent="0.25">
      <c r="O768161" s="9"/>
    </row>
    <row r="768182" spans="15:15" x14ac:dyDescent="0.25">
      <c r="O768182" s="9"/>
    </row>
    <row r="768203" spans="15:15" x14ac:dyDescent="0.25">
      <c r="O768203" s="9"/>
    </row>
    <row r="768224" spans="15:15" x14ac:dyDescent="0.25">
      <c r="O768224" s="9"/>
    </row>
    <row r="768245" spans="15:15" x14ac:dyDescent="0.25">
      <c r="O768245" s="9"/>
    </row>
    <row r="768266" spans="15:15" x14ac:dyDescent="0.25">
      <c r="O768266" s="9"/>
    </row>
    <row r="768287" spans="15:15" x14ac:dyDescent="0.25">
      <c r="O768287" s="9"/>
    </row>
    <row r="768308" spans="15:15" x14ac:dyDescent="0.25">
      <c r="O768308" s="9"/>
    </row>
    <row r="768329" spans="15:15" x14ac:dyDescent="0.25">
      <c r="O768329" s="9"/>
    </row>
    <row r="768350" spans="15:15" x14ac:dyDescent="0.25">
      <c r="O768350" s="9"/>
    </row>
    <row r="768371" spans="15:15" x14ac:dyDescent="0.25">
      <c r="O768371" s="9"/>
    </row>
    <row r="768392" spans="15:15" x14ac:dyDescent="0.25">
      <c r="O768392" s="9"/>
    </row>
    <row r="768413" spans="15:15" x14ac:dyDescent="0.25">
      <c r="O768413" s="9"/>
    </row>
    <row r="768434" spans="15:15" x14ac:dyDescent="0.25">
      <c r="O768434" s="9"/>
    </row>
    <row r="768455" spans="15:15" x14ac:dyDescent="0.25">
      <c r="O768455" s="9"/>
    </row>
    <row r="768476" spans="15:15" x14ac:dyDescent="0.25">
      <c r="O768476" s="9"/>
    </row>
    <row r="768497" spans="15:15" x14ac:dyDescent="0.25">
      <c r="O768497" s="9"/>
    </row>
    <row r="768518" spans="15:15" x14ac:dyDescent="0.25">
      <c r="O768518" s="9"/>
    </row>
    <row r="768539" spans="15:15" x14ac:dyDescent="0.25">
      <c r="O768539" s="9"/>
    </row>
    <row r="768560" spans="15:15" x14ac:dyDescent="0.25">
      <c r="O768560" s="9"/>
    </row>
    <row r="768581" spans="15:15" x14ac:dyDescent="0.25">
      <c r="O768581" s="9"/>
    </row>
    <row r="768602" spans="15:15" x14ac:dyDescent="0.25">
      <c r="O768602" s="9"/>
    </row>
    <row r="768623" spans="15:15" x14ac:dyDescent="0.25">
      <c r="O768623" s="9"/>
    </row>
    <row r="768644" spans="15:15" x14ac:dyDescent="0.25">
      <c r="O768644" s="9"/>
    </row>
    <row r="768665" spans="15:15" x14ac:dyDescent="0.25">
      <c r="O768665" s="9"/>
    </row>
    <row r="768686" spans="15:15" x14ac:dyDescent="0.25">
      <c r="O768686" s="9"/>
    </row>
    <row r="768707" spans="15:15" x14ac:dyDescent="0.25">
      <c r="O768707" s="9"/>
    </row>
    <row r="768728" spans="15:15" x14ac:dyDescent="0.25">
      <c r="O768728" s="9"/>
    </row>
    <row r="768749" spans="15:15" x14ac:dyDescent="0.25">
      <c r="O768749" s="9"/>
    </row>
    <row r="768770" spans="15:15" x14ac:dyDescent="0.25">
      <c r="O768770" s="9"/>
    </row>
    <row r="768791" spans="15:15" x14ac:dyDescent="0.25">
      <c r="O768791" s="9"/>
    </row>
    <row r="768812" spans="15:15" x14ac:dyDescent="0.25">
      <c r="O768812" s="9"/>
    </row>
    <row r="768833" spans="15:15" x14ac:dyDescent="0.25">
      <c r="O768833" s="9"/>
    </row>
    <row r="768854" spans="15:15" x14ac:dyDescent="0.25">
      <c r="O768854" s="9"/>
    </row>
    <row r="768875" spans="15:15" x14ac:dyDescent="0.25">
      <c r="O768875" s="9"/>
    </row>
    <row r="768896" spans="15:15" x14ac:dyDescent="0.25">
      <c r="O768896" s="9"/>
    </row>
    <row r="768917" spans="15:15" x14ac:dyDescent="0.25">
      <c r="O768917" s="9"/>
    </row>
    <row r="768938" spans="15:15" x14ac:dyDescent="0.25">
      <c r="O768938" s="9"/>
    </row>
    <row r="768959" spans="15:15" x14ac:dyDescent="0.25">
      <c r="O768959" s="9"/>
    </row>
    <row r="768980" spans="15:15" x14ac:dyDescent="0.25">
      <c r="O768980" s="9"/>
    </row>
    <row r="769001" spans="15:15" x14ac:dyDescent="0.25">
      <c r="O769001" s="9"/>
    </row>
    <row r="769022" spans="15:15" x14ac:dyDescent="0.25">
      <c r="O769022" s="9"/>
    </row>
    <row r="769043" spans="15:15" x14ac:dyDescent="0.25">
      <c r="O769043" s="9"/>
    </row>
    <row r="769064" spans="15:15" x14ac:dyDescent="0.25">
      <c r="O769064" s="9"/>
    </row>
    <row r="769085" spans="15:15" x14ac:dyDescent="0.25">
      <c r="O769085" s="9"/>
    </row>
    <row r="769106" spans="15:15" x14ac:dyDescent="0.25">
      <c r="O769106" s="9"/>
    </row>
    <row r="769127" spans="15:15" x14ac:dyDescent="0.25">
      <c r="O769127" s="9"/>
    </row>
    <row r="769148" spans="15:15" x14ac:dyDescent="0.25">
      <c r="O769148" s="9"/>
    </row>
    <row r="769169" spans="15:15" x14ac:dyDescent="0.25">
      <c r="O769169" s="9"/>
    </row>
    <row r="769190" spans="15:15" x14ac:dyDescent="0.25">
      <c r="O769190" s="9"/>
    </row>
    <row r="769211" spans="15:15" x14ac:dyDescent="0.25">
      <c r="O769211" s="9"/>
    </row>
    <row r="769232" spans="15:15" x14ac:dyDescent="0.25">
      <c r="O769232" s="9"/>
    </row>
    <row r="769253" spans="15:15" x14ac:dyDescent="0.25">
      <c r="O769253" s="9"/>
    </row>
    <row r="769274" spans="15:15" x14ac:dyDescent="0.25">
      <c r="O769274" s="9"/>
    </row>
    <row r="769295" spans="15:15" x14ac:dyDescent="0.25">
      <c r="O769295" s="9"/>
    </row>
    <row r="769316" spans="15:15" x14ac:dyDescent="0.25">
      <c r="O769316" s="9"/>
    </row>
    <row r="769337" spans="15:15" x14ac:dyDescent="0.25">
      <c r="O769337" s="9"/>
    </row>
    <row r="769358" spans="15:15" x14ac:dyDescent="0.25">
      <c r="O769358" s="9"/>
    </row>
    <row r="769379" spans="15:15" x14ac:dyDescent="0.25">
      <c r="O769379" s="9"/>
    </row>
    <row r="769400" spans="15:15" x14ac:dyDescent="0.25">
      <c r="O769400" s="9"/>
    </row>
    <row r="769421" spans="15:15" x14ac:dyDescent="0.25">
      <c r="O769421" s="9"/>
    </row>
    <row r="769442" spans="15:15" x14ac:dyDescent="0.25">
      <c r="O769442" s="9"/>
    </row>
    <row r="769463" spans="15:15" x14ac:dyDescent="0.25">
      <c r="O769463" s="9"/>
    </row>
    <row r="769484" spans="15:15" x14ac:dyDescent="0.25">
      <c r="O769484" s="9"/>
    </row>
    <row r="769505" spans="15:15" x14ac:dyDescent="0.25">
      <c r="O769505" s="9"/>
    </row>
    <row r="769526" spans="15:15" x14ac:dyDescent="0.25">
      <c r="O769526" s="9"/>
    </row>
    <row r="769547" spans="15:15" x14ac:dyDescent="0.25">
      <c r="O769547" s="9"/>
    </row>
    <row r="769568" spans="15:15" x14ac:dyDescent="0.25">
      <c r="O769568" s="9"/>
    </row>
    <row r="769589" spans="15:15" x14ac:dyDescent="0.25">
      <c r="O769589" s="9"/>
    </row>
    <row r="769610" spans="15:15" x14ac:dyDescent="0.25">
      <c r="O769610" s="9"/>
    </row>
    <row r="769631" spans="15:15" x14ac:dyDescent="0.25">
      <c r="O769631" s="9"/>
    </row>
    <row r="769652" spans="15:15" x14ac:dyDescent="0.25">
      <c r="O769652" s="9"/>
    </row>
    <row r="769673" spans="15:15" x14ac:dyDescent="0.25">
      <c r="O769673" s="9"/>
    </row>
    <row r="769694" spans="15:15" x14ac:dyDescent="0.25">
      <c r="O769694" s="9"/>
    </row>
    <row r="769715" spans="15:15" x14ac:dyDescent="0.25">
      <c r="O769715" s="9"/>
    </row>
    <row r="769736" spans="15:15" x14ac:dyDescent="0.25">
      <c r="O769736" s="9"/>
    </row>
    <row r="769757" spans="15:15" x14ac:dyDescent="0.25">
      <c r="O769757" s="9"/>
    </row>
    <row r="769778" spans="15:15" x14ac:dyDescent="0.25">
      <c r="O769778" s="9"/>
    </row>
    <row r="769799" spans="15:15" x14ac:dyDescent="0.25">
      <c r="O769799" s="9"/>
    </row>
    <row r="769820" spans="15:15" x14ac:dyDescent="0.25">
      <c r="O769820" s="9"/>
    </row>
    <row r="769841" spans="15:15" x14ac:dyDescent="0.25">
      <c r="O769841" s="9"/>
    </row>
    <row r="769862" spans="15:15" x14ac:dyDescent="0.25">
      <c r="O769862" s="9"/>
    </row>
    <row r="769883" spans="15:15" x14ac:dyDescent="0.25">
      <c r="O769883" s="9"/>
    </row>
    <row r="769904" spans="15:15" x14ac:dyDescent="0.25">
      <c r="O769904" s="9"/>
    </row>
    <row r="769925" spans="15:15" x14ac:dyDescent="0.25">
      <c r="O769925" s="9"/>
    </row>
    <row r="769946" spans="15:15" x14ac:dyDescent="0.25">
      <c r="O769946" s="9"/>
    </row>
    <row r="769967" spans="15:15" x14ac:dyDescent="0.25">
      <c r="O769967" s="9"/>
    </row>
    <row r="769988" spans="15:15" x14ac:dyDescent="0.25">
      <c r="O769988" s="9"/>
    </row>
    <row r="770009" spans="15:15" x14ac:dyDescent="0.25">
      <c r="O770009" s="9"/>
    </row>
    <row r="770030" spans="15:15" x14ac:dyDescent="0.25">
      <c r="O770030" s="9"/>
    </row>
    <row r="770051" spans="15:15" x14ac:dyDescent="0.25">
      <c r="O770051" s="9"/>
    </row>
    <row r="770072" spans="15:15" x14ac:dyDescent="0.25">
      <c r="O770072" s="9"/>
    </row>
    <row r="770093" spans="15:15" x14ac:dyDescent="0.25">
      <c r="O770093" s="9"/>
    </row>
    <row r="770114" spans="15:15" x14ac:dyDescent="0.25">
      <c r="O770114" s="9"/>
    </row>
    <row r="770135" spans="15:15" x14ac:dyDescent="0.25">
      <c r="O770135" s="9"/>
    </row>
    <row r="770156" spans="15:15" x14ac:dyDescent="0.25">
      <c r="O770156" s="9"/>
    </row>
    <row r="770177" spans="15:15" x14ac:dyDescent="0.25">
      <c r="O770177" s="9"/>
    </row>
    <row r="770198" spans="15:15" x14ac:dyDescent="0.25">
      <c r="O770198" s="9"/>
    </row>
    <row r="770219" spans="15:15" x14ac:dyDescent="0.25">
      <c r="O770219" s="9"/>
    </row>
    <row r="770240" spans="15:15" x14ac:dyDescent="0.25">
      <c r="O770240" s="9"/>
    </row>
    <row r="770261" spans="15:15" x14ac:dyDescent="0.25">
      <c r="O770261" s="9"/>
    </row>
    <row r="770282" spans="15:15" x14ac:dyDescent="0.25">
      <c r="O770282" s="9"/>
    </row>
    <row r="770303" spans="15:15" x14ac:dyDescent="0.25">
      <c r="O770303" s="9"/>
    </row>
    <row r="770324" spans="15:15" x14ac:dyDescent="0.25">
      <c r="O770324" s="9"/>
    </row>
    <row r="770345" spans="15:15" x14ac:dyDescent="0.25">
      <c r="O770345" s="9"/>
    </row>
    <row r="770366" spans="15:15" x14ac:dyDescent="0.25">
      <c r="O770366" s="9"/>
    </row>
    <row r="770387" spans="15:15" x14ac:dyDescent="0.25">
      <c r="O770387" s="9"/>
    </row>
    <row r="770408" spans="15:15" x14ac:dyDescent="0.25">
      <c r="O770408" s="9"/>
    </row>
    <row r="770429" spans="15:15" x14ac:dyDescent="0.25">
      <c r="O770429" s="9"/>
    </row>
    <row r="770450" spans="15:15" x14ac:dyDescent="0.25">
      <c r="O770450" s="9"/>
    </row>
    <row r="770471" spans="15:15" x14ac:dyDescent="0.25">
      <c r="O770471" s="9"/>
    </row>
    <row r="770492" spans="15:15" x14ac:dyDescent="0.25">
      <c r="O770492" s="9"/>
    </row>
    <row r="770513" spans="15:15" x14ac:dyDescent="0.25">
      <c r="O770513" s="9"/>
    </row>
    <row r="770534" spans="15:15" x14ac:dyDescent="0.25">
      <c r="O770534" s="9"/>
    </row>
    <row r="770555" spans="15:15" x14ac:dyDescent="0.25">
      <c r="O770555" s="9"/>
    </row>
    <row r="770576" spans="15:15" x14ac:dyDescent="0.25">
      <c r="O770576" s="9"/>
    </row>
    <row r="770597" spans="15:15" x14ac:dyDescent="0.25">
      <c r="O770597" s="9"/>
    </row>
    <row r="770618" spans="15:15" x14ac:dyDescent="0.25">
      <c r="O770618" s="9"/>
    </row>
    <row r="770639" spans="15:15" x14ac:dyDescent="0.25">
      <c r="O770639" s="9"/>
    </row>
    <row r="770660" spans="15:15" x14ac:dyDescent="0.25">
      <c r="O770660" s="9"/>
    </row>
    <row r="770681" spans="15:15" x14ac:dyDescent="0.25">
      <c r="O770681" s="9"/>
    </row>
    <row r="770702" spans="15:15" x14ac:dyDescent="0.25">
      <c r="O770702" s="9"/>
    </row>
    <row r="770723" spans="15:15" x14ac:dyDescent="0.25">
      <c r="O770723" s="9"/>
    </row>
    <row r="770744" spans="15:15" x14ac:dyDescent="0.25">
      <c r="O770744" s="9"/>
    </row>
    <row r="770765" spans="15:15" x14ac:dyDescent="0.25">
      <c r="O770765" s="9"/>
    </row>
    <row r="770786" spans="15:15" x14ac:dyDescent="0.25">
      <c r="O770786" s="9"/>
    </row>
    <row r="770807" spans="15:15" x14ac:dyDescent="0.25">
      <c r="O770807" s="9"/>
    </row>
    <row r="770828" spans="15:15" x14ac:dyDescent="0.25">
      <c r="O770828" s="9"/>
    </row>
    <row r="770849" spans="15:15" x14ac:dyDescent="0.25">
      <c r="O770849" s="9"/>
    </row>
    <row r="770870" spans="15:15" x14ac:dyDescent="0.25">
      <c r="O770870" s="9"/>
    </row>
    <row r="770891" spans="15:15" x14ac:dyDescent="0.25">
      <c r="O770891" s="9"/>
    </row>
    <row r="770912" spans="15:15" x14ac:dyDescent="0.25">
      <c r="O770912" s="9"/>
    </row>
    <row r="770933" spans="15:15" x14ac:dyDescent="0.25">
      <c r="O770933" s="9"/>
    </row>
    <row r="770954" spans="15:15" x14ac:dyDescent="0.25">
      <c r="O770954" s="9"/>
    </row>
    <row r="770975" spans="15:15" x14ac:dyDescent="0.25">
      <c r="O770975" s="9"/>
    </row>
    <row r="770996" spans="15:15" x14ac:dyDescent="0.25">
      <c r="O770996" s="9"/>
    </row>
    <row r="771017" spans="15:15" x14ac:dyDescent="0.25">
      <c r="O771017" s="9"/>
    </row>
    <row r="771038" spans="15:15" x14ac:dyDescent="0.25">
      <c r="O771038" s="9"/>
    </row>
    <row r="771059" spans="15:15" x14ac:dyDescent="0.25">
      <c r="O771059" s="9"/>
    </row>
    <row r="771080" spans="15:15" x14ac:dyDescent="0.25">
      <c r="O771080" s="9"/>
    </row>
    <row r="771101" spans="15:15" x14ac:dyDescent="0.25">
      <c r="O771101" s="9"/>
    </row>
    <row r="771122" spans="15:15" x14ac:dyDescent="0.25">
      <c r="O771122" s="9"/>
    </row>
    <row r="771143" spans="15:15" x14ac:dyDescent="0.25">
      <c r="O771143" s="9"/>
    </row>
    <row r="771164" spans="15:15" x14ac:dyDescent="0.25">
      <c r="O771164" s="9"/>
    </row>
    <row r="771185" spans="15:15" x14ac:dyDescent="0.25">
      <c r="O771185" s="9"/>
    </row>
    <row r="771206" spans="15:15" x14ac:dyDescent="0.25">
      <c r="O771206" s="9"/>
    </row>
    <row r="771227" spans="15:15" x14ac:dyDescent="0.25">
      <c r="O771227" s="9"/>
    </row>
    <row r="771248" spans="15:15" x14ac:dyDescent="0.25">
      <c r="O771248" s="9"/>
    </row>
    <row r="771269" spans="15:15" x14ac:dyDescent="0.25">
      <c r="O771269" s="9"/>
    </row>
    <row r="771290" spans="15:15" x14ac:dyDescent="0.25">
      <c r="O771290" s="9"/>
    </row>
    <row r="771311" spans="15:15" x14ac:dyDescent="0.25">
      <c r="O771311" s="9"/>
    </row>
    <row r="771332" spans="15:15" x14ac:dyDescent="0.25">
      <c r="O771332" s="9"/>
    </row>
    <row r="771353" spans="15:15" x14ac:dyDescent="0.25">
      <c r="O771353" s="9"/>
    </row>
    <row r="771374" spans="15:15" x14ac:dyDescent="0.25">
      <c r="O771374" s="9"/>
    </row>
    <row r="771395" spans="15:15" x14ac:dyDescent="0.25">
      <c r="O771395" s="9"/>
    </row>
    <row r="771416" spans="15:15" x14ac:dyDescent="0.25">
      <c r="O771416" s="9"/>
    </row>
    <row r="771437" spans="15:15" x14ac:dyDescent="0.25">
      <c r="O771437" s="9"/>
    </row>
    <row r="771458" spans="15:15" x14ac:dyDescent="0.25">
      <c r="O771458" s="9"/>
    </row>
    <row r="771479" spans="15:15" x14ac:dyDescent="0.25">
      <c r="O771479" s="9"/>
    </row>
    <row r="771500" spans="15:15" x14ac:dyDescent="0.25">
      <c r="O771500" s="9"/>
    </row>
    <row r="771521" spans="15:15" x14ac:dyDescent="0.25">
      <c r="O771521" s="9"/>
    </row>
    <row r="771542" spans="15:15" x14ac:dyDescent="0.25">
      <c r="O771542" s="9"/>
    </row>
    <row r="771563" spans="15:15" x14ac:dyDescent="0.25">
      <c r="O771563" s="9"/>
    </row>
    <row r="771584" spans="15:15" x14ac:dyDescent="0.25">
      <c r="O771584" s="9"/>
    </row>
    <row r="771605" spans="15:15" x14ac:dyDescent="0.25">
      <c r="O771605" s="9"/>
    </row>
    <row r="771626" spans="15:15" x14ac:dyDescent="0.25">
      <c r="O771626" s="9"/>
    </row>
    <row r="771647" spans="15:15" x14ac:dyDescent="0.25">
      <c r="O771647" s="9"/>
    </row>
    <row r="771668" spans="15:15" x14ac:dyDescent="0.25">
      <c r="O771668" s="9"/>
    </row>
    <row r="771689" spans="15:15" x14ac:dyDescent="0.25">
      <c r="O771689" s="9"/>
    </row>
    <row r="771710" spans="15:15" x14ac:dyDescent="0.25">
      <c r="O771710" s="9"/>
    </row>
    <row r="771731" spans="15:15" x14ac:dyDescent="0.25">
      <c r="O771731" s="9"/>
    </row>
    <row r="771752" spans="15:15" x14ac:dyDescent="0.25">
      <c r="O771752" s="9"/>
    </row>
    <row r="771773" spans="15:15" x14ac:dyDescent="0.25">
      <c r="O771773" s="9"/>
    </row>
    <row r="771794" spans="15:15" x14ac:dyDescent="0.25">
      <c r="O771794" s="9"/>
    </row>
    <row r="771815" spans="15:15" x14ac:dyDescent="0.25">
      <c r="O771815" s="9"/>
    </row>
    <row r="771836" spans="15:15" x14ac:dyDescent="0.25">
      <c r="O771836" s="9"/>
    </row>
    <row r="771857" spans="15:15" x14ac:dyDescent="0.25">
      <c r="O771857" s="9"/>
    </row>
    <row r="771878" spans="15:15" x14ac:dyDescent="0.25">
      <c r="O771878" s="9"/>
    </row>
    <row r="771899" spans="15:15" x14ac:dyDescent="0.25">
      <c r="O771899" s="9"/>
    </row>
    <row r="771920" spans="15:15" x14ac:dyDescent="0.25">
      <c r="O771920" s="9"/>
    </row>
    <row r="771941" spans="15:15" x14ac:dyDescent="0.25">
      <c r="O771941" s="9"/>
    </row>
    <row r="771962" spans="15:15" x14ac:dyDescent="0.25">
      <c r="O771962" s="9"/>
    </row>
    <row r="771983" spans="15:15" x14ac:dyDescent="0.25">
      <c r="O771983" s="9"/>
    </row>
    <row r="772004" spans="15:15" x14ac:dyDescent="0.25">
      <c r="O772004" s="9"/>
    </row>
    <row r="772025" spans="15:15" x14ac:dyDescent="0.25">
      <c r="O772025" s="9"/>
    </row>
    <row r="772046" spans="15:15" x14ac:dyDescent="0.25">
      <c r="O772046" s="9"/>
    </row>
    <row r="772067" spans="15:15" x14ac:dyDescent="0.25">
      <c r="O772067" s="9"/>
    </row>
    <row r="772088" spans="15:15" x14ac:dyDescent="0.25">
      <c r="O772088" s="9"/>
    </row>
    <row r="772109" spans="15:15" x14ac:dyDescent="0.25">
      <c r="O772109" s="9"/>
    </row>
    <row r="772130" spans="15:15" x14ac:dyDescent="0.25">
      <c r="O772130" s="9"/>
    </row>
    <row r="772151" spans="15:15" x14ac:dyDescent="0.25">
      <c r="O772151" s="9"/>
    </row>
    <row r="772172" spans="15:15" x14ac:dyDescent="0.25">
      <c r="O772172" s="9"/>
    </row>
    <row r="772193" spans="15:15" x14ac:dyDescent="0.25">
      <c r="O772193" s="9"/>
    </row>
    <row r="772214" spans="15:15" x14ac:dyDescent="0.25">
      <c r="O772214" s="9"/>
    </row>
    <row r="772235" spans="15:15" x14ac:dyDescent="0.25">
      <c r="O772235" s="9"/>
    </row>
    <row r="772256" spans="15:15" x14ac:dyDescent="0.25">
      <c r="O772256" s="9"/>
    </row>
    <row r="772277" spans="15:15" x14ac:dyDescent="0.25">
      <c r="O772277" s="9"/>
    </row>
    <row r="772298" spans="15:15" x14ac:dyDescent="0.25">
      <c r="O772298" s="9"/>
    </row>
    <row r="772319" spans="15:15" x14ac:dyDescent="0.25">
      <c r="O772319" s="9"/>
    </row>
    <row r="772340" spans="15:15" x14ac:dyDescent="0.25">
      <c r="O772340" s="9"/>
    </row>
    <row r="772361" spans="15:15" x14ac:dyDescent="0.25">
      <c r="O772361" s="9"/>
    </row>
    <row r="772382" spans="15:15" x14ac:dyDescent="0.25">
      <c r="O772382" s="9"/>
    </row>
    <row r="772403" spans="15:15" x14ac:dyDescent="0.25">
      <c r="O772403" s="9"/>
    </row>
    <row r="772424" spans="15:15" x14ac:dyDescent="0.25">
      <c r="O772424" s="9"/>
    </row>
    <row r="772445" spans="15:15" x14ac:dyDescent="0.25">
      <c r="O772445" s="9"/>
    </row>
    <row r="772466" spans="15:15" x14ac:dyDescent="0.25">
      <c r="O772466" s="9"/>
    </row>
    <row r="772487" spans="15:15" x14ac:dyDescent="0.25">
      <c r="O772487" s="9"/>
    </row>
    <row r="772508" spans="15:15" x14ac:dyDescent="0.25">
      <c r="O772508" s="9"/>
    </row>
    <row r="772529" spans="15:15" x14ac:dyDescent="0.25">
      <c r="O772529" s="9"/>
    </row>
    <row r="772550" spans="15:15" x14ac:dyDescent="0.25">
      <c r="O772550" s="9"/>
    </row>
    <row r="772571" spans="15:15" x14ac:dyDescent="0.25">
      <c r="O772571" s="9"/>
    </row>
    <row r="772592" spans="15:15" x14ac:dyDescent="0.25">
      <c r="O772592" s="9"/>
    </row>
    <row r="772613" spans="15:15" x14ac:dyDescent="0.25">
      <c r="O772613" s="9"/>
    </row>
    <row r="772634" spans="15:15" x14ac:dyDescent="0.25">
      <c r="O772634" s="9"/>
    </row>
    <row r="772655" spans="15:15" x14ac:dyDescent="0.25">
      <c r="O772655" s="9"/>
    </row>
    <row r="772676" spans="15:15" x14ac:dyDescent="0.25">
      <c r="O772676" s="9"/>
    </row>
    <row r="772697" spans="15:15" x14ac:dyDescent="0.25">
      <c r="O772697" s="9"/>
    </row>
    <row r="772718" spans="15:15" x14ac:dyDescent="0.25">
      <c r="O772718" s="9"/>
    </row>
    <row r="772739" spans="15:15" x14ac:dyDescent="0.25">
      <c r="O772739" s="9"/>
    </row>
    <row r="772760" spans="15:15" x14ac:dyDescent="0.25">
      <c r="O772760" s="9"/>
    </row>
    <row r="772781" spans="15:15" x14ac:dyDescent="0.25">
      <c r="O772781" s="9"/>
    </row>
    <row r="772802" spans="15:15" x14ac:dyDescent="0.25">
      <c r="O772802" s="9"/>
    </row>
    <row r="772823" spans="15:15" x14ac:dyDescent="0.25">
      <c r="O772823" s="9"/>
    </row>
    <row r="772844" spans="15:15" x14ac:dyDescent="0.25">
      <c r="O772844" s="9"/>
    </row>
    <row r="772865" spans="15:15" x14ac:dyDescent="0.25">
      <c r="O772865" s="9"/>
    </row>
    <row r="772886" spans="15:15" x14ac:dyDescent="0.25">
      <c r="O772886" s="9"/>
    </row>
    <row r="772907" spans="15:15" x14ac:dyDescent="0.25">
      <c r="O772907" s="9"/>
    </row>
    <row r="772928" spans="15:15" x14ac:dyDescent="0.25">
      <c r="O772928" s="9"/>
    </row>
    <row r="772949" spans="15:15" x14ac:dyDescent="0.25">
      <c r="O772949" s="9"/>
    </row>
    <row r="772970" spans="15:15" x14ac:dyDescent="0.25">
      <c r="O772970" s="9"/>
    </row>
    <row r="772991" spans="15:15" x14ac:dyDescent="0.25">
      <c r="O772991" s="9"/>
    </row>
    <row r="773012" spans="15:15" x14ac:dyDescent="0.25">
      <c r="O773012" s="9"/>
    </row>
    <row r="773033" spans="15:15" x14ac:dyDescent="0.25">
      <c r="O773033" s="9"/>
    </row>
    <row r="773054" spans="15:15" x14ac:dyDescent="0.25">
      <c r="O773054" s="9"/>
    </row>
    <row r="773075" spans="15:15" x14ac:dyDescent="0.25">
      <c r="O773075" s="9"/>
    </row>
    <row r="773096" spans="15:15" x14ac:dyDescent="0.25">
      <c r="O773096" s="9"/>
    </row>
    <row r="773117" spans="15:15" x14ac:dyDescent="0.25">
      <c r="O773117" s="9"/>
    </row>
    <row r="773138" spans="15:15" x14ac:dyDescent="0.25">
      <c r="O773138" s="9"/>
    </row>
    <row r="773159" spans="15:15" x14ac:dyDescent="0.25">
      <c r="O773159" s="9"/>
    </row>
    <row r="773180" spans="15:15" x14ac:dyDescent="0.25">
      <c r="O773180" s="9"/>
    </row>
    <row r="773201" spans="15:15" x14ac:dyDescent="0.25">
      <c r="O773201" s="9"/>
    </row>
    <row r="773222" spans="15:15" x14ac:dyDescent="0.25">
      <c r="O773222" s="9"/>
    </row>
    <row r="773243" spans="15:15" x14ac:dyDescent="0.25">
      <c r="O773243" s="9"/>
    </row>
    <row r="773264" spans="15:15" x14ac:dyDescent="0.25">
      <c r="O773264" s="9"/>
    </row>
    <row r="773285" spans="15:15" x14ac:dyDescent="0.25">
      <c r="O773285" s="9"/>
    </row>
    <row r="773306" spans="15:15" x14ac:dyDescent="0.25">
      <c r="O773306" s="9"/>
    </row>
    <row r="773327" spans="15:15" x14ac:dyDescent="0.25">
      <c r="O773327" s="9"/>
    </row>
    <row r="773348" spans="15:15" x14ac:dyDescent="0.25">
      <c r="O773348" s="9"/>
    </row>
    <row r="773369" spans="15:15" x14ac:dyDescent="0.25">
      <c r="O773369" s="9"/>
    </row>
    <row r="773390" spans="15:15" x14ac:dyDescent="0.25">
      <c r="O773390" s="9"/>
    </row>
    <row r="773411" spans="15:15" x14ac:dyDescent="0.25">
      <c r="O773411" s="9"/>
    </row>
    <row r="773432" spans="15:15" x14ac:dyDescent="0.25">
      <c r="O773432" s="9"/>
    </row>
    <row r="773453" spans="15:15" x14ac:dyDescent="0.25">
      <c r="O773453" s="9"/>
    </row>
    <row r="773474" spans="15:15" x14ac:dyDescent="0.25">
      <c r="O773474" s="9"/>
    </row>
    <row r="773495" spans="15:15" x14ac:dyDescent="0.25">
      <c r="O773495" s="9"/>
    </row>
    <row r="773516" spans="15:15" x14ac:dyDescent="0.25">
      <c r="O773516" s="9"/>
    </row>
    <row r="773537" spans="15:15" x14ac:dyDescent="0.25">
      <c r="O773537" s="9"/>
    </row>
    <row r="773558" spans="15:15" x14ac:dyDescent="0.25">
      <c r="O773558" s="9"/>
    </row>
    <row r="773579" spans="15:15" x14ac:dyDescent="0.25">
      <c r="O773579" s="9"/>
    </row>
    <row r="773600" spans="15:15" x14ac:dyDescent="0.25">
      <c r="O773600" s="9"/>
    </row>
    <row r="773621" spans="15:15" x14ac:dyDescent="0.25">
      <c r="O773621" s="9"/>
    </row>
    <row r="773642" spans="15:15" x14ac:dyDescent="0.25">
      <c r="O773642" s="9"/>
    </row>
    <row r="773663" spans="15:15" x14ac:dyDescent="0.25">
      <c r="O773663" s="9"/>
    </row>
    <row r="773684" spans="15:15" x14ac:dyDescent="0.25">
      <c r="O773684" s="9"/>
    </row>
    <row r="773705" spans="15:15" x14ac:dyDescent="0.25">
      <c r="O773705" s="9"/>
    </row>
    <row r="773726" spans="15:15" x14ac:dyDescent="0.25">
      <c r="O773726" s="9"/>
    </row>
    <row r="773747" spans="15:15" x14ac:dyDescent="0.25">
      <c r="O773747" s="9"/>
    </row>
    <row r="773768" spans="15:15" x14ac:dyDescent="0.25">
      <c r="O773768" s="9"/>
    </row>
    <row r="773789" spans="15:15" x14ac:dyDescent="0.25">
      <c r="O773789" s="9"/>
    </row>
    <row r="773810" spans="15:15" x14ac:dyDescent="0.25">
      <c r="O773810" s="9"/>
    </row>
    <row r="773831" spans="15:15" x14ac:dyDescent="0.25">
      <c r="O773831" s="9"/>
    </row>
    <row r="773852" spans="15:15" x14ac:dyDescent="0.25">
      <c r="O773852" s="9"/>
    </row>
    <row r="773873" spans="15:15" x14ac:dyDescent="0.25">
      <c r="O773873" s="9"/>
    </row>
    <row r="773894" spans="15:15" x14ac:dyDescent="0.25">
      <c r="O773894" s="9"/>
    </row>
    <row r="773915" spans="15:15" x14ac:dyDescent="0.25">
      <c r="O773915" s="9"/>
    </row>
    <row r="773936" spans="15:15" x14ac:dyDescent="0.25">
      <c r="O773936" s="9"/>
    </row>
    <row r="773957" spans="15:15" x14ac:dyDescent="0.25">
      <c r="O773957" s="9"/>
    </row>
    <row r="773978" spans="15:15" x14ac:dyDescent="0.25">
      <c r="O773978" s="9"/>
    </row>
    <row r="773999" spans="15:15" x14ac:dyDescent="0.25">
      <c r="O773999" s="9"/>
    </row>
    <row r="774020" spans="15:15" x14ac:dyDescent="0.25">
      <c r="O774020" s="9"/>
    </row>
    <row r="774041" spans="15:15" x14ac:dyDescent="0.25">
      <c r="O774041" s="9"/>
    </row>
    <row r="774062" spans="15:15" x14ac:dyDescent="0.25">
      <c r="O774062" s="9"/>
    </row>
    <row r="774083" spans="15:15" x14ac:dyDescent="0.25">
      <c r="O774083" s="9"/>
    </row>
    <row r="774104" spans="15:15" x14ac:dyDescent="0.25">
      <c r="O774104" s="9"/>
    </row>
    <row r="774125" spans="15:15" x14ac:dyDescent="0.25">
      <c r="O774125" s="9"/>
    </row>
    <row r="774146" spans="15:15" x14ac:dyDescent="0.25">
      <c r="O774146" s="9"/>
    </row>
    <row r="774167" spans="15:15" x14ac:dyDescent="0.25">
      <c r="O774167" s="9"/>
    </row>
    <row r="774188" spans="15:15" x14ac:dyDescent="0.25">
      <c r="O774188" s="9"/>
    </row>
    <row r="774209" spans="15:15" x14ac:dyDescent="0.25">
      <c r="O774209" s="9"/>
    </row>
    <row r="774230" spans="15:15" x14ac:dyDescent="0.25">
      <c r="O774230" s="9"/>
    </row>
    <row r="774251" spans="15:15" x14ac:dyDescent="0.25">
      <c r="O774251" s="9"/>
    </row>
    <row r="774272" spans="15:15" x14ac:dyDescent="0.25">
      <c r="O774272" s="9"/>
    </row>
    <row r="774293" spans="15:15" x14ac:dyDescent="0.25">
      <c r="O774293" s="9"/>
    </row>
    <row r="774314" spans="15:15" x14ac:dyDescent="0.25">
      <c r="O774314" s="9"/>
    </row>
    <row r="774335" spans="15:15" x14ac:dyDescent="0.25">
      <c r="O774335" s="9"/>
    </row>
    <row r="774356" spans="15:15" x14ac:dyDescent="0.25">
      <c r="O774356" s="9"/>
    </row>
    <row r="774377" spans="15:15" x14ac:dyDescent="0.25">
      <c r="O774377" s="9"/>
    </row>
    <row r="774398" spans="15:15" x14ac:dyDescent="0.25">
      <c r="O774398" s="9"/>
    </row>
    <row r="774419" spans="15:15" x14ac:dyDescent="0.25">
      <c r="O774419" s="9"/>
    </row>
    <row r="774440" spans="15:15" x14ac:dyDescent="0.25">
      <c r="O774440" s="9"/>
    </row>
    <row r="774461" spans="15:15" x14ac:dyDescent="0.25">
      <c r="O774461" s="9"/>
    </row>
    <row r="774482" spans="15:15" x14ac:dyDescent="0.25">
      <c r="O774482" s="9"/>
    </row>
    <row r="774503" spans="15:15" x14ac:dyDescent="0.25">
      <c r="O774503" s="9"/>
    </row>
    <row r="774524" spans="15:15" x14ac:dyDescent="0.25">
      <c r="O774524" s="9"/>
    </row>
    <row r="774545" spans="15:15" x14ac:dyDescent="0.25">
      <c r="O774545" s="9"/>
    </row>
    <row r="774566" spans="15:15" x14ac:dyDescent="0.25">
      <c r="O774566" s="9"/>
    </row>
    <row r="774587" spans="15:15" x14ac:dyDescent="0.25">
      <c r="O774587" s="9"/>
    </row>
    <row r="774608" spans="15:15" x14ac:dyDescent="0.25">
      <c r="O774608" s="9"/>
    </row>
    <row r="774629" spans="15:15" x14ac:dyDescent="0.25">
      <c r="O774629" s="9"/>
    </row>
    <row r="774650" spans="15:15" x14ac:dyDescent="0.25">
      <c r="O774650" s="9"/>
    </row>
    <row r="774671" spans="15:15" x14ac:dyDescent="0.25">
      <c r="O774671" s="9"/>
    </row>
    <row r="774692" spans="15:15" x14ac:dyDescent="0.25">
      <c r="O774692" s="9"/>
    </row>
    <row r="774713" spans="15:15" x14ac:dyDescent="0.25">
      <c r="O774713" s="9"/>
    </row>
    <row r="774734" spans="15:15" x14ac:dyDescent="0.25">
      <c r="O774734" s="9"/>
    </row>
    <row r="774755" spans="15:15" x14ac:dyDescent="0.25">
      <c r="O774755" s="9"/>
    </row>
    <row r="774776" spans="15:15" x14ac:dyDescent="0.25">
      <c r="O774776" s="9"/>
    </row>
    <row r="774797" spans="15:15" x14ac:dyDescent="0.25">
      <c r="O774797" s="9"/>
    </row>
    <row r="774818" spans="15:15" x14ac:dyDescent="0.25">
      <c r="O774818" s="9"/>
    </row>
    <row r="774839" spans="15:15" x14ac:dyDescent="0.25">
      <c r="O774839" s="9"/>
    </row>
    <row r="774860" spans="15:15" x14ac:dyDescent="0.25">
      <c r="O774860" s="9"/>
    </row>
    <row r="774881" spans="15:15" x14ac:dyDescent="0.25">
      <c r="O774881" s="9"/>
    </row>
    <row r="774902" spans="15:15" x14ac:dyDescent="0.25">
      <c r="O774902" s="9"/>
    </row>
    <row r="774923" spans="15:15" x14ac:dyDescent="0.25">
      <c r="O774923" s="9"/>
    </row>
    <row r="774944" spans="15:15" x14ac:dyDescent="0.25">
      <c r="O774944" s="9"/>
    </row>
    <row r="774965" spans="15:15" x14ac:dyDescent="0.25">
      <c r="O774965" s="9"/>
    </row>
    <row r="774986" spans="15:15" x14ac:dyDescent="0.25">
      <c r="O774986" s="9"/>
    </row>
    <row r="775007" spans="15:15" x14ac:dyDescent="0.25">
      <c r="O775007" s="9"/>
    </row>
    <row r="775028" spans="15:15" x14ac:dyDescent="0.25">
      <c r="O775028" s="9"/>
    </row>
    <row r="775049" spans="15:15" x14ac:dyDescent="0.25">
      <c r="O775049" s="9"/>
    </row>
    <row r="775070" spans="15:15" x14ac:dyDescent="0.25">
      <c r="O775070" s="9"/>
    </row>
    <row r="775091" spans="15:15" x14ac:dyDescent="0.25">
      <c r="O775091" s="9"/>
    </row>
    <row r="775112" spans="15:15" x14ac:dyDescent="0.25">
      <c r="O775112" s="9"/>
    </row>
    <row r="775133" spans="15:15" x14ac:dyDescent="0.25">
      <c r="O775133" s="9"/>
    </row>
    <row r="775154" spans="15:15" x14ac:dyDescent="0.25">
      <c r="O775154" s="9"/>
    </row>
    <row r="775175" spans="15:15" x14ac:dyDescent="0.25">
      <c r="O775175" s="9"/>
    </row>
    <row r="775196" spans="15:15" x14ac:dyDescent="0.25">
      <c r="O775196" s="9"/>
    </row>
    <row r="775217" spans="15:15" x14ac:dyDescent="0.25">
      <c r="O775217" s="9"/>
    </row>
    <row r="775238" spans="15:15" x14ac:dyDescent="0.25">
      <c r="O775238" s="9"/>
    </row>
    <row r="775259" spans="15:15" x14ac:dyDescent="0.25">
      <c r="O775259" s="9"/>
    </row>
    <row r="775280" spans="15:15" x14ac:dyDescent="0.25">
      <c r="O775280" s="9"/>
    </row>
    <row r="775301" spans="15:15" x14ac:dyDescent="0.25">
      <c r="O775301" s="9"/>
    </row>
    <row r="775322" spans="15:15" x14ac:dyDescent="0.25">
      <c r="O775322" s="9"/>
    </row>
    <row r="775343" spans="15:15" x14ac:dyDescent="0.25">
      <c r="O775343" s="9"/>
    </row>
    <row r="775364" spans="15:15" x14ac:dyDescent="0.25">
      <c r="O775364" s="9"/>
    </row>
    <row r="775385" spans="15:15" x14ac:dyDescent="0.25">
      <c r="O775385" s="9"/>
    </row>
    <row r="775406" spans="15:15" x14ac:dyDescent="0.25">
      <c r="O775406" s="9"/>
    </row>
    <row r="775427" spans="15:15" x14ac:dyDescent="0.25">
      <c r="O775427" s="9"/>
    </row>
    <row r="775448" spans="15:15" x14ac:dyDescent="0.25">
      <c r="O775448" s="9"/>
    </row>
    <row r="775469" spans="15:15" x14ac:dyDescent="0.25">
      <c r="O775469" s="9"/>
    </row>
    <row r="775490" spans="15:15" x14ac:dyDescent="0.25">
      <c r="O775490" s="9"/>
    </row>
    <row r="775511" spans="15:15" x14ac:dyDescent="0.25">
      <c r="O775511" s="9"/>
    </row>
    <row r="775532" spans="15:15" x14ac:dyDescent="0.25">
      <c r="O775532" s="9"/>
    </row>
    <row r="775553" spans="15:15" x14ac:dyDescent="0.25">
      <c r="O775553" s="9"/>
    </row>
    <row r="775574" spans="15:15" x14ac:dyDescent="0.25">
      <c r="O775574" s="9"/>
    </row>
    <row r="775595" spans="15:15" x14ac:dyDescent="0.25">
      <c r="O775595" s="9"/>
    </row>
    <row r="775616" spans="15:15" x14ac:dyDescent="0.25">
      <c r="O775616" s="9"/>
    </row>
    <row r="775637" spans="15:15" x14ac:dyDescent="0.25">
      <c r="O775637" s="9"/>
    </row>
    <row r="775658" spans="15:15" x14ac:dyDescent="0.25">
      <c r="O775658" s="9"/>
    </row>
    <row r="775679" spans="15:15" x14ac:dyDescent="0.25">
      <c r="O775679" s="9"/>
    </row>
    <row r="775700" spans="15:15" x14ac:dyDescent="0.25">
      <c r="O775700" s="9"/>
    </row>
    <row r="775721" spans="15:15" x14ac:dyDescent="0.25">
      <c r="O775721" s="9"/>
    </row>
    <row r="775742" spans="15:15" x14ac:dyDescent="0.25">
      <c r="O775742" s="9"/>
    </row>
    <row r="775763" spans="15:15" x14ac:dyDescent="0.25">
      <c r="O775763" s="9"/>
    </row>
    <row r="775784" spans="15:15" x14ac:dyDescent="0.25">
      <c r="O775784" s="9"/>
    </row>
    <row r="775805" spans="15:15" x14ac:dyDescent="0.25">
      <c r="O775805" s="9"/>
    </row>
    <row r="775826" spans="15:15" x14ac:dyDescent="0.25">
      <c r="O775826" s="9"/>
    </row>
    <row r="775847" spans="15:15" x14ac:dyDescent="0.25">
      <c r="O775847" s="9"/>
    </row>
    <row r="775868" spans="15:15" x14ac:dyDescent="0.25">
      <c r="O775868" s="9"/>
    </row>
    <row r="775889" spans="15:15" x14ac:dyDescent="0.25">
      <c r="O775889" s="9"/>
    </row>
    <row r="775910" spans="15:15" x14ac:dyDescent="0.25">
      <c r="O775910" s="9"/>
    </row>
    <row r="775931" spans="15:15" x14ac:dyDescent="0.25">
      <c r="O775931" s="9"/>
    </row>
    <row r="775952" spans="15:15" x14ac:dyDescent="0.25">
      <c r="O775952" s="9"/>
    </row>
    <row r="775973" spans="15:15" x14ac:dyDescent="0.25">
      <c r="O775973" s="9"/>
    </row>
    <row r="775994" spans="15:15" x14ac:dyDescent="0.25">
      <c r="O775994" s="9"/>
    </row>
    <row r="776015" spans="15:15" x14ac:dyDescent="0.25">
      <c r="O776015" s="9"/>
    </row>
    <row r="776036" spans="15:15" x14ac:dyDescent="0.25">
      <c r="O776036" s="9"/>
    </row>
    <row r="776057" spans="15:15" x14ac:dyDescent="0.25">
      <c r="O776057" s="9"/>
    </row>
    <row r="776078" spans="15:15" x14ac:dyDescent="0.25">
      <c r="O776078" s="9"/>
    </row>
    <row r="776099" spans="15:15" x14ac:dyDescent="0.25">
      <c r="O776099" s="9"/>
    </row>
    <row r="776120" spans="15:15" x14ac:dyDescent="0.25">
      <c r="O776120" s="9"/>
    </row>
    <row r="776141" spans="15:15" x14ac:dyDescent="0.25">
      <c r="O776141" s="9"/>
    </row>
    <row r="776162" spans="15:15" x14ac:dyDescent="0.25">
      <c r="O776162" s="9"/>
    </row>
    <row r="776183" spans="15:15" x14ac:dyDescent="0.25">
      <c r="O776183" s="9"/>
    </row>
    <row r="776204" spans="15:15" x14ac:dyDescent="0.25">
      <c r="O776204" s="9"/>
    </row>
    <row r="776225" spans="15:15" x14ac:dyDescent="0.25">
      <c r="O776225" s="9"/>
    </row>
    <row r="776246" spans="15:15" x14ac:dyDescent="0.25">
      <c r="O776246" s="9"/>
    </row>
    <row r="776267" spans="15:15" x14ac:dyDescent="0.25">
      <c r="O776267" s="9"/>
    </row>
    <row r="776288" spans="15:15" x14ac:dyDescent="0.25">
      <c r="O776288" s="9"/>
    </row>
    <row r="776309" spans="15:15" x14ac:dyDescent="0.25">
      <c r="O776309" s="9"/>
    </row>
    <row r="776330" spans="15:15" x14ac:dyDescent="0.25">
      <c r="O776330" s="9"/>
    </row>
    <row r="776351" spans="15:15" x14ac:dyDescent="0.25">
      <c r="O776351" s="9"/>
    </row>
    <row r="776372" spans="15:15" x14ac:dyDescent="0.25">
      <c r="O776372" s="9"/>
    </row>
    <row r="776393" spans="15:15" x14ac:dyDescent="0.25">
      <c r="O776393" s="9"/>
    </row>
    <row r="776414" spans="15:15" x14ac:dyDescent="0.25">
      <c r="O776414" s="9"/>
    </row>
    <row r="776435" spans="15:15" x14ac:dyDescent="0.25">
      <c r="O776435" s="9"/>
    </row>
    <row r="776456" spans="15:15" x14ac:dyDescent="0.25">
      <c r="O776456" s="9"/>
    </row>
    <row r="776477" spans="15:15" x14ac:dyDescent="0.25">
      <c r="O776477" s="9"/>
    </row>
    <row r="776498" spans="15:15" x14ac:dyDescent="0.25">
      <c r="O776498" s="9"/>
    </row>
    <row r="776519" spans="15:15" x14ac:dyDescent="0.25">
      <c r="O776519" s="9"/>
    </row>
    <row r="776540" spans="15:15" x14ac:dyDescent="0.25">
      <c r="O776540" s="9"/>
    </row>
    <row r="776561" spans="15:15" x14ac:dyDescent="0.25">
      <c r="O776561" s="9"/>
    </row>
    <row r="776582" spans="15:15" x14ac:dyDescent="0.25">
      <c r="O776582" s="9"/>
    </row>
    <row r="776603" spans="15:15" x14ac:dyDescent="0.25">
      <c r="O776603" s="9"/>
    </row>
    <row r="776624" spans="15:15" x14ac:dyDescent="0.25">
      <c r="O776624" s="9"/>
    </row>
    <row r="776645" spans="15:15" x14ac:dyDescent="0.25">
      <c r="O776645" s="9"/>
    </row>
    <row r="776666" spans="15:15" x14ac:dyDescent="0.25">
      <c r="O776666" s="9"/>
    </row>
    <row r="776687" spans="15:15" x14ac:dyDescent="0.25">
      <c r="O776687" s="9"/>
    </row>
    <row r="776708" spans="15:15" x14ac:dyDescent="0.25">
      <c r="O776708" s="9"/>
    </row>
    <row r="776729" spans="15:15" x14ac:dyDescent="0.25">
      <c r="O776729" s="9"/>
    </row>
    <row r="776750" spans="15:15" x14ac:dyDescent="0.25">
      <c r="O776750" s="9"/>
    </row>
    <row r="776771" spans="15:15" x14ac:dyDescent="0.25">
      <c r="O776771" s="9"/>
    </row>
    <row r="776792" spans="15:15" x14ac:dyDescent="0.25">
      <c r="O776792" s="9"/>
    </row>
    <row r="776813" spans="15:15" x14ac:dyDescent="0.25">
      <c r="O776813" s="9"/>
    </row>
    <row r="776834" spans="15:15" x14ac:dyDescent="0.25">
      <c r="O776834" s="9"/>
    </row>
    <row r="776855" spans="15:15" x14ac:dyDescent="0.25">
      <c r="O776855" s="9"/>
    </row>
    <row r="776876" spans="15:15" x14ac:dyDescent="0.25">
      <c r="O776876" s="9"/>
    </row>
    <row r="776897" spans="15:15" x14ac:dyDescent="0.25">
      <c r="O776897" s="9"/>
    </row>
    <row r="776918" spans="15:15" x14ac:dyDescent="0.25">
      <c r="O776918" s="9"/>
    </row>
    <row r="776939" spans="15:15" x14ac:dyDescent="0.25">
      <c r="O776939" s="9"/>
    </row>
    <row r="776960" spans="15:15" x14ac:dyDescent="0.25">
      <c r="O776960" s="9"/>
    </row>
    <row r="776981" spans="15:15" x14ac:dyDescent="0.25">
      <c r="O776981" s="9"/>
    </row>
    <row r="777002" spans="15:15" x14ac:dyDescent="0.25">
      <c r="O777002" s="9"/>
    </row>
    <row r="777023" spans="15:15" x14ac:dyDescent="0.25">
      <c r="O777023" s="9"/>
    </row>
    <row r="777044" spans="15:15" x14ac:dyDescent="0.25">
      <c r="O777044" s="9"/>
    </row>
    <row r="777065" spans="15:15" x14ac:dyDescent="0.25">
      <c r="O777065" s="9"/>
    </row>
    <row r="777086" spans="15:15" x14ac:dyDescent="0.25">
      <c r="O777086" s="9"/>
    </row>
    <row r="777107" spans="15:15" x14ac:dyDescent="0.25">
      <c r="O777107" s="9"/>
    </row>
    <row r="777128" spans="15:15" x14ac:dyDescent="0.25">
      <c r="O777128" s="9"/>
    </row>
    <row r="777149" spans="15:15" x14ac:dyDescent="0.25">
      <c r="O777149" s="9"/>
    </row>
    <row r="777170" spans="15:15" x14ac:dyDescent="0.25">
      <c r="O777170" s="9"/>
    </row>
    <row r="777191" spans="15:15" x14ac:dyDescent="0.25">
      <c r="O777191" s="9"/>
    </row>
    <row r="777212" spans="15:15" x14ac:dyDescent="0.25">
      <c r="O777212" s="9"/>
    </row>
    <row r="777233" spans="15:15" x14ac:dyDescent="0.25">
      <c r="O777233" s="9"/>
    </row>
    <row r="777254" spans="15:15" x14ac:dyDescent="0.25">
      <c r="O777254" s="9"/>
    </row>
    <row r="777275" spans="15:15" x14ac:dyDescent="0.25">
      <c r="O777275" s="9"/>
    </row>
    <row r="777296" spans="15:15" x14ac:dyDescent="0.25">
      <c r="O777296" s="9"/>
    </row>
    <row r="777317" spans="15:15" x14ac:dyDescent="0.25">
      <c r="O777317" s="9"/>
    </row>
    <row r="777338" spans="15:15" x14ac:dyDescent="0.25">
      <c r="O777338" s="9"/>
    </row>
    <row r="777359" spans="15:15" x14ac:dyDescent="0.25">
      <c r="O777359" s="9"/>
    </row>
    <row r="777380" spans="15:15" x14ac:dyDescent="0.25">
      <c r="O777380" s="9"/>
    </row>
    <row r="777401" spans="15:15" x14ac:dyDescent="0.25">
      <c r="O777401" s="9"/>
    </row>
    <row r="777422" spans="15:15" x14ac:dyDescent="0.25">
      <c r="O777422" s="9"/>
    </row>
    <row r="777443" spans="15:15" x14ac:dyDescent="0.25">
      <c r="O777443" s="9"/>
    </row>
    <row r="777464" spans="15:15" x14ac:dyDescent="0.25">
      <c r="O777464" s="9"/>
    </row>
    <row r="777485" spans="15:15" x14ac:dyDescent="0.25">
      <c r="O777485" s="9"/>
    </row>
    <row r="777506" spans="15:15" x14ac:dyDescent="0.25">
      <c r="O777506" s="9"/>
    </row>
    <row r="777527" spans="15:15" x14ac:dyDescent="0.25">
      <c r="O777527" s="9"/>
    </row>
    <row r="777548" spans="15:15" x14ac:dyDescent="0.25">
      <c r="O777548" s="9"/>
    </row>
    <row r="777569" spans="15:15" x14ac:dyDescent="0.25">
      <c r="O777569" s="9"/>
    </row>
    <row r="777590" spans="15:15" x14ac:dyDescent="0.25">
      <c r="O777590" s="9"/>
    </row>
    <row r="777611" spans="15:15" x14ac:dyDescent="0.25">
      <c r="O777611" s="9"/>
    </row>
    <row r="777632" spans="15:15" x14ac:dyDescent="0.25">
      <c r="O777632" s="9"/>
    </row>
    <row r="777653" spans="15:15" x14ac:dyDescent="0.25">
      <c r="O777653" s="9"/>
    </row>
    <row r="777674" spans="15:15" x14ac:dyDescent="0.25">
      <c r="O777674" s="9"/>
    </row>
    <row r="777695" spans="15:15" x14ac:dyDescent="0.25">
      <c r="O777695" s="9"/>
    </row>
    <row r="777716" spans="15:15" x14ac:dyDescent="0.25">
      <c r="O777716" s="9"/>
    </row>
    <row r="777737" spans="15:15" x14ac:dyDescent="0.25">
      <c r="O777737" s="9"/>
    </row>
    <row r="777758" spans="15:15" x14ac:dyDescent="0.25">
      <c r="O777758" s="9"/>
    </row>
    <row r="777779" spans="15:15" x14ac:dyDescent="0.25">
      <c r="O777779" s="9"/>
    </row>
    <row r="777800" spans="15:15" x14ac:dyDescent="0.25">
      <c r="O777800" s="9"/>
    </row>
    <row r="777821" spans="15:15" x14ac:dyDescent="0.25">
      <c r="O777821" s="9"/>
    </row>
    <row r="777842" spans="15:15" x14ac:dyDescent="0.25">
      <c r="O777842" s="9"/>
    </row>
    <row r="777863" spans="15:15" x14ac:dyDescent="0.25">
      <c r="O777863" s="9"/>
    </row>
    <row r="777884" spans="15:15" x14ac:dyDescent="0.25">
      <c r="O777884" s="9"/>
    </row>
    <row r="777905" spans="15:15" x14ac:dyDescent="0.25">
      <c r="O777905" s="9"/>
    </row>
    <row r="777926" spans="15:15" x14ac:dyDescent="0.25">
      <c r="O777926" s="9"/>
    </row>
    <row r="777947" spans="15:15" x14ac:dyDescent="0.25">
      <c r="O777947" s="9"/>
    </row>
    <row r="777968" spans="15:15" x14ac:dyDescent="0.25">
      <c r="O777968" s="9"/>
    </row>
    <row r="777989" spans="15:15" x14ac:dyDescent="0.25">
      <c r="O777989" s="9"/>
    </row>
    <row r="778010" spans="15:15" x14ac:dyDescent="0.25">
      <c r="O778010" s="9"/>
    </row>
    <row r="778031" spans="15:15" x14ac:dyDescent="0.25">
      <c r="O778031" s="9"/>
    </row>
    <row r="778052" spans="15:15" x14ac:dyDescent="0.25">
      <c r="O778052" s="9"/>
    </row>
    <row r="778073" spans="15:15" x14ac:dyDescent="0.25">
      <c r="O778073" s="9"/>
    </row>
    <row r="778094" spans="15:15" x14ac:dyDescent="0.25">
      <c r="O778094" s="9"/>
    </row>
    <row r="778115" spans="15:15" x14ac:dyDescent="0.25">
      <c r="O778115" s="9"/>
    </row>
    <row r="778136" spans="15:15" x14ac:dyDescent="0.25">
      <c r="O778136" s="9"/>
    </row>
    <row r="778157" spans="15:15" x14ac:dyDescent="0.25">
      <c r="O778157" s="9"/>
    </row>
    <row r="778178" spans="15:15" x14ac:dyDescent="0.25">
      <c r="O778178" s="9"/>
    </row>
    <row r="778199" spans="15:15" x14ac:dyDescent="0.25">
      <c r="O778199" s="9"/>
    </row>
    <row r="778220" spans="15:15" x14ac:dyDescent="0.25">
      <c r="O778220" s="9"/>
    </row>
    <row r="778241" spans="15:15" x14ac:dyDescent="0.25">
      <c r="O778241" s="9"/>
    </row>
    <row r="778262" spans="15:15" x14ac:dyDescent="0.25">
      <c r="O778262" s="9"/>
    </row>
    <row r="778283" spans="15:15" x14ac:dyDescent="0.25">
      <c r="O778283" s="9"/>
    </row>
    <row r="778304" spans="15:15" x14ac:dyDescent="0.25">
      <c r="O778304" s="9"/>
    </row>
    <row r="778325" spans="15:15" x14ac:dyDescent="0.25">
      <c r="O778325" s="9"/>
    </row>
    <row r="778346" spans="15:15" x14ac:dyDescent="0.25">
      <c r="O778346" s="9"/>
    </row>
    <row r="778367" spans="15:15" x14ac:dyDescent="0.25">
      <c r="O778367" s="9"/>
    </row>
    <row r="778388" spans="15:15" x14ac:dyDescent="0.25">
      <c r="O778388" s="9"/>
    </row>
    <row r="778409" spans="15:15" x14ac:dyDescent="0.25">
      <c r="O778409" s="9"/>
    </row>
    <row r="778430" spans="15:15" x14ac:dyDescent="0.25">
      <c r="O778430" s="9"/>
    </row>
    <row r="778451" spans="15:15" x14ac:dyDescent="0.25">
      <c r="O778451" s="9"/>
    </row>
    <row r="778472" spans="15:15" x14ac:dyDescent="0.25">
      <c r="O778472" s="9"/>
    </row>
    <row r="778493" spans="15:15" x14ac:dyDescent="0.25">
      <c r="O778493" s="9"/>
    </row>
    <row r="778514" spans="15:15" x14ac:dyDescent="0.25">
      <c r="O778514" s="9"/>
    </row>
    <row r="778535" spans="15:15" x14ac:dyDescent="0.25">
      <c r="O778535" s="9"/>
    </row>
    <row r="778556" spans="15:15" x14ac:dyDescent="0.25">
      <c r="O778556" s="9"/>
    </row>
    <row r="778577" spans="15:15" x14ac:dyDescent="0.25">
      <c r="O778577" s="9"/>
    </row>
    <row r="778598" spans="15:15" x14ac:dyDescent="0.25">
      <c r="O778598" s="9"/>
    </row>
    <row r="778619" spans="15:15" x14ac:dyDescent="0.25">
      <c r="O778619" s="9"/>
    </row>
    <row r="778640" spans="15:15" x14ac:dyDescent="0.25">
      <c r="O778640" s="9"/>
    </row>
    <row r="778661" spans="15:15" x14ac:dyDescent="0.25">
      <c r="O778661" s="9"/>
    </row>
    <row r="778682" spans="15:15" x14ac:dyDescent="0.25">
      <c r="O778682" s="9"/>
    </row>
    <row r="778703" spans="15:15" x14ac:dyDescent="0.25">
      <c r="O778703" s="9"/>
    </row>
    <row r="778724" spans="15:15" x14ac:dyDescent="0.25">
      <c r="O778724" s="9"/>
    </row>
    <row r="778745" spans="15:15" x14ac:dyDescent="0.25">
      <c r="O778745" s="9"/>
    </row>
    <row r="778766" spans="15:15" x14ac:dyDescent="0.25">
      <c r="O778766" s="9"/>
    </row>
    <row r="778787" spans="15:15" x14ac:dyDescent="0.25">
      <c r="O778787" s="9"/>
    </row>
    <row r="778808" spans="15:15" x14ac:dyDescent="0.25">
      <c r="O778808" s="9"/>
    </row>
    <row r="778829" spans="15:15" x14ac:dyDescent="0.25">
      <c r="O778829" s="9"/>
    </row>
    <row r="778850" spans="15:15" x14ac:dyDescent="0.25">
      <c r="O778850" s="9"/>
    </row>
    <row r="778871" spans="15:15" x14ac:dyDescent="0.25">
      <c r="O778871" s="9"/>
    </row>
    <row r="778892" spans="15:15" x14ac:dyDescent="0.25">
      <c r="O778892" s="9"/>
    </row>
    <row r="778913" spans="15:15" x14ac:dyDescent="0.25">
      <c r="O778913" s="9"/>
    </row>
    <row r="778934" spans="15:15" x14ac:dyDescent="0.25">
      <c r="O778934" s="9"/>
    </row>
    <row r="778955" spans="15:15" x14ac:dyDescent="0.25">
      <c r="O778955" s="9"/>
    </row>
    <row r="778976" spans="15:15" x14ac:dyDescent="0.25">
      <c r="O778976" s="9"/>
    </row>
    <row r="778997" spans="15:15" x14ac:dyDescent="0.25">
      <c r="O778997" s="9"/>
    </row>
    <row r="779018" spans="15:15" x14ac:dyDescent="0.25">
      <c r="O779018" s="9"/>
    </row>
    <row r="779039" spans="15:15" x14ac:dyDescent="0.25">
      <c r="O779039" s="9"/>
    </row>
    <row r="779060" spans="15:15" x14ac:dyDescent="0.25">
      <c r="O779060" s="9"/>
    </row>
    <row r="779081" spans="15:15" x14ac:dyDescent="0.25">
      <c r="O779081" s="9"/>
    </row>
    <row r="779102" spans="15:15" x14ac:dyDescent="0.25">
      <c r="O779102" s="9"/>
    </row>
    <row r="779123" spans="15:15" x14ac:dyDescent="0.25">
      <c r="O779123" s="9"/>
    </row>
    <row r="779144" spans="15:15" x14ac:dyDescent="0.25">
      <c r="O779144" s="9"/>
    </row>
    <row r="779165" spans="15:15" x14ac:dyDescent="0.25">
      <c r="O779165" s="9"/>
    </row>
    <row r="779186" spans="15:15" x14ac:dyDescent="0.25">
      <c r="O779186" s="9"/>
    </row>
    <row r="779207" spans="15:15" x14ac:dyDescent="0.25">
      <c r="O779207" s="9"/>
    </row>
    <row r="779228" spans="15:15" x14ac:dyDescent="0.25">
      <c r="O779228" s="9"/>
    </row>
    <row r="779249" spans="15:15" x14ac:dyDescent="0.25">
      <c r="O779249" s="9"/>
    </row>
    <row r="779270" spans="15:15" x14ac:dyDescent="0.25">
      <c r="O779270" s="9"/>
    </row>
    <row r="779291" spans="15:15" x14ac:dyDescent="0.25">
      <c r="O779291" s="9"/>
    </row>
    <row r="779312" spans="15:15" x14ac:dyDescent="0.25">
      <c r="O779312" s="9"/>
    </row>
    <row r="779333" spans="15:15" x14ac:dyDescent="0.25">
      <c r="O779333" s="9"/>
    </row>
    <row r="779354" spans="15:15" x14ac:dyDescent="0.25">
      <c r="O779354" s="9"/>
    </row>
    <row r="779375" spans="15:15" x14ac:dyDescent="0.25">
      <c r="O779375" s="9"/>
    </row>
    <row r="779396" spans="15:15" x14ac:dyDescent="0.25">
      <c r="O779396" s="9"/>
    </row>
    <row r="779417" spans="15:15" x14ac:dyDescent="0.25">
      <c r="O779417" s="9"/>
    </row>
    <row r="779438" spans="15:15" x14ac:dyDescent="0.25">
      <c r="O779438" s="9"/>
    </row>
    <row r="779459" spans="15:15" x14ac:dyDescent="0.25">
      <c r="O779459" s="9"/>
    </row>
    <row r="779480" spans="15:15" x14ac:dyDescent="0.25">
      <c r="O779480" s="9"/>
    </row>
    <row r="779501" spans="15:15" x14ac:dyDescent="0.25">
      <c r="O779501" s="9"/>
    </row>
    <row r="779522" spans="15:15" x14ac:dyDescent="0.25">
      <c r="O779522" s="9"/>
    </row>
    <row r="779543" spans="15:15" x14ac:dyDescent="0.25">
      <c r="O779543" s="9"/>
    </row>
    <row r="779564" spans="15:15" x14ac:dyDescent="0.25">
      <c r="O779564" s="9"/>
    </row>
    <row r="779585" spans="15:15" x14ac:dyDescent="0.25">
      <c r="O779585" s="9"/>
    </row>
    <row r="779606" spans="15:15" x14ac:dyDescent="0.25">
      <c r="O779606" s="9"/>
    </row>
    <row r="779627" spans="15:15" x14ac:dyDescent="0.25">
      <c r="O779627" s="9"/>
    </row>
    <row r="779648" spans="15:15" x14ac:dyDescent="0.25">
      <c r="O779648" s="9"/>
    </row>
    <row r="779669" spans="15:15" x14ac:dyDescent="0.25">
      <c r="O779669" s="9"/>
    </row>
    <row r="779690" spans="15:15" x14ac:dyDescent="0.25">
      <c r="O779690" s="9"/>
    </row>
    <row r="779711" spans="15:15" x14ac:dyDescent="0.25">
      <c r="O779711" s="9"/>
    </row>
    <row r="779732" spans="15:15" x14ac:dyDescent="0.25">
      <c r="O779732" s="9"/>
    </row>
    <row r="779753" spans="15:15" x14ac:dyDescent="0.25">
      <c r="O779753" s="9"/>
    </row>
    <row r="779774" spans="15:15" x14ac:dyDescent="0.25">
      <c r="O779774" s="9"/>
    </row>
    <row r="779795" spans="15:15" x14ac:dyDescent="0.25">
      <c r="O779795" s="9"/>
    </row>
    <row r="779816" spans="15:15" x14ac:dyDescent="0.25">
      <c r="O779816" s="9"/>
    </row>
    <row r="779837" spans="15:15" x14ac:dyDescent="0.25">
      <c r="O779837" s="9"/>
    </row>
    <row r="779858" spans="15:15" x14ac:dyDescent="0.25">
      <c r="O779858" s="9"/>
    </row>
    <row r="779879" spans="15:15" x14ac:dyDescent="0.25">
      <c r="O779879" s="9"/>
    </row>
    <row r="779900" spans="15:15" x14ac:dyDescent="0.25">
      <c r="O779900" s="9"/>
    </row>
    <row r="779921" spans="15:15" x14ac:dyDescent="0.25">
      <c r="O779921" s="9"/>
    </row>
    <row r="779942" spans="15:15" x14ac:dyDescent="0.25">
      <c r="O779942" s="9"/>
    </row>
    <row r="779963" spans="15:15" x14ac:dyDescent="0.25">
      <c r="O779963" s="9"/>
    </row>
    <row r="779984" spans="15:15" x14ac:dyDescent="0.25">
      <c r="O779984" s="9"/>
    </row>
    <row r="780005" spans="15:15" x14ac:dyDescent="0.25">
      <c r="O780005" s="9"/>
    </row>
    <row r="780026" spans="15:15" x14ac:dyDescent="0.25">
      <c r="O780026" s="9"/>
    </row>
    <row r="780047" spans="15:15" x14ac:dyDescent="0.25">
      <c r="O780047" s="9"/>
    </row>
    <row r="780068" spans="15:15" x14ac:dyDescent="0.25">
      <c r="O780068" s="9"/>
    </row>
    <row r="780089" spans="15:15" x14ac:dyDescent="0.25">
      <c r="O780089" s="9"/>
    </row>
    <row r="780110" spans="15:15" x14ac:dyDescent="0.25">
      <c r="O780110" s="9"/>
    </row>
    <row r="780131" spans="15:15" x14ac:dyDescent="0.25">
      <c r="O780131" s="9"/>
    </row>
    <row r="780152" spans="15:15" x14ac:dyDescent="0.25">
      <c r="O780152" s="9"/>
    </row>
    <row r="780173" spans="15:15" x14ac:dyDescent="0.25">
      <c r="O780173" s="9"/>
    </row>
    <row r="780194" spans="15:15" x14ac:dyDescent="0.25">
      <c r="O780194" s="9"/>
    </row>
    <row r="780215" spans="15:15" x14ac:dyDescent="0.25">
      <c r="O780215" s="9"/>
    </row>
    <row r="780236" spans="15:15" x14ac:dyDescent="0.25">
      <c r="O780236" s="9"/>
    </row>
    <row r="780257" spans="15:15" x14ac:dyDescent="0.25">
      <c r="O780257" s="9"/>
    </row>
    <row r="780278" spans="15:15" x14ac:dyDescent="0.25">
      <c r="O780278" s="9"/>
    </row>
    <row r="780299" spans="15:15" x14ac:dyDescent="0.25">
      <c r="O780299" s="9"/>
    </row>
    <row r="780320" spans="15:15" x14ac:dyDescent="0.25">
      <c r="O780320" s="9"/>
    </row>
    <row r="780341" spans="15:15" x14ac:dyDescent="0.25">
      <c r="O780341" s="9"/>
    </row>
    <row r="780362" spans="15:15" x14ac:dyDescent="0.25">
      <c r="O780362" s="9"/>
    </row>
    <row r="780383" spans="15:15" x14ac:dyDescent="0.25">
      <c r="O780383" s="9"/>
    </row>
    <row r="780404" spans="15:15" x14ac:dyDescent="0.25">
      <c r="O780404" s="9"/>
    </row>
    <row r="780425" spans="15:15" x14ac:dyDescent="0.25">
      <c r="O780425" s="9"/>
    </row>
    <row r="780446" spans="15:15" x14ac:dyDescent="0.25">
      <c r="O780446" s="9"/>
    </row>
    <row r="780467" spans="15:15" x14ac:dyDescent="0.25">
      <c r="O780467" s="9"/>
    </row>
    <row r="780488" spans="15:15" x14ac:dyDescent="0.25">
      <c r="O780488" s="9"/>
    </row>
    <row r="780509" spans="15:15" x14ac:dyDescent="0.25">
      <c r="O780509" s="9"/>
    </row>
    <row r="780530" spans="15:15" x14ac:dyDescent="0.25">
      <c r="O780530" s="9"/>
    </row>
    <row r="780551" spans="15:15" x14ac:dyDescent="0.25">
      <c r="O780551" s="9"/>
    </row>
    <row r="780572" spans="15:15" x14ac:dyDescent="0.25">
      <c r="O780572" s="9"/>
    </row>
    <row r="780593" spans="15:15" x14ac:dyDescent="0.25">
      <c r="O780593" s="9"/>
    </row>
    <row r="780614" spans="15:15" x14ac:dyDescent="0.25">
      <c r="O780614" s="9"/>
    </row>
    <row r="780635" spans="15:15" x14ac:dyDescent="0.25">
      <c r="O780635" s="9"/>
    </row>
    <row r="780656" spans="15:15" x14ac:dyDescent="0.25">
      <c r="O780656" s="9"/>
    </row>
    <row r="780677" spans="15:15" x14ac:dyDescent="0.25">
      <c r="O780677" s="9"/>
    </row>
    <row r="780698" spans="15:15" x14ac:dyDescent="0.25">
      <c r="O780698" s="9"/>
    </row>
    <row r="780719" spans="15:15" x14ac:dyDescent="0.25">
      <c r="O780719" s="9"/>
    </row>
    <row r="780740" spans="15:15" x14ac:dyDescent="0.25">
      <c r="O780740" s="9"/>
    </row>
    <row r="780761" spans="15:15" x14ac:dyDescent="0.25">
      <c r="O780761" s="9"/>
    </row>
    <row r="780782" spans="15:15" x14ac:dyDescent="0.25">
      <c r="O780782" s="9"/>
    </row>
    <row r="780803" spans="15:15" x14ac:dyDescent="0.25">
      <c r="O780803" s="9"/>
    </row>
    <row r="780824" spans="15:15" x14ac:dyDescent="0.25">
      <c r="O780824" s="9"/>
    </row>
    <row r="780845" spans="15:15" x14ac:dyDescent="0.25">
      <c r="O780845" s="9"/>
    </row>
    <row r="780866" spans="15:15" x14ac:dyDescent="0.25">
      <c r="O780866" s="9"/>
    </row>
    <row r="780887" spans="15:15" x14ac:dyDescent="0.25">
      <c r="O780887" s="9"/>
    </row>
    <row r="780908" spans="15:15" x14ac:dyDescent="0.25">
      <c r="O780908" s="9"/>
    </row>
    <row r="780929" spans="15:15" x14ac:dyDescent="0.25">
      <c r="O780929" s="9"/>
    </row>
    <row r="780950" spans="15:15" x14ac:dyDescent="0.25">
      <c r="O780950" s="9"/>
    </row>
    <row r="780971" spans="15:15" x14ac:dyDescent="0.25">
      <c r="O780971" s="9"/>
    </row>
    <row r="780992" spans="15:15" x14ac:dyDescent="0.25">
      <c r="O780992" s="9"/>
    </row>
    <row r="781013" spans="15:15" x14ac:dyDescent="0.25">
      <c r="O781013" s="9"/>
    </row>
    <row r="781034" spans="15:15" x14ac:dyDescent="0.25">
      <c r="O781034" s="9"/>
    </row>
    <row r="781055" spans="15:15" x14ac:dyDescent="0.25">
      <c r="O781055" s="9"/>
    </row>
    <row r="781076" spans="15:15" x14ac:dyDescent="0.25">
      <c r="O781076" s="9"/>
    </row>
    <row r="781097" spans="15:15" x14ac:dyDescent="0.25">
      <c r="O781097" s="9"/>
    </row>
    <row r="781118" spans="15:15" x14ac:dyDescent="0.25">
      <c r="O781118" s="9"/>
    </row>
    <row r="781139" spans="15:15" x14ac:dyDescent="0.25">
      <c r="O781139" s="9"/>
    </row>
    <row r="781160" spans="15:15" x14ac:dyDescent="0.25">
      <c r="O781160" s="9"/>
    </row>
    <row r="781181" spans="15:15" x14ac:dyDescent="0.25">
      <c r="O781181" s="9"/>
    </row>
    <row r="781202" spans="15:15" x14ac:dyDescent="0.25">
      <c r="O781202" s="9"/>
    </row>
    <row r="781223" spans="15:15" x14ac:dyDescent="0.25">
      <c r="O781223" s="9"/>
    </row>
    <row r="781244" spans="15:15" x14ac:dyDescent="0.25">
      <c r="O781244" s="9"/>
    </row>
    <row r="781265" spans="15:15" x14ac:dyDescent="0.25">
      <c r="O781265" s="9"/>
    </row>
    <row r="781286" spans="15:15" x14ac:dyDescent="0.25">
      <c r="O781286" s="9"/>
    </row>
    <row r="781307" spans="15:15" x14ac:dyDescent="0.25">
      <c r="O781307" s="9"/>
    </row>
    <row r="781328" spans="15:15" x14ac:dyDescent="0.25">
      <c r="O781328" s="9"/>
    </row>
    <row r="781349" spans="15:15" x14ac:dyDescent="0.25">
      <c r="O781349" s="9"/>
    </row>
    <row r="781370" spans="15:15" x14ac:dyDescent="0.25">
      <c r="O781370" s="9"/>
    </row>
    <row r="781391" spans="15:15" x14ac:dyDescent="0.25">
      <c r="O781391" s="9"/>
    </row>
    <row r="781412" spans="15:15" x14ac:dyDescent="0.25">
      <c r="O781412" s="9"/>
    </row>
    <row r="781433" spans="15:15" x14ac:dyDescent="0.25">
      <c r="O781433" s="9"/>
    </row>
    <row r="781454" spans="15:15" x14ac:dyDescent="0.25">
      <c r="O781454" s="9"/>
    </row>
    <row r="781475" spans="15:15" x14ac:dyDescent="0.25">
      <c r="O781475" s="9"/>
    </row>
    <row r="781496" spans="15:15" x14ac:dyDescent="0.25">
      <c r="O781496" s="9"/>
    </row>
    <row r="781517" spans="15:15" x14ac:dyDescent="0.25">
      <c r="O781517" s="9"/>
    </row>
    <row r="781538" spans="15:15" x14ac:dyDescent="0.25">
      <c r="O781538" s="9"/>
    </row>
    <row r="781559" spans="15:15" x14ac:dyDescent="0.25">
      <c r="O781559" s="9"/>
    </row>
    <row r="781580" spans="15:15" x14ac:dyDescent="0.25">
      <c r="O781580" s="9"/>
    </row>
    <row r="781601" spans="15:15" x14ac:dyDescent="0.25">
      <c r="O781601" s="9"/>
    </row>
    <row r="781622" spans="15:15" x14ac:dyDescent="0.25">
      <c r="O781622" s="9"/>
    </row>
    <row r="781643" spans="15:15" x14ac:dyDescent="0.25">
      <c r="O781643" s="9"/>
    </row>
    <row r="781664" spans="15:15" x14ac:dyDescent="0.25">
      <c r="O781664" s="9"/>
    </row>
    <row r="781685" spans="15:15" x14ac:dyDescent="0.25">
      <c r="O781685" s="9"/>
    </row>
    <row r="781706" spans="15:15" x14ac:dyDescent="0.25">
      <c r="O781706" s="9"/>
    </row>
    <row r="781727" spans="15:15" x14ac:dyDescent="0.25">
      <c r="O781727" s="9"/>
    </row>
    <row r="781748" spans="15:15" x14ac:dyDescent="0.25">
      <c r="O781748" s="9"/>
    </row>
    <row r="781769" spans="15:15" x14ac:dyDescent="0.25">
      <c r="O781769" s="9"/>
    </row>
    <row r="781790" spans="15:15" x14ac:dyDescent="0.25">
      <c r="O781790" s="9"/>
    </row>
    <row r="781811" spans="15:15" x14ac:dyDescent="0.25">
      <c r="O781811" s="9"/>
    </row>
    <row r="781832" spans="15:15" x14ac:dyDescent="0.25">
      <c r="O781832" s="9"/>
    </row>
    <row r="781853" spans="15:15" x14ac:dyDescent="0.25">
      <c r="O781853" s="9"/>
    </row>
    <row r="781874" spans="15:15" x14ac:dyDescent="0.25">
      <c r="O781874" s="9"/>
    </row>
    <row r="781895" spans="15:15" x14ac:dyDescent="0.25">
      <c r="O781895" s="9"/>
    </row>
    <row r="781916" spans="15:15" x14ac:dyDescent="0.25">
      <c r="O781916" s="9"/>
    </row>
    <row r="781937" spans="15:15" x14ac:dyDescent="0.25">
      <c r="O781937" s="9"/>
    </row>
    <row r="781958" spans="15:15" x14ac:dyDescent="0.25">
      <c r="O781958" s="9"/>
    </row>
    <row r="781979" spans="15:15" x14ac:dyDescent="0.25">
      <c r="O781979" s="9"/>
    </row>
    <row r="782000" spans="15:15" x14ac:dyDescent="0.25">
      <c r="O782000" s="9"/>
    </row>
    <row r="782021" spans="15:15" x14ac:dyDescent="0.25">
      <c r="O782021" s="9"/>
    </row>
    <row r="782042" spans="15:15" x14ac:dyDescent="0.25">
      <c r="O782042" s="9"/>
    </row>
    <row r="782063" spans="15:15" x14ac:dyDescent="0.25">
      <c r="O782063" s="9"/>
    </row>
    <row r="782084" spans="15:15" x14ac:dyDescent="0.25">
      <c r="O782084" s="9"/>
    </row>
    <row r="782105" spans="15:15" x14ac:dyDescent="0.25">
      <c r="O782105" s="9"/>
    </row>
    <row r="782126" spans="15:15" x14ac:dyDescent="0.25">
      <c r="O782126" s="9"/>
    </row>
    <row r="782147" spans="15:15" x14ac:dyDescent="0.25">
      <c r="O782147" s="9"/>
    </row>
    <row r="782168" spans="15:15" x14ac:dyDescent="0.25">
      <c r="O782168" s="9"/>
    </row>
    <row r="782189" spans="15:15" x14ac:dyDescent="0.25">
      <c r="O782189" s="9"/>
    </row>
    <row r="782210" spans="15:15" x14ac:dyDescent="0.25">
      <c r="O782210" s="9"/>
    </row>
    <row r="782231" spans="15:15" x14ac:dyDescent="0.25">
      <c r="O782231" s="9"/>
    </row>
    <row r="782252" spans="15:15" x14ac:dyDescent="0.25">
      <c r="O782252" s="9"/>
    </row>
    <row r="782273" spans="15:15" x14ac:dyDescent="0.25">
      <c r="O782273" s="9"/>
    </row>
    <row r="782294" spans="15:15" x14ac:dyDescent="0.25">
      <c r="O782294" s="9"/>
    </row>
    <row r="782315" spans="15:15" x14ac:dyDescent="0.25">
      <c r="O782315" s="9"/>
    </row>
    <row r="782336" spans="15:15" x14ac:dyDescent="0.25">
      <c r="O782336" s="9"/>
    </row>
    <row r="782357" spans="15:15" x14ac:dyDescent="0.25">
      <c r="O782357" s="9"/>
    </row>
    <row r="782378" spans="15:15" x14ac:dyDescent="0.25">
      <c r="O782378" s="9"/>
    </row>
    <row r="782399" spans="15:15" x14ac:dyDescent="0.25">
      <c r="O782399" s="9"/>
    </row>
    <row r="782420" spans="15:15" x14ac:dyDescent="0.25">
      <c r="O782420" s="9"/>
    </row>
    <row r="782441" spans="15:15" x14ac:dyDescent="0.25">
      <c r="O782441" s="9"/>
    </row>
    <row r="782462" spans="15:15" x14ac:dyDescent="0.25">
      <c r="O782462" s="9"/>
    </row>
    <row r="782483" spans="15:15" x14ac:dyDescent="0.25">
      <c r="O782483" s="9"/>
    </row>
    <row r="782504" spans="15:15" x14ac:dyDescent="0.25">
      <c r="O782504" s="9"/>
    </row>
    <row r="782525" spans="15:15" x14ac:dyDescent="0.25">
      <c r="O782525" s="9"/>
    </row>
    <row r="782546" spans="15:15" x14ac:dyDescent="0.25">
      <c r="O782546" s="9"/>
    </row>
    <row r="782567" spans="15:15" x14ac:dyDescent="0.25">
      <c r="O782567" s="9"/>
    </row>
    <row r="782588" spans="15:15" x14ac:dyDescent="0.25">
      <c r="O782588" s="9"/>
    </row>
    <row r="782609" spans="15:15" x14ac:dyDescent="0.25">
      <c r="O782609" s="9"/>
    </row>
    <row r="782630" spans="15:15" x14ac:dyDescent="0.25">
      <c r="O782630" s="9"/>
    </row>
    <row r="782651" spans="15:15" x14ac:dyDescent="0.25">
      <c r="O782651" s="9"/>
    </row>
    <row r="782672" spans="15:15" x14ac:dyDescent="0.25">
      <c r="O782672" s="9"/>
    </row>
    <row r="782693" spans="15:15" x14ac:dyDescent="0.25">
      <c r="O782693" s="9"/>
    </row>
    <row r="782714" spans="15:15" x14ac:dyDescent="0.25">
      <c r="O782714" s="9"/>
    </row>
    <row r="782735" spans="15:15" x14ac:dyDescent="0.25">
      <c r="O782735" s="9"/>
    </row>
    <row r="782756" spans="15:15" x14ac:dyDescent="0.25">
      <c r="O782756" s="9"/>
    </row>
    <row r="782777" spans="15:15" x14ac:dyDescent="0.25">
      <c r="O782777" s="9"/>
    </row>
    <row r="782798" spans="15:15" x14ac:dyDescent="0.25">
      <c r="O782798" s="9"/>
    </row>
    <row r="782819" spans="15:15" x14ac:dyDescent="0.25">
      <c r="O782819" s="9"/>
    </row>
    <row r="782840" spans="15:15" x14ac:dyDescent="0.25">
      <c r="O782840" s="9"/>
    </row>
    <row r="782861" spans="15:15" x14ac:dyDescent="0.25">
      <c r="O782861" s="9"/>
    </row>
    <row r="782882" spans="15:15" x14ac:dyDescent="0.25">
      <c r="O782882" s="9"/>
    </row>
    <row r="782903" spans="15:15" x14ac:dyDescent="0.25">
      <c r="O782903" s="9"/>
    </row>
    <row r="782924" spans="15:15" x14ac:dyDescent="0.25">
      <c r="O782924" s="9"/>
    </row>
    <row r="782945" spans="15:15" x14ac:dyDescent="0.25">
      <c r="O782945" s="9"/>
    </row>
    <row r="782966" spans="15:15" x14ac:dyDescent="0.25">
      <c r="O782966" s="9"/>
    </row>
    <row r="782987" spans="15:15" x14ac:dyDescent="0.25">
      <c r="O782987" s="9"/>
    </row>
    <row r="783008" spans="15:15" x14ac:dyDescent="0.25">
      <c r="O783008" s="9"/>
    </row>
    <row r="783029" spans="15:15" x14ac:dyDescent="0.25">
      <c r="O783029" s="9"/>
    </row>
    <row r="783050" spans="15:15" x14ac:dyDescent="0.25">
      <c r="O783050" s="9"/>
    </row>
    <row r="783071" spans="15:15" x14ac:dyDescent="0.25">
      <c r="O783071" s="9"/>
    </row>
    <row r="783092" spans="15:15" x14ac:dyDescent="0.25">
      <c r="O783092" s="9"/>
    </row>
    <row r="783113" spans="15:15" x14ac:dyDescent="0.25">
      <c r="O783113" s="9"/>
    </row>
    <row r="783134" spans="15:15" x14ac:dyDescent="0.25">
      <c r="O783134" s="9"/>
    </row>
    <row r="783155" spans="15:15" x14ac:dyDescent="0.25">
      <c r="O783155" s="9"/>
    </row>
    <row r="783176" spans="15:15" x14ac:dyDescent="0.25">
      <c r="O783176" s="9"/>
    </row>
    <row r="783197" spans="15:15" x14ac:dyDescent="0.25">
      <c r="O783197" s="9"/>
    </row>
    <row r="783218" spans="15:15" x14ac:dyDescent="0.25">
      <c r="O783218" s="9"/>
    </row>
    <row r="783239" spans="15:15" x14ac:dyDescent="0.25">
      <c r="O783239" s="9"/>
    </row>
    <row r="783260" spans="15:15" x14ac:dyDescent="0.25">
      <c r="O783260" s="9"/>
    </row>
    <row r="783281" spans="15:15" x14ac:dyDescent="0.25">
      <c r="O783281" s="9"/>
    </row>
    <row r="783302" spans="15:15" x14ac:dyDescent="0.25">
      <c r="O783302" s="9"/>
    </row>
    <row r="783323" spans="15:15" x14ac:dyDescent="0.25">
      <c r="O783323" s="9"/>
    </row>
    <row r="783344" spans="15:15" x14ac:dyDescent="0.25">
      <c r="O783344" s="9"/>
    </row>
    <row r="783365" spans="15:15" x14ac:dyDescent="0.25">
      <c r="O783365" s="9"/>
    </row>
    <row r="783386" spans="15:15" x14ac:dyDescent="0.25">
      <c r="O783386" s="9"/>
    </row>
    <row r="783407" spans="15:15" x14ac:dyDescent="0.25">
      <c r="O783407" s="9"/>
    </row>
    <row r="783428" spans="15:15" x14ac:dyDescent="0.25">
      <c r="O783428" s="9"/>
    </row>
    <row r="783449" spans="15:15" x14ac:dyDescent="0.25">
      <c r="O783449" s="9"/>
    </row>
    <row r="783470" spans="15:15" x14ac:dyDescent="0.25">
      <c r="O783470" s="9"/>
    </row>
    <row r="783491" spans="15:15" x14ac:dyDescent="0.25">
      <c r="O783491" s="9"/>
    </row>
    <row r="783512" spans="15:15" x14ac:dyDescent="0.25">
      <c r="O783512" s="9"/>
    </row>
    <row r="783533" spans="15:15" x14ac:dyDescent="0.25">
      <c r="O783533" s="9"/>
    </row>
    <row r="783554" spans="15:15" x14ac:dyDescent="0.25">
      <c r="O783554" s="9"/>
    </row>
    <row r="783575" spans="15:15" x14ac:dyDescent="0.25">
      <c r="O783575" s="9"/>
    </row>
    <row r="783596" spans="15:15" x14ac:dyDescent="0.25">
      <c r="O783596" s="9"/>
    </row>
    <row r="783617" spans="15:15" x14ac:dyDescent="0.25">
      <c r="O783617" s="9"/>
    </row>
    <row r="783638" spans="15:15" x14ac:dyDescent="0.25">
      <c r="O783638" s="9"/>
    </row>
    <row r="783659" spans="15:15" x14ac:dyDescent="0.25">
      <c r="O783659" s="9"/>
    </row>
    <row r="783680" spans="15:15" x14ac:dyDescent="0.25">
      <c r="O783680" s="9"/>
    </row>
    <row r="783701" spans="15:15" x14ac:dyDescent="0.25">
      <c r="O783701" s="9"/>
    </row>
    <row r="783722" spans="15:15" x14ac:dyDescent="0.25">
      <c r="O783722" s="9"/>
    </row>
    <row r="783743" spans="15:15" x14ac:dyDescent="0.25">
      <c r="O783743" s="9"/>
    </row>
    <row r="783764" spans="15:15" x14ac:dyDescent="0.25">
      <c r="O783764" s="9"/>
    </row>
    <row r="783785" spans="15:15" x14ac:dyDescent="0.25">
      <c r="O783785" s="9"/>
    </row>
    <row r="783806" spans="15:15" x14ac:dyDescent="0.25">
      <c r="O783806" s="9"/>
    </row>
    <row r="783827" spans="15:15" x14ac:dyDescent="0.25">
      <c r="O783827" s="9"/>
    </row>
    <row r="783848" spans="15:15" x14ac:dyDescent="0.25">
      <c r="O783848" s="9"/>
    </row>
    <row r="783869" spans="15:15" x14ac:dyDescent="0.25">
      <c r="O783869" s="9"/>
    </row>
    <row r="783890" spans="15:15" x14ac:dyDescent="0.25">
      <c r="O783890" s="9"/>
    </row>
    <row r="783911" spans="15:15" x14ac:dyDescent="0.25">
      <c r="O783911" s="9"/>
    </row>
    <row r="783932" spans="15:15" x14ac:dyDescent="0.25">
      <c r="O783932" s="9"/>
    </row>
    <row r="783953" spans="15:15" x14ac:dyDescent="0.25">
      <c r="O783953" s="9"/>
    </row>
    <row r="783974" spans="15:15" x14ac:dyDescent="0.25">
      <c r="O783974" s="9"/>
    </row>
    <row r="783995" spans="15:15" x14ac:dyDescent="0.25">
      <c r="O783995" s="9"/>
    </row>
    <row r="784016" spans="15:15" x14ac:dyDescent="0.25">
      <c r="O784016" s="9"/>
    </row>
    <row r="784037" spans="15:15" x14ac:dyDescent="0.25">
      <c r="O784037" s="9"/>
    </row>
    <row r="784058" spans="15:15" x14ac:dyDescent="0.25">
      <c r="O784058" s="9"/>
    </row>
    <row r="784079" spans="15:15" x14ac:dyDescent="0.25">
      <c r="O784079" s="9"/>
    </row>
    <row r="784100" spans="15:15" x14ac:dyDescent="0.25">
      <c r="O784100" s="9"/>
    </row>
    <row r="784121" spans="15:15" x14ac:dyDescent="0.25">
      <c r="O784121" s="9"/>
    </row>
    <row r="784142" spans="15:15" x14ac:dyDescent="0.25">
      <c r="O784142" s="9"/>
    </row>
    <row r="784163" spans="15:15" x14ac:dyDescent="0.25">
      <c r="O784163" s="9"/>
    </row>
    <row r="784184" spans="15:15" x14ac:dyDescent="0.25">
      <c r="O784184" s="9"/>
    </row>
    <row r="784205" spans="15:15" x14ac:dyDescent="0.25">
      <c r="O784205" s="9"/>
    </row>
    <row r="784226" spans="15:15" x14ac:dyDescent="0.25">
      <c r="O784226" s="9"/>
    </row>
    <row r="784247" spans="15:15" x14ac:dyDescent="0.25">
      <c r="O784247" s="9"/>
    </row>
    <row r="784268" spans="15:15" x14ac:dyDescent="0.25">
      <c r="O784268" s="9"/>
    </row>
    <row r="784289" spans="15:15" x14ac:dyDescent="0.25">
      <c r="O784289" s="9"/>
    </row>
    <row r="784310" spans="15:15" x14ac:dyDescent="0.25">
      <c r="O784310" s="9"/>
    </row>
    <row r="784331" spans="15:15" x14ac:dyDescent="0.25">
      <c r="O784331" s="9"/>
    </row>
    <row r="784352" spans="15:15" x14ac:dyDescent="0.25">
      <c r="O784352" s="9"/>
    </row>
    <row r="784373" spans="15:15" x14ac:dyDescent="0.25">
      <c r="O784373" s="9"/>
    </row>
    <row r="784394" spans="15:15" x14ac:dyDescent="0.25">
      <c r="O784394" s="9"/>
    </row>
    <row r="784415" spans="15:15" x14ac:dyDescent="0.25">
      <c r="O784415" s="9"/>
    </row>
    <row r="784436" spans="15:15" x14ac:dyDescent="0.25">
      <c r="O784436" s="9"/>
    </row>
    <row r="784457" spans="15:15" x14ac:dyDescent="0.25">
      <c r="O784457" s="9"/>
    </row>
    <row r="784478" spans="15:15" x14ac:dyDescent="0.25">
      <c r="O784478" s="9"/>
    </row>
    <row r="784499" spans="15:15" x14ac:dyDescent="0.25">
      <c r="O784499" s="9"/>
    </row>
    <row r="784520" spans="15:15" x14ac:dyDescent="0.25">
      <c r="O784520" s="9"/>
    </row>
    <row r="784541" spans="15:15" x14ac:dyDescent="0.25">
      <c r="O784541" s="9"/>
    </row>
    <row r="784562" spans="15:15" x14ac:dyDescent="0.25">
      <c r="O784562" s="9"/>
    </row>
    <row r="784583" spans="15:15" x14ac:dyDescent="0.25">
      <c r="O784583" s="9"/>
    </row>
    <row r="784604" spans="15:15" x14ac:dyDescent="0.25">
      <c r="O784604" s="9"/>
    </row>
    <row r="784625" spans="15:15" x14ac:dyDescent="0.25">
      <c r="O784625" s="9"/>
    </row>
    <row r="784646" spans="15:15" x14ac:dyDescent="0.25">
      <c r="O784646" s="9"/>
    </row>
    <row r="784667" spans="15:15" x14ac:dyDescent="0.25">
      <c r="O784667" s="9"/>
    </row>
    <row r="784688" spans="15:15" x14ac:dyDescent="0.25">
      <c r="O784688" s="9"/>
    </row>
    <row r="784709" spans="15:15" x14ac:dyDescent="0.25">
      <c r="O784709" s="9"/>
    </row>
    <row r="784730" spans="15:15" x14ac:dyDescent="0.25">
      <c r="O784730" s="9"/>
    </row>
    <row r="784751" spans="15:15" x14ac:dyDescent="0.25">
      <c r="O784751" s="9"/>
    </row>
    <row r="784772" spans="15:15" x14ac:dyDescent="0.25">
      <c r="O784772" s="9"/>
    </row>
    <row r="784793" spans="15:15" x14ac:dyDescent="0.25">
      <c r="O784793" s="9"/>
    </row>
    <row r="784814" spans="15:15" x14ac:dyDescent="0.25">
      <c r="O784814" s="9"/>
    </row>
    <row r="784835" spans="15:15" x14ac:dyDescent="0.25">
      <c r="O784835" s="9"/>
    </row>
    <row r="784856" spans="15:15" x14ac:dyDescent="0.25">
      <c r="O784856" s="9"/>
    </row>
    <row r="784877" spans="15:15" x14ac:dyDescent="0.25">
      <c r="O784877" s="9"/>
    </row>
    <row r="784898" spans="15:15" x14ac:dyDescent="0.25">
      <c r="O784898" s="9"/>
    </row>
    <row r="784919" spans="15:15" x14ac:dyDescent="0.25">
      <c r="O784919" s="9"/>
    </row>
    <row r="784940" spans="15:15" x14ac:dyDescent="0.25">
      <c r="O784940" s="9"/>
    </row>
    <row r="784961" spans="15:15" x14ac:dyDescent="0.25">
      <c r="O784961" s="9"/>
    </row>
    <row r="784982" spans="15:15" x14ac:dyDescent="0.25">
      <c r="O784982" s="9"/>
    </row>
    <row r="785003" spans="15:15" x14ac:dyDescent="0.25">
      <c r="O785003" s="9"/>
    </row>
    <row r="785024" spans="15:15" x14ac:dyDescent="0.25">
      <c r="O785024" s="9"/>
    </row>
    <row r="785045" spans="15:15" x14ac:dyDescent="0.25">
      <c r="O785045" s="9"/>
    </row>
    <row r="785066" spans="15:15" x14ac:dyDescent="0.25">
      <c r="O785066" s="9"/>
    </row>
    <row r="785087" spans="15:15" x14ac:dyDescent="0.25">
      <c r="O785087" s="9"/>
    </row>
    <row r="785108" spans="15:15" x14ac:dyDescent="0.25">
      <c r="O785108" s="9"/>
    </row>
    <row r="785129" spans="15:15" x14ac:dyDescent="0.25">
      <c r="O785129" s="9"/>
    </row>
    <row r="785150" spans="15:15" x14ac:dyDescent="0.25">
      <c r="O785150" s="9"/>
    </row>
    <row r="785171" spans="15:15" x14ac:dyDescent="0.25">
      <c r="O785171" s="9"/>
    </row>
    <row r="785192" spans="15:15" x14ac:dyDescent="0.25">
      <c r="O785192" s="9"/>
    </row>
    <row r="785213" spans="15:15" x14ac:dyDescent="0.25">
      <c r="O785213" s="9"/>
    </row>
    <row r="785234" spans="15:15" x14ac:dyDescent="0.25">
      <c r="O785234" s="9"/>
    </row>
    <row r="785255" spans="15:15" x14ac:dyDescent="0.25">
      <c r="O785255" s="9"/>
    </row>
    <row r="785276" spans="15:15" x14ac:dyDescent="0.25">
      <c r="O785276" s="9"/>
    </row>
    <row r="785297" spans="15:15" x14ac:dyDescent="0.25">
      <c r="O785297" s="9"/>
    </row>
    <row r="785318" spans="15:15" x14ac:dyDescent="0.25">
      <c r="O785318" s="9"/>
    </row>
    <row r="785339" spans="15:15" x14ac:dyDescent="0.25">
      <c r="O785339" s="9"/>
    </row>
    <row r="785360" spans="15:15" x14ac:dyDescent="0.25">
      <c r="O785360" s="9"/>
    </row>
    <row r="785381" spans="15:15" x14ac:dyDescent="0.25">
      <c r="O785381" s="9"/>
    </row>
    <row r="785402" spans="15:15" x14ac:dyDescent="0.25">
      <c r="O785402" s="9"/>
    </row>
    <row r="785423" spans="15:15" x14ac:dyDescent="0.25">
      <c r="O785423" s="9"/>
    </row>
    <row r="785444" spans="15:15" x14ac:dyDescent="0.25">
      <c r="O785444" s="9"/>
    </row>
    <row r="785465" spans="15:15" x14ac:dyDescent="0.25">
      <c r="O785465" s="9"/>
    </row>
    <row r="785486" spans="15:15" x14ac:dyDescent="0.25">
      <c r="O785486" s="9"/>
    </row>
    <row r="785507" spans="15:15" x14ac:dyDescent="0.25">
      <c r="O785507" s="9"/>
    </row>
    <row r="785528" spans="15:15" x14ac:dyDescent="0.25">
      <c r="O785528" s="9"/>
    </row>
    <row r="785549" spans="15:15" x14ac:dyDescent="0.25">
      <c r="O785549" s="9"/>
    </row>
    <row r="785570" spans="15:15" x14ac:dyDescent="0.25">
      <c r="O785570" s="9"/>
    </row>
    <row r="785591" spans="15:15" x14ac:dyDescent="0.25">
      <c r="O785591" s="9"/>
    </row>
    <row r="785612" spans="15:15" x14ac:dyDescent="0.25">
      <c r="O785612" s="9"/>
    </row>
    <row r="785633" spans="15:15" x14ac:dyDescent="0.25">
      <c r="O785633" s="9"/>
    </row>
    <row r="785654" spans="15:15" x14ac:dyDescent="0.25">
      <c r="O785654" s="9"/>
    </row>
    <row r="785675" spans="15:15" x14ac:dyDescent="0.25">
      <c r="O785675" s="9"/>
    </row>
    <row r="785696" spans="15:15" x14ac:dyDescent="0.25">
      <c r="O785696" s="9"/>
    </row>
    <row r="785717" spans="15:15" x14ac:dyDescent="0.25">
      <c r="O785717" s="9"/>
    </row>
    <row r="785738" spans="15:15" x14ac:dyDescent="0.25">
      <c r="O785738" s="9"/>
    </row>
    <row r="785759" spans="15:15" x14ac:dyDescent="0.25">
      <c r="O785759" s="9"/>
    </row>
    <row r="785780" spans="15:15" x14ac:dyDescent="0.25">
      <c r="O785780" s="9"/>
    </row>
    <row r="785801" spans="15:15" x14ac:dyDescent="0.25">
      <c r="O785801" s="9"/>
    </row>
    <row r="785822" spans="15:15" x14ac:dyDescent="0.25">
      <c r="O785822" s="9"/>
    </row>
    <row r="785843" spans="15:15" x14ac:dyDescent="0.25">
      <c r="O785843" s="9"/>
    </row>
    <row r="785864" spans="15:15" x14ac:dyDescent="0.25">
      <c r="O785864" s="9"/>
    </row>
    <row r="785885" spans="15:15" x14ac:dyDescent="0.25">
      <c r="O785885" s="9"/>
    </row>
    <row r="785906" spans="15:15" x14ac:dyDescent="0.25">
      <c r="O785906" s="9"/>
    </row>
    <row r="785927" spans="15:15" x14ac:dyDescent="0.25">
      <c r="O785927" s="9"/>
    </row>
    <row r="785948" spans="15:15" x14ac:dyDescent="0.25">
      <c r="O785948" s="9"/>
    </row>
    <row r="785969" spans="15:15" x14ac:dyDescent="0.25">
      <c r="O785969" s="9"/>
    </row>
    <row r="785990" spans="15:15" x14ac:dyDescent="0.25">
      <c r="O785990" s="9"/>
    </row>
    <row r="786011" spans="15:15" x14ac:dyDescent="0.25">
      <c r="O786011" s="9"/>
    </row>
    <row r="786032" spans="15:15" x14ac:dyDescent="0.25">
      <c r="O786032" s="9"/>
    </row>
    <row r="786053" spans="15:15" x14ac:dyDescent="0.25">
      <c r="O786053" s="9"/>
    </row>
    <row r="786074" spans="15:15" x14ac:dyDescent="0.25">
      <c r="O786074" s="9"/>
    </row>
    <row r="786095" spans="15:15" x14ac:dyDescent="0.25">
      <c r="O786095" s="9"/>
    </row>
    <row r="786116" spans="15:15" x14ac:dyDescent="0.25">
      <c r="O786116" s="9"/>
    </row>
    <row r="786137" spans="15:15" x14ac:dyDescent="0.25">
      <c r="O786137" s="9"/>
    </row>
    <row r="786158" spans="15:15" x14ac:dyDescent="0.25">
      <c r="O786158" s="9"/>
    </row>
    <row r="786179" spans="15:15" x14ac:dyDescent="0.25">
      <c r="O786179" s="9"/>
    </row>
    <row r="786200" spans="15:15" x14ac:dyDescent="0.25">
      <c r="O786200" s="9"/>
    </row>
    <row r="786221" spans="15:15" x14ac:dyDescent="0.25">
      <c r="O786221" s="9"/>
    </row>
    <row r="786242" spans="15:15" x14ac:dyDescent="0.25">
      <c r="O786242" s="9"/>
    </row>
    <row r="786263" spans="15:15" x14ac:dyDescent="0.25">
      <c r="O786263" s="9"/>
    </row>
    <row r="786284" spans="15:15" x14ac:dyDescent="0.25">
      <c r="O786284" s="9"/>
    </row>
    <row r="786305" spans="15:15" x14ac:dyDescent="0.25">
      <c r="O786305" s="9"/>
    </row>
    <row r="786326" spans="15:15" x14ac:dyDescent="0.25">
      <c r="O786326" s="9"/>
    </row>
    <row r="786347" spans="15:15" x14ac:dyDescent="0.25">
      <c r="O786347" s="9"/>
    </row>
    <row r="786368" spans="15:15" x14ac:dyDescent="0.25">
      <c r="O786368" s="9"/>
    </row>
    <row r="786389" spans="15:15" x14ac:dyDescent="0.25">
      <c r="O786389" s="9"/>
    </row>
    <row r="786410" spans="15:15" x14ac:dyDescent="0.25">
      <c r="O786410" s="9"/>
    </row>
    <row r="786431" spans="15:15" x14ac:dyDescent="0.25">
      <c r="O786431" s="9"/>
    </row>
    <row r="786452" spans="15:15" x14ac:dyDescent="0.25">
      <c r="O786452" s="9"/>
    </row>
    <row r="786473" spans="15:15" x14ac:dyDescent="0.25">
      <c r="O786473" s="9"/>
    </row>
    <row r="786494" spans="15:15" x14ac:dyDescent="0.25">
      <c r="O786494" s="9"/>
    </row>
    <row r="786515" spans="15:15" x14ac:dyDescent="0.25">
      <c r="O786515" s="9"/>
    </row>
    <row r="786536" spans="15:15" x14ac:dyDescent="0.25">
      <c r="O786536" s="9"/>
    </row>
    <row r="786557" spans="15:15" x14ac:dyDescent="0.25">
      <c r="O786557" s="9"/>
    </row>
    <row r="786578" spans="15:15" x14ac:dyDescent="0.25">
      <c r="O786578" s="9"/>
    </row>
    <row r="786599" spans="15:15" x14ac:dyDescent="0.25">
      <c r="O786599" s="9"/>
    </row>
    <row r="786620" spans="15:15" x14ac:dyDescent="0.25">
      <c r="O786620" s="9"/>
    </row>
    <row r="786641" spans="15:15" x14ac:dyDescent="0.25">
      <c r="O786641" s="9"/>
    </row>
    <row r="786662" spans="15:15" x14ac:dyDescent="0.25">
      <c r="O786662" s="9"/>
    </row>
    <row r="786683" spans="15:15" x14ac:dyDescent="0.25">
      <c r="O786683" s="9"/>
    </row>
    <row r="786704" spans="15:15" x14ac:dyDescent="0.25">
      <c r="O786704" s="9"/>
    </row>
    <row r="786725" spans="15:15" x14ac:dyDescent="0.25">
      <c r="O786725" s="9"/>
    </row>
    <row r="786746" spans="15:15" x14ac:dyDescent="0.25">
      <c r="O786746" s="9"/>
    </row>
    <row r="786767" spans="15:15" x14ac:dyDescent="0.25">
      <c r="O786767" s="9"/>
    </row>
    <row r="786788" spans="15:15" x14ac:dyDescent="0.25">
      <c r="O786788" s="9"/>
    </row>
    <row r="786809" spans="15:15" x14ac:dyDescent="0.25">
      <c r="O786809" s="9"/>
    </row>
    <row r="786830" spans="15:15" x14ac:dyDescent="0.25">
      <c r="O786830" s="9"/>
    </row>
    <row r="786851" spans="15:15" x14ac:dyDescent="0.25">
      <c r="O786851" s="9"/>
    </row>
    <row r="786872" spans="15:15" x14ac:dyDescent="0.25">
      <c r="O786872" s="9"/>
    </row>
    <row r="786893" spans="15:15" x14ac:dyDescent="0.25">
      <c r="O786893" s="9"/>
    </row>
    <row r="786914" spans="15:15" x14ac:dyDescent="0.25">
      <c r="O786914" s="9"/>
    </row>
    <row r="786935" spans="15:15" x14ac:dyDescent="0.25">
      <c r="O786935" s="9"/>
    </row>
    <row r="786956" spans="15:15" x14ac:dyDescent="0.25">
      <c r="O786956" s="9"/>
    </row>
    <row r="786977" spans="15:15" x14ac:dyDescent="0.25">
      <c r="O786977" s="9"/>
    </row>
    <row r="786998" spans="15:15" x14ac:dyDescent="0.25">
      <c r="O786998" s="9"/>
    </row>
    <row r="787019" spans="15:15" x14ac:dyDescent="0.25">
      <c r="O787019" s="9"/>
    </row>
    <row r="787040" spans="15:15" x14ac:dyDescent="0.25">
      <c r="O787040" s="9"/>
    </row>
    <row r="787061" spans="15:15" x14ac:dyDescent="0.25">
      <c r="O787061" s="9"/>
    </row>
    <row r="787082" spans="15:15" x14ac:dyDescent="0.25">
      <c r="O787082" s="9"/>
    </row>
    <row r="787103" spans="15:15" x14ac:dyDescent="0.25">
      <c r="O787103" s="9"/>
    </row>
    <row r="787124" spans="15:15" x14ac:dyDescent="0.25">
      <c r="O787124" s="9"/>
    </row>
    <row r="787145" spans="15:15" x14ac:dyDescent="0.25">
      <c r="O787145" s="9"/>
    </row>
    <row r="787166" spans="15:15" x14ac:dyDescent="0.25">
      <c r="O787166" s="9"/>
    </row>
    <row r="787187" spans="15:15" x14ac:dyDescent="0.25">
      <c r="O787187" s="9"/>
    </row>
    <row r="787208" spans="15:15" x14ac:dyDescent="0.25">
      <c r="O787208" s="9"/>
    </row>
    <row r="787229" spans="15:15" x14ac:dyDescent="0.25">
      <c r="O787229" s="9"/>
    </row>
    <row r="787250" spans="15:15" x14ac:dyDescent="0.25">
      <c r="O787250" s="9"/>
    </row>
    <row r="787271" spans="15:15" x14ac:dyDescent="0.25">
      <c r="O787271" s="9"/>
    </row>
    <row r="787292" spans="15:15" x14ac:dyDescent="0.25">
      <c r="O787292" s="9"/>
    </row>
    <row r="787313" spans="15:15" x14ac:dyDescent="0.25">
      <c r="O787313" s="9"/>
    </row>
    <row r="787334" spans="15:15" x14ac:dyDescent="0.25">
      <c r="O787334" s="9"/>
    </row>
    <row r="787355" spans="15:15" x14ac:dyDescent="0.25">
      <c r="O787355" s="9"/>
    </row>
    <row r="787376" spans="15:15" x14ac:dyDescent="0.25">
      <c r="O787376" s="9"/>
    </row>
    <row r="787397" spans="15:15" x14ac:dyDescent="0.25">
      <c r="O787397" s="9"/>
    </row>
    <row r="787418" spans="15:15" x14ac:dyDescent="0.25">
      <c r="O787418" s="9"/>
    </row>
    <row r="787439" spans="15:15" x14ac:dyDescent="0.25">
      <c r="O787439" s="9"/>
    </row>
    <row r="787460" spans="15:15" x14ac:dyDescent="0.25">
      <c r="O787460" s="9"/>
    </row>
    <row r="787481" spans="15:15" x14ac:dyDescent="0.25">
      <c r="O787481" s="9"/>
    </row>
    <row r="787502" spans="15:15" x14ac:dyDescent="0.25">
      <c r="O787502" s="9"/>
    </row>
    <row r="787523" spans="15:15" x14ac:dyDescent="0.25">
      <c r="O787523" s="9"/>
    </row>
    <row r="787544" spans="15:15" x14ac:dyDescent="0.25">
      <c r="O787544" s="9"/>
    </row>
    <row r="787565" spans="15:15" x14ac:dyDescent="0.25">
      <c r="O787565" s="9"/>
    </row>
    <row r="787586" spans="15:15" x14ac:dyDescent="0.25">
      <c r="O787586" s="9"/>
    </row>
    <row r="787607" spans="15:15" x14ac:dyDescent="0.25">
      <c r="O787607" s="9"/>
    </row>
    <row r="787628" spans="15:15" x14ac:dyDescent="0.25">
      <c r="O787628" s="9"/>
    </row>
    <row r="787649" spans="15:15" x14ac:dyDescent="0.25">
      <c r="O787649" s="9"/>
    </row>
    <row r="787670" spans="15:15" x14ac:dyDescent="0.25">
      <c r="O787670" s="9"/>
    </row>
    <row r="787691" spans="15:15" x14ac:dyDescent="0.25">
      <c r="O787691" s="9"/>
    </row>
    <row r="787712" spans="15:15" x14ac:dyDescent="0.25">
      <c r="O787712" s="9"/>
    </row>
    <row r="787733" spans="15:15" x14ac:dyDescent="0.25">
      <c r="O787733" s="9"/>
    </row>
    <row r="787754" spans="15:15" x14ac:dyDescent="0.25">
      <c r="O787754" s="9"/>
    </row>
    <row r="787775" spans="15:15" x14ac:dyDescent="0.25">
      <c r="O787775" s="9"/>
    </row>
    <row r="787796" spans="15:15" x14ac:dyDescent="0.25">
      <c r="O787796" s="9"/>
    </row>
    <row r="787817" spans="15:15" x14ac:dyDescent="0.25">
      <c r="O787817" s="9"/>
    </row>
    <row r="787838" spans="15:15" x14ac:dyDescent="0.25">
      <c r="O787838" s="9"/>
    </row>
    <row r="787859" spans="15:15" x14ac:dyDescent="0.25">
      <c r="O787859" s="9"/>
    </row>
    <row r="787880" spans="15:15" x14ac:dyDescent="0.25">
      <c r="O787880" s="9"/>
    </row>
    <row r="787901" spans="15:15" x14ac:dyDescent="0.25">
      <c r="O787901" s="9"/>
    </row>
    <row r="787922" spans="15:15" x14ac:dyDescent="0.25">
      <c r="O787922" s="9"/>
    </row>
    <row r="787943" spans="15:15" x14ac:dyDescent="0.25">
      <c r="O787943" s="9"/>
    </row>
    <row r="787964" spans="15:15" x14ac:dyDescent="0.25">
      <c r="O787964" s="9"/>
    </row>
    <row r="787985" spans="15:15" x14ac:dyDescent="0.25">
      <c r="O787985" s="9"/>
    </row>
    <row r="788006" spans="15:15" x14ac:dyDescent="0.25">
      <c r="O788006" s="9"/>
    </row>
    <row r="788027" spans="15:15" x14ac:dyDescent="0.25">
      <c r="O788027" s="9"/>
    </row>
    <row r="788048" spans="15:15" x14ac:dyDescent="0.25">
      <c r="O788048" s="9"/>
    </row>
    <row r="788069" spans="15:15" x14ac:dyDescent="0.25">
      <c r="O788069" s="9"/>
    </row>
    <row r="788090" spans="15:15" x14ac:dyDescent="0.25">
      <c r="O788090" s="9"/>
    </row>
    <row r="788111" spans="15:15" x14ac:dyDescent="0.25">
      <c r="O788111" s="9"/>
    </row>
    <row r="788132" spans="15:15" x14ac:dyDescent="0.25">
      <c r="O788132" s="9"/>
    </row>
    <row r="788153" spans="15:15" x14ac:dyDescent="0.25">
      <c r="O788153" s="9"/>
    </row>
    <row r="788174" spans="15:15" x14ac:dyDescent="0.25">
      <c r="O788174" s="9"/>
    </row>
    <row r="788195" spans="15:15" x14ac:dyDescent="0.25">
      <c r="O788195" s="9"/>
    </row>
    <row r="788216" spans="15:15" x14ac:dyDescent="0.25">
      <c r="O788216" s="9"/>
    </row>
    <row r="788237" spans="15:15" x14ac:dyDescent="0.25">
      <c r="O788237" s="9"/>
    </row>
    <row r="788258" spans="15:15" x14ac:dyDescent="0.25">
      <c r="O788258" s="9"/>
    </row>
    <row r="788279" spans="15:15" x14ac:dyDescent="0.25">
      <c r="O788279" s="9"/>
    </row>
    <row r="788300" spans="15:15" x14ac:dyDescent="0.25">
      <c r="O788300" s="9"/>
    </row>
    <row r="788321" spans="15:15" x14ac:dyDescent="0.25">
      <c r="O788321" s="9"/>
    </row>
    <row r="788342" spans="15:15" x14ac:dyDescent="0.25">
      <c r="O788342" s="9"/>
    </row>
    <row r="788363" spans="15:15" x14ac:dyDescent="0.25">
      <c r="O788363" s="9"/>
    </row>
    <row r="788384" spans="15:15" x14ac:dyDescent="0.25">
      <c r="O788384" s="9"/>
    </row>
    <row r="788405" spans="15:15" x14ac:dyDescent="0.25">
      <c r="O788405" s="9"/>
    </row>
    <row r="788426" spans="15:15" x14ac:dyDescent="0.25">
      <c r="O788426" s="9"/>
    </row>
    <row r="788447" spans="15:15" x14ac:dyDescent="0.25">
      <c r="O788447" s="9"/>
    </row>
    <row r="788468" spans="15:15" x14ac:dyDescent="0.25">
      <c r="O788468" s="9"/>
    </row>
    <row r="788489" spans="15:15" x14ac:dyDescent="0.25">
      <c r="O788489" s="9"/>
    </row>
    <row r="788510" spans="15:15" x14ac:dyDescent="0.25">
      <c r="O788510" s="9"/>
    </row>
    <row r="788531" spans="15:15" x14ac:dyDescent="0.25">
      <c r="O788531" s="9"/>
    </row>
    <row r="788552" spans="15:15" x14ac:dyDescent="0.25">
      <c r="O788552" s="9"/>
    </row>
    <row r="788573" spans="15:15" x14ac:dyDescent="0.25">
      <c r="O788573" s="9"/>
    </row>
    <row r="788594" spans="15:15" x14ac:dyDescent="0.25">
      <c r="O788594" s="9"/>
    </row>
    <row r="788615" spans="15:15" x14ac:dyDescent="0.25">
      <c r="O788615" s="9"/>
    </row>
    <row r="788636" spans="15:15" x14ac:dyDescent="0.25">
      <c r="O788636" s="9"/>
    </row>
    <row r="788657" spans="15:15" x14ac:dyDescent="0.25">
      <c r="O788657" s="9"/>
    </row>
    <row r="788678" spans="15:15" x14ac:dyDescent="0.25">
      <c r="O788678" s="9"/>
    </row>
    <row r="788699" spans="15:15" x14ac:dyDescent="0.25">
      <c r="O788699" s="9"/>
    </row>
    <row r="788720" spans="15:15" x14ac:dyDescent="0.25">
      <c r="O788720" s="9"/>
    </row>
    <row r="788741" spans="15:15" x14ac:dyDescent="0.25">
      <c r="O788741" s="9"/>
    </row>
    <row r="788762" spans="15:15" x14ac:dyDescent="0.25">
      <c r="O788762" s="9"/>
    </row>
    <row r="788783" spans="15:15" x14ac:dyDescent="0.25">
      <c r="O788783" s="9"/>
    </row>
    <row r="788804" spans="15:15" x14ac:dyDescent="0.25">
      <c r="O788804" s="9"/>
    </row>
    <row r="788825" spans="15:15" x14ac:dyDescent="0.25">
      <c r="O788825" s="9"/>
    </row>
    <row r="788846" spans="15:15" x14ac:dyDescent="0.25">
      <c r="O788846" s="9"/>
    </row>
    <row r="788867" spans="15:15" x14ac:dyDescent="0.25">
      <c r="O788867" s="9"/>
    </row>
    <row r="788888" spans="15:15" x14ac:dyDescent="0.25">
      <c r="O788888" s="9"/>
    </row>
    <row r="788909" spans="15:15" x14ac:dyDescent="0.25">
      <c r="O788909" s="9"/>
    </row>
    <row r="788930" spans="15:15" x14ac:dyDescent="0.25">
      <c r="O788930" s="9"/>
    </row>
    <row r="788951" spans="15:15" x14ac:dyDescent="0.25">
      <c r="O788951" s="9"/>
    </row>
    <row r="788972" spans="15:15" x14ac:dyDescent="0.25">
      <c r="O788972" s="9"/>
    </row>
    <row r="788993" spans="15:15" x14ac:dyDescent="0.25">
      <c r="O788993" s="9"/>
    </row>
    <row r="789014" spans="15:15" x14ac:dyDescent="0.25">
      <c r="O789014" s="9"/>
    </row>
    <row r="789035" spans="15:15" x14ac:dyDescent="0.25">
      <c r="O789035" s="9"/>
    </row>
    <row r="789056" spans="15:15" x14ac:dyDescent="0.25">
      <c r="O789056" s="9"/>
    </row>
    <row r="789077" spans="15:15" x14ac:dyDescent="0.25">
      <c r="O789077" s="9"/>
    </row>
    <row r="789098" spans="15:15" x14ac:dyDescent="0.25">
      <c r="O789098" s="9"/>
    </row>
    <row r="789119" spans="15:15" x14ac:dyDescent="0.25">
      <c r="O789119" s="9"/>
    </row>
    <row r="789140" spans="15:15" x14ac:dyDescent="0.25">
      <c r="O789140" s="9"/>
    </row>
    <row r="789161" spans="15:15" x14ac:dyDescent="0.25">
      <c r="O789161" s="9"/>
    </row>
    <row r="789182" spans="15:15" x14ac:dyDescent="0.25">
      <c r="O789182" s="9"/>
    </row>
    <row r="789203" spans="15:15" x14ac:dyDescent="0.25">
      <c r="O789203" s="9"/>
    </row>
    <row r="789224" spans="15:15" x14ac:dyDescent="0.25">
      <c r="O789224" s="9"/>
    </row>
    <row r="789245" spans="15:15" x14ac:dyDescent="0.25">
      <c r="O789245" s="9"/>
    </row>
    <row r="789266" spans="15:15" x14ac:dyDescent="0.25">
      <c r="O789266" s="9"/>
    </row>
    <row r="789287" spans="15:15" x14ac:dyDescent="0.25">
      <c r="O789287" s="9"/>
    </row>
    <row r="789308" spans="15:15" x14ac:dyDescent="0.25">
      <c r="O789308" s="9"/>
    </row>
    <row r="789329" spans="15:15" x14ac:dyDescent="0.25">
      <c r="O789329" s="9"/>
    </row>
    <row r="789350" spans="15:15" x14ac:dyDescent="0.25">
      <c r="O789350" s="9"/>
    </row>
    <row r="789371" spans="15:15" x14ac:dyDescent="0.25">
      <c r="O789371" s="9"/>
    </row>
    <row r="789392" spans="15:15" x14ac:dyDescent="0.25">
      <c r="O789392" s="9"/>
    </row>
    <row r="789413" spans="15:15" x14ac:dyDescent="0.25">
      <c r="O789413" s="9"/>
    </row>
    <row r="789434" spans="15:15" x14ac:dyDescent="0.25">
      <c r="O789434" s="9"/>
    </row>
    <row r="789455" spans="15:15" x14ac:dyDescent="0.25">
      <c r="O789455" s="9"/>
    </row>
    <row r="789476" spans="15:15" x14ac:dyDescent="0.25">
      <c r="O789476" s="9"/>
    </row>
    <row r="789497" spans="15:15" x14ac:dyDescent="0.25">
      <c r="O789497" s="9"/>
    </row>
    <row r="789518" spans="15:15" x14ac:dyDescent="0.25">
      <c r="O789518" s="9"/>
    </row>
    <row r="789539" spans="15:15" x14ac:dyDescent="0.25">
      <c r="O789539" s="9"/>
    </row>
    <row r="789560" spans="15:15" x14ac:dyDescent="0.25">
      <c r="O789560" s="9"/>
    </row>
    <row r="789581" spans="15:15" x14ac:dyDescent="0.25">
      <c r="O789581" s="9"/>
    </row>
    <row r="789602" spans="15:15" x14ac:dyDescent="0.25">
      <c r="O789602" s="9"/>
    </row>
    <row r="789623" spans="15:15" x14ac:dyDescent="0.25">
      <c r="O789623" s="9"/>
    </row>
    <row r="789644" spans="15:15" x14ac:dyDescent="0.25">
      <c r="O789644" s="9"/>
    </row>
    <row r="789665" spans="15:15" x14ac:dyDescent="0.25">
      <c r="O789665" s="9"/>
    </row>
    <row r="789686" spans="15:15" x14ac:dyDescent="0.25">
      <c r="O789686" s="9"/>
    </row>
    <row r="789707" spans="15:15" x14ac:dyDescent="0.25">
      <c r="O789707" s="9"/>
    </row>
    <row r="789728" spans="15:15" x14ac:dyDescent="0.25">
      <c r="O789728" s="9"/>
    </row>
    <row r="789749" spans="15:15" x14ac:dyDescent="0.25">
      <c r="O789749" s="9"/>
    </row>
    <row r="789770" spans="15:15" x14ac:dyDescent="0.25">
      <c r="O789770" s="9"/>
    </row>
    <row r="789791" spans="15:15" x14ac:dyDescent="0.25">
      <c r="O789791" s="9"/>
    </row>
    <row r="789812" spans="15:15" x14ac:dyDescent="0.25">
      <c r="O789812" s="9"/>
    </row>
    <row r="789833" spans="15:15" x14ac:dyDescent="0.25">
      <c r="O789833" s="9"/>
    </row>
    <row r="789854" spans="15:15" x14ac:dyDescent="0.25">
      <c r="O789854" s="9"/>
    </row>
    <row r="789875" spans="15:15" x14ac:dyDescent="0.25">
      <c r="O789875" s="9"/>
    </row>
    <row r="789896" spans="15:15" x14ac:dyDescent="0.25">
      <c r="O789896" s="9"/>
    </row>
    <row r="789917" spans="15:15" x14ac:dyDescent="0.25">
      <c r="O789917" s="9"/>
    </row>
    <row r="789938" spans="15:15" x14ac:dyDescent="0.25">
      <c r="O789938" s="9"/>
    </row>
    <row r="789959" spans="15:15" x14ac:dyDescent="0.25">
      <c r="O789959" s="9"/>
    </row>
    <row r="789980" spans="15:15" x14ac:dyDescent="0.25">
      <c r="O789980" s="9"/>
    </row>
    <row r="790001" spans="15:15" x14ac:dyDescent="0.25">
      <c r="O790001" s="9"/>
    </row>
    <row r="790022" spans="15:15" x14ac:dyDescent="0.25">
      <c r="O790022" s="9"/>
    </row>
    <row r="790043" spans="15:15" x14ac:dyDescent="0.25">
      <c r="O790043" s="9"/>
    </row>
    <row r="790064" spans="15:15" x14ac:dyDescent="0.25">
      <c r="O790064" s="9"/>
    </row>
    <row r="790085" spans="15:15" x14ac:dyDescent="0.25">
      <c r="O790085" s="9"/>
    </row>
    <row r="790106" spans="15:15" x14ac:dyDescent="0.25">
      <c r="O790106" s="9"/>
    </row>
    <row r="790127" spans="15:15" x14ac:dyDescent="0.25">
      <c r="O790127" s="9"/>
    </row>
    <row r="790148" spans="15:15" x14ac:dyDescent="0.25">
      <c r="O790148" s="9"/>
    </row>
    <row r="790169" spans="15:15" x14ac:dyDescent="0.25">
      <c r="O790169" s="9"/>
    </row>
    <row r="790190" spans="15:15" x14ac:dyDescent="0.25">
      <c r="O790190" s="9"/>
    </row>
    <row r="790211" spans="15:15" x14ac:dyDescent="0.25">
      <c r="O790211" s="9"/>
    </row>
    <row r="790232" spans="15:15" x14ac:dyDescent="0.25">
      <c r="O790232" s="9"/>
    </row>
    <row r="790253" spans="15:15" x14ac:dyDescent="0.25">
      <c r="O790253" s="9"/>
    </row>
    <row r="790274" spans="15:15" x14ac:dyDescent="0.25">
      <c r="O790274" s="9"/>
    </row>
    <row r="790295" spans="15:15" x14ac:dyDescent="0.25">
      <c r="O790295" s="9"/>
    </row>
    <row r="790316" spans="15:15" x14ac:dyDescent="0.25">
      <c r="O790316" s="9"/>
    </row>
    <row r="790337" spans="15:15" x14ac:dyDescent="0.25">
      <c r="O790337" s="9"/>
    </row>
    <row r="790358" spans="15:15" x14ac:dyDescent="0.25">
      <c r="O790358" s="9"/>
    </row>
    <row r="790379" spans="15:15" x14ac:dyDescent="0.25">
      <c r="O790379" s="9"/>
    </row>
    <row r="790400" spans="15:15" x14ac:dyDescent="0.25">
      <c r="O790400" s="9"/>
    </row>
    <row r="790421" spans="15:15" x14ac:dyDescent="0.25">
      <c r="O790421" s="9"/>
    </row>
    <row r="790442" spans="15:15" x14ac:dyDescent="0.25">
      <c r="O790442" s="9"/>
    </row>
    <row r="790463" spans="15:15" x14ac:dyDescent="0.25">
      <c r="O790463" s="9"/>
    </row>
    <row r="790484" spans="15:15" x14ac:dyDescent="0.25">
      <c r="O790484" s="9"/>
    </row>
    <row r="790505" spans="15:15" x14ac:dyDescent="0.25">
      <c r="O790505" s="9"/>
    </row>
    <row r="790526" spans="15:15" x14ac:dyDescent="0.25">
      <c r="O790526" s="9"/>
    </row>
    <row r="790547" spans="15:15" x14ac:dyDescent="0.25">
      <c r="O790547" s="9"/>
    </row>
    <row r="790568" spans="15:15" x14ac:dyDescent="0.25">
      <c r="O790568" s="9"/>
    </row>
    <row r="790589" spans="15:15" x14ac:dyDescent="0.25">
      <c r="O790589" s="9"/>
    </row>
    <row r="790610" spans="15:15" x14ac:dyDescent="0.25">
      <c r="O790610" s="9"/>
    </row>
    <row r="790631" spans="15:15" x14ac:dyDescent="0.25">
      <c r="O790631" s="9"/>
    </row>
    <row r="790652" spans="15:15" x14ac:dyDescent="0.25">
      <c r="O790652" s="9"/>
    </row>
    <row r="790673" spans="15:15" x14ac:dyDescent="0.25">
      <c r="O790673" s="9"/>
    </row>
    <row r="790694" spans="15:15" x14ac:dyDescent="0.25">
      <c r="O790694" s="9"/>
    </row>
    <row r="790715" spans="15:15" x14ac:dyDescent="0.25">
      <c r="O790715" s="9"/>
    </row>
    <row r="790736" spans="15:15" x14ac:dyDescent="0.25">
      <c r="O790736" s="9"/>
    </row>
    <row r="790757" spans="15:15" x14ac:dyDescent="0.25">
      <c r="O790757" s="9"/>
    </row>
    <row r="790778" spans="15:15" x14ac:dyDescent="0.25">
      <c r="O790778" s="9"/>
    </row>
    <row r="790799" spans="15:15" x14ac:dyDescent="0.25">
      <c r="O790799" s="9"/>
    </row>
    <row r="790820" spans="15:15" x14ac:dyDescent="0.25">
      <c r="O790820" s="9"/>
    </row>
    <row r="790841" spans="15:15" x14ac:dyDescent="0.25">
      <c r="O790841" s="9"/>
    </row>
    <row r="790862" spans="15:15" x14ac:dyDescent="0.25">
      <c r="O790862" s="9"/>
    </row>
    <row r="790883" spans="15:15" x14ac:dyDescent="0.25">
      <c r="O790883" s="9"/>
    </row>
    <row r="790904" spans="15:15" x14ac:dyDescent="0.25">
      <c r="O790904" s="9"/>
    </row>
    <row r="790925" spans="15:15" x14ac:dyDescent="0.25">
      <c r="O790925" s="9"/>
    </row>
    <row r="790946" spans="15:15" x14ac:dyDescent="0.25">
      <c r="O790946" s="9"/>
    </row>
    <row r="790967" spans="15:15" x14ac:dyDescent="0.25">
      <c r="O790967" s="9"/>
    </row>
    <row r="790988" spans="15:15" x14ac:dyDescent="0.25">
      <c r="O790988" s="9"/>
    </row>
    <row r="791009" spans="15:15" x14ac:dyDescent="0.25">
      <c r="O791009" s="9"/>
    </row>
    <row r="791030" spans="15:15" x14ac:dyDescent="0.25">
      <c r="O791030" s="9"/>
    </row>
    <row r="791051" spans="15:15" x14ac:dyDescent="0.25">
      <c r="O791051" s="9"/>
    </row>
    <row r="791072" spans="15:15" x14ac:dyDescent="0.25">
      <c r="O791072" s="9"/>
    </row>
    <row r="791093" spans="15:15" x14ac:dyDescent="0.25">
      <c r="O791093" s="9"/>
    </row>
    <row r="791114" spans="15:15" x14ac:dyDescent="0.25">
      <c r="O791114" s="9"/>
    </row>
    <row r="791135" spans="15:15" x14ac:dyDescent="0.25">
      <c r="O791135" s="9"/>
    </row>
    <row r="791156" spans="15:15" x14ac:dyDescent="0.25">
      <c r="O791156" s="9"/>
    </row>
    <row r="791177" spans="15:15" x14ac:dyDescent="0.25">
      <c r="O791177" s="9"/>
    </row>
    <row r="791198" spans="15:15" x14ac:dyDescent="0.25">
      <c r="O791198" s="9"/>
    </row>
    <row r="791219" spans="15:15" x14ac:dyDescent="0.25">
      <c r="O791219" s="9"/>
    </row>
    <row r="791240" spans="15:15" x14ac:dyDescent="0.25">
      <c r="O791240" s="9"/>
    </row>
    <row r="791261" spans="15:15" x14ac:dyDescent="0.25">
      <c r="O791261" s="9"/>
    </row>
    <row r="791282" spans="15:15" x14ac:dyDescent="0.25">
      <c r="O791282" s="9"/>
    </row>
    <row r="791303" spans="15:15" x14ac:dyDescent="0.25">
      <c r="O791303" s="9"/>
    </row>
    <row r="791324" spans="15:15" x14ac:dyDescent="0.25">
      <c r="O791324" s="9"/>
    </row>
    <row r="791345" spans="15:15" x14ac:dyDescent="0.25">
      <c r="O791345" s="9"/>
    </row>
    <row r="791366" spans="15:15" x14ac:dyDescent="0.25">
      <c r="O791366" s="9"/>
    </row>
    <row r="791387" spans="15:15" x14ac:dyDescent="0.25">
      <c r="O791387" s="9"/>
    </row>
    <row r="791408" spans="15:15" x14ac:dyDescent="0.25">
      <c r="O791408" s="9"/>
    </row>
    <row r="791429" spans="15:15" x14ac:dyDescent="0.25">
      <c r="O791429" s="9"/>
    </row>
    <row r="791450" spans="15:15" x14ac:dyDescent="0.25">
      <c r="O791450" s="9"/>
    </row>
    <row r="791471" spans="15:15" x14ac:dyDescent="0.25">
      <c r="O791471" s="9"/>
    </row>
    <row r="791492" spans="15:15" x14ac:dyDescent="0.25">
      <c r="O791492" s="9"/>
    </row>
    <row r="791513" spans="15:15" x14ac:dyDescent="0.25">
      <c r="O791513" s="9"/>
    </row>
    <row r="791534" spans="15:15" x14ac:dyDescent="0.25">
      <c r="O791534" s="9"/>
    </row>
    <row r="791555" spans="15:15" x14ac:dyDescent="0.25">
      <c r="O791555" s="9"/>
    </row>
    <row r="791576" spans="15:15" x14ac:dyDescent="0.25">
      <c r="O791576" s="9"/>
    </row>
    <row r="791597" spans="15:15" x14ac:dyDescent="0.25">
      <c r="O791597" s="9"/>
    </row>
    <row r="791618" spans="15:15" x14ac:dyDescent="0.25">
      <c r="O791618" s="9"/>
    </row>
    <row r="791639" spans="15:15" x14ac:dyDescent="0.25">
      <c r="O791639" s="9"/>
    </row>
    <row r="791660" spans="15:15" x14ac:dyDescent="0.25">
      <c r="O791660" s="9"/>
    </row>
    <row r="791681" spans="15:15" x14ac:dyDescent="0.25">
      <c r="O791681" s="9"/>
    </row>
    <row r="791702" spans="15:15" x14ac:dyDescent="0.25">
      <c r="O791702" s="9"/>
    </row>
    <row r="791723" spans="15:15" x14ac:dyDescent="0.25">
      <c r="O791723" s="9"/>
    </row>
    <row r="791744" spans="15:15" x14ac:dyDescent="0.25">
      <c r="O791744" s="9"/>
    </row>
    <row r="791765" spans="15:15" x14ac:dyDescent="0.25">
      <c r="O791765" s="9"/>
    </row>
    <row r="791786" spans="15:15" x14ac:dyDescent="0.25">
      <c r="O791786" s="9"/>
    </row>
    <row r="791807" spans="15:15" x14ac:dyDescent="0.25">
      <c r="O791807" s="9"/>
    </row>
    <row r="791828" spans="15:15" x14ac:dyDescent="0.25">
      <c r="O791828" s="9"/>
    </row>
    <row r="791849" spans="15:15" x14ac:dyDescent="0.25">
      <c r="O791849" s="9"/>
    </row>
    <row r="791870" spans="15:15" x14ac:dyDescent="0.25">
      <c r="O791870" s="9"/>
    </row>
    <row r="791891" spans="15:15" x14ac:dyDescent="0.25">
      <c r="O791891" s="9"/>
    </row>
    <row r="791912" spans="15:15" x14ac:dyDescent="0.25">
      <c r="O791912" s="9"/>
    </row>
    <row r="791933" spans="15:15" x14ac:dyDescent="0.25">
      <c r="O791933" s="9"/>
    </row>
    <row r="791954" spans="15:15" x14ac:dyDescent="0.25">
      <c r="O791954" s="9"/>
    </row>
    <row r="791975" spans="15:15" x14ac:dyDescent="0.25">
      <c r="O791975" s="9"/>
    </row>
    <row r="791996" spans="15:15" x14ac:dyDescent="0.25">
      <c r="O791996" s="9"/>
    </row>
    <row r="792017" spans="15:15" x14ac:dyDescent="0.25">
      <c r="O792017" s="9"/>
    </row>
    <row r="792038" spans="15:15" x14ac:dyDescent="0.25">
      <c r="O792038" s="9"/>
    </row>
    <row r="792059" spans="15:15" x14ac:dyDescent="0.25">
      <c r="O792059" s="9"/>
    </row>
    <row r="792080" spans="15:15" x14ac:dyDescent="0.25">
      <c r="O792080" s="9"/>
    </row>
    <row r="792101" spans="15:15" x14ac:dyDescent="0.25">
      <c r="O792101" s="9"/>
    </row>
    <row r="792122" spans="15:15" x14ac:dyDescent="0.25">
      <c r="O792122" s="9"/>
    </row>
    <row r="792143" spans="15:15" x14ac:dyDescent="0.25">
      <c r="O792143" s="9"/>
    </row>
    <row r="792164" spans="15:15" x14ac:dyDescent="0.25">
      <c r="O792164" s="9"/>
    </row>
    <row r="792185" spans="15:15" x14ac:dyDescent="0.25">
      <c r="O792185" s="9"/>
    </row>
    <row r="792206" spans="15:15" x14ac:dyDescent="0.25">
      <c r="O792206" s="9"/>
    </row>
    <row r="792227" spans="15:15" x14ac:dyDescent="0.25">
      <c r="O792227" s="9"/>
    </row>
    <row r="792248" spans="15:15" x14ac:dyDescent="0.25">
      <c r="O792248" s="9"/>
    </row>
    <row r="792269" spans="15:15" x14ac:dyDescent="0.25">
      <c r="O792269" s="9"/>
    </row>
    <row r="792290" spans="15:15" x14ac:dyDescent="0.25">
      <c r="O792290" s="9"/>
    </row>
    <row r="792311" spans="15:15" x14ac:dyDescent="0.25">
      <c r="O792311" s="9"/>
    </row>
    <row r="792332" spans="15:15" x14ac:dyDescent="0.25">
      <c r="O792332" s="9"/>
    </row>
    <row r="792353" spans="15:15" x14ac:dyDescent="0.25">
      <c r="O792353" s="9"/>
    </row>
    <row r="792374" spans="15:15" x14ac:dyDescent="0.25">
      <c r="O792374" s="9"/>
    </row>
    <row r="792395" spans="15:15" x14ac:dyDescent="0.25">
      <c r="O792395" s="9"/>
    </row>
    <row r="792416" spans="15:15" x14ac:dyDescent="0.25">
      <c r="O792416" s="9"/>
    </row>
    <row r="792437" spans="15:15" x14ac:dyDescent="0.25">
      <c r="O792437" s="9"/>
    </row>
    <row r="792458" spans="15:15" x14ac:dyDescent="0.25">
      <c r="O792458" s="9"/>
    </row>
    <row r="792479" spans="15:15" x14ac:dyDescent="0.25">
      <c r="O792479" s="9"/>
    </row>
    <row r="792500" spans="15:15" x14ac:dyDescent="0.25">
      <c r="O792500" s="9"/>
    </row>
    <row r="792521" spans="15:15" x14ac:dyDescent="0.25">
      <c r="O792521" s="9"/>
    </row>
    <row r="792542" spans="15:15" x14ac:dyDescent="0.25">
      <c r="O792542" s="9"/>
    </row>
    <row r="792563" spans="15:15" x14ac:dyDescent="0.25">
      <c r="O792563" s="9"/>
    </row>
    <row r="792584" spans="15:15" x14ac:dyDescent="0.25">
      <c r="O792584" s="9"/>
    </row>
    <row r="792605" spans="15:15" x14ac:dyDescent="0.25">
      <c r="O792605" s="9"/>
    </row>
    <row r="792626" spans="15:15" x14ac:dyDescent="0.25">
      <c r="O792626" s="9"/>
    </row>
    <row r="792647" spans="15:15" x14ac:dyDescent="0.25">
      <c r="O792647" s="9"/>
    </row>
    <row r="792668" spans="15:15" x14ac:dyDescent="0.25">
      <c r="O792668" s="9"/>
    </row>
    <row r="792689" spans="15:15" x14ac:dyDescent="0.25">
      <c r="O792689" s="9"/>
    </row>
    <row r="792710" spans="15:15" x14ac:dyDescent="0.25">
      <c r="O792710" s="9"/>
    </row>
    <row r="792731" spans="15:15" x14ac:dyDescent="0.25">
      <c r="O792731" s="9"/>
    </row>
    <row r="792752" spans="15:15" x14ac:dyDescent="0.25">
      <c r="O792752" s="9"/>
    </row>
    <row r="792773" spans="15:15" x14ac:dyDescent="0.25">
      <c r="O792773" s="9"/>
    </row>
    <row r="792794" spans="15:15" x14ac:dyDescent="0.25">
      <c r="O792794" s="9"/>
    </row>
    <row r="792815" spans="15:15" x14ac:dyDescent="0.25">
      <c r="O792815" s="9"/>
    </row>
    <row r="792836" spans="15:15" x14ac:dyDescent="0.25">
      <c r="O792836" s="9"/>
    </row>
    <row r="792857" spans="15:15" x14ac:dyDescent="0.25">
      <c r="O792857" s="9"/>
    </row>
    <row r="792878" spans="15:15" x14ac:dyDescent="0.25">
      <c r="O792878" s="9"/>
    </row>
    <row r="792899" spans="15:15" x14ac:dyDescent="0.25">
      <c r="O792899" s="9"/>
    </row>
    <row r="792920" spans="15:15" x14ac:dyDescent="0.25">
      <c r="O792920" s="9"/>
    </row>
    <row r="792941" spans="15:15" x14ac:dyDescent="0.25">
      <c r="O792941" s="9"/>
    </row>
    <row r="792962" spans="15:15" x14ac:dyDescent="0.25">
      <c r="O792962" s="9"/>
    </row>
    <row r="792983" spans="15:15" x14ac:dyDescent="0.25">
      <c r="O792983" s="9"/>
    </row>
    <row r="793004" spans="15:15" x14ac:dyDescent="0.25">
      <c r="O793004" s="9"/>
    </row>
    <row r="793025" spans="15:15" x14ac:dyDescent="0.25">
      <c r="O793025" s="9"/>
    </row>
    <row r="793046" spans="15:15" x14ac:dyDescent="0.25">
      <c r="O793046" s="9"/>
    </row>
    <row r="793067" spans="15:15" x14ac:dyDescent="0.25">
      <c r="O793067" s="9"/>
    </row>
    <row r="793088" spans="15:15" x14ac:dyDescent="0.25">
      <c r="O793088" s="9"/>
    </row>
    <row r="793109" spans="15:15" x14ac:dyDescent="0.25">
      <c r="O793109" s="9"/>
    </row>
    <row r="793130" spans="15:15" x14ac:dyDescent="0.25">
      <c r="O793130" s="9"/>
    </row>
    <row r="793151" spans="15:15" x14ac:dyDescent="0.25">
      <c r="O793151" s="9"/>
    </row>
    <row r="793172" spans="15:15" x14ac:dyDescent="0.25">
      <c r="O793172" s="9"/>
    </row>
    <row r="793193" spans="15:15" x14ac:dyDescent="0.25">
      <c r="O793193" s="9"/>
    </row>
    <row r="793214" spans="15:15" x14ac:dyDescent="0.25">
      <c r="O793214" s="9"/>
    </row>
    <row r="793235" spans="15:15" x14ac:dyDescent="0.25">
      <c r="O793235" s="9"/>
    </row>
    <row r="793256" spans="15:15" x14ac:dyDescent="0.25">
      <c r="O793256" s="9"/>
    </row>
    <row r="793277" spans="15:15" x14ac:dyDescent="0.25">
      <c r="O793277" s="9"/>
    </row>
    <row r="793298" spans="15:15" x14ac:dyDescent="0.25">
      <c r="O793298" s="9"/>
    </row>
    <row r="793319" spans="15:15" x14ac:dyDescent="0.25">
      <c r="O793319" s="9"/>
    </row>
    <row r="793340" spans="15:15" x14ac:dyDescent="0.25">
      <c r="O793340" s="9"/>
    </row>
    <row r="793361" spans="15:15" x14ac:dyDescent="0.25">
      <c r="O793361" s="9"/>
    </row>
    <row r="793382" spans="15:15" x14ac:dyDescent="0.25">
      <c r="O793382" s="9"/>
    </row>
    <row r="793403" spans="15:15" x14ac:dyDescent="0.25">
      <c r="O793403" s="9"/>
    </row>
    <row r="793424" spans="15:15" x14ac:dyDescent="0.25">
      <c r="O793424" s="9"/>
    </row>
    <row r="793445" spans="15:15" x14ac:dyDescent="0.25">
      <c r="O793445" s="9"/>
    </row>
    <row r="793466" spans="15:15" x14ac:dyDescent="0.25">
      <c r="O793466" s="9"/>
    </row>
    <row r="793487" spans="15:15" x14ac:dyDescent="0.25">
      <c r="O793487" s="9"/>
    </row>
    <row r="793508" spans="15:15" x14ac:dyDescent="0.25">
      <c r="O793508" s="9"/>
    </row>
    <row r="793529" spans="15:15" x14ac:dyDescent="0.25">
      <c r="O793529" s="9"/>
    </row>
    <row r="793550" spans="15:15" x14ac:dyDescent="0.25">
      <c r="O793550" s="9"/>
    </row>
    <row r="793571" spans="15:15" x14ac:dyDescent="0.25">
      <c r="O793571" s="9"/>
    </row>
    <row r="793592" spans="15:15" x14ac:dyDescent="0.25">
      <c r="O793592" s="9"/>
    </row>
    <row r="793613" spans="15:15" x14ac:dyDescent="0.25">
      <c r="O793613" s="9"/>
    </row>
    <row r="793634" spans="15:15" x14ac:dyDescent="0.25">
      <c r="O793634" s="9"/>
    </row>
    <row r="793655" spans="15:15" x14ac:dyDescent="0.25">
      <c r="O793655" s="9"/>
    </row>
    <row r="793676" spans="15:15" x14ac:dyDescent="0.25">
      <c r="O793676" s="9"/>
    </row>
    <row r="793697" spans="15:15" x14ac:dyDescent="0.25">
      <c r="O793697" s="9"/>
    </row>
    <row r="793718" spans="15:15" x14ac:dyDescent="0.25">
      <c r="O793718" s="9"/>
    </row>
    <row r="793739" spans="15:15" x14ac:dyDescent="0.25">
      <c r="O793739" s="9"/>
    </row>
    <row r="793760" spans="15:15" x14ac:dyDescent="0.25">
      <c r="O793760" s="9"/>
    </row>
    <row r="793781" spans="15:15" x14ac:dyDescent="0.25">
      <c r="O793781" s="9"/>
    </row>
    <row r="793802" spans="15:15" x14ac:dyDescent="0.25">
      <c r="O793802" s="9"/>
    </row>
    <row r="793823" spans="15:15" x14ac:dyDescent="0.25">
      <c r="O793823" s="9"/>
    </row>
    <row r="793844" spans="15:15" x14ac:dyDescent="0.25">
      <c r="O793844" s="9"/>
    </row>
    <row r="793865" spans="15:15" x14ac:dyDescent="0.25">
      <c r="O793865" s="9"/>
    </row>
    <row r="793886" spans="15:15" x14ac:dyDescent="0.25">
      <c r="O793886" s="9"/>
    </row>
    <row r="793907" spans="15:15" x14ac:dyDescent="0.25">
      <c r="O793907" s="9"/>
    </row>
    <row r="793928" spans="15:15" x14ac:dyDescent="0.25">
      <c r="O793928" s="9"/>
    </row>
    <row r="793949" spans="15:15" x14ac:dyDescent="0.25">
      <c r="O793949" s="9"/>
    </row>
    <row r="793970" spans="15:15" x14ac:dyDescent="0.25">
      <c r="O793970" s="9"/>
    </row>
    <row r="793991" spans="15:15" x14ac:dyDescent="0.25">
      <c r="O793991" s="9"/>
    </row>
    <row r="794012" spans="15:15" x14ac:dyDescent="0.25">
      <c r="O794012" s="9"/>
    </row>
    <row r="794033" spans="15:15" x14ac:dyDescent="0.25">
      <c r="O794033" s="9"/>
    </row>
    <row r="794054" spans="15:15" x14ac:dyDescent="0.25">
      <c r="O794054" s="9"/>
    </row>
    <row r="794075" spans="15:15" x14ac:dyDescent="0.25">
      <c r="O794075" s="9"/>
    </row>
    <row r="794096" spans="15:15" x14ac:dyDescent="0.25">
      <c r="O794096" s="9"/>
    </row>
    <row r="794117" spans="15:15" x14ac:dyDescent="0.25">
      <c r="O794117" s="9"/>
    </row>
    <row r="794138" spans="15:15" x14ac:dyDescent="0.25">
      <c r="O794138" s="9"/>
    </row>
    <row r="794159" spans="15:15" x14ac:dyDescent="0.25">
      <c r="O794159" s="9"/>
    </row>
    <row r="794180" spans="15:15" x14ac:dyDescent="0.25">
      <c r="O794180" s="9"/>
    </row>
    <row r="794201" spans="15:15" x14ac:dyDescent="0.25">
      <c r="O794201" s="9"/>
    </row>
    <row r="794222" spans="15:15" x14ac:dyDescent="0.25">
      <c r="O794222" s="9"/>
    </row>
    <row r="794243" spans="15:15" x14ac:dyDescent="0.25">
      <c r="O794243" s="9"/>
    </row>
    <row r="794264" spans="15:15" x14ac:dyDescent="0.25">
      <c r="O794264" s="9"/>
    </row>
    <row r="794285" spans="15:15" x14ac:dyDescent="0.25">
      <c r="O794285" s="9"/>
    </row>
    <row r="794306" spans="15:15" x14ac:dyDescent="0.25">
      <c r="O794306" s="9"/>
    </row>
    <row r="794327" spans="15:15" x14ac:dyDescent="0.25">
      <c r="O794327" s="9"/>
    </row>
    <row r="794348" spans="15:15" x14ac:dyDescent="0.25">
      <c r="O794348" s="9"/>
    </row>
    <row r="794369" spans="15:15" x14ac:dyDescent="0.25">
      <c r="O794369" s="9"/>
    </row>
    <row r="794390" spans="15:15" x14ac:dyDescent="0.25">
      <c r="O794390" s="9"/>
    </row>
    <row r="794411" spans="15:15" x14ac:dyDescent="0.25">
      <c r="O794411" s="9"/>
    </row>
    <row r="794432" spans="15:15" x14ac:dyDescent="0.25">
      <c r="O794432" s="9"/>
    </row>
    <row r="794453" spans="15:15" x14ac:dyDescent="0.25">
      <c r="O794453" s="9"/>
    </row>
    <row r="794474" spans="15:15" x14ac:dyDescent="0.25">
      <c r="O794474" s="9"/>
    </row>
    <row r="794495" spans="15:15" x14ac:dyDescent="0.25">
      <c r="O794495" s="9"/>
    </row>
    <row r="794516" spans="15:15" x14ac:dyDescent="0.25">
      <c r="O794516" s="9"/>
    </row>
    <row r="794537" spans="15:15" x14ac:dyDescent="0.25">
      <c r="O794537" s="9"/>
    </row>
    <row r="794558" spans="15:15" x14ac:dyDescent="0.25">
      <c r="O794558" s="9"/>
    </row>
    <row r="794579" spans="15:15" x14ac:dyDescent="0.25">
      <c r="O794579" s="9"/>
    </row>
    <row r="794600" spans="15:15" x14ac:dyDescent="0.25">
      <c r="O794600" s="9"/>
    </row>
    <row r="794621" spans="15:15" x14ac:dyDescent="0.25">
      <c r="O794621" s="9"/>
    </row>
    <row r="794642" spans="15:15" x14ac:dyDescent="0.25">
      <c r="O794642" s="9"/>
    </row>
    <row r="794663" spans="15:15" x14ac:dyDescent="0.25">
      <c r="O794663" s="9"/>
    </row>
    <row r="794684" spans="15:15" x14ac:dyDescent="0.25">
      <c r="O794684" s="9"/>
    </row>
    <row r="794705" spans="15:15" x14ac:dyDescent="0.25">
      <c r="O794705" s="9"/>
    </row>
    <row r="794726" spans="15:15" x14ac:dyDescent="0.25">
      <c r="O794726" s="9"/>
    </row>
    <row r="794747" spans="15:15" x14ac:dyDescent="0.25">
      <c r="O794747" s="9"/>
    </row>
    <row r="794768" spans="15:15" x14ac:dyDescent="0.25">
      <c r="O794768" s="9"/>
    </row>
    <row r="794789" spans="15:15" x14ac:dyDescent="0.25">
      <c r="O794789" s="9"/>
    </row>
    <row r="794810" spans="15:15" x14ac:dyDescent="0.25">
      <c r="O794810" s="9"/>
    </row>
    <row r="794831" spans="15:15" x14ac:dyDescent="0.25">
      <c r="O794831" s="9"/>
    </row>
    <row r="794852" spans="15:15" x14ac:dyDescent="0.25">
      <c r="O794852" s="9"/>
    </row>
    <row r="794873" spans="15:15" x14ac:dyDescent="0.25">
      <c r="O794873" s="9"/>
    </row>
    <row r="794894" spans="15:15" x14ac:dyDescent="0.25">
      <c r="O794894" s="9"/>
    </row>
    <row r="794915" spans="15:15" x14ac:dyDescent="0.25">
      <c r="O794915" s="9"/>
    </row>
    <row r="794936" spans="15:15" x14ac:dyDescent="0.25">
      <c r="O794936" s="9"/>
    </row>
    <row r="794957" spans="15:15" x14ac:dyDescent="0.25">
      <c r="O794957" s="9"/>
    </row>
    <row r="794978" spans="15:15" x14ac:dyDescent="0.25">
      <c r="O794978" s="9"/>
    </row>
    <row r="794999" spans="15:15" x14ac:dyDescent="0.25">
      <c r="O794999" s="9"/>
    </row>
    <row r="795020" spans="15:15" x14ac:dyDescent="0.25">
      <c r="O795020" s="9"/>
    </row>
    <row r="795041" spans="15:15" x14ac:dyDescent="0.25">
      <c r="O795041" s="9"/>
    </row>
    <row r="795062" spans="15:15" x14ac:dyDescent="0.25">
      <c r="O795062" s="9"/>
    </row>
    <row r="795083" spans="15:15" x14ac:dyDescent="0.25">
      <c r="O795083" s="9"/>
    </row>
    <row r="795104" spans="15:15" x14ac:dyDescent="0.25">
      <c r="O795104" s="9"/>
    </row>
    <row r="795125" spans="15:15" x14ac:dyDescent="0.25">
      <c r="O795125" s="9"/>
    </row>
    <row r="795146" spans="15:15" x14ac:dyDescent="0.25">
      <c r="O795146" s="9"/>
    </row>
    <row r="795167" spans="15:15" x14ac:dyDescent="0.25">
      <c r="O795167" s="9"/>
    </row>
    <row r="795188" spans="15:15" x14ac:dyDescent="0.25">
      <c r="O795188" s="9"/>
    </row>
    <row r="795209" spans="15:15" x14ac:dyDescent="0.25">
      <c r="O795209" s="9"/>
    </row>
    <row r="795230" spans="15:15" x14ac:dyDescent="0.25">
      <c r="O795230" s="9"/>
    </row>
    <row r="795251" spans="15:15" x14ac:dyDescent="0.25">
      <c r="O795251" s="9"/>
    </row>
    <row r="795272" spans="15:15" x14ac:dyDescent="0.25">
      <c r="O795272" s="9"/>
    </row>
    <row r="795293" spans="15:15" x14ac:dyDescent="0.25">
      <c r="O795293" s="9"/>
    </row>
    <row r="795314" spans="15:15" x14ac:dyDescent="0.25">
      <c r="O795314" s="9"/>
    </row>
    <row r="795335" spans="15:15" x14ac:dyDescent="0.25">
      <c r="O795335" s="9"/>
    </row>
    <row r="795356" spans="15:15" x14ac:dyDescent="0.25">
      <c r="O795356" s="9"/>
    </row>
    <row r="795377" spans="15:15" x14ac:dyDescent="0.25">
      <c r="O795377" s="9"/>
    </row>
    <row r="795398" spans="15:15" x14ac:dyDescent="0.25">
      <c r="O795398" s="9"/>
    </row>
    <row r="795419" spans="15:15" x14ac:dyDescent="0.25">
      <c r="O795419" s="9"/>
    </row>
    <row r="795440" spans="15:15" x14ac:dyDescent="0.25">
      <c r="O795440" s="9"/>
    </row>
    <row r="795461" spans="15:15" x14ac:dyDescent="0.25">
      <c r="O795461" s="9"/>
    </row>
    <row r="795482" spans="15:15" x14ac:dyDescent="0.25">
      <c r="O795482" s="9"/>
    </row>
    <row r="795503" spans="15:15" x14ac:dyDescent="0.25">
      <c r="O795503" s="9"/>
    </row>
    <row r="795524" spans="15:15" x14ac:dyDescent="0.25">
      <c r="O795524" s="9"/>
    </row>
    <row r="795545" spans="15:15" x14ac:dyDescent="0.25">
      <c r="O795545" s="9"/>
    </row>
    <row r="795566" spans="15:15" x14ac:dyDescent="0.25">
      <c r="O795566" s="9"/>
    </row>
    <row r="795587" spans="15:15" x14ac:dyDescent="0.25">
      <c r="O795587" s="9"/>
    </row>
    <row r="795608" spans="15:15" x14ac:dyDescent="0.25">
      <c r="O795608" s="9"/>
    </row>
    <row r="795629" spans="15:15" x14ac:dyDescent="0.25">
      <c r="O795629" s="9"/>
    </row>
    <row r="795650" spans="15:15" x14ac:dyDescent="0.25">
      <c r="O795650" s="9"/>
    </row>
    <row r="795671" spans="15:15" x14ac:dyDescent="0.25">
      <c r="O795671" s="9"/>
    </row>
    <row r="795692" spans="15:15" x14ac:dyDescent="0.25">
      <c r="O795692" s="9"/>
    </row>
    <row r="795713" spans="15:15" x14ac:dyDescent="0.25">
      <c r="O795713" s="9"/>
    </row>
    <row r="795734" spans="15:15" x14ac:dyDescent="0.25">
      <c r="O795734" s="9"/>
    </row>
    <row r="795755" spans="15:15" x14ac:dyDescent="0.25">
      <c r="O795755" s="9"/>
    </row>
    <row r="795776" spans="15:15" x14ac:dyDescent="0.25">
      <c r="O795776" s="9"/>
    </row>
    <row r="795797" spans="15:15" x14ac:dyDescent="0.25">
      <c r="O795797" s="9"/>
    </row>
    <row r="795818" spans="15:15" x14ac:dyDescent="0.25">
      <c r="O795818" s="9"/>
    </row>
    <row r="795839" spans="15:15" x14ac:dyDescent="0.25">
      <c r="O795839" s="9"/>
    </row>
    <row r="795860" spans="15:15" x14ac:dyDescent="0.25">
      <c r="O795860" s="9"/>
    </row>
    <row r="795881" spans="15:15" x14ac:dyDescent="0.25">
      <c r="O795881" s="9"/>
    </row>
    <row r="795902" spans="15:15" x14ac:dyDescent="0.25">
      <c r="O795902" s="9"/>
    </row>
    <row r="795923" spans="15:15" x14ac:dyDescent="0.25">
      <c r="O795923" s="9"/>
    </row>
    <row r="795944" spans="15:15" x14ac:dyDescent="0.25">
      <c r="O795944" s="9"/>
    </row>
    <row r="795965" spans="15:15" x14ac:dyDescent="0.25">
      <c r="O795965" s="9"/>
    </row>
    <row r="795986" spans="15:15" x14ac:dyDescent="0.25">
      <c r="O795986" s="9"/>
    </row>
    <row r="796007" spans="15:15" x14ac:dyDescent="0.25">
      <c r="O796007" s="9"/>
    </row>
    <row r="796028" spans="15:15" x14ac:dyDescent="0.25">
      <c r="O796028" s="9"/>
    </row>
    <row r="796049" spans="15:15" x14ac:dyDescent="0.25">
      <c r="O796049" s="9"/>
    </row>
    <row r="796070" spans="15:15" x14ac:dyDescent="0.25">
      <c r="O796070" s="9"/>
    </row>
    <row r="796091" spans="15:15" x14ac:dyDescent="0.25">
      <c r="O796091" s="9"/>
    </row>
    <row r="796112" spans="15:15" x14ac:dyDescent="0.25">
      <c r="O796112" s="9"/>
    </row>
    <row r="796133" spans="15:15" x14ac:dyDescent="0.25">
      <c r="O796133" s="9"/>
    </row>
    <row r="796154" spans="15:15" x14ac:dyDescent="0.25">
      <c r="O796154" s="9"/>
    </row>
    <row r="796175" spans="15:15" x14ac:dyDescent="0.25">
      <c r="O796175" s="9"/>
    </row>
    <row r="796196" spans="15:15" x14ac:dyDescent="0.25">
      <c r="O796196" s="9"/>
    </row>
    <row r="796217" spans="15:15" x14ac:dyDescent="0.25">
      <c r="O796217" s="9"/>
    </row>
    <row r="796238" spans="15:15" x14ac:dyDescent="0.25">
      <c r="O796238" s="9"/>
    </row>
    <row r="796259" spans="15:15" x14ac:dyDescent="0.25">
      <c r="O796259" s="9"/>
    </row>
    <row r="796280" spans="15:15" x14ac:dyDescent="0.25">
      <c r="O796280" s="9"/>
    </row>
    <row r="796301" spans="15:15" x14ac:dyDescent="0.25">
      <c r="O796301" s="9"/>
    </row>
    <row r="796322" spans="15:15" x14ac:dyDescent="0.25">
      <c r="O796322" s="9"/>
    </row>
    <row r="796343" spans="15:15" x14ac:dyDescent="0.25">
      <c r="O796343" s="9"/>
    </row>
    <row r="796364" spans="15:15" x14ac:dyDescent="0.25">
      <c r="O796364" s="9"/>
    </row>
    <row r="796385" spans="15:15" x14ac:dyDescent="0.25">
      <c r="O796385" s="9"/>
    </row>
    <row r="796406" spans="15:15" x14ac:dyDescent="0.25">
      <c r="O796406" s="9"/>
    </row>
    <row r="796427" spans="15:15" x14ac:dyDescent="0.25">
      <c r="O796427" s="9"/>
    </row>
    <row r="796448" spans="15:15" x14ac:dyDescent="0.25">
      <c r="O796448" s="9"/>
    </row>
    <row r="796469" spans="15:15" x14ac:dyDescent="0.25">
      <c r="O796469" s="9"/>
    </row>
    <row r="796490" spans="15:15" x14ac:dyDescent="0.25">
      <c r="O796490" s="9"/>
    </row>
    <row r="796511" spans="15:15" x14ac:dyDescent="0.25">
      <c r="O796511" s="9"/>
    </row>
    <row r="796532" spans="15:15" x14ac:dyDescent="0.25">
      <c r="O796532" s="9"/>
    </row>
    <row r="796553" spans="15:15" x14ac:dyDescent="0.25">
      <c r="O796553" s="9"/>
    </row>
    <row r="796574" spans="15:15" x14ac:dyDescent="0.25">
      <c r="O796574" s="9"/>
    </row>
    <row r="796595" spans="15:15" x14ac:dyDescent="0.25">
      <c r="O796595" s="9"/>
    </row>
    <row r="796616" spans="15:15" x14ac:dyDescent="0.25">
      <c r="O796616" s="9"/>
    </row>
    <row r="796637" spans="15:15" x14ac:dyDescent="0.25">
      <c r="O796637" s="9"/>
    </row>
    <row r="796658" spans="15:15" x14ac:dyDescent="0.25">
      <c r="O796658" s="9"/>
    </row>
    <row r="796679" spans="15:15" x14ac:dyDescent="0.25">
      <c r="O796679" s="9"/>
    </row>
    <row r="796700" spans="15:15" x14ac:dyDescent="0.25">
      <c r="O796700" s="9"/>
    </row>
    <row r="796721" spans="15:15" x14ac:dyDescent="0.25">
      <c r="O796721" s="9"/>
    </row>
    <row r="796742" spans="15:15" x14ac:dyDescent="0.25">
      <c r="O796742" s="9"/>
    </row>
    <row r="796763" spans="15:15" x14ac:dyDescent="0.25">
      <c r="O796763" s="9"/>
    </row>
    <row r="796784" spans="15:15" x14ac:dyDescent="0.25">
      <c r="O796784" s="9"/>
    </row>
    <row r="796805" spans="15:15" x14ac:dyDescent="0.25">
      <c r="O796805" s="9"/>
    </row>
    <row r="796826" spans="15:15" x14ac:dyDescent="0.25">
      <c r="O796826" s="9"/>
    </row>
    <row r="796847" spans="15:15" x14ac:dyDescent="0.25">
      <c r="O796847" s="9"/>
    </row>
    <row r="796868" spans="15:15" x14ac:dyDescent="0.25">
      <c r="O796868" s="9"/>
    </row>
    <row r="796889" spans="15:15" x14ac:dyDescent="0.25">
      <c r="O796889" s="9"/>
    </row>
    <row r="796910" spans="15:15" x14ac:dyDescent="0.25">
      <c r="O796910" s="9"/>
    </row>
    <row r="796931" spans="15:15" x14ac:dyDescent="0.25">
      <c r="O796931" s="9"/>
    </row>
    <row r="796952" spans="15:15" x14ac:dyDescent="0.25">
      <c r="O796952" s="9"/>
    </row>
    <row r="796973" spans="15:15" x14ac:dyDescent="0.25">
      <c r="O796973" s="9"/>
    </row>
    <row r="796994" spans="15:15" x14ac:dyDescent="0.25">
      <c r="O796994" s="9"/>
    </row>
    <row r="797015" spans="15:15" x14ac:dyDescent="0.25">
      <c r="O797015" s="9"/>
    </row>
    <row r="797036" spans="15:15" x14ac:dyDescent="0.25">
      <c r="O797036" s="9"/>
    </row>
    <row r="797057" spans="15:15" x14ac:dyDescent="0.25">
      <c r="O797057" s="9"/>
    </row>
    <row r="797078" spans="15:15" x14ac:dyDescent="0.25">
      <c r="O797078" s="9"/>
    </row>
    <row r="797099" spans="15:15" x14ac:dyDescent="0.25">
      <c r="O797099" s="9"/>
    </row>
    <row r="797120" spans="15:15" x14ac:dyDescent="0.25">
      <c r="O797120" s="9"/>
    </row>
    <row r="797141" spans="15:15" x14ac:dyDescent="0.25">
      <c r="O797141" s="9"/>
    </row>
    <row r="797162" spans="15:15" x14ac:dyDescent="0.25">
      <c r="O797162" s="9"/>
    </row>
    <row r="797183" spans="15:15" x14ac:dyDescent="0.25">
      <c r="O797183" s="9"/>
    </row>
    <row r="797204" spans="15:15" x14ac:dyDescent="0.25">
      <c r="O797204" s="9"/>
    </row>
    <row r="797225" spans="15:15" x14ac:dyDescent="0.25">
      <c r="O797225" s="9"/>
    </row>
    <row r="797246" spans="15:15" x14ac:dyDescent="0.25">
      <c r="O797246" s="9"/>
    </row>
    <row r="797267" spans="15:15" x14ac:dyDescent="0.25">
      <c r="O797267" s="9"/>
    </row>
    <row r="797288" spans="15:15" x14ac:dyDescent="0.25">
      <c r="O797288" s="9"/>
    </row>
    <row r="797309" spans="15:15" x14ac:dyDescent="0.25">
      <c r="O797309" s="9"/>
    </row>
    <row r="797330" spans="15:15" x14ac:dyDescent="0.25">
      <c r="O797330" s="9"/>
    </row>
    <row r="797351" spans="15:15" x14ac:dyDescent="0.25">
      <c r="O797351" s="9"/>
    </row>
    <row r="797372" spans="15:15" x14ac:dyDescent="0.25">
      <c r="O797372" s="9"/>
    </row>
    <row r="797393" spans="15:15" x14ac:dyDescent="0.25">
      <c r="O797393" s="9"/>
    </row>
    <row r="797414" spans="15:15" x14ac:dyDescent="0.25">
      <c r="O797414" s="9"/>
    </row>
    <row r="797435" spans="15:15" x14ac:dyDescent="0.25">
      <c r="O797435" s="9"/>
    </row>
    <row r="797456" spans="15:15" x14ac:dyDescent="0.25">
      <c r="O797456" s="9"/>
    </row>
    <row r="797477" spans="15:15" x14ac:dyDescent="0.25">
      <c r="O797477" s="9"/>
    </row>
    <row r="797498" spans="15:15" x14ac:dyDescent="0.25">
      <c r="O797498" s="9"/>
    </row>
    <row r="797519" spans="15:15" x14ac:dyDescent="0.25">
      <c r="O797519" s="9"/>
    </row>
    <row r="797540" spans="15:15" x14ac:dyDescent="0.25">
      <c r="O797540" s="9"/>
    </row>
    <row r="797561" spans="15:15" x14ac:dyDescent="0.25">
      <c r="O797561" s="9"/>
    </row>
    <row r="797582" spans="15:15" x14ac:dyDescent="0.25">
      <c r="O797582" s="9"/>
    </row>
    <row r="797603" spans="15:15" x14ac:dyDescent="0.25">
      <c r="O797603" s="9"/>
    </row>
    <row r="797624" spans="15:15" x14ac:dyDescent="0.25">
      <c r="O797624" s="9"/>
    </row>
    <row r="797645" spans="15:15" x14ac:dyDescent="0.25">
      <c r="O797645" s="9"/>
    </row>
    <row r="797666" spans="15:15" x14ac:dyDescent="0.25">
      <c r="O797666" s="9"/>
    </row>
    <row r="797687" spans="15:15" x14ac:dyDescent="0.25">
      <c r="O797687" s="9"/>
    </row>
    <row r="797708" spans="15:15" x14ac:dyDescent="0.25">
      <c r="O797708" s="9"/>
    </row>
    <row r="797729" spans="15:15" x14ac:dyDescent="0.25">
      <c r="O797729" s="9"/>
    </row>
    <row r="797750" spans="15:15" x14ac:dyDescent="0.25">
      <c r="O797750" s="9"/>
    </row>
    <row r="797771" spans="15:15" x14ac:dyDescent="0.25">
      <c r="O797771" s="9"/>
    </row>
    <row r="797792" spans="15:15" x14ac:dyDescent="0.25">
      <c r="O797792" s="9"/>
    </row>
    <row r="797813" spans="15:15" x14ac:dyDescent="0.25">
      <c r="O797813" s="9"/>
    </row>
    <row r="797834" spans="15:15" x14ac:dyDescent="0.25">
      <c r="O797834" s="9"/>
    </row>
    <row r="797855" spans="15:15" x14ac:dyDescent="0.25">
      <c r="O797855" s="9"/>
    </row>
    <row r="797876" spans="15:15" x14ac:dyDescent="0.25">
      <c r="O797876" s="9"/>
    </row>
    <row r="797897" spans="15:15" x14ac:dyDescent="0.25">
      <c r="O797897" s="9"/>
    </row>
    <row r="797918" spans="15:15" x14ac:dyDescent="0.25">
      <c r="O797918" s="9"/>
    </row>
    <row r="797939" spans="15:15" x14ac:dyDescent="0.25">
      <c r="O797939" s="9"/>
    </row>
    <row r="797960" spans="15:15" x14ac:dyDescent="0.25">
      <c r="O797960" s="9"/>
    </row>
    <row r="797981" spans="15:15" x14ac:dyDescent="0.25">
      <c r="O797981" s="9"/>
    </row>
    <row r="798002" spans="15:15" x14ac:dyDescent="0.25">
      <c r="O798002" s="9"/>
    </row>
    <row r="798023" spans="15:15" x14ac:dyDescent="0.25">
      <c r="O798023" s="9"/>
    </row>
    <row r="798044" spans="15:15" x14ac:dyDescent="0.25">
      <c r="O798044" s="9"/>
    </row>
    <row r="798065" spans="15:15" x14ac:dyDescent="0.25">
      <c r="O798065" s="9"/>
    </row>
    <row r="798086" spans="15:15" x14ac:dyDescent="0.25">
      <c r="O798086" s="9"/>
    </row>
    <row r="798107" spans="15:15" x14ac:dyDescent="0.25">
      <c r="O798107" s="9"/>
    </row>
    <row r="798128" spans="15:15" x14ac:dyDescent="0.25">
      <c r="O798128" s="9"/>
    </row>
    <row r="798149" spans="15:15" x14ac:dyDescent="0.25">
      <c r="O798149" s="9"/>
    </row>
    <row r="798170" spans="15:15" x14ac:dyDescent="0.25">
      <c r="O798170" s="9"/>
    </row>
    <row r="798191" spans="15:15" x14ac:dyDescent="0.25">
      <c r="O798191" s="9"/>
    </row>
    <row r="798212" spans="15:15" x14ac:dyDescent="0.25">
      <c r="O798212" s="9"/>
    </row>
    <row r="798233" spans="15:15" x14ac:dyDescent="0.25">
      <c r="O798233" s="9"/>
    </row>
    <row r="798254" spans="15:15" x14ac:dyDescent="0.25">
      <c r="O798254" s="9"/>
    </row>
    <row r="798275" spans="15:15" x14ac:dyDescent="0.25">
      <c r="O798275" s="9"/>
    </row>
    <row r="798296" spans="15:15" x14ac:dyDescent="0.25">
      <c r="O798296" s="9"/>
    </row>
    <row r="798317" spans="15:15" x14ac:dyDescent="0.25">
      <c r="O798317" s="9"/>
    </row>
    <row r="798338" spans="15:15" x14ac:dyDescent="0.25">
      <c r="O798338" s="9"/>
    </row>
    <row r="798359" spans="15:15" x14ac:dyDescent="0.25">
      <c r="O798359" s="9"/>
    </row>
    <row r="798380" spans="15:15" x14ac:dyDescent="0.25">
      <c r="O798380" s="9"/>
    </row>
    <row r="798401" spans="15:15" x14ac:dyDescent="0.25">
      <c r="O798401" s="9"/>
    </row>
    <row r="798422" spans="15:15" x14ac:dyDescent="0.25">
      <c r="O798422" s="9"/>
    </row>
    <row r="798443" spans="15:15" x14ac:dyDescent="0.25">
      <c r="O798443" s="9"/>
    </row>
    <row r="798464" spans="15:15" x14ac:dyDescent="0.25">
      <c r="O798464" s="9"/>
    </row>
    <row r="798485" spans="15:15" x14ac:dyDescent="0.25">
      <c r="O798485" s="9"/>
    </row>
    <row r="798506" spans="15:15" x14ac:dyDescent="0.25">
      <c r="O798506" s="9"/>
    </row>
    <row r="798527" spans="15:15" x14ac:dyDescent="0.25">
      <c r="O798527" s="9"/>
    </row>
    <row r="798548" spans="15:15" x14ac:dyDescent="0.25">
      <c r="O798548" s="9"/>
    </row>
    <row r="798569" spans="15:15" x14ac:dyDescent="0.25">
      <c r="O798569" s="9"/>
    </row>
    <row r="798590" spans="15:15" x14ac:dyDescent="0.25">
      <c r="O798590" s="9"/>
    </row>
    <row r="798611" spans="15:15" x14ac:dyDescent="0.25">
      <c r="O798611" s="9"/>
    </row>
    <row r="798632" spans="15:15" x14ac:dyDescent="0.25">
      <c r="O798632" s="9"/>
    </row>
    <row r="798653" spans="15:15" x14ac:dyDescent="0.25">
      <c r="O798653" s="9"/>
    </row>
    <row r="798674" spans="15:15" x14ac:dyDescent="0.25">
      <c r="O798674" s="9"/>
    </row>
    <row r="798695" spans="15:15" x14ac:dyDescent="0.25">
      <c r="O798695" s="9"/>
    </row>
    <row r="798716" spans="15:15" x14ac:dyDescent="0.25">
      <c r="O798716" s="9"/>
    </row>
    <row r="798737" spans="15:15" x14ac:dyDescent="0.25">
      <c r="O798737" s="9"/>
    </row>
    <row r="798758" spans="15:15" x14ac:dyDescent="0.25">
      <c r="O798758" s="9"/>
    </row>
    <row r="798779" spans="15:15" x14ac:dyDescent="0.25">
      <c r="O798779" s="9"/>
    </row>
    <row r="798800" spans="15:15" x14ac:dyDescent="0.25">
      <c r="O798800" s="9"/>
    </row>
    <row r="798821" spans="15:15" x14ac:dyDescent="0.25">
      <c r="O798821" s="9"/>
    </row>
    <row r="798842" spans="15:15" x14ac:dyDescent="0.25">
      <c r="O798842" s="9"/>
    </row>
    <row r="798863" spans="15:15" x14ac:dyDescent="0.25">
      <c r="O798863" s="9"/>
    </row>
    <row r="798884" spans="15:15" x14ac:dyDescent="0.25">
      <c r="O798884" s="9"/>
    </row>
    <row r="798905" spans="15:15" x14ac:dyDescent="0.25">
      <c r="O798905" s="9"/>
    </row>
    <row r="798926" spans="15:15" x14ac:dyDescent="0.25">
      <c r="O798926" s="9"/>
    </row>
    <row r="798947" spans="15:15" x14ac:dyDescent="0.25">
      <c r="O798947" s="9"/>
    </row>
    <row r="798968" spans="15:15" x14ac:dyDescent="0.25">
      <c r="O798968" s="9"/>
    </row>
    <row r="798989" spans="15:15" x14ac:dyDescent="0.25">
      <c r="O798989" s="9"/>
    </row>
    <row r="799010" spans="15:15" x14ac:dyDescent="0.25">
      <c r="O799010" s="9"/>
    </row>
    <row r="799031" spans="15:15" x14ac:dyDescent="0.25">
      <c r="O799031" s="9"/>
    </row>
    <row r="799052" spans="15:15" x14ac:dyDescent="0.25">
      <c r="O799052" s="9"/>
    </row>
    <row r="799073" spans="15:15" x14ac:dyDescent="0.25">
      <c r="O799073" s="9"/>
    </row>
    <row r="799094" spans="15:15" x14ac:dyDescent="0.25">
      <c r="O799094" s="9"/>
    </row>
    <row r="799115" spans="15:15" x14ac:dyDescent="0.25">
      <c r="O799115" s="9"/>
    </row>
    <row r="799136" spans="15:15" x14ac:dyDescent="0.25">
      <c r="O799136" s="9"/>
    </row>
    <row r="799157" spans="15:15" x14ac:dyDescent="0.25">
      <c r="O799157" s="9"/>
    </row>
    <row r="799178" spans="15:15" x14ac:dyDescent="0.25">
      <c r="O799178" s="9"/>
    </row>
    <row r="799199" spans="15:15" x14ac:dyDescent="0.25">
      <c r="O799199" s="9"/>
    </row>
    <row r="799220" spans="15:15" x14ac:dyDescent="0.25">
      <c r="O799220" s="9"/>
    </row>
    <row r="799241" spans="15:15" x14ac:dyDescent="0.25">
      <c r="O799241" s="9"/>
    </row>
    <row r="799262" spans="15:15" x14ac:dyDescent="0.25">
      <c r="O799262" s="9"/>
    </row>
    <row r="799283" spans="15:15" x14ac:dyDescent="0.25">
      <c r="O799283" s="9"/>
    </row>
    <row r="799304" spans="15:15" x14ac:dyDescent="0.25">
      <c r="O799304" s="9"/>
    </row>
    <row r="799325" spans="15:15" x14ac:dyDescent="0.25">
      <c r="O799325" s="9"/>
    </row>
    <row r="799346" spans="15:15" x14ac:dyDescent="0.25">
      <c r="O799346" s="9"/>
    </row>
    <row r="799367" spans="15:15" x14ac:dyDescent="0.25">
      <c r="O799367" s="9"/>
    </row>
    <row r="799388" spans="15:15" x14ac:dyDescent="0.25">
      <c r="O799388" s="9"/>
    </row>
    <row r="799409" spans="15:15" x14ac:dyDescent="0.25">
      <c r="O799409" s="9"/>
    </row>
    <row r="799430" spans="15:15" x14ac:dyDescent="0.25">
      <c r="O799430" s="9"/>
    </row>
    <row r="799451" spans="15:15" x14ac:dyDescent="0.25">
      <c r="O799451" s="9"/>
    </row>
    <row r="799472" spans="15:15" x14ac:dyDescent="0.25">
      <c r="O799472" s="9"/>
    </row>
    <row r="799493" spans="15:15" x14ac:dyDescent="0.25">
      <c r="O799493" s="9"/>
    </row>
    <row r="799514" spans="15:15" x14ac:dyDescent="0.25">
      <c r="O799514" s="9"/>
    </row>
    <row r="799535" spans="15:15" x14ac:dyDescent="0.25">
      <c r="O799535" s="9"/>
    </row>
    <row r="799556" spans="15:15" x14ac:dyDescent="0.25">
      <c r="O799556" s="9"/>
    </row>
    <row r="799577" spans="15:15" x14ac:dyDescent="0.25">
      <c r="O799577" s="9"/>
    </row>
    <row r="799598" spans="15:15" x14ac:dyDescent="0.25">
      <c r="O799598" s="9"/>
    </row>
    <row r="799619" spans="15:15" x14ac:dyDescent="0.25">
      <c r="O799619" s="9"/>
    </row>
    <row r="799640" spans="15:15" x14ac:dyDescent="0.25">
      <c r="O799640" s="9"/>
    </row>
    <row r="799661" spans="15:15" x14ac:dyDescent="0.25">
      <c r="O799661" s="9"/>
    </row>
    <row r="799682" spans="15:15" x14ac:dyDescent="0.25">
      <c r="O799682" s="9"/>
    </row>
    <row r="799703" spans="15:15" x14ac:dyDescent="0.25">
      <c r="O799703" s="9"/>
    </row>
    <row r="799724" spans="15:15" x14ac:dyDescent="0.25">
      <c r="O799724" s="9"/>
    </row>
    <row r="799745" spans="15:15" x14ac:dyDescent="0.25">
      <c r="O799745" s="9"/>
    </row>
    <row r="799766" spans="15:15" x14ac:dyDescent="0.25">
      <c r="O799766" s="9"/>
    </row>
    <row r="799787" spans="15:15" x14ac:dyDescent="0.25">
      <c r="O799787" s="9"/>
    </row>
    <row r="799808" spans="15:15" x14ac:dyDescent="0.25">
      <c r="O799808" s="9"/>
    </row>
    <row r="799829" spans="15:15" x14ac:dyDescent="0.25">
      <c r="O799829" s="9"/>
    </row>
    <row r="799850" spans="15:15" x14ac:dyDescent="0.25">
      <c r="O799850" s="9"/>
    </row>
    <row r="799871" spans="15:15" x14ac:dyDescent="0.25">
      <c r="O799871" s="9"/>
    </row>
    <row r="799892" spans="15:15" x14ac:dyDescent="0.25">
      <c r="O799892" s="9"/>
    </row>
    <row r="799913" spans="15:15" x14ac:dyDescent="0.25">
      <c r="O799913" s="9"/>
    </row>
    <row r="799934" spans="15:15" x14ac:dyDescent="0.25">
      <c r="O799934" s="9"/>
    </row>
    <row r="799955" spans="15:15" x14ac:dyDescent="0.25">
      <c r="O799955" s="9"/>
    </row>
    <row r="799976" spans="15:15" x14ac:dyDescent="0.25">
      <c r="O799976" s="9"/>
    </row>
    <row r="799997" spans="15:15" x14ac:dyDescent="0.25">
      <c r="O799997" s="9"/>
    </row>
    <row r="800018" spans="15:15" x14ac:dyDescent="0.25">
      <c r="O800018" s="9"/>
    </row>
    <row r="800039" spans="15:15" x14ac:dyDescent="0.25">
      <c r="O800039" s="9"/>
    </row>
    <row r="800060" spans="15:15" x14ac:dyDescent="0.25">
      <c r="O800060" s="9"/>
    </row>
    <row r="800081" spans="15:15" x14ac:dyDescent="0.25">
      <c r="O800081" s="9"/>
    </row>
    <row r="800102" spans="15:15" x14ac:dyDescent="0.25">
      <c r="O800102" s="9"/>
    </row>
    <row r="800123" spans="15:15" x14ac:dyDescent="0.25">
      <c r="O800123" s="9"/>
    </row>
    <row r="800144" spans="15:15" x14ac:dyDescent="0.25">
      <c r="O800144" s="9"/>
    </row>
    <row r="800165" spans="15:15" x14ac:dyDescent="0.25">
      <c r="O800165" s="9"/>
    </row>
    <row r="800186" spans="15:15" x14ac:dyDescent="0.25">
      <c r="O800186" s="9"/>
    </row>
    <row r="800207" spans="15:15" x14ac:dyDescent="0.25">
      <c r="O800207" s="9"/>
    </row>
    <row r="800228" spans="15:15" x14ac:dyDescent="0.25">
      <c r="O800228" s="9"/>
    </row>
    <row r="800249" spans="15:15" x14ac:dyDescent="0.25">
      <c r="O800249" s="9"/>
    </row>
    <row r="800270" spans="15:15" x14ac:dyDescent="0.25">
      <c r="O800270" s="9"/>
    </row>
    <row r="800291" spans="15:15" x14ac:dyDescent="0.25">
      <c r="O800291" s="9"/>
    </row>
    <row r="800312" spans="15:15" x14ac:dyDescent="0.25">
      <c r="O800312" s="9"/>
    </row>
    <row r="800333" spans="15:15" x14ac:dyDescent="0.25">
      <c r="O800333" s="9"/>
    </row>
    <row r="800354" spans="15:15" x14ac:dyDescent="0.25">
      <c r="O800354" s="9"/>
    </row>
    <row r="800375" spans="15:15" x14ac:dyDescent="0.25">
      <c r="O800375" s="9"/>
    </row>
    <row r="800396" spans="15:15" x14ac:dyDescent="0.25">
      <c r="O800396" s="9"/>
    </row>
    <row r="800417" spans="15:15" x14ac:dyDescent="0.25">
      <c r="O800417" s="9"/>
    </row>
    <row r="800438" spans="15:15" x14ac:dyDescent="0.25">
      <c r="O800438" s="9"/>
    </row>
    <row r="800459" spans="15:15" x14ac:dyDescent="0.25">
      <c r="O800459" s="9"/>
    </row>
    <row r="800480" spans="15:15" x14ac:dyDescent="0.25">
      <c r="O800480" s="9"/>
    </row>
    <row r="800501" spans="15:15" x14ac:dyDescent="0.25">
      <c r="O800501" s="9"/>
    </row>
    <row r="800522" spans="15:15" x14ac:dyDescent="0.25">
      <c r="O800522" s="9"/>
    </row>
    <row r="800543" spans="15:15" x14ac:dyDescent="0.25">
      <c r="O800543" s="9"/>
    </row>
    <row r="800564" spans="15:15" x14ac:dyDescent="0.25">
      <c r="O800564" s="9"/>
    </row>
    <row r="800585" spans="15:15" x14ac:dyDescent="0.25">
      <c r="O800585" s="9"/>
    </row>
    <row r="800606" spans="15:15" x14ac:dyDescent="0.25">
      <c r="O800606" s="9"/>
    </row>
    <row r="800627" spans="15:15" x14ac:dyDescent="0.25">
      <c r="O800627" s="9"/>
    </row>
    <row r="800648" spans="15:15" x14ac:dyDescent="0.25">
      <c r="O800648" s="9"/>
    </row>
    <row r="800669" spans="15:15" x14ac:dyDescent="0.25">
      <c r="O800669" s="9"/>
    </row>
    <row r="800690" spans="15:15" x14ac:dyDescent="0.25">
      <c r="O800690" s="9"/>
    </row>
    <row r="800711" spans="15:15" x14ac:dyDescent="0.25">
      <c r="O800711" s="9"/>
    </row>
    <row r="800732" spans="15:15" x14ac:dyDescent="0.25">
      <c r="O800732" s="9"/>
    </row>
    <row r="800753" spans="15:15" x14ac:dyDescent="0.25">
      <c r="O800753" s="9"/>
    </row>
    <row r="800774" spans="15:15" x14ac:dyDescent="0.25">
      <c r="O800774" s="9"/>
    </row>
    <row r="800795" spans="15:15" x14ac:dyDescent="0.25">
      <c r="O800795" s="9"/>
    </row>
    <row r="800816" spans="15:15" x14ac:dyDescent="0.25">
      <c r="O800816" s="9"/>
    </row>
    <row r="800837" spans="15:15" x14ac:dyDescent="0.25">
      <c r="O800837" s="9"/>
    </row>
    <row r="800858" spans="15:15" x14ac:dyDescent="0.25">
      <c r="O800858" s="9"/>
    </row>
    <row r="800879" spans="15:15" x14ac:dyDescent="0.25">
      <c r="O800879" s="9"/>
    </row>
    <row r="800900" spans="15:15" x14ac:dyDescent="0.25">
      <c r="O800900" s="9"/>
    </row>
    <row r="800921" spans="15:15" x14ac:dyDescent="0.25">
      <c r="O800921" s="9"/>
    </row>
    <row r="800942" spans="15:15" x14ac:dyDescent="0.25">
      <c r="O800942" s="9"/>
    </row>
    <row r="800963" spans="15:15" x14ac:dyDescent="0.25">
      <c r="O800963" s="9"/>
    </row>
    <row r="800984" spans="15:15" x14ac:dyDescent="0.25">
      <c r="O800984" s="9"/>
    </row>
    <row r="801005" spans="15:15" x14ac:dyDescent="0.25">
      <c r="O801005" s="9"/>
    </row>
    <row r="801026" spans="15:15" x14ac:dyDescent="0.25">
      <c r="O801026" s="9"/>
    </row>
    <row r="801047" spans="15:15" x14ac:dyDescent="0.25">
      <c r="O801047" s="9"/>
    </row>
    <row r="801068" spans="15:15" x14ac:dyDescent="0.25">
      <c r="O801068" s="9"/>
    </row>
    <row r="801089" spans="15:15" x14ac:dyDescent="0.25">
      <c r="O801089" s="9"/>
    </row>
    <row r="801110" spans="15:15" x14ac:dyDescent="0.25">
      <c r="O801110" s="9"/>
    </row>
    <row r="801131" spans="15:15" x14ac:dyDescent="0.25">
      <c r="O801131" s="9"/>
    </row>
    <row r="801152" spans="15:15" x14ac:dyDescent="0.25">
      <c r="O801152" s="9"/>
    </row>
    <row r="801173" spans="15:15" x14ac:dyDescent="0.25">
      <c r="O801173" s="9"/>
    </row>
    <row r="801194" spans="15:15" x14ac:dyDescent="0.25">
      <c r="O801194" s="9"/>
    </row>
    <row r="801215" spans="15:15" x14ac:dyDescent="0.25">
      <c r="O801215" s="9"/>
    </row>
    <row r="801236" spans="15:15" x14ac:dyDescent="0.25">
      <c r="O801236" s="9"/>
    </row>
    <row r="801257" spans="15:15" x14ac:dyDescent="0.25">
      <c r="O801257" s="9"/>
    </row>
    <row r="801278" spans="15:15" x14ac:dyDescent="0.25">
      <c r="O801278" s="9"/>
    </row>
    <row r="801299" spans="15:15" x14ac:dyDescent="0.25">
      <c r="O801299" s="9"/>
    </row>
    <row r="801320" spans="15:15" x14ac:dyDescent="0.25">
      <c r="O801320" s="9"/>
    </row>
    <row r="801341" spans="15:15" x14ac:dyDescent="0.25">
      <c r="O801341" s="9"/>
    </row>
    <row r="801362" spans="15:15" x14ac:dyDescent="0.25">
      <c r="O801362" s="9"/>
    </row>
    <row r="801383" spans="15:15" x14ac:dyDescent="0.25">
      <c r="O801383" s="9"/>
    </row>
    <row r="801404" spans="15:15" x14ac:dyDescent="0.25">
      <c r="O801404" s="9"/>
    </row>
    <row r="801425" spans="15:15" x14ac:dyDescent="0.25">
      <c r="O801425" s="9"/>
    </row>
    <row r="801446" spans="15:15" x14ac:dyDescent="0.25">
      <c r="O801446" s="9"/>
    </row>
    <row r="801467" spans="15:15" x14ac:dyDescent="0.25">
      <c r="O801467" s="9"/>
    </row>
    <row r="801488" spans="15:15" x14ac:dyDescent="0.25">
      <c r="O801488" s="9"/>
    </row>
    <row r="801509" spans="15:15" x14ac:dyDescent="0.25">
      <c r="O801509" s="9"/>
    </row>
    <row r="801530" spans="15:15" x14ac:dyDescent="0.25">
      <c r="O801530" s="9"/>
    </row>
    <row r="801551" spans="15:15" x14ac:dyDescent="0.25">
      <c r="O801551" s="9"/>
    </row>
    <row r="801572" spans="15:15" x14ac:dyDescent="0.25">
      <c r="O801572" s="9"/>
    </row>
    <row r="801593" spans="15:15" x14ac:dyDescent="0.25">
      <c r="O801593" s="9"/>
    </row>
    <row r="801614" spans="15:15" x14ac:dyDescent="0.25">
      <c r="O801614" s="9"/>
    </row>
    <row r="801635" spans="15:15" x14ac:dyDescent="0.25">
      <c r="O801635" s="9"/>
    </row>
    <row r="801656" spans="15:15" x14ac:dyDescent="0.25">
      <c r="O801656" s="9"/>
    </row>
    <row r="801677" spans="15:15" x14ac:dyDescent="0.25">
      <c r="O801677" s="9"/>
    </row>
    <row r="801698" spans="15:15" x14ac:dyDescent="0.25">
      <c r="O801698" s="9"/>
    </row>
    <row r="801719" spans="15:15" x14ac:dyDescent="0.25">
      <c r="O801719" s="9"/>
    </row>
    <row r="801740" spans="15:15" x14ac:dyDescent="0.25">
      <c r="O801740" s="9"/>
    </row>
    <row r="801761" spans="15:15" x14ac:dyDescent="0.25">
      <c r="O801761" s="9"/>
    </row>
    <row r="801782" spans="15:15" x14ac:dyDescent="0.25">
      <c r="O801782" s="9"/>
    </row>
    <row r="801803" spans="15:15" x14ac:dyDescent="0.25">
      <c r="O801803" s="9"/>
    </row>
    <row r="801824" spans="15:15" x14ac:dyDescent="0.25">
      <c r="O801824" s="9"/>
    </row>
    <row r="801845" spans="15:15" x14ac:dyDescent="0.25">
      <c r="O801845" s="9"/>
    </row>
    <row r="801866" spans="15:15" x14ac:dyDescent="0.25">
      <c r="O801866" s="9"/>
    </row>
    <row r="801887" spans="15:15" x14ac:dyDescent="0.25">
      <c r="O801887" s="9"/>
    </row>
    <row r="801908" spans="15:15" x14ac:dyDescent="0.25">
      <c r="O801908" s="9"/>
    </row>
    <row r="801929" spans="15:15" x14ac:dyDescent="0.25">
      <c r="O801929" s="9"/>
    </row>
    <row r="801950" spans="15:15" x14ac:dyDescent="0.25">
      <c r="O801950" s="9"/>
    </row>
    <row r="801971" spans="15:15" x14ac:dyDescent="0.25">
      <c r="O801971" s="9"/>
    </row>
    <row r="801992" spans="15:15" x14ac:dyDescent="0.25">
      <c r="O801992" s="9"/>
    </row>
    <row r="802013" spans="15:15" x14ac:dyDescent="0.25">
      <c r="O802013" s="9"/>
    </row>
    <row r="802034" spans="15:15" x14ac:dyDescent="0.25">
      <c r="O802034" s="9"/>
    </row>
    <row r="802055" spans="15:15" x14ac:dyDescent="0.25">
      <c r="O802055" s="9"/>
    </row>
    <row r="802076" spans="15:15" x14ac:dyDescent="0.25">
      <c r="O802076" s="9"/>
    </row>
    <row r="802097" spans="15:15" x14ac:dyDescent="0.25">
      <c r="O802097" s="9"/>
    </row>
    <row r="802118" spans="15:15" x14ac:dyDescent="0.25">
      <c r="O802118" s="9"/>
    </row>
    <row r="802139" spans="15:15" x14ac:dyDescent="0.25">
      <c r="O802139" s="9"/>
    </row>
    <row r="802160" spans="15:15" x14ac:dyDescent="0.25">
      <c r="O802160" s="9"/>
    </row>
    <row r="802181" spans="15:15" x14ac:dyDescent="0.25">
      <c r="O802181" s="9"/>
    </row>
    <row r="802202" spans="15:15" x14ac:dyDescent="0.25">
      <c r="O802202" s="9"/>
    </row>
    <row r="802223" spans="15:15" x14ac:dyDescent="0.25">
      <c r="O802223" s="9"/>
    </row>
    <row r="802244" spans="15:15" x14ac:dyDescent="0.25">
      <c r="O802244" s="9"/>
    </row>
    <row r="802265" spans="15:15" x14ac:dyDescent="0.25">
      <c r="O802265" s="9"/>
    </row>
    <row r="802286" spans="15:15" x14ac:dyDescent="0.25">
      <c r="O802286" s="9"/>
    </row>
    <row r="802307" spans="15:15" x14ac:dyDescent="0.25">
      <c r="O802307" s="9"/>
    </row>
    <row r="802328" spans="15:15" x14ac:dyDescent="0.25">
      <c r="O802328" s="9"/>
    </row>
    <row r="802349" spans="15:15" x14ac:dyDescent="0.25">
      <c r="O802349" s="9"/>
    </row>
    <row r="802370" spans="15:15" x14ac:dyDescent="0.25">
      <c r="O802370" s="9"/>
    </row>
    <row r="802391" spans="15:15" x14ac:dyDescent="0.25">
      <c r="O802391" s="9"/>
    </row>
    <row r="802412" spans="15:15" x14ac:dyDescent="0.25">
      <c r="O802412" s="9"/>
    </row>
    <row r="802433" spans="15:15" x14ac:dyDescent="0.25">
      <c r="O802433" s="9"/>
    </row>
    <row r="802454" spans="15:15" x14ac:dyDescent="0.25">
      <c r="O802454" s="9"/>
    </row>
    <row r="802475" spans="15:15" x14ac:dyDescent="0.25">
      <c r="O802475" s="9"/>
    </row>
    <row r="802496" spans="15:15" x14ac:dyDescent="0.25">
      <c r="O802496" s="9"/>
    </row>
    <row r="802517" spans="15:15" x14ac:dyDescent="0.25">
      <c r="O802517" s="9"/>
    </row>
    <row r="802538" spans="15:15" x14ac:dyDescent="0.25">
      <c r="O802538" s="9"/>
    </row>
    <row r="802559" spans="15:15" x14ac:dyDescent="0.25">
      <c r="O802559" s="9"/>
    </row>
    <row r="802580" spans="15:15" x14ac:dyDescent="0.25">
      <c r="O802580" s="9"/>
    </row>
    <row r="802601" spans="15:15" x14ac:dyDescent="0.25">
      <c r="O802601" s="9"/>
    </row>
    <row r="802622" spans="15:15" x14ac:dyDescent="0.25">
      <c r="O802622" s="9"/>
    </row>
    <row r="802643" spans="15:15" x14ac:dyDescent="0.25">
      <c r="O802643" s="9"/>
    </row>
    <row r="802664" spans="15:15" x14ac:dyDescent="0.25">
      <c r="O802664" s="9"/>
    </row>
    <row r="802685" spans="15:15" x14ac:dyDescent="0.25">
      <c r="O802685" s="9"/>
    </row>
    <row r="802706" spans="15:15" x14ac:dyDescent="0.25">
      <c r="O802706" s="9"/>
    </row>
    <row r="802727" spans="15:15" x14ac:dyDescent="0.25">
      <c r="O802727" s="9"/>
    </row>
    <row r="802748" spans="15:15" x14ac:dyDescent="0.25">
      <c r="O802748" s="9"/>
    </row>
    <row r="802769" spans="15:15" x14ac:dyDescent="0.25">
      <c r="O802769" s="9"/>
    </row>
    <row r="802790" spans="15:15" x14ac:dyDescent="0.25">
      <c r="O802790" s="9"/>
    </row>
    <row r="802811" spans="15:15" x14ac:dyDescent="0.25">
      <c r="O802811" s="9"/>
    </row>
    <row r="802832" spans="15:15" x14ac:dyDescent="0.25">
      <c r="O802832" s="9"/>
    </row>
    <row r="802853" spans="15:15" x14ac:dyDescent="0.25">
      <c r="O802853" s="9"/>
    </row>
    <row r="802874" spans="15:15" x14ac:dyDescent="0.25">
      <c r="O802874" s="9"/>
    </row>
    <row r="802895" spans="15:15" x14ac:dyDescent="0.25">
      <c r="O802895" s="9"/>
    </row>
    <row r="802916" spans="15:15" x14ac:dyDescent="0.25">
      <c r="O802916" s="9"/>
    </row>
    <row r="802937" spans="15:15" x14ac:dyDescent="0.25">
      <c r="O802937" s="9"/>
    </row>
    <row r="802958" spans="15:15" x14ac:dyDescent="0.25">
      <c r="O802958" s="9"/>
    </row>
    <row r="802979" spans="15:15" x14ac:dyDescent="0.25">
      <c r="O802979" s="9"/>
    </row>
    <row r="803000" spans="15:15" x14ac:dyDescent="0.25">
      <c r="O803000" s="9"/>
    </row>
    <row r="803021" spans="15:15" x14ac:dyDescent="0.25">
      <c r="O803021" s="9"/>
    </row>
    <row r="803042" spans="15:15" x14ac:dyDescent="0.25">
      <c r="O803042" s="9"/>
    </row>
    <row r="803063" spans="15:15" x14ac:dyDescent="0.25">
      <c r="O803063" s="9"/>
    </row>
    <row r="803084" spans="15:15" x14ac:dyDescent="0.25">
      <c r="O803084" s="9"/>
    </row>
    <row r="803105" spans="15:15" x14ac:dyDescent="0.25">
      <c r="O803105" s="9"/>
    </row>
    <row r="803126" spans="15:15" x14ac:dyDescent="0.25">
      <c r="O803126" s="9"/>
    </row>
    <row r="803147" spans="15:15" x14ac:dyDescent="0.25">
      <c r="O803147" s="9"/>
    </row>
    <row r="803168" spans="15:15" x14ac:dyDescent="0.25">
      <c r="O803168" s="9"/>
    </row>
    <row r="803189" spans="15:15" x14ac:dyDescent="0.25">
      <c r="O803189" s="9"/>
    </row>
    <row r="803210" spans="15:15" x14ac:dyDescent="0.25">
      <c r="O803210" s="9"/>
    </row>
    <row r="803231" spans="15:15" x14ac:dyDescent="0.25">
      <c r="O803231" s="9"/>
    </row>
    <row r="803252" spans="15:15" x14ac:dyDescent="0.25">
      <c r="O803252" s="9"/>
    </row>
    <row r="803273" spans="15:15" x14ac:dyDescent="0.25">
      <c r="O803273" s="9"/>
    </row>
    <row r="803294" spans="15:15" x14ac:dyDescent="0.25">
      <c r="O803294" s="9"/>
    </row>
    <row r="803315" spans="15:15" x14ac:dyDescent="0.25">
      <c r="O803315" s="9"/>
    </row>
    <row r="803336" spans="15:15" x14ac:dyDescent="0.25">
      <c r="O803336" s="9"/>
    </row>
    <row r="803357" spans="15:15" x14ac:dyDescent="0.25">
      <c r="O803357" s="9"/>
    </row>
    <row r="803378" spans="15:15" x14ac:dyDescent="0.25">
      <c r="O803378" s="9"/>
    </row>
    <row r="803399" spans="15:15" x14ac:dyDescent="0.25">
      <c r="O803399" s="9"/>
    </row>
    <row r="803420" spans="15:15" x14ac:dyDescent="0.25">
      <c r="O803420" s="9"/>
    </row>
    <row r="803441" spans="15:15" x14ac:dyDescent="0.25">
      <c r="O803441" s="9"/>
    </row>
    <row r="803462" spans="15:15" x14ac:dyDescent="0.25">
      <c r="O803462" s="9"/>
    </row>
    <row r="803483" spans="15:15" x14ac:dyDescent="0.25">
      <c r="O803483" s="9"/>
    </row>
    <row r="803504" spans="15:15" x14ac:dyDescent="0.25">
      <c r="O803504" s="9"/>
    </row>
    <row r="803525" spans="15:15" x14ac:dyDescent="0.25">
      <c r="O803525" s="9"/>
    </row>
    <row r="803546" spans="15:15" x14ac:dyDescent="0.25">
      <c r="O803546" s="9"/>
    </row>
    <row r="803567" spans="15:15" x14ac:dyDescent="0.25">
      <c r="O803567" s="9"/>
    </row>
    <row r="803588" spans="15:15" x14ac:dyDescent="0.25">
      <c r="O803588" s="9"/>
    </row>
    <row r="803609" spans="15:15" x14ac:dyDescent="0.25">
      <c r="O803609" s="9"/>
    </row>
    <row r="803630" spans="15:15" x14ac:dyDescent="0.25">
      <c r="O803630" s="9"/>
    </row>
    <row r="803651" spans="15:15" x14ac:dyDescent="0.25">
      <c r="O803651" s="9"/>
    </row>
    <row r="803672" spans="15:15" x14ac:dyDescent="0.25">
      <c r="O803672" s="9"/>
    </row>
    <row r="803693" spans="15:15" x14ac:dyDescent="0.25">
      <c r="O803693" s="9"/>
    </row>
    <row r="803714" spans="15:15" x14ac:dyDescent="0.25">
      <c r="O803714" s="9"/>
    </row>
    <row r="803735" spans="15:15" x14ac:dyDescent="0.25">
      <c r="O803735" s="9"/>
    </row>
    <row r="803756" spans="15:15" x14ac:dyDescent="0.25">
      <c r="O803756" s="9"/>
    </row>
    <row r="803777" spans="15:15" x14ac:dyDescent="0.25">
      <c r="O803777" s="9"/>
    </row>
    <row r="803798" spans="15:15" x14ac:dyDescent="0.25">
      <c r="O803798" s="9"/>
    </row>
    <row r="803819" spans="15:15" x14ac:dyDescent="0.25">
      <c r="O803819" s="9"/>
    </row>
    <row r="803840" spans="15:15" x14ac:dyDescent="0.25">
      <c r="O803840" s="9"/>
    </row>
    <row r="803861" spans="15:15" x14ac:dyDescent="0.25">
      <c r="O803861" s="9"/>
    </row>
    <row r="803882" spans="15:15" x14ac:dyDescent="0.25">
      <c r="O803882" s="9"/>
    </row>
    <row r="803903" spans="15:15" x14ac:dyDescent="0.25">
      <c r="O803903" s="9"/>
    </row>
    <row r="803924" spans="15:15" x14ac:dyDescent="0.25">
      <c r="O803924" s="9"/>
    </row>
    <row r="803945" spans="15:15" x14ac:dyDescent="0.25">
      <c r="O803945" s="9"/>
    </row>
    <row r="803966" spans="15:15" x14ac:dyDescent="0.25">
      <c r="O803966" s="9"/>
    </row>
    <row r="803987" spans="15:15" x14ac:dyDescent="0.25">
      <c r="O803987" s="9"/>
    </row>
    <row r="804008" spans="15:15" x14ac:dyDescent="0.25">
      <c r="O804008" s="9"/>
    </row>
    <row r="804029" spans="15:15" x14ac:dyDescent="0.25">
      <c r="O804029" s="9"/>
    </row>
    <row r="804050" spans="15:15" x14ac:dyDescent="0.25">
      <c r="O804050" s="9"/>
    </row>
    <row r="804071" spans="15:15" x14ac:dyDescent="0.25">
      <c r="O804071" s="9"/>
    </row>
    <row r="804092" spans="15:15" x14ac:dyDescent="0.25">
      <c r="O804092" s="9"/>
    </row>
    <row r="804113" spans="15:15" x14ac:dyDescent="0.25">
      <c r="O804113" s="9"/>
    </row>
    <row r="804134" spans="15:15" x14ac:dyDescent="0.25">
      <c r="O804134" s="9"/>
    </row>
    <row r="804155" spans="15:15" x14ac:dyDescent="0.25">
      <c r="O804155" s="9"/>
    </row>
    <row r="804176" spans="15:15" x14ac:dyDescent="0.25">
      <c r="O804176" s="9"/>
    </row>
    <row r="804197" spans="15:15" x14ac:dyDescent="0.25">
      <c r="O804197" s="9"/>
    </row>
    <row r="804218" spans="15:15" x14ac:dyDescent="0.25">
      <c r="O804218" s="9"/>
    </row>
    <row r="804239" spans="15:15" x14ac:dyDescent="0.25">
      <c r="O804239" s="9"/>
    </row>
    <row r="804260" spans="15:15" x14ac:dyDescent="0.25">
      <c r="O804260" s="9"/>
    </row>
    <row r="804281" spans="15:15" x14ac:dyDescent="0.25">
      <c r="O804281" s="9"/>
    </row>
    <row r="804302" spans="15:15" x14ac:dyDescent="0.25">
      <c r="O804302" s="9"/>
    </row>
    <row r="804323" spans="15:15" x14ac:dyDescent="0.25">
      <c r="O804323" s="9"/>
    </row>
    <row r="804344" spans="15:15" x14ac:dyDescent="0.25">
      <c r="O804344" s="9"/>
    </row>
    <row r="804365" spans="15:15" x14ac:dyDescent="0.25">
      <c r="O804365" s="9"/>
    </row>
    <row r="804386" spans="15:15" x14ac:dyDescent="0.25">
      <c r="O804386" s="9"/>
    </row>
    <row r="804407" spans="15:15" x14ac:dyDescent="0.25">
      <c r="O804407" s="9"/>
    </row>
    <row r="804428" spans="15:15" x14ac:dyDescent="0.25">
      <c r="O804428" s="9"/>
    </row>
    <row r="804449" spans="15:15" x14ac:dyDescent="0.25">
      <c r="O804449" s="9"/>
    </row>
    <row r="804470" spans="15:15" x14ac:dyDescent="0.25">
      <c r="O804470" s="9"/>
    </row>
    <row r="804491" spans="15:15" x14ac:dyDescent="0.25">
      <c r="O804491" s="9"/>
    </row>
    <row r="804512" spans="15:15" x14ac:dyDescent="0.25">
      <c r="O804512" s="9"/>
    </row>
    <row r="804533" spans="15:15" x14ac:dyDescent="0.25">
      <c r="O804533" s="9"/>
    </row>
    <row r="804554" spans="15:15" x14ac:dyDescent="0.25">
      <c r="O804554" s="9"/>
    </row>
    <row r="804575" spans="15:15" x14ac:dyDescent="0.25">
      <c r="O804575" s="9"/>
    </row>
    <row r="804596" spans="15:15" x14ac:dyDescent="0.25">
      <c r="O804596" s="9"/>
    </row>
    <row r="804617" spans="15:15" x14ac:dyDescent="0.25">
      <c r="O804617" s="9"/>
    </row>
    <row r="804638" spans="15:15" x14ac:dyDescent="0.25">
      <c r="O804638" s="9"/>
    </row>
    <row r="804659" spans="15:15" x14ac:dyDescent="0.25">
      <c r="O804659" s="9"/>
    </row>
    <row r="804680" spans="15:15" x14ac:dyDescent="0.25">
      <c r="O804680" s="9"/>
    </row>
    <row r="804701" spans="15:15" x14ac:dyDescent="0.25">
      <c r="O804701" s="9"/>
    </row>
    <row r="804722" spans="15:15" x14ac:dyDescent="0.25">
      <c r="O804722" s="9"/>
    </row>
    <row r="804743" spans="15:15" x14ac:dyDescent="0.25">
      <c r="O804743" s="9"/>
    </row>
    <row r="804764" spans="15:15" x14ac:dyDescent="0.25">
      <c r="O804764" s="9"/>
    </row>
    <row r="804785" spans="15:15" x14ac:dyDescent="0.25">
      <c r="O804785" s="9"/>
    </row>
    <row r="804806" spans="15:15" x14ac:dyDescent="0.25">
      <c r="O804806" s="9"/>
    </row>
    <row r="804827" spans="15:15" x14ac:dyDescent="0.25">
      <c r="O804827" s="9"/>
    </row>
    <row r="804848" spans="15:15" x14ac:dyDescent="0.25">
      <c r="O804848" s="9"/>
    </row>
    <row r="804869" spans="15:15" x14ac:dyDescent="0.25">
      <c r="O804869" s="9"/>
    </row>
    <row r="804890" spans="15:15" x14ac:dyDescent="0.25">
      <c r="O804890" s="9"/>
    </row>
    <row r="804911" spans="15:15" x14ac:dyDescent="0.25">
      <c r="O804911" s="9"/>
    </row>
    <row r="804932" spans="15:15" x14ac:dyDescent="0.25">
      <c r="O804932" s="9"/>
    </row>
    <row r="804953" spans="15:15" x14ac:dyDescent="0.25">
      <c r="O804953" s="9"/>
    </row>
    <row r="804974" spans="15:15" x14ac:dyDescent="0.25">
      <c r="O804974" s="9"/>
    </row>
    <row r="804995" spans="15:15" x14ac:dyDescent="0.25">
      <c r="O804995" s="9"/>
    </row>
    <row r="805016" spans="15:15" x14ac:dyDescent="0.25">
      <c r="O805016" s="9"/>
    </row>
    <row r="805037" spans="15:15" x14ac:dyDescent="0.25">
      <c r="O805037" s="9"/>
    </row>
    <row r="805058" spans="15:15" x14ac:dyDescent="0.25">
      <c r="O805058" s="9"/>
    </row>
    <row r="805079" spans="15:15" x14ac:dyDescent="0.25">
      <c r="O805079" s="9"/>
    </row>
    <row r="805100" spans="15:15" x14ac:dyDescent="0.25">
      <c r="O805100" s="9"/>
    </row>
    <row r="805121" spans="15:15" x14ac:dyDescent="0.25">
      <c r="O805121" s="9"/>
    </row>
    <row r="805142" spans="15:15" x14ac:dyDescent="0.25">
      <c r="O805142" s="9"/>
    </row>
    <row r="805163" spans="15:15" x14ac:dyDescent="0.25">
      <c r="O805163" s="9"/>
    </row>
    <row r="805184" spans="15:15" x14ac:dyDescent="0.25">
      <c r="O805184" s="9"/>
    </row>
    <row r="805205" spans="15:15" x14ac:dyDescent="0.25">
      <c r="O805205" s="9"/>
    </row>
    <row r="805226" spans="15:15" x14ac:dyDescent="0.25">
      <c r="O805226" s="9"/>
    </row>
    <row r="805247" spans="15:15" x14ac:dyDescent="0.25">
      <c r="O805247" s="9"/>
    </row>
    <row r="805268" spans="15:15" x14ac:dyDescent="0.25">
      <c r="O805268" s="9"/>
    </row>
    <row r="805289" spans="15:15" x14ac:dyDescent="0.25">
      <c r="O805289" s="9"/>
    </row>
    <row r="805310" spans="15:15" x14ac:dyDescent="0.25">
      <c r="O805310" s="9"/>
    </row>
    <row r="805331" spans="15:15" x14ac:dyDescent="0.25">
      <c r="O805331" s="9"/>
    </row>
    <row r="805352" spans="15:15" x14ac:dyDescent="0.25">
      <c r="O805352" s="9"/>
    </row>
    <row r="805373" spans="15:15" x14ac:dyDescent="0.25">
      <c r="O805373" s="9"/>
    </row>
    <row r="805394" spans="15:15" x14ac:dyDescent="0.25">
      <c r="O805394" s="9"/>
    </row>
    <row r="805415" spans="15:15" x14ac:dyDescent="0.25">
      <c r="O805415" s="9"/>
    </row>
    <row r="805436" spans="15:15" x14ac:dyDescent="0.25">
      <c r="O805436" s="9"/>
    </row>
    <row r="805457" spans="15:15" x14ac:dyDescent="0.25">
      <c r="O805457" s="9"/>
    </row>
    <row r="805478" spans="15:15" x14ac:dyDescent="0.25">
      <c r="O805478" s="9"/>
    </row>
    <row r="805499" spans="15:15" x14ac:dyDescent="0.25">
      <c r="O805499" s="9"/>
    </row>
    <row r="805520" spans="15:15" x14ac:dyDescent="0.25">
      <c r="O805520" s="9"/>
    </row>
    <row r="805541" spans="15:15" x14ac:dyDescent="0.25">
      <c r="O805541" s="9"/>
    </row>
    <row r="805562" spans="15:15" x14ac:dyDescent="0.25">
      <c r="O805562" s="9"/>
    </row>
    <row r="805583" spans="15:15" x14ac:dyDescent="0.25">
      <c r="O805583" s="9"/>
    </row>
    <row r="805604" spans="15:15" x14ac:dyDescent="0.25">
      <c r="O805604" s="9"/>
    </row>
    <row r="805625" spans="15:15" x14ac:dyDescent="0.25">
      <c r="O805625" s="9"/>
    </row>
    <row r="805646" spans="15:15" x14ac:dyDescent="0.25">
      <c r="O805646" s="9"/>
    </row>
    <row r="805667" spans="15:15" x14ac:dyDescent="0.25">
      <c r="O805667" s="9"/>
    </row>
    <row r="805688" spans="15:15" x14ac:dyDescent="0.25">
      <c r="O805688" s="9"/>
    </row>
    <row r="805709" spans="15:15" x14ac:dyDescent="0.25">
      <c r="O805709" s="9"/>
    </row>
    <row r="805730" spans="15:15" x14ac:dyDescent="0.25">
      <c r="O805730" s="9"/>
    </row>
    <row r="805751" spans="15:15" x14ac:dyDescent="0.25">
      <c r="O805751" s="9"/>
    </row>
    <row r="805772" spans="15:15" x14ac:dyDescent="0.25">
      <c r="O805772" s="9"/>
    </row>
    <row r="805793" spans="15:15" x14ac:dyDescent="0.25">
      <c r="O805793" s="9"/>
    </row>
    <row r="805814" spans="15:15" x14ac:dyDescent="0.25">
      <c r="O805814" s="9"/>
    </row>
    <row r="805835" spans="15:15" x14ac:dyDescent="0.25">
      <c r="O805835" s="9"/>
    </row>
    <row r="805856" spans="15:15" x14ac:dyDescent="0.25">
      <c r="O805856" s="9"/>
    </row>
    <row r="805877" spans="15:15" x14ac:dyDescent="0.25">
      <c r="O805877" s="9"/>
    </row>
    <row r="805898" spans="15:15" x14ac:dyDescent="0.25">
      <c r="O805898" s="9"/>
    </row>
    <row r="805919" spans="15:15" x14ac:dyDescent="0.25">
      <c r="O805919" s="9"/>
    </row>
    <row r="805940" spans="15:15" x14ac:dyDescent="0.25">
      <c r="O805940" s="9"/>
    </row>
    <row r="805961" spans="15:15" x14ac:dyDescent="0.25">
      <c r="O805961" s="9"/>
    </row>
    <row r="805982" spans="15:15" x14ac:dyDescent="0.25">
      <c r="O805982" s="9"/>
    </row>
    <row r="806003" spans="15:15" x14ac:dyDescent="0.25">
      <c r="O806003" s="9"/>
    </row>
    <row r="806024" spans="15:15" x14ac:dyDescent="0.25">
      <c r="O806024" s="9"/>
    </row>
    <row r="806045" spans="15:15" x14ac:dyDescent="0.25">
      <c r="O806045" s="9"/>
    </row>
    <row r="806066" spans="15:15" x14ac:dyDescent="0.25">
      <c r="O806066" s="9"/>
    </row>
    <row r="806087" spans="15:15" x14ac:dyDescent="0.25">
      <c r="O806087" s="9"/>
    </row>
    <row r="806108" spans="15:15" x14ac:dyDescent="0.25">
      <c r="O806108" s="9"/>
    </row>
    <row r="806129" spans="15:15" x14ac:dyDescent="0.25">
      <c r="O806129" s="9"/>
    </row>
    <row r="806150" spans="15:15" x14ac:dyDescent="0.25">
      <c r="O806150" s="9"/>
    </row>
    <row r="806171" spans="15:15" x14ac:dyDescent="0.25">
      <c r="O806171" s="9"/>
    </row>
    <row r="806192" spans="15:15" x14ac:dyDescent="0.25">
      <c r="O806192" s="9"/>
    </row>
    <row r="806213" spans="15:15" x14ac:dyDescent="0.25">
      <c r="O806213" s="9"/>
    </row>
    <row r="806234" spans="15:15" x14ac:dyDescent="0.25">
      <c r="O806234" s="9"/>
    </row>
    <row r="806255" spans="15:15" x14ac:dyDescent="0.25">
      <c r="O806255" s="9"/>
    </row>
    <row r="806276" spans="15:15" x14ac:dyDescent="0.25">
      <c r="O806276" s="9"/>
    </row>
    <row r="806297" spans="15:15" x14ac:dyDescent="0.25">
      <c r="O806297" s="9"/>
    </row>
    <row r="806318" spans="15:15" x14ac:dyDescent="0.25">
      <c r="O806318" s="9"/>
    </row>
    <row r="806339" spans="15:15" x14ac:dyDescent="0.25">
      <c r="O806339" s="9"/>
    </row>
    <row r="806360" spans="15:15" x14ac:dyDescent="0.25">
      <c r="O806360" s="9"/>
    </row>
    <row r="806381" spans="15:15" x14ac:dyDescent="0.25">
      <c r="O806381" s="9"/>
    </row>
    <row r="806402" spans="15:15" x14ac:dyDescent="0.25">
      <c r="O806402" s="9"/>
    </row>
    <row r="806423" spans="15:15" x14ac:dyDescent="0.25">
      <c r="O806423" s="9"/>
    </row>
    <row r="806444" spans="15:15" x14ac:dyDescent="0.25">
      <c r="O806444" s="9"/>
    </row>
    <row r="806465" spans="15:15" x14ac:dyDescent="0.25">
      <c r="O806465" s="9"/>
    </row>
    <row r="806486" spans="15:15" x14ac:dyDescent="0.25">
      <c r="O806486" s="9"/>
    </row>
    <row r="806507" spans="15:15" x14ac:dyDescent="0.25">
      <c r="O806507" s="9"/>
    </row>
    <row r="806528" spans="15:15" x14ac:dyDescent="0.25">
      <c r="O806528" s="9"/>
    </row>
    <row r="806549" spans="15:15" x14ac:dyDescent="0.25">
      <c r="O806549" s="9"/>
    </row>
    <row r="806570" spans="15:15" x14ac:dyDescent="0.25">
      <c r="O806570" s="9"/>
    </row>
    <row r="806591" spans="15:15" x14ac:dyDescent="0.25">
      <c r="O806591" s="9"/>
    </row>
    <row r="806612" spans="15:15" x14ac:dyDescent="0.25">
      <c r="O806612" s="9"/>
    </row>
    <row r="806633" spans="15:15" x14ac:dyDescent="0.25">
      <c r="O806633" s="9"/>
    </row>
    <row r="806654" spans="15:15" x14ac:dyDescent="0.25">
      <c r="O806654" s="9"/>
    </row>
    <row r="806675" spans="15:15" x14ac:dyDescent="0.25">
      <c r="O806675" s="9"/>
    </row>
    <row r="806696" spans="15:15" x14ac:dyDescent="0.25">
      <c r="O806696" s="9"/>
    </row>
    <row r="806717" spans="15:15" x14ac:dyDescent="0.25">
      <c r="O806717" s="9"/>
    </row>
    <row r="806738" spans="15:15" x14ac:dyDescent="0.25">
      <c r="O806738" s="9"/>
    </row>
    <row r="806759" spans="15:15" x14ac:dyDescent="0.25">
      <c r="O806759" s="9"/>
    </row>
    <row r="806780" spans="15:15" x14ac:dyDescent="0.25">
      <c r="O806780" s="9"/>
    </row>
    <row r="806801" spans="15:15" x14ac:dyDescent="0.25">
      <c r="O806801" s="9"/>
    </row>
    <row r="806822" spans="15:15" x14ac:dyDescent="0.25">
      <c r="O806822" s="9"/>
    </row>
    <row r="806843" spans="15:15" x14ac:dyDescent="0.25">
      <c r="O806843" s="9"/>
    </row>
    <row r="806864" spans="15:15" x14ac:dyDescent="0.25">
      <c r="O806864" s="9"/>
    </row>
    <row r="806885" spans="15:15" x14ac:dyDescent="0.25">
      <c r="O806885" s="9"/>
    </row>
    <row r="806906" spans="15:15" x14ac:dyDescent="0.25">
      <c r="O806906" s="9"/>
    </row>
    <row r="806927" spans="15:15" x14ac:dyDescent="0.25">
      <c r="O806927" s="9"/>
    </row>
    <row r="806948" spans="15:15" x14ac:dyDescent="0.25">
      <c r="O806948" s="9"/>
    </row>
    <row r="806969" spans="15:15" x14ac:dyDescent="0.25">
      <c r="O806969" s="9"/>
    </row>
    <row r="806990" spans="15:15" x14ac:dyDescent="0.25">
      <c r="O806990" s="9"/>
    </row>
    <row r="807011" spans="15:15" x14ac:dyDescent="0.25">
      <c r="O807011" s="9"/>
    </row>
    <row r="807032" spans="15:15" x14ac:dyDescent="0.25">
      <c r="O807032" s="9"/>
    </row>
    <row r="807053" spans="15:15" x14ac:dyDescent="0.25">
      <c r="O807053" s="9"/>
    </row>
    <row r="807074" spans="15:15" x14ac:dyDescent="0.25">
      <c r="O807074" s="9"/>
    </row>
    <row r="807095" spans="15:15" x14ac:dyDescent="0.25">
      <c r="O807095" s="9"/>
    </row>
    <row r="807116" spans="15:15" x14ac:dyDescent="0.25">
      <c r="O807116" s="9"/>
    </row>
    <row r="807137" spans="15:15" x14ac:dyDescent="0.25">
      <c r="O807137" s="9"/>
    </row>
    <row r="807158" spans="15:15" x14ac:dyDescent="0.25">
      <c r="O807158" s="9"/>
    </row>
    <row r="807179" spans="15:15" x14ac:dyDescent="0.25">
      <c r="O807179" s="9"/>
    </row>
    <row r="807200" spans="15:15" x14ac:dyDescent="0.25">
      <c r="O807200" s="9"/>
    </row>
    <row r="807221" spans="15:15" x14ac:dyDescent="0.25">
      <c r="O807221" s="9"/>
    </row>
    <row r="807242" spans="15:15" x14ac:dyDescent="0.25">
      <c r="O807242" s="9"/>
    </row>
    <row r="807263" spans="15:15" x14ac:dyDescent="0.25">
      <c r="O807263" s="9"/>
    </row>
    <row r="807284" spans="15:15" x14ac:dyDescent="0.25">
      <c r="O807284" s="9"/>
    </row>
    <row r="807305" spans="15:15" x14ac:dyDescent="0.25">
      <c r="O807305" s="9"/>
    </row>
    <row r="807326" spans="15:15" x14ac:dyDescent="0.25">
      <c r="O807326" s="9"/>
    </row>
    <row r="807347" spans="15:15" x14ac:dyDescent="0.25">
      <c r="O807347" s="9"/>
    </row>
    <row r="807368" spans="15:15" x14ac:dyDescent="0.25">
      <c r="O807368" s="9"/>
    </row>
    <row r="807389" spans="15:15" x14ac:dyDescent="0.25">
      <c r="O807389" s="9"/>
    </row>
    <row r="807410" spans="15:15" x14ac:dyDescent="0.25">
      <c r="O807410" s="9"/>
    </row>
    <row r="807431" spans="15:15" x14ac:dyDescent="0.25">
      <c r="O807431" s="9"/>
    </row>
    <row r="807452" spans="15:15" x14ac:dyDescent="0.25">
      <c r="O807452" s="9"/>
    </row>
    <row r="807473" spans="15:15" x14ac:dyDescent="0.25">
      <c r="O807473" s="9"/>
    </row>
    <row r="807494" spans="15:15" x14ac:dyDescent="0.25">
      <c r="O807494" s="9"/>
    </row>
    <row r="807515" spans="15:15" x14ac:dyDescent="0.25">
      <c r="O807515" s="9"/>
    </row>
    <row r="807536" spans="15:15" x14ac:dyDescent="0.25">
      <c r="O807536" s="9"/>
    </row>
    <row r="807557" spans="15:15" x14ac:dyDescent="0.25">
      <c r="O807557" s="9"/>
    </row>
    <row r="807578" spans="15:15" x14ac:dyDescent="0.25">
      <c r="O807578" s="9"/>
    </row>
    <row r="807599" spans="15:15" x14ac:dyDescent="0.25">
      <c r="O807599" s="9"/>
    </row>
    <row r="807620" spans="15:15" x14ac:dyDescent="0.25">
      <c r="O807620" s="9"/>
    </row>
    <row r="807641" spans="15:15" x14ac:dyDescent="0.25">
      <c r="O807641" s="9"/>
    </row>
    <row r="807662" spans="15:15" x14ac:dyDescent="0.25">
      <c r="O807662" s="9"/>
    </row>
    <row r="807683" spans="15:15" x14ac:dyDescent="0.25">
      <c r="O807683" s="9"/>
    </row>
    <row r="807704" spans="15:15" x14ac:dyDescent="0.25">
      <c r="O807704" s="9"/>
    </row>
    <row r="807725" spans="15:15" x14ac:dyDescent="0.25">
      <c r="O807725" s="9"/>
    </row>
    <row r="807746" spans="15:15" x14ac:dyDescent="0.25">
      <c r="O807746" s="9"/>
    </row>
    <row r="807767" spans="15:15" x14ac:dyDescent="0.25">
      <c r="O807767" s="9"/>
    </row>
    <row r="807788" spans="15:15" x14ac:dyDescent="0.25">
      <c r="O807788" s="9"/>
    </row>
    <row r="807809" spans="15:15" x14ac:dyDescent="0.25">
      <c r="O807809" s="9"/>
    </row>
    <row r="807830" spans="15:15" x14ac:dyDescent="0.25">
      <c r="O807830" s="9"/>
    </row>
    <row r="807851" spans="15:15" x14ac:dyDescent="0.25">
      <c r="O807851" s="9"/>
    </row>
    <row r="807872" spans="15:15" x14ac:dyDescent="0.25">
      <c r="O807872" s="9"/>
    </row>
    <row r="807893" spans="15:15" x14ac:dyDescent="0.25">
      <c r="O807893" s="9"/>
    </row>
    <row r="807914" spans="15:15" x14ac:dyDescent="0.25">
      <c r="O807914" s="9"/>
    </row>
    <row r="807935" spans="15:15" x14ac:dyDescent="0.25">
      <c r="O807935" s="9"/>
    </row>
    <row r="807956" spans="15:15" x14ac:dyDescent="0.25">
      <c r="O807956" s="9"/>
    </row>
    <row r="807977" spans="15:15" x14ac:dyDescent="0.25">
      <c r="O807977" s="9"/>
    </row>
    <row r="807998" spans="15:15" x14ac:dyDescent="0.25">
      <c r="O807998" s="9"/>
    </row>
    <row r="808019" spans="15:15" x14ac:dyDescent="0.25">
      <c r="O808019" s="9"/>
    </row>
    <row r="808040" spans="15:15" x14ac:dyDescent="0.25">
      <c r="O808040" s="9"/>
    </row>
    <row r="808061" spans="15:15" x14ac:dyDescent="0.25">
      <c r="O808061" s="9"/>
    </row>
    <row r="808082" spans="15:15" x14ac:dyDescent="0.25">
      <c r="O808082" s="9"/>
    </row>
    <row r="808103" spans="15:15" x14ac:dyDescent="0.25">
      <c r="O808103" s="9"/>
    </row>
    <row r="808124" spans="15:15" x14ac:dyDescent="0.25">
      <c r="O808124" s="9"/>
    </row>
    <row r="808145" spans="15:15" x14ac:dyDescent="0.25">
      <c r="O808145" s="9"/>
    </row>
    <row r="808166" spans="15:15" x14ac:dyDescent="0.25">
      <c r="O808166" s="9"/>
    </row>
    <row r="808187" spans="15:15" x14ac:dyDescent="0.25">
      <c r="O808187" s="9"/>
    </row>
    <row r="808208" spans="15:15" x14ac:dyDescent="0.25">
      <c r="O808208" s="9"/>
    </row>
    <row r="808229" spans="15:15" x14ac:dyDescent="0.25">
      <c r="O808229" s="9"/>
    </row>
    <row r="808250" spans="15:15" x14ac:dyDescent="0.25">
      <c r="O808250" s="9"/>
    </row>
    <row r="808271" spans="15:15" x14ac:dyDescent="0.25">
      <c r="O808271" s="9"/>
    </row>
    <row r="808292" spans="15:15" x14ac:dyDescent="0.25">
      <c r="O808292" s="9"/>
    </row>
    <row r="808313" spans="15:15" x14ac:dyDescent="0.25">
      <c r="O808313" s="9"/>
    </row>
    <row r="808334" spans="15:15" x14ac:dyDescent="0.25">
      <c r="O808334" s="9"/>
    </row>
    <row r="808355" spans="15:15" x14ac:dyDescent="0.25">
      <c r="O808355" s="9"/>
    </row>
    <row r="808376" spans="15:15" x14ac:dyDescent="0.25">
      <c r="O808376" s="9"/>
    </row>
    <row r="808397" spans="15:15" x14ac:dyDescent="0.25">
      <c r="O808397" s="9"/>
    </row>
    <row r="808418" spans="15:15" x14ac:dyDescent="0.25">
      <c r="O808418" s="9"/>
    </row>
    <row r="808439" spans="15:15" x14ac:dyDescent="0.25">
      <c r="O808439" s="9"/>
    </row>
    <row r="808460" spans="15:15" x14ac:dyDescent="0.25">
      <c r="O808460" s="9"/>
    </row>
    <row r="808481" spans="15:15" x14ac:dyDescent="0.25">
      <c r="O808481" s="9"/>
    </row>
    <row r="808502" spans="15:15" x14ac:dyDescent="0.25">
      <c r="O808502" s="9"/>
    </row>
    <row r="808523" spans="15:15" x14ac:dyDescent="0.25">
      <c r="O808523" s="9"/>
    </row>
    <row r="808544" spans="15:15" x14ac:dyDescent="0.25">
      <c r="O808544" s="9"/>
    </row>
    <row r="808565" spans="15:15" x14ac:dyDescent="0.25">
      <c r="O808565" s="9"/>
    </row>
    <row r="808586" spans="15:15" x14ac:dyDescent="0.25">
      <c r="O808586" s="9"/>
    </row>
    <row r="808607" spans="15:15" x14ac:dyDescent="0.25">
      <c r="O808607" s="9"/>
    </row>
    <row r="808628" spans="15:15" x14ac:dyDescent="0.25">
      <c r="O808628" s="9"/>
    </row>
    <row r="808649" spans="15:15" x14ac:dyDescent="0.25">
      <c r="O808649" s="9"/>
    </row>
    <row r="808670" spans="15:15" x14ac:dyDescent="0.25">
      <c r="O808670" s="9"/>
    </row>
    <row r="808691" spans="15:15" x14ac:dyDescent="0.25">
      <c r="O808691" s="9"/>
    </row>
    <row r="808712" spans="15:15" x14ac:dyDescent="0.25">
      <c r="O808712" s="9"/>
    </row>
    <row r="808733" spans="15:15" x14ac:dyDescent="0.25">
      <c r="O808733" s="9"/>
    </row>
    <row r="808754" spans="15:15" x14ac:dyDescent="0.25">
      <c r="O808754" s="9"/>
    </row>
    <row r="808775" spans="15:15" x14ac:dyDescent="0.25">
      <c r="O808775" s="9"/>
    </row>
    <row r="808796" spans="15:15" x14ac:dyDescent="0.25">
      <c r="O808796" s="9"/>
    </row>
    <row r="808817" spans="15:15" x14ac:dyDescent="0.25">
      <c r="O808817" s="9"/>
    </row>
    <row r="808838" spans="15:15" x14ac:dyDescent="0.25">
      <c r="O808838" s="9"/>
    </row>
    <row r="808859" spans="15:15" x14ac:dyDescent="0.25">
      <c r="O808859" s="9"/>
    </row>
    <row r="808880" spans="15:15" x14ac:dyDescent="0.25">
      <c r="O808880" s="9"/>
    </row>
    <row r="808901" spans="15:15" x14ac:dyDescent="0.25">
      <c r="O808901" s="9"/>
    </row>
    <row r="808922" spans="15:15" x14ac:dyDescent="0.25">
      <c r="O808922" s="9"/>
    </row>
    <row r="808943" spans="15:15" x14ac:dyDescent="0.25">
      <c r="O808943" s="9"/>
    </row>
    <row r="808964" spans="15:15" x14ac:dyDescent="0.25">
      <c r="O808964" s="9"/>
    </row>
    <row r="808985" spans="15:15" x14ac:dyDescent="0.25">
      <c r="O808985" s="9"/>
    </row>
    <row r="809006" spans="15:15" x14ac:dyDescent="0.25">
      <c r="O809006" s="9"/>
    </row>
    <row r="809027" spans="15:15" x14ac:dyDescent="0.25">
      <c r="O809027" s="9"/>
    </row>
    <row r="809048" spans="15:15" x14ac:dyDescent="0.25">
      <c r="O809048" s="9"/>
    </row>
    <row r="809069" spans="15:15" x14ac:dyDescent="0.25">
      <c r="O809069" s="9"/>
    </row>
    <row r="809090" spans="15:15" x14ac:dyDescent="0.25">
      <c r="O809090" s="9"/>
    </row>
    <row r="809111" spans="15:15" x14ac:dyDescent="0.25">
      <c r="O809111" s="9"/>
    </row>
    <row r="809132" spans="15:15" x14ac:dyDescent="0.25">
      <c r="O809132" s="9"/>
    </row>
    <row r="809153" spans="15:15" x14ac:dyDescent="0.25">
      <c r="O809153" s="9"/>
    </row>
    <row r="809174" spans="15:15" x14ac:dyDescent="0.25">
      <c r="O809174" s="9"/>
    </row>
    <row r="809195" spans="15:15" x14ac:dyDescent="0.25">
      <c r="O809195" s="9"/>
    </row>
    <row r="809216" spans="15:15" x14ac:dyDescent="0.25">
      <c r="O809216" s="9"/>
    </row>
    <row r="809237" spans="15:15" x14ac:dyDescent="0.25">
      <c r="O809237" s="9"/>
    </row>
    <row r="809258" spans="15:15" x14ac:dyDescent="0.25">
      <c r="O809258" s="9"/>
    </row>
    <row r="809279" spans="15:15" x14ac:dyDescent="0.25">
      <c r="O809279" s="9"/>
    </row>
    <row r="809300" spans="15:15" x14ac:dyDescent="0.25">
      <c r="O809300" s="9"/>
    </row>
    <row r="809321" spans="15:15" x14ac:dyDescent="0.25">
      <c r="O809321" s="9"/>
    </row>
    <row r="809342" spans="15:15" x14ac:dyDescent="0.25">
      <c r="O809342" s="9"/>
    </row>
    <row r="809363" spans="15:15" x14ac:dyDescent="0.25">
      <c r="O809363" s="9"/>
    </row>
    <row r="809384" spans="15:15" x14ac:dyDescent="0.25">
      <c r="O809384" s="9"/>
    </row>
    <row r="809405" spans="15:15" x14ac:dyDescent="0.25">
      <c r="O809405" s="9"/>
    </row>
    <row r="809426" spans="15:15" x14ac:dyDescent="0.25">
      <c r="O809426" s="9"/>
    </row>
    <row r="809447" spans="15:15" x14ac:dyDescent="0.25">
      <c r="O809447" s="9"/>
    </row>
    <row r="809468" spans="15:15" x14ac:dyDescent="0.25">
      <c r="O809468" s="9"/>
    </row>
    <row r="809489" spans="15:15" x14ac:dyDescent="0.25">
      <c r="O809489" s="9"/>
    </row>
    <row r="809510" spans="15:15" x14ac:dyDescent="0.25">
      <c r="O809510" s="9"/>
    </row>
    <row r="809531" spans="15:15" x14ac:dyDescent="0.25">
      <c r="O809531" s="9"/>
    </row>
    <row r="809552" spans="15:15" x14ac:dyDescent="0.25">
      <c r="O809552" s="9"/>
    </row>
    <row r="809573" spans="15:15" x14ac:dyDescent="0.25">
      <c r="O809573" s="9"/>
    </row>
    <row r="809594" spans="15:15" x14ac:dyDescent="0.25">
      <c r="O809594" s="9"/>
    </row>
    <row r="809615" spans="15:15" x14ac:dyDescent="0.25">
      <c r="O809615" s="9"/>
    </row>
    <row r="809636" spans="15:15" x14ac:dyDescent="0.25">
      <c r="O809636" s="9"/>
    </row>
    <row r="809657" spans="15:15" x14ac:dyDescent="0.25">
      <c r="O809657" s="9"/>
    </row>
    <row r="809678" spans="15:15" x14ac:dyDescent="0.25">
      <c r="O809678" s="9"/>
    </row>
    <row r="809699" spans="15:15" x14ac:dyDescent="0.25">
      <c r="O809699" s="9"/>
    </row>
    <row r="809720" spans="15:15" x14ac:dyDescent="0.25">
      <c r="O809720" s="9"/>
    </row>
    <row r="809741" spans="15:15" x14ac:dyDescent="0.25">
      <c r="O809741" s="9"/>
    </row>
    <row r="809762" spans="15:15" x14ac:dyDescent="0.25">
      <c r="O809762" s="9"/>
    </row>
    <row r="809783" spans="15:15" x14ac:dyDescent="0.25">
      <c r="O809783" s="9"/>
    </row>
    <row r="809804" spans="15:15" x14ac:dyDescent="0.25">
      <c r="O809804" s="9"/>
    </row>
    <row r="809825" spans="15:15" x14ac:dyDescent="0.25">
      <c r="O809825" s="9"/>
    </row>
    <row r="809846" spans="15:15" x14ac:dyDescent="0.25">
      <c r="O809846" s="9"/>
    </row>
    <row r="809867" spans="15:15" x14ac:dyDescent="0.25">
      <c r="O809867" s="9"/>
    </row>
    <row r="809888" spans="15:15" x14ac:dyDescent="0.25">
      <c r="O809888" s="9"/>
    </row>
    <row r="809909" spans="15:15" x14ac:dyDescent="0.25">
      <c r="O809909" s="9"/>
    </row>
    <row r="809930" spans="15:15" x14ac:dyDescent="0.25">
      <c r="O809930" s="9"/>
    </row>
    <row r="809951" spans="15:15" x14ac:dyDescent="0.25">
      <c r="O809951" s="9"/>
    </row>
    <row r="809972" spans="15:15" x14ac:dyDescent="0.25">
      <c r="O809972" s="9"/>
    </row>
    <row r="809993" spans="15:15" x14ac:dyDescent="0.25">
      <c r="O809993" s="9"/>
    </row>
    <row r="810014" spans="15:15" x14ac:dyDescent="0.25">
      <c r="O810014" s="9"/>
    </row>
    <row r="810035" spans="15:15" x14ac:dyDescent="0.25">
      <c r="O810035" s="9"/>
    </row>
    <row r="810056" spans="15:15" x14ac:dyDescent="0.25">
      <c r="O810056" s="9"/>
    </row>
    <row r="810077" spans="15:15" x14ac:dyDescent="0.25">
      <c r="O810077" s="9"/>
    </row>
    <row r="810098" spans="15:15" x14ac:dyDescent="0.25">
      <c r="O810098" s="9"/>
    </row>
    <row r="810119" spans="15:15" x14ac:dyDescent="0.25">
      <c r="O810119" s="9"/>
    </row>
    <row r="810140" spans="15:15" x14ac:dyDescent="0.25">
      <c r="O810140" s="9"/>
    </row>
    <row r="810161" spans="15:15" x14ac:dyDescent="0.25">
      <c r="O810161" s="9"/>
    </row>
    <row r="810182" spans="15:15" x14ac:dyDescent="0.25">
      <c r="O810182" s="9"/>
    </row>
    <row r="810203" spans="15:15" x14ac:dyDescent="0.25">
      <c r="O810203" s="9"/>
    </row>
    <row r="810224" spans="15:15" x14ac:dyDescent="0.25">
      <c r="O810224" s="9"/>
    </row>
    <row r="810245" spans="15:15" x14ac:dyDescent="0.25">
      <c r="O810245" s="9"/>
    </row>
    <row r="810266" spans="15:15" x14ac:dyDescent="0.25">
      <c r="O810266" s="9"/>
    </row>
    <row r="810287" spans="15:15" x14ac:dyDescent="0.25">
      <c r="O810287" s="9"/>
    </row>
    <row r="810308" spans="15:15" x14ac:dyDescent="0.25">
      <c r="O810308" s="9"/>
    </row>
    <row r="810329" spans="15:15" x14ac:dyDescent="0.25">
      <c r="O810329" s="9"/>
    </row>
    <row r="810350" spans="15:15" x14ac:dyDescent="0.25">
      <c r="O810350" s="9"/>
    </row>
    <row r="810371" spans="15:15" x14ac:dyDescent="0.25">
      <c r="O810371" s="9"/>
    </row>
    <row r="810392" spans="15:15" x14ac:dyDescent="0.25">
      <c r="O810392" s="9"/>
    </row>
    <row r="810413" spans="15:15" x14ac:dyDescent="0.25">
      <c r="O810413" s="9"/>
    </row>
    <row r="810434" spans="15:15" x14ac:dyDescent="0.25">
      <c r="O810434" s="9"/>
    </row>
    <row r="810455" spans="15:15" x14ac:dyDescent="0.25">
      <c r="O810455" s="9"/>
    </row>
    <row r="810476" spans="15:15" x14ac:dyDescent="0.25">
      <c r="O810476" s="9"/>
    </row>
    <row r="810497" spans="15:15" x14ac:dyDescent="0.25">
      <c r="O810497" s="9"/>
    </row>
    <row r="810518" spans="15:15" x14ac:dyDescent="0.25">
      <c r="O810518" s="9"/>
    </row>
    <row r="810539" spans="15:15" x14ac:dyDescent="0.25">
      <c r="O810539" s="9"/>
    </row>
    <row r="810560" spans="15:15" x14ac:dyDescent="0.25">
      <c r="O810560" s="9"/>
    </row>
    <row r="810581" spans="15:15" x14ac:dyDescent="0.25">
      <c r="O810581" s="9"/>
    </row>
    <row r="810602" spans="15:15" x14ac:dyDescent="0.25">
      <c r="O810602" s="9"/>
    </row>
    <row r="810623" spans="15:15" x14ac:dyDescent="0.25">
      <c r="O810623" s="9"/>
    </row>
    <row r="810644" spans="15:15" x14ac:dyDescent="0.25">
      <c r="O810644" s="9"/>
    </row>
    <row r="810665" spans="15:15" x14ac:dyDescent="0.25">
      <c r="O810665" s="9"/>
    </row>
    <row r="810686" spans="15:15" x14ac:dyDescent="0.25">
      <c r="O810686" s="9"/>
    </row>
    <row r="810707" spans="15:15" x14ac:dyDescent="0.25">
      <c r="O810707" s="9"/>
    </row>
    <row r="810728" spans="15:15" x14ac:dyDescent="0.25">
      <c r="O810728" s="9"/>
    </row>
    <row r="810749" spans="15:15" x14ac:dyDescent="0.25">
      <c r="O810749" s="9"/>
    </row>
    <row r="810770" spans="15:15" x14ac:dyDescent="0.25">
      <c r="O810770" s="9"/>
    </row>
    <row r="810791" spans="15:15" x14ac:dyDescent="0.25">
      <c r="O810791" s="9"/>
    </row>
    <row r="810812" spans="15:15" x14ac:dyDescent="0.25">
      <c r="O810812" s="9"/>
    </row>
    <row r="810833" spans="15:15" x14ac:dyDescent="0.25">
      <c r="O810833" s="9"/>
    </row>
    <row r="810854" spans="15:15" x14ac:dyDescent="0.25">
      <c r="O810854" s="9"/>
    </row>
    <row r="810875" spans="15:15" x14ac:dyDescent="0.25">
      <c r="O810875" s="9"/>
    </row>
    <row r="810896" spans="15:15" x14ac:dyDescent="0.25">
      <c r="O810896" s="9"/>
    </row>
    <row r="810917" spans="15:15" x14ac:dyDescent="0.25">
      <c r="O810917" s="9"/>
    </row>
    <row r="810938" spans="15:15" x14ac:dyDescent="0.25">
      <c r="O810938" s="9"/>
    </row>
    <row r="810959" spans="15:15" x14ac:dyDescent="0.25">
      <c r="O810959" s="9"/>
    </row>
    <row r="810980" spans="15:15" x14ac:dyDescent="0.25">
      <c r="O810980" s="9"/>
    </row>
    <row r="811001" spans="15:15" x14ac:dyDescent="0.25">
      <c r="O811001" s="9"/>
    </row>
    <row r="811022" spans="15:15" x14ac:dyDescent="0.25">
      <c r="O811022" s="9"/>
    </row>
    <row r="811043" spans="15:15" x14ac:dyDescent="0.25">
      <c r="O811043" s="9"/>
    </row>
    <row r="811064" spans="15:15" x14ac:dyDescent="0.25">
      <c r="O811064" s="9"/>
    </row>
    <row r="811085" spans="15:15" x14ac:dyDescent="0.25">
      <c r="O811085" s="9"/>
    </row>
    <row r="811106" spans="15:15" x14ac:dyDescent="0.25">
      <c r="O811106" s="9"/>
    </row>
    <row r="811127" spans="15:15" x14ac:dyDescent="0.25">
      <c r="O811127" s="9"/>
    </row>
    <row r="811148" spans="15:15" x14ac:dyDescent="0.25">
      <c r="O811148" s="9"/>
    </row>
    <row r="811169" spans="15:15" x14ac:dyDescent="0.25">
      <c r="O811169" s="9"/>
    </row>
    <row r="811190" spans="15:15" x14ac:dyDescent="0.25">
      <c r="O811190" s="9"/>
    </row>
    <row r="811211" spans="15:15" x14ac:dyDescent="0.25">
      <c r="O811211" s="9"/>
    </row>
    <row r="811232" spans="15:15" x14ac:dyDescent="0.25">
      <c r="O811232" s="9"/>
    </row>
    <row r="811253" spans="15:15" x14ac:dyDescent="0.25">
      <c r="O811253" s="9"/>
    </row>
    <row r="811274" spans="15:15" x14ac:dyDescent="0.25">
      <c r="O811274" s="9"/>
    </row>
    <row r="811295" spans="15:15" x14ac:dyDescent="0.25">
      <c r="O811295" s="9"/>
    </row>
    <row r="811316" spans="15:15" x14ac:dyDescent="0.25">
      <c r="O811316" s="9"/>
    </row>
    <row r="811337" spans="15:15" x14ac:dyDescent="0.25">
      <c r="O811337" s="9"/>
    </row>
    <row r="811358" spans="15:15" x14ac:dyDescent="0.25">
      <c r="O811358" s="9"/>
    </row>
    <row r="811379" spans="15:15" x14ac:dyDescent="0.25">
      <c r="O811379" s="9"/>
    </row>
    <row r="811400" spans="15:15" x14ac:dyDescent="0.25">
      <c r="O811400" s="9"/>
    </row>
    <row r="811421" spans="15:15" x14ac:dyDescent="0.25">
      <c r="O811421" s="9"/>
    </row>
    <row r="811442" spans="15:15" x14ac:dyDescent="0.25">
      <c r="O811442" s="9"/>
    </row>
    <row r="811463" spans="15:15" x14ac:dyDescent="0.25">
      <c r="O811463" s="9"/>
    </row>
    <row r="811484" spans="15:15" x14ac:dyDescent="0.25">
      <c r="O811484" s="9"/>
    </row>
    <row r="811505" spans="15:15" x14ac:dyDescent="0.25">
      <c r="O811505" s="9"/>
    </row>
    <row r="811526" spans="15:15" x14ac:dyDescent="0.25">
      <c r="O811526" s="9"/>
    </row>
    <row r="811547" spans="15:15" x14ac:dyDescent="0.25">
      <c r="O811547" s="9"/>
    </row>
    <row r="811568" spans="15:15" x14ac:dyDescent="0.25">
      <c r="O811568" s="9"/>
    </row>
    <row r="811589" spans="15:15" x14ac:dyDescent="0.25">
      <c r="O811589" s="9"/>
    </row>
    <row r="811610" spans="15:15" x14ac:dyDescent="0.25">
      <c r="O811610" s="9"/>
    </row>
    <row r="811631" spans="15:15" x14ac:dyDescent="0.25">
      <c r="O811631" s="9"/>
    </row>
    <row r="811652" spans="15:15" x14ac:dyDescent="0.25">
      <c r="O811652" s="9"/>
    </row>
    <row r="811673" spans="15:15" x14ac:dyDescent="0.25">
      <c r="O811673" s="9"/>
    </row>
    <row r="811694" spans="15:15" x14ac:dyDescent="0.25">
      <c r="O811694" s="9"/>
    </row>
    <row r="811715" spans="15:15" x14ac:dyDescent="0.25">
      <c r="O811715" s="9"/>
    </row>
    <row r="811736" spans="15:15" x14ac:dyDescent="0.25">
      <c r="O811736" s="9"/>
    </row>
    <row r="811757" spans="15:15" x14ac:dyDescent="0.25">
      <c r="O811757" s="9"/>
    </row>
    <row r="811778" spans="15:15" x14ac:dyDescent="0.25">
      <c r="O811778" s="9"/>
    </row>
    <row r="811799" spans="15:15" x14ac:dyDescent="0.25">
      <c r="O811799" s="9"/>
    </row>
    <row r="811820" spans="15:15" x14ac:dyDescent="0.25">
      <c r="O811820" s="9"/>
    </row>
    <row r="811841" spans="15:15" x14ac:dyDescent="0.25">
      <c r="O811841" s="9"/>
    </row>
    <row r="811862" spans="15:15" x14ac:dyDescent="0.25">
      <c r="O811862" s="9"/>
    </row>
    <row r="811883" spans="15:15" x14ac:dyDescent="0.25">
      <c r="O811883" s="9"/>
    </row>
    <row r="811904" spans="15:15" x14ac:dyDescent="0.25">
      <c r="O811904" s="9"/>
    </row>
    <row r="811925" spans="15:15" x14ac:dyDescent="0.25">
      <c r="O811925" s="9"/>
    </row>
    <row r="811946" spans="15:15" x14ac:dyDescent="0.25">
      <c r="O811946" s="9"/>
    </row>
    <row r="811967" spans="15:15" x14ac:dyDescent="0.25">
      <c r="O811967" s="9"/>
    </row>
    <row r="811988" spans="15:15" x14ac:dyDescent="0.25">
      <c r="O811988" s="9"/>
    </row>
    <row r="812009" spans="15:15" x14ac:dyDescent="0.25">
      <c r="O812009" s="9"/>
    </row>
    <row r="812030" spans="15:15" x14ac:dyDescent="0.25">
      <c r="O812030" s="9"/>
    </row>
    <row r="812051" spans="15:15" x14ac:dyDescent="0.25">
      <c r="O812051" s="9"/>
    </row>
    <row r="812072" spans="15:15" x14ac:dyDescent="0.25">
      <c r="O812072" s="9"/>
    </row>
    <row r="812093" spans="15:15" x14ac:dyDescent="0.25">
      <c r="O812093" s="9"/>
    </row>
    <row r="812114" spans="15:15" x14ac:dyDescent="0.25">
      <c r="O812114" s="9"/>
    </row>
    <row r="812135" spans="15:15" x14ac:dyDescent="0.25">
      <c r="O812135" s="9"/>
    </row>
    <row r="812156" spans="15:15" x14ac:dyDescent="0.25">
      <c r="O812156" s="9"/>
    </row>
    <row r="812177" spans="15:15" x14ac:dyDescent="0.25">
      <c r="O812177" s="9"/>
    </row>
    <row r="812198" spans="15:15" x14ac:dyDescent="0.25">
      <c r="O812198" s="9"/>
    </row>
    <row r="812219" spans="15:15" x14ac:dyDescent="0.25">
      <c r="O812219" s="9"/>
    </row>
    <row r="812240" spans="15:15" x14ac:dyDescent="0.25">
      <c r="O812240" s="9"/>
    </row>
    <row r="812261" spans="15:15" x14ac:dyDescent="0.25">
      <c r="O812261" s="9"/>
    </row>
    <row r="812282" spans="15:15" x14ac:dyDescent="0.25">
      <c r="O812282" s="9"/>
    </row>
    <row r="812303" spans="15:15" x14ac:dyDescent="0.25">
      <c r="O812303" s="9"/>
    </row>
    <row r="812324" spans="15:15" x14ac:dyDescent="0.25">
      <c r="O812324" s="9"/>
    </row>
    <row r="812345" spans="15:15" x14ac:dyDescent="0.25">
      <c r="O812345" s="9"/>
    </row>
    <row r="812366" spans="15:15" x14ac:dyDescent="0.25">
      <c r="O812366" s="9"/>
    </row>
    <row r="812387" spans="15:15" x14ac:dyDescent="0.25">
      <c r="O812387" s="9"/>
    </row>
    <row r="812408" spans="15:15" x14ac:dyDescent="0.25">
      <c r="O812408" s="9"/>
    </row>
    <row r="812429" spans="15:15" x14ac:dyDescent="0.25">
      <c r="O812429" s="9"/>
    </row>
    <row r="812450" spans="15:15" x14ac:dyDescent="0.25">
      <c r="O812450" s="9"/>
    </row>
    <row r="812471" spans="15:15" x14ac:dyDescent="0.25">
      <c r="O812471" s="9"/>
    </row>
    <row r="812492" spans="15:15" x14ac:dyDescent="0.25">
      <c r="O812492" s="9"/>
    </row>
    <row r="812513" spans="15:15" x14ac:dyDescent="0.25">
      <c r="O812513" s="9"/>
    </row>
    <row r="812534" spans="15:15" x14ac:dyDescent="0.25">
      <c r="O812534" s="9"/>
    </row>
    <row r="812555" spans="15:15" x14ac:dyDescent="0.25">
      <c r="O812555" s="9"/>
    </row>
    <row r="812576" spans="15:15" x14ac:dyDescent="0.25">
      <c r="O812576" s="9"/>
    </row>
    <row r="812597" spans="15:15" x14ac:dyDescent="0.25">
      <c r="O812597" s="9"/>
    </row>
    <row r="812618" spans="15:15" x14ac:dyDescent="0.25">
      <c r="O812618" s="9"/>
    </row>
    <row r="812639" spans="15:15" x14ac:dyDescent="0.25">
      <c r="O812639" s="9"/>
    </row>
    <row r="812660" spans="15:15" x14ac:dyDescent="0.25">
      <c r="O812660" s="9"/>
    </row>
    <row r="812681" spans="15:15" x14ac:dyDescent="0.25">
      <c r="O812681" s="9"/>
    </row>
    <row r="812702" spans="15:15" x14ac:dyDescent="0.25">
      <c r="O812702" s="9"/>
    </row>
    <row r="812723" spans="15:15" x14ac:dyDescent="0.25">
      <c r="O812723" s="9"/>
    </row>
    <row r="812744" spans="15:15" x14ac:dyDescent="0.25">
      <c r="O812744" s="9"/>
    </row>
    <row r="812765" spans="15:15" x14ac:dyDescent="0.25">
      <c r="O812765" s="9"/>
    </row>
    <row r="812786" spans="15:15" x14ac:dyDescent="0.25">
      <c r="O812786" s="9"/>
    </row>
    <row r="812807" spans="15:15" x14ac:dyDescent="0.25">
      <c r="O812807" s="9"/>
    </row>
    <row r="812828" spans="15:15" x14ac:dyDescent="0.25">
      <c r="O812828" s="9"/>
    </row>
    <row r="812849" spans="15:15" x14ac:dyDescent="0.25">
      <c r="O812849" s="9"/>
    </row>
    <row r="812870" spans="15:15" x14ac:dyDescent="0.25">
      <c r="O812870" s="9"/>
    </row>
    <row r="812891" spans="15:15" x14ac:dyDescent="0.25">
      <c r="O812891" s="9"/>
    </row>
    <row r="812912" spans="15:15" x14ac:dyDescent="0.25">
      <c r="O812912" s="9"/>
    </row>
    <row r="812933" spans="15:15" x14ac:dyDescent="0.25">
      <c r="O812933" s="9"/>
    </row>
    <row r="812954" spans="15:15" x14ac:dyDescent="0.25">
      <c r="O812954" s="9"/>
    </row>
    <row r="812975" spans="15:15" x14ac:dyDescent="0.25">
      <c r="O812975" s="9"/>
    </row>
    <row r="812996" spans="15:15" x14ac:dyDescent="0.25">
      <c r="O812996" s="9"/>
    </row>
    <row r="813017" spans="15:15" x14ac:dyDescent="0.25">
      <c r="O813017" s="9"/>
    </row>
    <row r="813038" spans="15:15" x14ac:dyDescent="0.25">
      <c r="O813038" s="9"/>
    </row>
    <row r="813059" spans="15:15" x14ac:dyDescent="0.25">
      <c r="O813059" s="9"/>
    </row>
    <row r="813080" spans="15:15" x14ac:dyDescent="0.25">
      <c r="O813080" s="9"/>
    </row>
    <row r="813101" spans="15:15" x14ac:dyDescent="0.25">
      <c r="O813101" s="9"/>
    </row>
    <row r="813122" spans="15:15" x14ac:dyDescent="0.25">
      <c r="O813122" s="9"/>
    </row>
    <row r="813143" spans="15:15" x14ac:dyDescent="0.25">
      <c r="O813143" s="9"/>
    </row>
    <row r="813164" spans="15:15" x14ac:dyDescent="0.25">
      <c r="O813164" s="9"/>
    </row>
    <row r="813185" spans="15:15" x14ac:dyDescent="0.25">
      <c r="O813185" s="9"/>
    </row>
    <row r="813206" spans="15:15" x14ac:dyDescent="0.25">
      <c r="O813206" s="9"/>
    </row>
    <row r="813227" spans="15:15" x14ac:dyDescent="0.25">
      <c r="O813227" s="9"/>
    </row>
    <row r="813248" spans="15:15" x14ac:dyDescent="0.25">
      <c r="O813248" s="9"/>
    </row>
    <row r="813269" spans="15:15" x14ac:dyDescent="0.25">
      <c r="O813269" s="9"/>
    </row>
    <row r="813290" spans="15:15" x14ac:dyDescent="0.25">
      <c r="O813290" s="9"/>
    </row>
    <row r="813311" spans="15:15" x14ac:dyDescent="0.25">
      <c r="O813311" s="9"/>
    </row>
    <row r="813332" spans="15:15" x14ac:dyDescent="0.25">
      <c r="O813332" s="9"/>
    </row>
    <row r="813353" spans="15:15" x14ac:dyDescent="0.25">
      <c r="O813353" s="9"/>
    </row>
    <row r="813374" spans="15:15" x14ac:dyDescent="0.25">
      <c r="O813374" s="9"/>
    </row>
    <row r="813395" spans="15:15" x14ac:dyDescent="0.25">
      <c r="O813395" s="9"/>
    </row>
    <row r="813416" spans="15:15" x14ac:dyDescent="0.25">
      <c r="O813416" s="9"/>
    </row>
    <row r="813437" spans="15:15" x14ac:dyDescent="0.25">
      <c r="O813437" s="9"/>
    </row>
    <row r="813458" spans="15:15" x14ac:dyDescent="0.25">
      <c r="O813458" s="9"/>
    </row>
    <row r="813479" spans="15:15" x14ac:dyDescent="0.25">
      <c r="O813479" s="9"/>
    </row>
    <row r="813500" spans="15:15" x14ac:dyDescent="0.25">
      <c r="O813500" s="9"/>
    </row>
    <row r="813521" spans="15:15" x14ac:dyDescent="0.25">
      <c r="O813521" s="9"/>
    </row>
    <row r="813542" spans="15:15" x14ac:dyDescent="0.25">
      <c r="O813542" s="9"/>
    </row>
    <row r="813563" spans="15:15" x14ac:dyDescent="0.25">
      <c r="O813563" s="9"/>
    </row>
    <row r="813584" spans="15:15" x14ac:dyDescent="0.25">
      <c r="O813584" s="9"/>
    </row>
    <row r="813605" spans="15:15" x14ac:dyDescent="0.25">
      <c r="O813605" s="9"/>
    </row>
    <row r="813626" spans="15:15" x14ac:dyDescent="0.25">
      <c r="O813626" s="9"/>
    </row>
    <row r="813647" spans="15:15" x14ac:dyDescent="0.25">
      <c r="O813647" s="9"/>
    </row>
    <row r="813668" spans="15:15" x14ac:dyDescent="0.25">
      <c r="O813668" s="9"/>
    </row>
    <row r="813689" spans="15:15" x14ac:dyDescent="0.25">
      <c r="O813689" s="9"/>
    </row>
    <row r="813710" spans="15:15" x14ac:dyDescent="0.25">
      <c r="O813710" s="9"/>
    </row>
    <row r="813731" spans="15:15" x14ac:dyDescent="0.25">
      <c r="O813731" s="9"/>
    </row>
    <row r="813752" spans="15:15" x14ac:dyDescent="0.25">
      <c r="O813752" s="9"/>
    </row>
    <row r="813773" spans="15:15" x14ac:dyDescent="0.25">
      <c r="O813773" s="9"/>
    </row>
    <row r="813794" spans="15:15" x14ac:dyDescent="0.25">
      <c r="O813794" s="9"/>
    </row>
    <row r="813815" spans="15:15" x14ac:dyDescent="0.25">
      <c r="O813815" s="9"/>
    </row>
    <row r="813836" spans="15:15" x14ac:dyDescent="0.25">
      <c r="O813836" s="9"/>
    </row>
    <row r="813857" spans="15:15" x14ac:dyDescent="0.25">
      <c r="O813857" s="9"/>
    </row>
    <row r="813878" spans="15:15" x14ac:dyDescent="0.25">
      <c r="O813878" s="9"/>
    </row>
    <row r="813899" spans="15:15" x14ac:dyDescent="0.25">
      <c r="O813899" s="9"/>
    </row>
    <row r="813920" spans="15:15" x14ac:dyDescent="0.25">
      <c r="O813920" s="9"/>
    </row>
    <row r="813941" spans="15:15" x14ac:dyDescent="0.25">
      <c r="O813941" s="9"/>
    </row>
    <row r="813962" spans="15:15" x14ac:dyDescent="0.25">
      <c r="O813962" s="9"/>
    </row>
    <row r="813983" spans="15:15" x14ac:dyDescent="0.25">
      <c r="O813983" s="9"/>
    </row>
    <row r="814004" spans="15:15" x14ac:dyDescent="0.25">
      <c r="O814004" s="9"/>
    </row>
    <row r="814025" spans="15:15" x14ac:dyDescent="0.25">
      <c r="O814025" s="9"/>
    </row>
    <row r="814046" spans="15:15" x14ac:dyDescent="0.25">
      <c r="O814046" s="9"/>
    </row>
    <row r="814067" spans="15:15" x14ac:dyDescent="0.25">
      <c r="O814067" s="9"/>
    </row>
    <row r="814088" spans="15:15" x14ac:dyDescent="0.25">
      <c r="O814088" s="9"/>
    </row>
    <row r="814109" spans="15:15" x14ac:dyDescent="0.25">
      <c r="O814109" s="9"/>
    </row>
    <row r="814130" spans="15:15" x14ac:dyDescent="0.25">
      <c r="O814130" s="9"/>
    </row>
    <row r="814151" spans="15:15" x14ac:dyDescent="0.25">
      <c r="O814151" s="9"/>
    </row>
    <row r="814172" spans="15:15" x14ac:dyDescent="0.25">
      <c r="O814172" s="9"/>
    </row>
    <row r="814193" spans="15:15" x14ac:dyDescent="0.25">
      <c r="O814193" s="9"/>
    </row>
    <row r="814214" spans="15:15" x14ac:dyDescent="0.25">
      <c r="O814214" s="9"/>
    </row>
    <row r="814235" spans="15:15" x14ac:dyDescent="0.25">
      <c r="O814235" s="9"/>
    </row>
    <row r="814256" spans="15:15" x14ac:dyDescent="0.25">
      <c r="O814256" s="9"/>
    </row>
    <row r="814277" spans="15:15" x14ac:dyDescent="0.25">
      <c r="O814277" s="9"/>
    </row>
    <row r="814298" spans="15:15" x14ac:dyDescent="0.25">
      <c r="O814298" s="9"/>
    </row>
    <row r="814319" spans="15:15" x14ac:dyDescent="0.25">
      <c r="O814319" s="9"/>
    </row>
    <row r="814340" spans="15:15" x14ac:dyDescent="0.25">
      <c r="O814340" s="9"/>
    </row>
    <row r="814361" spans="15:15" x14ac:dyDescent="0.25">
      <c r="O814361" s="9"/>
    </row>
    <row r="814382" spans="15:15" x14ac:dyDescent="0.25">
      <c r="O814382" s="9"/>
    </row>
    <row r="814403" spans="15:15" x14ac:dyDescent="0.25">
      <c r="O814403" s="9"/>
    </row>
    <row r="814424" spans="15:15" x14ac:dyDescent="0.25">
      <c r="O814424" s="9"/>
    </row>
    <row r="814445" spans="15:15" x14ac:dyDescent="0.25">
      <c r="O814445" s="9"/>
    </row>
    <row r="814466" spans="15:15" x14ac:dyDescent="0.25">
      <c r="O814466" s="9"/>
    </row>
    <row r="814487" spans="15:15" x14ac:dyDescent="0.25">
      <c r="O814487" s="9"/>
    </row>
    <row r="814508" spans="15:15" x14ac:dyDescent="0.25">
      <c r="O814508" s="9"/>
    </row>
    <row r="814529" spans="15:15" x14ac:dyDescent="0.25">
      <c r="O814529" s="9"/>
    </row>
    <row r="814550" spans="15:15" x14ac:dyDescent="0.25">
      <c r="O814550" s="9"/>
    </row>
    <row r="814571" spans="15:15" x14ac:dyDescent="0.25">
      <c r="O814571" s="9"/>
    </row>
    <row r="814592" spans="15:15" x14ac:dyDescent="0.25">
      <c r="O814592" s="9"/>
    </row>
    <row r="814613" spans="15:15" x14ac:dyDescent="0.25">
      <c r="O814613" s="9"/>
    </row>
    <row r="814634" spans="15:15" x14ac:dyDescent="0.25">
      <c r="O814634" s="9"/>
    </row>
    <row r="814655" spans="15:15" x14ac:dyDescent="0.25">
      <c r="O814655" s="9"/>
    </row>
    <row r="814676" spans="15:15" x14ac:dyDescent="0.25">
      <c r="O814676" s="9"/>
    </row>
    <row r="814697" spans="15:15" x14ac:dyDescent="0.25">
      <c r="O814697" s="9"/>
    </row>
    <row r="814718" spans="15:15" x14ac:dyDescent="0.25">
      <c r="O814718" s="9"/>
    </row>
    <row r="814739" spans="15:15" x14ac:dyDescent="0.25">
      <c r="O814739" s="9"/>
    </row>
    <row r="814760" spans="15:15" x14ac:dyDescent="0.25">
      <c r="O814760" s="9"/>
    </row>
    <row r="814781" spans="15:15" x14ac:dyDescent="0.25">
      <c r="O814781" s="9"/>
    </row>
    <row r="814802" spans="15:15" x14ac:dyDescent="0.25">
      <c r="O814802" s="9"/>
    </row>
    <row r="814823" spans="15:15" x14ac:dyDescent="0.25">
      <c r="O814823" s="9"/>
    </row>
    <row r="814844" spans="15:15" x14ac:dyDescent="0.25">
      <c r="O814844" s="9"/>
    </row>
    <row r="814865" spans="15:15" x14ac:dyDescent="0.25">
      <c r="O814865" s="9"/>
    </row>
    <row r="814886" spans="15:15" x14ac:dyDescent="0.25">
      <c r="O814886" s="9"/>
    </row>
    <row r="814907" spans="15:15" x14ac:dyDescent="0.25">
      <c r="O814907" s="9"/>
    </row>
    <row r="814928" spans="15:15" x14ac:dyDescent="0.25">
      <c r="O814928" s="9"/>
    </row>
    <row r="814949" spans="15:15" x14ac:dyDescent="0.25">
      <c r="O814949" s="9"/>
    </row>
    <row r="814970" spans="15:15" x14ac:dyDescent="0.25">
      <c r="O814970" s="9"/>
    </row>
    <row r="814991" spans="15:15" x14ac:dyDescent="0.25">
      <c r="O814991" s="9"/>
    </row>
    <row r="815012" spans="15:15" x14ac:dyDescent="0.25">
      <c r="O815012" s="9"/>
    </row>
    <row r="815033" spans="15:15" x14ac:dyDescent="0.25">
      <c r="O815033" s="9"/>
    </row>
    <row r="815054" spans="15:15" x14ac:dyDescent="0.25">
      <c r="O815054" s="9"/>
    </row>
    <row r="815075" spans="15:15" x14ac:dyDescent="0.25">
      <c r="O815075" s="9"/>
    </row>
    <row r="815096" spans="15:15" x14ac:dyDescent="0.25">
      <c r="O815096" s="9"/>
    </row>
    <row r="815117" spans="15:15" x14ac:dyDescent="0.25">
      <c r="O815117" s="9"/>
    </row>
    <row r="815138" spans="15:15" x14ac:dyDescent="0.25">
      <c r="O815138" s="9"/>
    </row>
    <row r="815159" spans="15:15" x14ac:dyDescent="0.25">
      <c r="O815159" s="9"/>
    </row>
    <row r="815180" spans="15:15" x14ac:dyDescent="0.25">
      <c r="O815180" s="9"/>
    </row>
    <row r="815201" spans="15:15" x14ac:dyDescent="0.25">
      <c r="O815201" s="9"/>
    </row>
    <row r="815222" spans="15:15" x14ac:dyDescent="0.25">
      <c r="O815222" s="9"/>
    </row>
    <row r="815243" spans="15:15" x14ac:dyDescent="0.25">
      <c r="O815243" s="9"/>
    </row>
    <row r="815264" spans="15:15" x14ac:dyDescent="0.25">
      <c r="O815264" s="9"/>
    </row>
    <row r="815285" spans="15:15" x14ac:dyDescent="0.25">
      <c r="O815285" s="9"/>
    </row>
    <row r="815306" spans="15:15" x14ac:dyDescent="0.25">
      <c r="O815306" s="9"/>
    </row>
    <row r="815327" spans="15:15" x14ac:dyDescent="0.25">
      <c r="O815327" s="9"/>
    </row>
    <row r="815348" spans="15:15" x14ac:dyDescent="0.25">
      <c r="O815348" s="9"/>
    </row>
    <row r="815369" spans="15:15" x14ac:dyDescent="0.25">
      <c r="O815369" s="9"/>
    </row>
    <row r="815390" spans="15:15" x14ac:dyDescent="0.25">
      <c r="O815390" s="9"/>
    </row>
    <row r="815411" spans="15:15" x14ac:dyDescent="0.25">
      <c r="O815411" s="9"/>
    </row>
    <row r="815432" spans="15:15" x14ac:dyDescent="0.25">
      <c r="O815432" s="9"/>
    </row>
    <row r="815453" spans="15:15" x14ac:dyDescent="0.25">
      <c r="O815453" s="9"/>
    </row>
    <row r="815474" spans="15:15" x14ac:dyDescent="0.25">
      <c r="O815474" s="9"/>
    </row>
    <row r="815495" spans="15:15" x14ac:dyDescent="0.25">
      <c r="O815495" s="9"/>
    </row>
    <row r="815516" spans="15:15" x14ac:dyDescent="0.25">
      <c r="O815516" s="9"/>
    </row>
    <row r="815537" spans="15:15" x14ac:dyDescent="0.25">
      <c r="O815537" s="9"/>
    </row>
    <row r="815558" spans="15:15" x14ac:dyDescent="0.25">
      <c r="O815558" s="9"/>
    </row>
    <row r="815579" spans="15:15" x14ac:dyDescent="0.25">
      <c r="O815579" s="9"/>
    </row>
    <row r="815600" spans="15:15" x14ac:dyDescent="0.25">
      <c r="O815600" s="9"/>
    </row>
    <row r="815621" spans="15:15" x14ac:dyDescent="0.25">
      <c r="O815621" s="9"/>
    </row>
    <row r="815642" spans="15:15" x14ac:dyDescent="0.25">
      <c r="O815642" s="9"/>
    </row>
    <row r="815663" spans="15:15" x14ac:dyDescent="0.25">
      <c r="O815663" s="9"/>
    </row>
    <row r="815684" spans="15:15" x14ac:dyDescent="0.25">
      <c r="O815684" s="9"/>
    </row>
    <row r="815705" spans="15:15" x14ac:dyDescent="0.25">
      <c r="O815705" s="9"/>
    </row>
    <row r="815726" spans="15:15" x14ac:dyDescent="0.25">
      <c r="O815726" s="9"/>
    </row>
    <row r="815747" spans="15:15" x14ac:dyDescent="0.25">
      <c r="O815747" s="9"/>
    </row>
    <row r="815768" spans="15:15" x14ac:dyDescent="0.25">
      <c r="O815768" s="9"/>
    </row>
    <row r="815789" spans="15:15" x14ac:dyDescent="0.25">
      <c r="O815789" s="9"/>
    </row>
    <row r="815810" spans="15:15" x14ac:dyDescent="0.25">
      <c r="O815810" s="9"/>
    </row>
    <row r="815831" spans="15:15" x14ac:dyDescent="0.25">
      <c r="O815831" s="9"/>
    </row>
    <row r="815852" spans="15:15" x14ac:dyDescent="0.25">
      <c r="O815852" s="9"/>
    </row>
    <row r="815873" spans="15:15" x14ac:dyDescent="0.25">
      <c r="O815873" s="9"/>
    </row>
    <row r="815894" spans="15:15" x14ac:dyDescent="0.25">
      <c r="O815894" s="9"/>
    </row>
    <row r="815915" spans="15:15" x14ac:dyDescent="0.25">
      <c r="O815915" s="9"/>
    </row>
    <row r="815936" spans="15:15" x14ac:dyDescent="0.25">
      <c r="O815936" s="9"/>
    </row>
    <row r="815957" spans="15:15" x14ac:dyDescent="0.25">
      <c r="O815957" s="9"/>
    </row>
    <row r="815978" spans="15:15" x14ac:dyDescent="0.25">
      <c r="O815978" s="9"/>
    </row>
    <row r="815999" spans="15:15" x14ac:dyDescent="0.25">
      <c r="O815999" s="9"/>
    </row>
    <row r="816020" spans="15:15" x14ac:dyDescent="0.25">
      <c r="O816020" s="9"/>
    </row>
    <row r="816041" spans="15:15" x14ac:dyDescent="0.25">
      <c r="O816041" s="9"/>
    </row>
    <row r="816062" spans="15:15" x14ac:dyDescent="0.25">
      <c r="O816062" s="9"/>
    </row>
    <row r="816083" spans="15:15" x14ac:dyDescent="0.25">
      <c r="O816083" s="9"/>
    </row>
    <row r="816104" spans="15:15" x14ac:dyDescent="0.25">
      <c r="O816104" s="9"/>
    </row>
    <row r="816125" spans="15:15" x14ac:dyDescent="0.25">
      <c r="O816125" s="9"/>
    </row>
    <row r="816146" spans="15:15" x14ac:dyDescent="0.25">
      <c r="O816146" s="9"/>
    </row>
    <row r="816167" spans="15:15" x14ac:dyDescent="0.25">
      <c r="O816167" s="9"/>
    </row>
    <row r="816188" spans="15:15" x14ac:dyDescent="0.25">
      <c r="O816188" s="9"/>
    </row>
    <row r="816209" spans="15:15" x14ac:dyDescent="0.25">
      <c r="O816209" s="9"/>
    </row>
    <row r="816230" spans="15:15" x14ac:dyDescent="0.25">
      <c r="O816230" s="9"/>
    </row>
    <row r="816251" spans="15:15" x14ac:dyDescent="0.25">
      <c r="O816251" s="9"/>
    </row>
    <row r="816272" spans="15:15" x14ac:dyDescent="0.25">
      <c r="O816272" s="9"/>
    </row>
    <row r="816293" spans="15:15" x14ac:dyDescent="0.25">
      <c r="O816293" s="9"/>
    </row>
    <row r="816314" spans="15:15" x14ac:dyDescent="0.25">
      <c r="O816314" s="9"/>
    </row>
    <row r="816335" spans="15:15" x14ac:dyDescent="0.25">
      <c r="O816335" s="9"/>
    </row>
    <row r="816356" spans="15:15" x14ac:dyDescent="0.25">
      <c r="O816356" s="9"/>
    </row>
    <row r="816377" spans="15:15" x14ac:dyDescent="0.25">
      <c r="O816377" s="9"/>
    </row>
    <row r="816398" spans="15:15" x14ac:dyDescent="0.25">
      <c r="O816398" s="9"/>
    </row>
    <row r="816419" spans="15:15" x14ac:dyDescent="0.25">
      <c r="O816419" s="9"/>
    </row>
    <row r="816440" spans="15:15" x14ac:dyDescent="0.25">
      <c r="O816440" s="9"/>
    </row>
    <row r="816461" spans="15:15" x14ac:dyDescent="0.25">
      <c r="O816461" s="9"/>
    </row>
    <row r="816482" spans="15:15" x14ac:dyDescent="0.25">
      <c r="O816482" s="9"/>
    </row>
    <row r="816503" spans="15:15" x14ac:dyDescent="0.25">
      <c r="O816503" s="9"/>
    </row>
    <row r="816524" spans="15:15" x14ac:dyDescent="0.25">
      <c r="O816524" s="9"/>
    </row>
    <row r="816545" spans="15:15" x14ac:dyDescent="0.25">
      <c r="O816545" s="9"/>
    </row>
    <row r="816566" spans="15:15" x14ac:dyDescent="0.25">
      <c r="O816566" s="9"/>
    </row>
    <row r="816587" spans="15:15" x14ac:dyDescent="0.25">
      <c r="O816587" s="9"/>
    </row>
    <row r="816608" spans="15:15" x14ac:dyDescent="0.25">
      <c r="O816608" s="9"/>
    </row>
    <row r="816629" spans="15:15" x14ac:dyDescent="0.25">
      <c r="O816629" s="9"/>
    </row>
    <row r="816650" spans="15:15" x14ac:dyDescent="0.25">
      <c r="O816650" s="9"/>
    </row>
    <row r="816671" spans="15:15" x14ac:dyDescent="0.25">
      <c r="O816671" s="9"/>
    </row>
    <row r="816692" spans="15:15" x14ac:dyDescent="0.25">
      <c r="O816692" s="9"/>
    </row>
    <row r="816713" spans="15:15" x14ac:dyDescent="0.25">
      <c r="O816713" s="9"/>
    </row>
    <row r="816734" spans="15:15" x14ac:dyDescent="0.25">
      <c r="O816734" s="9"/>
    </row>
    <row r="816755" spans="15:15" x14ac:dyDescent="0.25">
      <c r="O816755" s="9"/>
    </row>
    <row r="816776" spans="15:15" x14ac:dyDescent="0.25">
      <c r="O816776" s="9"/>
    </row>
    <row r="816797" spans="15:15" x14ac:dyDescent="0.25">
      <c r="O816797" s="9"/>
    </row>
    <row r="816818" spans="15:15" x14ac:dyDescent="0.25">
      <c r="O816818" s="9"/>
    </row>
    <row r="816839" spans="15:15" x14ac:dyDescent="0.25">
      <c r="O816839" s="9"/>
    </row>
    <row r="816860" spans="15:15" x14ac:dyDescent="0.25">
      <c r="O816860" s="9"/>
    </row>
    <row r="816881" spans="15:15" x14ac:dyDescent="0.25">
      <c r="O816881" s="9"/>
    </row>
    <row r="816902" spans="15:15" x14ac:dyDescent="0.25">
      <c r="O816902" s="9"/>
    </row>
    <row r="816923" spans="15:15" x14ac:dyDescent="0.25">
      <c r="O816923" s="9"/>
    </row>
    <row r="816944" spans="15:15" x14ac:dyDescent="0.25">
      <c r="O816944" s="9"/>
    </row>
    <row r="816965" spans="15:15" x14ac:dyDescent="0.25">
      <c r="O816965" s="9"/>
    </row>
    <row r="816986" spans="15:15" x14ac:dyDescent="0.25">
      <c r="O816986" s="9"/>
    </row>
    <row r="817007" spans="15:15" x14ac:dyDescent="0.25">
      <c r="O817007" s="9"/>
    </row>
    <row r="817028" spans="15:15" x14ac:dyDescent="0.25">
      <c r="O817028" s="9"/>
    </row>
    <row r="817049" spans="15:15" x14ac:dyDescent="0.25">
      <c r="O817049" s="9"/>
    </row>
    <row r="817070" spans="15:15" x14ac:dyDescent="0.25">
      <c r="O817070" s="9"/>
    </row>
    <row r="817091" spans="15:15" x14ac:dyDescent="0.25">
      <c r="O817091" s="9"/>
    </row>
    <row r="817112" spans="15:15" x14ac:dyDescent="0.25">
      <c r="O817112" s="9"/>
    </row>
    <row r="817133" spans="15:15" x14ac:dyDescent="0.25">
      <c r="O817133" s="9"/>
    </row>
    <row r="817154" spans="15:15" x14ac:dyDescent="0.25">
      <c r="O817154" s="9"/>
    </row>
    <row r="817175" spans="15:15" x14ac:dyDescent="0.25">
      <c r="O817175" s="9"/>
    </row>
    <row r="817196" spans="15:15" x14ac:dyDescent="0.25">
      <c r="O817196" s="9"/>
    </row>
    <row r="817217" spans="15:15" x14ac:dyDescent="0.25">
      <c r="O817217" s="9"/>
    </row>
    <row r="817238" spans="15:15" x14ac:dyDescent="0.25">
      <c r="O817238" s="9"/>
    </row>
    <row r="817259" spans="15:15" x14ac:dyDescent="0.25">
      <c r="O817259" s="9"/>
    </row>
    <row r="817280" spans="15:15" x14ac:dyDescent="0.25">
      <c r="O817280" s="9"/>
    </row>
    <row r="817301" spans="15:15" x14ac:dyDescent="0.25">
      <c r="O817301" s="9"/>
    </row>
    <row r="817322" spans="15:15" x14ac:dyDescent="0.25">
      <c r="O817322" s="9"/>
    </row>
    <row r="817343" spans="15:15" x14ac:dyDescent="0.25">
      <c r="O817343" s="9"/>
    </row>
    <row r="817364" spans="15:15" x14ac:dyDescent="0.25">
      <c r="O817364" s="9"/>
    </row>
    <row r="817385" spans="15:15" x14ac:dyDescent="0.25">
      <c r="O817385" s="9"/>
    </row>
    <row r="817406" spans="15:15" x14ac:dyDescent="0.25">
      <c r="O817406" s="9"/>
    </row>
    <row r="817427" spans="15:15" x14ac:dyDescent="0.25">
      <c r="O817427" s="9"/>
    </row>
    <row r="817448" spans="15:15" x14ac:dyDescent="0.25">
      <c r="O817448" s="9"/>
    </row>
    <row r="817469" spans="15:15" x14ac:dyDescent="0.25">
      <c r="O817469" s="9"/>
    </row>
    <row r="817490" spans="15:15" x14ac:dyDescent="0.25">
      <c r="O817490" s="9"/>
    </row>
    <row r="817511" spans="15:15" x14ac:dyDescent="0.25">
      <c r="O817511" s="9"/>
    </row>
    <row r="817532" spans="15:15" x14ac:dyDescent="0.25">
      <c r="O817532" s="9"/>
    </row>
    <row r="817553" spans="15:15" x14ac:dyDescent="0.25">
      <c r="O817553" s="9"/>
    </row>
    <row r="817574" spans="15:15" x14ac:dyDescent="0.25">
      <c r="O817574" s="9"/>
    </row>
    <row r="817595" spans="15:15" x14ac:dyDescent="0.25">
      <c r="O817595" s="9"/>
    </row>
    <row r="817616" spans="15:15" x14ac:dyDescent="0.25">
      <c r="O817616" s="9"/>
    </row>
    <row r="817637" spans="15:15" x14ac:dyDescent="0.25">
      <c r="O817637" s="9"/>
    </row>
    <row r="817658" spans="15:15" x14ac:dyDescent="0.25">
      <c r="O817658" s="9"/>
    </row>
    <row r="817679" spans="15:15" x14ac:dyDescent="0.25">
      <c r="O817679" s="9"/>
    </row>
    <row r="817700" spans="15:15" x14ac:dyDescent="0.25">
      <c r="O817700" s="9"/>
    </row>
    <row r="817721" spans="15:15" x14ac:dyDescent="0.25">
      <c r="O817721" s="9"/>
    </row>
    <row r="817742" spans="15:15" x14ac:dyDescent="0.25">
      <c r="O817742" s="9"/>
    </row>
    <row r="817763" spans="15:15" x14ac:dyDescent="0.25">
      <c r="O817763" s="9"/>
    </row>
    <row r="817784" spans="15:15" x14ac:dyDescent="0.25">
      <c r="O817784" s="9"/>
    </row>
    <row r="817805" spans="15:15" x14ac:dyDescent="0.25">
      <c r="O817805" s="9"/>
    </row>
    <row r="817826" spans="15:15" x14ac:dyDescent="0.25">
      <c r="O817826" s="9"/>
    </row>
    <row r="817847" spans="15:15" x14ac:dyDescent="0.25">
      <c r="O817847" s="9"/>
    </row>
    <row r="817868" spans="15:15" x14ac:dyDescent="0.25">
      <c r="O817868" s="9"/>
    </row>
    <row r="817889" spans="15:15" x14ac:dyDescent="0.25">
      <c r="O817889" s="9"/>
    </row>
    <row r="817910" spans="15:15" x14ac:dyDescent="0.25">
      <c r="O817910" s="9"/>
    </row>
    <row r="817931" spans="15:15" x14ac:dyDescent="0.25">
      <c r="O817931" s="9"/>
    </row>
    <row r="817952" spans="15:15" x14ac:dyDescent="0.25">
      <c r="O817952" s="9"/>
    </row>
    <row r="817973" spans="15:15" x14ac:dyDescent="0.25">
      <c r="O817973" s="9"/>
    </row>
    <row r="817994" spans="15:15" x14ac:dyDescent="0.25">
      <c r="O817994" s="9"/>
    </row>
    <row r="818015" spans="15:15" x14ac:dyDescent="0.25">
      <c r="O818015" s="9"/>
    </row>
    <row r="818036" spans="15:15" x14ac:dyDescent="0.25">
      <c r="O818036" s="9"/>
    </row>
    <row r="818057" spans="15:15" x14ac:dyDescent="0.25">
      <c r="O818057" s="9"/>
    </row>
    <row r="818078" spans="15:15" x14ac:dyDescent="0.25">
      <c r="O818078" s="9"/>
    </row>
    <row r="818099" spans="15:15" x14ac:dyDescent="0.25">
      <c r="O818099" s="9"/>
    </row>
    <row r="818120" spans="15:15" x14ac:dyDescent="0.25">
      <c r="O818120" s="9"/>
    </row>
    <row r="818141" spans="15:15" x14ac:dyDescent="0.25">
      <c r="O818141" s="9"/>
    </row>
    <row r="818162" spans="15:15" x14ac:dyDescent="0.25">
      <c r="O818162" s="9"/>
    </row>
    <row r="818183" spans="15:15" x14ac:dyDescent="0.25">
      <c r="O818183" s="9"/>
    </row>
    <row r="818204" spans="15:15" x14ac:dyDescent="0.25">
      <c r="O818204" s="9"/>
    </row>
    <row r="818225" spans="15:15" x14ac:dyDescent="0.25">
      <c r="O818225" s="9"/>
    </row>
    <row r="818246" spans="15:15" x14ac:dyDescent="0.25">
      <c r="O818246" s="9"/>
    </row>
    <row r="818267" spans="15:15" x14ac:dyDescent="0.25">
      <c r="O818267" s="9"/>
    </row>
    <row r="818288" spans="15:15" x14ac:dyDescent="0.25">
      <c r="O818288" s="9"/>
    </row>
    <row r="818309" spans="15:15" x14ac:dyDescent="0.25">
      <c r="O818309" s="9"/>
    </row>
    <row r="818330" spans="15:15" x14ac:dyDescent="0.25">
      <c r="O818330" s="9"/>
    </row>
    <row r="818351" spans="15:15" x14ac:dyDescent="0.25">
      <c r="O818351" s="9"/>
    </row>
    <row r="818372" spans="15:15" x14ac:dyDescent="0.25">
      <c r="O818372" s="9"/>
    </row>
    <row r="818393" spans="15:15" x14ac:dyDescent="0.25">
      <c r="O818393" s="9"/>
    </row>
    <row r="818414" spans="15:15" x14ac:dyDescent="0.25">
      <c r="O818414" s="9"/>
    </row>
    <row r="818435" spans="15:15" x14ac:dyDescent="0.25">
      <c r="O818435" s="9"/>
    </row>
    <row r="818456" spans="15:15" x14ac:dyDescent="0.25">
      <c r="O818456" s="9"/>
    </row>
    <row r="818477" spans="15:15" x14ac:dyDescent="0.25">
      <c r="O818477" s="9"/>
    </row>
    <row r="818498" spans="15:15" x14ac:dyDescent="0.25">
      <c r="O818498" s="9"/>
    </row>
    <row r="818519" spans="15:15" x14ac:dyDescent="0.25">
      <c r="O818519" s="9"/>
    </row>
    <row r="818540" spans="15:15" x14ac:dyDescent="0.25">
      <c r="O818540" s="9"/>
    </row>
    <row r="818561" spans="15:15" x14ac:dyDescent="0.25">
      <c r="O818561" s="9"/>
    </row>
    <row r="818582" spans="15:15" x14ac:dyDescent="0.25">
      <c r="O818582" s="9"/>
    </row>
    <row r="818603" spans="15:15" x14ac:dyDescent="0.25">
      <c r="O818603" s="9"/>
    </row>
    <row r="818624" spans="15:15" x14ac:dyDescent="0.25">
      <c r="O818624" s="9"/>
    </row>
    <row r="818645" spans="15:15" x14ac:dyDescent="0.25">
      <c r="O818645" s="9"/>
    </row>
    <row r="818666" spans="15:15" x14ac:dyDescent="0.25">
      <c r="O818666" s="9"/>
    </row>
    <row r="818687" spans="15:15" x14ac:dyDescent="0.25">
      <c r="O818687" s="9"/>
    </row>
    <row r="818708" spans="15:15" x14ac:dyDescent="0.25">
      <c r="O818708" s="9"/>
    </row>
    <row r="818729" spans="15:15" x14ac:dyDescent="0.25">
      <c r="O818729" s="9"/>
    </row>
    <row r="818750" spans="15:15" x14ac:dyDescent="0.25">
      <c r="O818750" s="9"/>
    </row>
    <row r="818771" spans="15:15" x14ac:dyDescent="0.25">
      <c r="O818771" s="9"/>
    </row>
    <row r="818792" spans="15:15" x14ac:dyDescent="0.25">
      <c r="O818792" s="9"/>
    </row>
    <row r="818813" spans="15:15" x14ac:dyDescent="0.25">
      <c r="O818813" s="9"/>
    </row>
    <row r="818834" spans="15:15" x14ac:dyDescent="0.25">
      <c r="O818834" s="9"/>
    </row>
    <row r="818855" spans="15:15" x14ac:dyDescent="0.25">
      <c r="O818855" s="9"/>
    </row>
    <row r="818876" spans="15:15" x14ac:dyDescent="0.25">
      <c r="O818876" s="9"/>
    </row>
    <row r="818897" spans="15:15" x14ac:dyDescent="0.25">
      <c r="O818897" s="9"/>
    </row>
    <row r="818918" spans="15:15" x14ac:dyDescent="0.25">
      <c r="O818918" s="9"/>
    </row>
    <row r="818939" spans="15:15" x14ac:dyDescent="0.25">
      <c r="O818939" s="9"/>
    </row>
    <row r="818960" spans="15:15" x14ac:dyDescent="0.25">
      <c r="O818960" s="9"/>
    </row>
    <row r="818981" spans="15:15" x14ac:dyDescent="0.25">
      <c r="O818981" s="9"/>
    </row>
    <row r="819002" spans="15:15" x14ac:dyDescent="0.25">
      <c r="O819002" s="9"/>
    </row>
    <row r="819023" spans="15:15" x14ac:dyDescent="0.25">
      <c r="O819023" s="9"/>
    </row>
    <row r="819044" spans="15:15" x14ac:dyDescent="0.25">
      <c r="O819044" s="9"/>
    </row>
    <row r="819065" spans="15:15" x14ac:dyDescent="0.25">
      <c r="O819065" s="9"/>
    </row>
    <row r="819086" spans="15:15" x14ac:dyDescent="0.25">
      <c r="O819086" s="9"/>
    </row>
    <row r="819107" spans="15:15" x14ac:dyDescent="0.25">
      <c r="O819107" s="9"/>
    </row>
    <row r="819128" spans="15:15" x14ac:dyDescent="0.25">
      <c r="O819128" s="9"/>
    </row>
    <row r="819149" spans="15:15" x14ac:dyDescent="0.25">
      <c r="O819149" s="9"/>
    </row>
    <row r="819170" spans="15:15" x14ac:dyDescent="0.25">
      <c r="O819170" s="9"/>
    </row>
    <row r="819191" spans="15:15" x14ac:dyDescent="0.25">
      <c r="O819191" s="9"/>
    </row>
    <row r="819212" spans="15:15" x14ac:dyDescent="0.25">
      <c r="O819212" s="9"/>
    </row>
    <row r="819233" spans="15:15" x14ac:dyDescent="0.25">
      <c r="O819233" s="9"/>
    </row>
    <row r="819254" spans="15:15" x14ac:dyDescent="0.25">
      <c r="O819254" s="9"/>
    </row>
    <row r="819275" spans="15:15" x14ac:dyDescent="0.25">
      <c r="O819275" s="9"/>
    </row>
    <row r="819296" spans="15:15" x14ac:dyDescent="0.25">
      <c r="O819296" s="9"/>
    </row>
    <row r="819317" spans="15:15" x14ac:dyDescent="0.25">
      <c r="O819317" s="9"/>
    </row>
    <row r="819338" spans="15:15" x14ac:dyDescent="0.25">
      <c r="O819338" s="9"/>
    </row>
    <row r="819359" spans="15:15" x14ac:dyDescent="0.25">
      <c r="O819359" s="9"/>
    </row>
    <row r="819380" spans="15:15" x14ac:dyDescent="0.25">
      <c r="O819380" s="9"/>
    </row>
    <row r="819401" spans="15:15" x14ac:dyDescent="0.25">
      <c r="O819401" s="9"/>
    </row>
    <row r="819422" spans="15:15" x14ac:dyDescent="0.25">
      <c r="O819422" s="9"/>
    </row>
    <row r="819443" spans="15:15" x14ac:dyDescent="0.25">
      <c r="O819443" s="9"/>
    </row>
    <row r="819464" spans="15:15" x14ac:dyDescent="0.25">
      <c r="O819464" s="9"/>
    </row>
    <row r="819485" spans="15:15" x14ac:dyDescent="0.25">
      <c r="O819485" s="9"/>
    </row>
    <row r="819506" spans="15:15" x14ac:dyDescent="0.25">
      <c r="O819506" s="9"/>
    </row>
    <row r="819527" spans="15:15" x14ac:dyDescent="0.25">
      <c r="O819527" s="9"/>
    </row>
    <row r="819548" spans="15:15" x14ac:dyDescent="0.25">
      <c r="O819548" s="9"/>
    </row>
    <row r="819569" spans="15:15" x14ac:dyDescent="0.25">
      <c r="O819569" s="9"/>
    </row>
    <row r="819590" spans="15:15" x14ac:dyDescent="0.25">
      <c r="O819590" s="9"/>
    </row>
    <row r="819611" spans="15:15" x14ac:dyDescent="0.25">
      <c r="O819611" s="9"/>
    </row>
    <row r="819632" spans="15:15" x14ac:dyDescent="0.25">
      <c r="O819632" s="9"/>
    </row>
    <row r="819653" spans="15:15" x14ac:dyDescent="0.25">
      <c r="O819653" s="9"/>
    </row>
    <row r="819674" spans="15:15" x14ac:dyDescent="0.25">
      <c r="O819674" s="9"/>
    </row>
    <row r="819695" spans="15:15" x14ac:dyDescent="0.25">
      <c r="O819695" s="9"/>
    </row>
    <row r="819716" spans="15:15" x14ac:dyDescent="0.25">
      <c r="O819716" s="9"/>
    </row>
    <row r="819737" spans="15:15" x14ac:dyDescent="0.25">
      <c r="O819737" s="9"/>
    </row>
    <row r="819758" spans="15:15" x14ac:dyDescent="0.25">
      <c r="O819758" s="9"/>
    </row>
    <row r="819779" spans="15:15" x14ac:dyDescent="0.25">
      <c r="O819779" s="9"/>
    </row>
    <row r="819800" spans="15:15" x14ac:dyDescent="0.25">
      <c r="O819800" s="9"/>
    </row>
    <row r="819821" spans="15:15" x14ac:dyDescent="0.25">
      <c r="O819821" s="9"/>
    </row>
    <row r="819842" spans="15:15" x14ac:dyDescent="0.25">
      <c r="O819842" s="9"/>
    </row>
    <row r="819863" spans="15:15" x14ac:dyDescent="0.25">
      <c r="O819863" s="9"/>
    </row>
    <row r="819884" spans="15:15" x14ac:dyDescent="0.25">
      <c r="O819884" s="9"/>
    </row>
    <row r="819905" spans="15:15" x14ac:dyDescent="0.25">
      <c r="O819905" s="9"/>
    </row>
    <row r="819926" spans="15:15" x14ac:dyDescent="0.25">
      <c r="O819926" s="9"/>
    </row>
    <row r="819947" spans="15:15" x14ac:dyDescent="0.25">
      <c r="O819947" s="9"/>
    </row>
    <row r="819968" spans="15:15" x14ac:dyDescent="0.25">
      <c r="O819968" s="9"/>
    </row>
    <row r="819989" spans="15:15" x14ac:dyDescent="0.25">
      <c r="O819989" s="9"/>
    </row>
    <row r="820010" spans="15:15" x14ac:dyDescent="0.25">
      <c r="O820010" s="9"/>
    </row>
    <row r="820031" spans="15:15" x14ac:dyDescent="0.25">
      <c r="O820031" s="9"/>
    </row>
    <row r="820052" spans="15:15" x14ac:dyDescent="0.25">
      <c r="O820052" s="9"/>
    </row>
    <row r="820073" spans="15:15" x14ac:dyDescent="0.25">
      <c r="O820073" s="9"/>
    </row>
    <row r="820094" spans="15:15" x14ac:dyDescent="0.25">
      <c r="O820094" s="9"/>
    </row>
    <row r="820115" spans="15:15" x14ac:dyDescent="0.25">
      <c r="O820115" s="9"/>
    </row>
    <row r="820136" spans="15:15" x14ac:dyDescent="0.25">
      <c r="O820136" s="9"/>
    </row>
    <row r="820157" spans="15:15" x14ac:dyDescent="0.25">
      <c r="O820157" s="9"/>
    </row>
    <row r="820178" spans="15:15" x14ac:dyDescent="0.25">
      <c r="O820178" s="9"/>
    </row>
    <row r="820199" spans="15:15" x14ac:dyDescent="0.25">
      <c r="O820199" s="9"/>
    </row>
    <row r="820220" spans="15:15" x14ac:dyDescent="0.25">
      <c r="O820220" s="9"/>
    </row>
    <row r="820241" spans="15:15" x14ac:dyDescent="0.25">
      <c r="O820241" s="9"/>
    </row>
    <row r="820262" spans="15:15" x14ac:dyDescent="0.25">
      <c r="O820262" s="9"/>
    </row>
    <row r="820283" spans="15:15" x14ac:dyDescent="0.25">
      <c r="O820283" s="9"/>
    </row>
    <row r="820304" spans="15:15" x14ac:dyDescent="0.25">
      <c r="O820304" s="9"/>
    </row>
    <row r="820325" spans="15:15" x14ac:dyDescent="0.25">
      <c r="O820325" s="9"/>
    </row>
    <row r="820346" spans="15:15" x14ac:dyDescent="0.25">
      <c r="O820346" s="9"/>
    </row>
    <row r="820367" spans="15:15" x14ac:dyDescent="0.25">
      <c r="O820367" s="9"/>
    </row>
    <row r="820388" spans="15:15" x14ac:dyDescent="0.25">
      <c r="O820388" s="9"/>
    </row>
    <row r="820409" spans="15:15" x14ac:dyDescent="0.25">
      <c r="O820409" s="9"/>
    </row>
    <row r="820430" spans="15:15" x14ac:dyDescent="0.25">
      <c r="O820430" s="9"/>
    </row>
    <row r="820451" spans="15:15" x14ac:dyDescent="0.25">
      <c r="O820451" s="9"/>
    </row>
    <row r="820472" spans="15:15" x14ac:dyDescent="0.25">
      <c r="O820472" s="9"/>
    </row>
    <row r="820493" spans="15:15" x14ac:dyDescent="0.25">
      <c r="O820493" s="9"/>
    </row>
    <row r="820514" spans="15:15" x14ac:dyDescent="0.25">
      <c r="O820514" s="9"/>
    </row>
    <row r="820535" spans="15:15" x14ac:dyDescent="0.25">
      <c r="O820535" s="9"/>
    </row>
    <row r="820556" spans="15:15" x14ac:dyDescent="0.25">
      <c r="O820556" s="9"/>
    </row>
    <row r="820577" spans="15:15" x14ac:dyDescent="0.25">
      <c r="O820577" s="9"/>
    </row>
    <row r="820598" spans="15:15" x14ac:dyDescent="0.25">
      <c r="O820598" s="9"/>
    </row>
    <row r="820619" spans="15:15" x14ac:dyDescent="0.25">
      <c r="O820619" s="9"/>
    </row>
    <row r="820640" spans="15:15" x14ac:dyDescent="0.25">
      <c r="O820640" s="9"/>
    </row>
    <row r="820661" spans="15:15" x14ac:dyDescent="0.25">
      <c r="O820661" s="9"/>
    </row>
    <row r="820682" spans="15:15" x14ac:dyDescent="0.25">
      <c r="O820682" s="9"/>
    </row>
    <row r="820703" spans="15:15" x14ac:dyDescent="0.25">
      <c r="O820703" s="9"/>
    </row>
    <row r="820724" spans="15:15" x14ac:dyDescent="0.25">
      <c r="O820724" s="9"/>
    </row>
    <row r="820745" spans="15:15" x14ac:dyDescent="0.25">
      <c r="O820745" s="9"/>
    </row>
    <row r="820766" spans="15:15" x14ac:dyDescent="0.25">
      <c r="O820766" s="9"/>
    </row>
    <row r="820787" spans="15:15" x14ac:dyDescent="0.25">
      <c r="O820787" s="9"/>
    </row>
    <row r="820808" spans="15:15" x14ac:dyDescent="0.25">
      <c r="O820808" s="9"/>
    </row>
    <row r="820829" spans="15:15" x14ac:dyDescent="0.25">
      <c r="O820829" s="9"/>
    </row>
    <row r="820850" spans="15:15" x14ac:dyDescent="0.25">
      <c r="O820850" s="9"/>
    </row>
    <row r="820871" spans="15:15" x14ac:dyDescent="0.25">
      <c r="O820871" s="9"/>
    </row>
    <row r="820892" spans="15:15" x14ac:dyDescent="0.25">
      <c r="O820892" s="9"/>
    </row>
    <row r="820913" spans="15:15" x14ac:dyDescent="0.25">
      <c r="O820913" s="9"/>
    </row>
    <row r="820934" spans="15:15" x14ac:dyDescent="0.25">
      <c r="O820934" s="9"/>
    </row>
    <row r="820955" spans="15:15" x14ac:dyDescent="0.25">
      <c r="O820955" s="9"/>
    </row>
    <row r="820976" spans="15:15" x14ac:dyDescent="0.25">
      <c r="O820976" s="9"/>
    </row>
    <row r="820997" spans="15:15" x14ac:dyDescent="0.25">
      <c r="O820997" s="9"/>
    </row>
    <row r="821018" spans="15:15" x14ac:dyDescent="0.25">
      <c r="O821018" s="9"/>
    </row>
    <row r="821039" spans="15:15" x14ac:dyDescent="0.25">
      <c r="O821039" s="9"/>
    </row>
    <row r="821060" spans="15:15" x14ac:dyDescent="0.25">
      <c r="O821060" s="9"/>
    </row>
    <row r="821081" spans="15:15" x14ac:dyDescent="0.25">
      <c r="O821081" s="9"/>
    </row>
    <row r="821102" spans="15:15" x14ac:dyDescent="0.25">
      <c r="O821102" s="9"/>
    </row>
    <row r="821123" spans="15:15" x14ac:dyDescent="0.25">
      <c r="O821123" s="9"/>
    </row>
    <row r="821144" spans="15:15" x14ac:dyDescent="0.25">
      <c r="O821144" s="9"/>
    </row>
    <row r="821165" spans="15:15" x14ac:dyDescent="0.25">
      <c r="O821165" s="9"/>
    </row>
    <row r="821186" spans="15:15" x14ac:dyDescent="0.25">
      <c r="O821186" s="9"/>
    </row>
    <row r="821207" spans="15:15" x14ac:dyDescent="0.25">
      <c r="O821207" s="9"/>
    </row>
    <row r="821228" spans="15:15" x14ac:dyDescent="0.25">
      <c r="O821228" s="9"/>
    </row>
    <row r="821249" spans="15:15" x14ac:dyDescent="0.25">
      <c r="O821249" s="9"/>
    </row>
    <row r="821270" spans="15:15" x14ac:dyDescent="0.25">
      <c r="O821270" s="9"/>
    </row>
    <row r="821291" spans="15:15" x14ac:dyDescent="0.25">
      <c r="O821291" s="9"/>
    </row>
    <row r="821312" spans="15:15" x14ac:dyDescent="0.25">
      <c r="O821312" s="9"/>
    </row>
    <row r="821333" spans="15:15" x14ac:dyDescent="0.25">
      <c r="O821333" s="9"/>
    </row>
    <row r="821354" spans="15:15" x14ac:dyDescent="0.25">
      <c r="O821354" s="9"/>
    </row>
    <row r="821375" spans="15:15" x14ac:dyDescent="0.25">
      <c r="O821375" s="9"/>
    </row>
    <row r="821396" spans="15:15" x14ac:dyDescent="0.25">
      <c r="O821396" s="9"/>
    </row>
    <row r="821417" spans="15:15" x14ac:dyDescent="0.25">
      <c r="O821417" s="9"/>
    </row>
    <row r="821438" spans="15:15" x14ac:dyDescent="0.25">
      <c r="O821438" s="9"/>
    </row>
    <row r="821459" spans="15:15" x14ac:dyDescent="0.25">
      <c r="O821459" s="9"/>
    </row>
    <row r="821480" spans="15:15" x14ac:dyDescent="0.25">
      <c r="O821480" s="9"/>
    </row>
    <row r="821501" spans="15:15" x14ac:dyDescent="0.25">
      <c r="O821501" s="9"/>
    </row>
    <row r="821522" spans="15:15" x14ac:dyDescent="0.25">
      <c r="O821522" s="9"/>
    </row>
    <row r="821543" spans="15:15" x14ac:dyDescent="0.25">
      <c r="O821543" s="9"/>
    </row>
    <row r="821564" spans="15:15" x14ac:dyDescent="0.25">
      <c r="O821564" s="9"/>
    </row>
    <row r="821585" spans="15:15" x14ac:dyDescent="0.25">
      <c r="O821585" s="9"/>
    </row>
    <row r="821606" spans="15:15" x14ac:dyDescent="0.25">
      <c r="O821606" s="9"/>
    </row>
    <row r="821627" spans="15:15" x14ac:dyDescent="0.25">
      <c r="O821627" s="9"/>
    </row>
    <row r="821648" spans="15:15" x14ac:dyDescent="0.25">
      <c r="O821648" s="9"/>
    </row>
    <row r="821669" spans="15:15" x14ac:dyDescent="0.25">
      <c r="O821669" s="9"/>
    </row>
    <row r="821690" spans="15:15" x14ac:dyDescent="0.25">
      <c r="O821690" s="9"/>
    </row>
    <row r="821711" spans="15:15" x14ac:dyDescent="0.25">
      <c r="O821711" s="9"/>
    </row>
    <row r="821732" spans="15:15" x14ac:dyDescent="0.25">
      <c r="O821732" s="9"/>
    </row>
    <row r="821753" spans="15:15" x14ac:dyDescent="0.25">
      <c r="O821753" s="9"/>
    </row>
    <row r="821774" spans="15:15" x14ac:dyDescent="0.25">
      <c r="O821774" s="9"/>
    </row>
    <row r="821795" spans="15:15" x14ac:dyDescent="0.25">
      <c r="O821795" s="9"/>
    </row>
    <row r="821816" spans="15:15" x14ac:dyDescent="0.25">
      <c r="O821816" s="9"/>
    </row>
    <row r="821837" spans="15:15" x14ac:dyDescent="0.25">
      <c r="O821837" s="9"/>
    </row>
    <row r="821858" spans="15:15" x14ac:dyDescent="0.25">
      <c r="O821858" s="9"/>
    </row>
    <row r="821879" spans="15:15" x14ac:dyDescent="0.25">
      <c r="O821879" s="9"/>
    </row>
    <row r="821900" spans="15:15" x14ac:dyDescent="0.25">
      <c r="O821900" s="9"/>
    </row>
    <row r="821921" spans="15:15" x14ac:dyDescent="0.25">
      <c r="O821921" s="9"/>
    </row>
    <row r="821942" spans="15:15" x14ac:dyDescent="0.25">
      <c r="O821942" s="9"/>
    </row>
    <row r="821963" spans="15:15" x14ac:dyDescent="0.25">
      <c r="O821963" s="9"/>
    </row>
    <row r="821984" spans="15:15" x14ac:dyDescent="0.25">
      <c r="O821984" s="9"/>
    </row>
    <row r="822005" spans="15:15" x14ac:dyDescent="0.25">
      <c r="O822005" s="9"/>
    </row>
    <row r="822026" spans="15:15" x14ac:dyDescent="0.25">
      <c r="O822026" s="9"/>
    </row>
    <row r="822047" spans="15:15" x14ac:dyDescent="0.25">
      <c r="O822047" s="9"/>
    </row>
    <row r="822068" spans="15:15" x14ac:dyDescent="0.25">
      <c r="O822068" s="9"/>
    </row>
    <row r="822089" spans="15:15" x14ac:dyDescent="0.25">
      <c r="O822089" s="9"/>
    </row>
    <row r="822110" spans="15:15" x14ac:dyDescent="0.25">
      <c r="O822110" s="9"/>
    </row>
    <row r="822131" spans="15:15" x14ac:dyDescent="0.25">
      <c r="O822131" s="9"/>
    </row>
    <row r="822152" spans="15:15" x14ac:dyDescent="0.25">
      <c r="O822152" s="9"/>
    </row>
    <row r="822173" spans="15:15" x14ac:dyDescent="0.25">
      <c r="O822173" s="9"/>
    </row>
    <row r="822194" spans="15:15" x14ac:dyDescent="0.25">
      <c r="O822194" s="9"/>
    </row>
    <row r="822215" spans="15:15" x14ac:dyDescent="0.25">
      <c r="O822215" s="9"/>
    </row>
    <row r="822236" spans="15:15" x14ac:dyDescent="0.25">
      <c r="O822236" s="9"/>
    </row>
    <row r="822257" spans="15:15" x14ac:dyDescent="0.25">
      <c r="O822257" s="9"/>
    </row>
    <row r="822278" spans="15:15" x14ac:dyDescent="0.25">
      <c r="O822278" s="9"/>
    </row>
    <row r="822299" spans="15:15" x14ac:dyDescent="0.25">
      <c r="O822299" s="9"/>
    </row>
    <row r="822320" spans="15:15" x14ac:dyDescent="0.25">
      <c r="O822320" s="9"/>
    </row>
    <row r="822341" spans="15:15" x14ac:dyDescent="0.25">
      <c r="O822341" s="9"/>
    </row>
    <row r="822362" spans="15:15" x14ac:dyDescent="0.25">
      <c r="O822362" s="9"/>
    </row>
    <row r="822383" spans="15:15" x14ac:dyDescent="0.25">
      <c r="O822383" s="9"/>
    </row>
    <row r="822404" spans="15:15" x14ac:dyDescent="0.25">
      <c r="O822404" s="9"/>
    </row>
    <row r="822425" spans="15:15" x14ac:dyDescent="0.25">
      <c r="O822425" s="9"/>
    </row>
    <row r="822446" spans="15:15" x14ac:dyDescent="0.25">
      <c r="O822446" s="9"/>
    </row>
    <row r="822467" spans="15:15" x14ac:dyDescent="0.25">
      <c r="O822467" s="9"/>
    </row>
    <row r="822488" spans="15:15" x14ac:dyDescent="0.25">
      <c r="O822488" s="9"/>
    </row>
    <row r="822509" spans="15:15" x14ac:dyDescent="0.25">
      <c r="O822509" s="9"/>
    </row>
    <row r="822530" spans="15:15" x14ac:dyDescent="0.25">
      <c r="O822530" s="9"/>
    </row>
    <row r="822551" spans="15:15" x14ac:dyDescent="0.25">
      <c r="O822551" s="9"/>
    </row>
    <row r="822572" spans="15:15" x14ac:dyDescent="0.25">
      <c r="O822572" s="9"/>
    </row>
    <row r="822593" spans="15:15" x14ac:dyDescent="0.25">
      <c r="O822593" s="9"/>
    </row>
    <row r="822614" spans="15:15" x14ac:dyDescent="0.25">
      <c r="O822614" s="9"/>
    </row>
    <row r="822635" spans="15:15" x14ac:dyDescent="0.25">
      <c r="O822635" s="9"/>
    </row>
    <row r="822656" spans="15:15" x14ac:dyDescent="0.25">
      <c r="O822656" s="9"/>
    </row>
    <row r="822677" spans="15:15" x14ac:dyDescent="0.25">
      <c r="O822677" s="9"/>
    </row>
    <row r="822698" spans="15:15" x14ac:dyDescent="0.25">
      <c r="O822698" s="9"/>
    </row>
    <row r="822719" spans="15:15" x14ac:dyDescent="0.25">
      <c r="O822719" s="9"/>
    </row>
    <row r="822740" spans="15:15" x14ac:dyDescent="0.25">
      <c r="O822740" s="9"/>
    </row>
    <row r="822761" spans="15:15" x14ac:dyDescent="0.25">
      <c r="O822761" s="9"/>
    </row>
    <row r="822782" spans="15:15" x14ac:dyDescent="0.25">
      <c r="O822782" s="9"/>
    </row>
    <row r="822803" spans="15:15" x14ac:dyDescent="0.25">
      <c r="O822803" s="9"/>
    </row>
    <row r="822824" spans="15:15" x14ac:dyDescent="0.25">
      <c r="O822824" s="9"/>
    </row>
    <row r="822845" spans="15:15" x14ac:dyDescent="0.25">
      <c r="O822845" s="9"/>
    </row>
    <row r="822866" spans="15:15" x14ac:dyDescent="0.25">
      <c r="O822866" s="9"/>
    </row>
    <row r="822887" spans="15:15" x14ac:dyDescent="0.25">
      <c r="O822887" s="9"/>
    </row>
    <row r="822908" spans="15:15" x14ac:dyDescent="0.25">
      <c r="O822908" s="9"/>
    </row>
    <row r="822929" spans="15:15" x14ac:dyDescent="0.25">
      <c r="O822929" s="9"/>
    </row>
    <row r="822950" spans="15:15" x14ac:dyDescent="0.25">
      <c r="O822950" s="9"/>
    </row>
    <row r="822971" spans="15:15" x14ac:dyDescent="0.25">
      <c r="O822971" s="9"/>
    </row>
    <row r="822992" spans="15:15" x14ac:dyDescent="0.25">
      <c r="O822992" s="9"/>
    </row>
    <row r="823013" spans="15:15" x14ac:dyDescent="0.25">
      <c r="O823013" s="9"/>
    </row>
    <row r="823034" spans="15:15" x14ac:dyDescent="0.25">
      <c r="O823034" s="9"/>
    </row>
    <row r="823055" spans="15:15" x14ac:dyDescent="0.25">
      <c r="O823055" s="9"/>
    </row>
    <row r="823076" spans="15:15" x14ac:dyDescent="0.25">
      <c r="O823076" s="9"/>
    </row>
    <row r="823097" spans="15:15" x14ac:dyDescent="0.25">
      <c r="O823097" s="9"/>
    </row>
    <row r="823118" spans="15:15" x14ac:dyDescent="0.25">
      <c r="O823118" s="9"/>
    </row>
    <row r="823139" spans="15:15" x14ac:dyDescent="0.25">
      <c r="O823139" s="9"/>
    </row>
    <row r="823160" spans="15:15" x14ac:dyDescent="0.25">
      <c r="O823160" s="9"/>
    </row>
    <row r="823181" spans="15:15" x14ac:dyDescent="0.25">
      <c r="O823181" s="9"/>
    </row>
    <row r="823202" spans="15:15" x14ac:dyDescent="0.25">
      <c r="O823202" s="9"/>
    </row>
    <row r="823223" spans="15:15" x14ac:dyDescent="0.25">
      <c r="O823223" s="9"/>
    </row>
    <row r="823244" spans="15:15" x14ac:dyDescent="0.25">
      <c r="O823244" s="9"/>
    </row>
    <row r="823265" spans="15:15" x14ac:dyDescent="0.25">
      <c r="O823265" s="9"/>
    </row>
    <row r="823286" spans="15:15" x14ac:dyDescent="0.25">
      <c r="O823286" s="9"/>
    </row>
    <row r="823307" spans="15:15" x14ac:dyDescent="0.25">
      <c r="O823307" s="9"/>
    </row>
    <row r="823328" spans="15:15" x14ac:dyDescent="0.25">
      <c r="O823328" s="9"/>
    </row>
    <row r="823349" spans="15:15" x14ac:dyDescent="0.25">
      <c r="O823349" s="9"/>
    </row>
    <row r="823370" spans="15:15" x14ac:dyDescent="0.25">
      <c r="O823370" s="9"/>
    </row>
    <row r="823391" spans="15:15" x14ac:dyDescent="0.25">
      <c r="O823391" s="9"/>
    </row>
    <row r="823412" spans="15:15" x14ac:dyDescent="0.25">
      <c r="O823412" s="9"/>
    </row>
    <row r="823433" spans="15:15" x14ac:dyDescent="0.25">
      <c r="O823433" s="9"/>
    </row>
    <row r="823454" spans="15:15" x14ac:dyDescent="0.25">
      <c r="O823454" s="9"/>
    </row>
    <row r="823475" spans="15:15" x14ac:dyDescent="0.25">
      <c r="O823475" s="9"/>
    </row>
    <row r="823496" spans="15:15" x14ac:dyDescent="0.25">
      <c r="O823496" s="9"/>
    </row>
    <row r="823517" spans="15:15" x14ac:dyDescent="0.25">
      <c r="O823517" s="9"/>
    </row>
    <row r="823538" spans="15:15" x14ac:dyDescent="0.25">
      <c r="O823538" s="9"/>
    </row>
    <row r="823559" spans="15:15" x14ac:dyDescent="0.25">
      <c r="O823559" s="9"/>
    </row>
    <row r="823580" spans="15:15" x14ac:dyDescent="0.25">
      <c r="O823580" s="9"/>
    </row>
    <row r="823601" spans="15:15" x14ac:dyDescent="0.25">
      <c r="O823601" s="9"/>
    </row>
    <row r="823622" spans="15:15" x14ac:dyDescent="0.25">
      <c r="O823622" s="9"/>
    </row>
    <row r="823643" spans="15:15" x14ac:dyDescent="0.25">
      <c r="O823643" s="9"/>
    </row>
    <row r="823664" spans="15:15" x14ac:dyDescent="0.25">
      <c r="O823664" s="9"/>
    </row>
    <row r="823685" spans="15:15" x14ac:dyDescent="0.25">
      <c r="O823685" s="9"/>
    </row>
    <row r="823706" spans="15:15" x14ac:dyDescent="0.25">
      <c r="O823706" s="9"/>
    </row>
    <row r="823727" spans="15:15" x14ac:dyDescent="0.25">
      <c r="O823727" s="9"/>
    </row>
    <row r="823748" spans="15:15" x14ac:dyDescent="0.25">
      <c r="O823748" s="9"/>
    </row>
    <row r="823769" spans="15:15" x14ac:dyDescent="0.25">
      <c r="O823769" s="9"/>
    </row>
    <row r="823790" spans="15:15" x14ac:dyDescent="0.25">
      <c r="O823790" s="9"/>
    </row>
    <row r="823811" spans="15:15" x14ac:dyDescent="0.25">
      <c r="O823811" s="9"/>
    </row>
    <row r="823832" spans="15:15" x14ac:dyDescent="0.25">
      <c r="O823832" s="9"/>
    </row>
    <row r="823853" spans="15:15" x14ac:dyDescent="0.25">
      <c r="O823853" s="9"/>
    </row>
    <row r="823874" spans="15:15" x14ac:dyDescent="0.25">
      <c r="O823874" s="9"/>
    </row>
    <row r="823895" spans="15:15" x14ac:dyDescent="0.25">
      <c r="O823895" s="9"/>
    </row>
    <row r="823916" spans="15:15" x14ac:dyDescent="0.25">
      <c r="O823916" s="9"/>
    </row>
    <row r="823937" spans="15:15" x14ac:dyDescent="0.25">
      <c r="O823937" s="9"/>
    </row>
    <row r="823958" spans="15:15" x14ac:dyDescent="0.25">
      <c r="O823958" s="9"/>
    </row>
    <row r="823979" spans="15:15" x14ac:dyDescent="0.25">
      <c r="O823979" s="9"/>
    </row>
    <row r="824000" spans="15:15" x14ac:dyDescent="0.25">
      <c r="O824000" s="9"/>
    </row>
    <row r="824021" spans="15:15" x14ac:dyDescent="0.25">
      <c r="O824021" s="9"/>
    </row>
    <row r="824042" spans="15:15" x14ac:dyDescent="0.25">
      <c r="O824042" s="9"/>
    </row>
    <row r="824063" spans="15:15" x14ac:dyDescent="0.25">
      <c r="O824063" s="9"/>
    </row>
    <row r="824084" spans="15:15" x14ac:dyDescent="0.25">
      <c r="O824084" s="9"/>
    </row>
    <row r="824105" spans="15:15" x14ac:dyDescent="0.25">
      <c r="O824105" s="9"/>
    </row>
    <row r="824126" spans="15:15" x14ac:dyDescent="0.25">
      <c r="O824126" s="9"/>
    </row>
    <row r="824147" spans="15:15" x14ac:dyDescent="0.25">
      <c r="O824147" s="9"/>
    </row>
    <row r="824168" spans="15:15" x14ac:dyDescent="0.25">
      <c r="O824168" s="9"/>
    </row>
    <row r="824189" spans="15:15" x14ac:dyDescent="0.25">
      <c r="O824189" s="9"/>
    </row>
    <row r="824210" spans="15:15" x14ac:dyDescent="0.25">
      <c r="O824210" s="9"/>
    </row>
    <row r="824231" spans="15:15" x14ac:dyDescent="0.25">
      <c r="O824231" s="9"/>
    </row>
    <row r="824252" spans="15:15" x14ac:dyDescent="0.25">
      <c r="O824252" s="9"/>
    </row>
    <row r="824273" spans="15:15" x14ac:dyDescent="0.25">
      <c r="O824273" s="9"/>
    </row>
    <row r="824294" spans="15:15" x14ac:dyDescent="0.25">
      <c r="O824294" s="9"/>
    </row>
    <row r="824315" spans="15:15" x14ac:dyDescent="0.25">
      <c r="O824315" s="9"/>
    </row>
    <row r="824336" spans="15:15" x14ac:dyDescent="0.25">
      <c r="O824336" s="9"/>
    </row>
    <row r="824357" spans="15:15" x14ac:dyDescent="0.25">
      <c r="O824357" s="9"/>
    </row>
    <row r="824378" spans="15:15" x14ac:dyDescent="0.25">
      <c r="O824378" s="9"/>
    </row>
    <row r="824399" spans="15:15" x14ac:dyDescent="0.25">
      <c r="O824399" s="9"/>
    </row>
    <row r="824420" spans="15:15" x14ac:dyDescent="0.25">
      <c r="O824420" s="9"/>
    </row>
    <row r="824441" spans="15:15" x14ac:dyDescent="0.25">
      <c r="O824441" s="9"/>
    </row>
    <row r="824462" spans="15:15" x14ac:dyDescent="0.25">
      <c r="O824462" s="9"/>
    </row>
    <row r="824483" spans="15:15" x14ac:dyDescent="0.25">
      <c r="O824483" s="9"/>
    </row>
    <row r="824504" spans="15:15" x14ac:dyDescent="0.25">
      <c r="O824504" s="9"/>
    </row>
    <row r="824525" spans="15:15" x14ac:dyDescent="0.25">
      <c r="O824525" s="9"/>
    </row>
    <row r="824546" spans="15:15" x14ac:dyDescent="0.25">
      <c r="O824546" s="9"/>
    </row>
    <row r="824567" spans="15:15" x14ac:dyDescent="0.25">
      <c r="O824567" s="9"/>
    </row>
    <row r="824588" spans="15:15" x14ac:dyDescent="0.25">
      <c r="O824588" s="9"/>
    </row>
    <row r="824609" spans="15:15" x14ac:dyDescent="0.25">
      <c r="O824609" s="9"/>
    </row>
    <row r="824630" spans="15:15" x14ac:dyDescent="0.25">
      <c r="O824630" s="9"/>
    </row>
    <row r="824651" spans="15:15" x14ac:dyDescent="0.25">
      <c r="O824651" s="9"/>
    </row>
    <row r="824672" spans="15:15" x14ac:dyDescent="0.25">
      <c r="O824672" s="9"/>
    </row>
    <row r="824693" spans="15:15" x14ac:dyDescent="0.25">
      <c r="O824693" s="9"/>
    </row>
    <row r="824714" spans="15:15" x14ac:dyDescent="0.25">
      <c r="O824714" s="9"/>
    </row>
    <row r="824735" spans="15:15" x14ac:dyDescent="0.25">
      <c r="O824735" s="9"/>
    </row>
    <row r="824756" spans="15:15" x14ac:dyDescent="0.25">
      <c r="O824756" s="9"/>
    </row>
    <row r="824777" spans="15:15" x14ac:dyDescent="0.25">
      <c r="O824777" s="9"/>
    </row>
    <row r="824798" spans="15:15" x14ac:dyDescent="0.25">
      <c r="O824798" s="9"/>
    </row>
    <row r="824819" spans="15:15" x14ac:dyDescent="0.25">
      <c r="O824819" s="9"/>
    </row>
    <row r="824840" spans="15:15" x14ac:dyDescent="0.25">
      <c r="O824840" s="9"/>
    </row>
    <row r="824861" spans="15:15" x14ac:dyDescent="0.25">
      <c r="O824861" s="9"/>
    </row>
    <row r="824882" spans="15:15" x14ac:dyDescent="0.25">
      <c r="O824882" s="9"/>
    </row>
    <row r="824903" spans="15:15" x14ac:dyDescent="0.25">
      <c r="O824903" s="9"/>
    </row>
    <row r="824924" spans="15:15" x14ac:dyDescent="0.25">
      <c r="O824924" s="9"/>
    </row>
    <row r="824945" spans="15:15" x14ac:dyDescent="0.25">
      <c r="O824945" s="9"/>
    </row>
    <row r="824966" spans="15:15" x14ac:dyDescent="0.25">
      <c r="O824966" s="9"/>
    </row>
    <row r="824987" spans="15:15" x14ac:dyDescent="0.25">
      <c r="O824987" s="9"/>
    </row>
    <row r="825008" spans="15:15" x14ac:dyDescent="0.25">
      <c r="O825008" s="9"/>
    </row>
    <row r="825029" spans="15:15" x14ac:dyDescent="0.25">
      <c r="O825029" s="9"/>
    </row>
    <row r="825050" spans="15:15" x14ac:dyDescent="0.25">
      <c r="O825050" s="9"/>
    </row>
    <row r="825071" spans="15:15" x14ac:dyDescent="0.25">
      <c r="O825071" s="9"/>
    </row>
    <row r="825092" spans="15:15" x14ac:dyDescent="0.25">
      <c r="O825092" s="9"/>
    </row>
    <row r="825113" spans="15:15" x14ac:dyDescent="0.25">
      <c r="O825113" s="9"/>
    </row>
    <row r="825134" spans="15:15" x14ac:dyDescent="0.25">
      <c r="O825134" s="9"/>
    </row>
    <row r="825155" spans="15:15" x14ac:dyDescent="0.25">
      <c r="O825155" s="9"/>
    </row>
    <row r="825176" spans="15:15" x14ac:dyDescent="0.25">
      <c r="O825176" s="9"/>
    </row>
    <row r="825197" spans="15:15" x14ac:dyDescent="0.25">
      <c r="O825197" s="9"/>
    </row>
    <row r="825218" spans="15:15" x14ac:dyDescent="0.25">
      <c r="O825218" s="9"/>
    </row>
    <row r="825239" spans="15:15" x14ac:dyDescent="0.25">
      <c r="O825239" s="9"/>
    </row>
    <row r="825260" spans="15:15" x14ac:dyDescent="0.25">
      <c r="O825260" s="9"/>
    </row>
    <row r="825281" spans="15:15" x14ac:dyDescent="0.25">
      <c r="O825281" s="9"/>
    </row>
    <row r="825302" spans="15:15" x14ac:dyDescent="0.25">
      <c r="O825302" s="9"/>
    </row>
    <row r="825323" spans="15:15" x14ac:dyDescent="0.25">
      <c r="O825323" s="9"/>
    </row>
    <row r="825344" spans="15:15" x14ac:dyDescent="0.25">
      <c r="O825344" s="9"/>
    </row>
    <row r="825365" spans="15:15" x14ac:dyDescent="0.25">
      <c r="O825365" s="9"/>
    </row>
    <row r="825386" spans="15:15" x14ac:dyDescent="0.25">
      <c r="O825386" s="9"/>
    </row>
    <row r="825407" spans="15:15" x14ac:dyDescent="0.25">
      <c r="O825407" s="9"/>
    </row>
    <row r="825428" spans="15:15" x14ac:dyDescent="0.25">
      <c r="O825428" s="9"/>
    </row>
    <row r="825449" spans="15:15" x14ac:dyDescent="0.25">
      <c r="O825449" s="9"/>
    </row>
    <row r="825470" spans="15:15" x14ac:dyDescent="0.25">
      <c r="O825470" s="9"/>
    </row>
    <row r="825491" spans="15:15" x14ac:dyDescent="0.25">
      <c r="O825491" s="9"/>
    </row>
    <row r="825512" spans="15:15" x14ac:dyDescent="0.25">
      <c r="O825512" s="9"/>
    </row>
    <row r="825533" spans="15:15" x14ac:dyDescent="0.25">
      <c r="O825533" s="9"/>
    </row>
    <row r="825554" spans="15:15" x14ac:dyDescent="0.25">
      <c r="O825554" s="9"/>
    </row>
    <row r="825575" spans="15:15" x14ac:dyDescent="0.25">
      <c r="O825575" s="9"/>
    </row>
    <row r="825596" spans="15:15" x14ac:dyDescent="0.25">
      <c r="O825596" s="9"/>
    </row>
    <row r="825617" spans="15:15" x14ac:dyDescent="0.25">
      <c r="O825617" s="9"/>
    </row>
    <row r="825638" spans="15:15" x14ac:dyDescent="0.25">
      <c r="O825638" s="9"/>
    </row>
    <row r="825659" spans="15:15" x14ac:dyDescent="0.25">
      <c r="O825659" s="9"/>
    </row>
    <row r="825680" spans="15:15" x14ac:dyDescent="0.25">
      <c r="O825680" s="9"/>
    </row>
    <row r="825701" spans="15:15" x14ac:dyDescent="0.25">
      <c r="O825701" s="9"/>
    </row>
    <row r="825722" spans="15:15" x14ac:dyDescent="0.25">
      <c r="O825722" s="9"/>
    </row>
    <row r="825743" spans="15:15" x14ac:dyDescent="0.25">
      <c r="O825743" s="9"/>
    </row>
    <row r="825764" spans="15:15" x14ac:dyDescent="0.25">
      <c r="O825764" s="9"/>
    </row>
    <row r="825785" spans="15:15" x14ac:dyDescent="0.25">
      <c r="O825785" s="9"/>
    </row>
    <row r="825806" spans="15:15" x14ac:dyDescent="0.25">
      <c r="O825806" s="9"/>
    </row>
    <row r="825827" spans="15:15" x14ac:dyDescent="0.25">
      <c r="O825827" s="9"/>
    </row>
    <row r="825848" spans="15:15" x14ac:dyDescent="0.25">
      <c r="O825848" s="9"/>
    </row>
    <row r="825869" spans="15:15" x14ac:dyDescent="0.25">
      <c r="O825869" s="9"/>
    </row>
    <row r="825890" spans="15:15" x14ac:dyDescent="0.25">
      <c r="O825890" s="9"/>
    </row>
    <row r="825911" spans="15:15" x14ac:dyDescent="0.25">
      <c r="O825911" s="9"/>
    </row>
    <row r="825932" spans="15:15" x14ac:dyDescent="0.25">
      <c r="O825932" s="9"/>
    </row>
    <row r="825953" spans="15:15" x14ac:dyDescent="0.25">
      <c r="O825953" s="9"/>
    </row>
    <row r="825974" spans="15:15" x14ac:dyDescent="0.25">
      <c r="O825974" s="9"/>
    </row>
    <row r="825995" spans="15:15" x14ac:dyDescent="0.25">
      <c r="O825995" s="9"/>
    </row>
    <row r="826016" spans="15:15" x14ac:dyDescent="0.25">
      <c r="O826016" s="9"/>
    </row>
    <row r="826037" spans="15:15" x14ac:dyDescent="0.25">
      <c r="O826037" s="9"/>
    </row>
    <row r="826058" spans="15:15" x14ac:dyDescent="0.25">
      <c r="O826058" s="9"/>
    </row>
    <row r="826079" spans="15:15" x14ac:dyDescent="0.25">
      <c r="O826079" s="9"/>
    </row>
    <row r="826100" spans="15:15" x14ac:dyDescent="0.25">
      <c r="O826100" s="9"/>
    </row>
    <row r="826121" spans="15:15" x14ac:dyDescent="0.25">
      <c r="O826121" s="9"/>
    </row>
    <row r="826142" spans="15:15" x14ac:dyDescent="0.25">
      <c r="O826142" s="9"/>
    </row>
    <row r="826163" spans="15:15" x14ac:dyDescent="0.25">
      <c r="O826163" s="9"/>
    </row>
    <row r="826184" spans="15:15" x14ac:dyDescent="0.25">
      <c r="O826184" s="9"/>
    </row>
    <row r="826205" spans="15:15" x14ac:dyDescent="0.25">
      <c r="O826205" s="9"/>
    </row>
    <row r="826226" spans="15:15" x14ac:dyDescent="0.25">
      <c r="O826226" s="9"/>
    </row>
    <row r="826247" spans="15:15" x14ac:dyDescent="0.25">
      <c r="O826247" s="9"/>
    </row>
    <row r="826268" spans="15:15" x14ac:dyDescent="0.25">
      <c r="O826268" s="9"/>
    </row>
    <row r="826289" spans="15:15" x14ac:dyDescent="0.25">
      <c r="O826289" s="9"/>
    </row>
    <row r="826310" spans="15:15" x14ac:dyDescent="0.25">
      <c r="O826310" s="9"/>
    </row>
    <row r="826331" spans="15:15" x14ac:dyDescent="0.25">
      <c r="O826331" s="9"/>
    </row>
    <row r="826352" spans="15:15" x14ac:dyDescent="0.25">
      <c r="O826352" s="9"/>
    </row>
    <row r="826373" spans="15:15" x14ac:dyDescent="0.25">
      <c r="O826373" s="9"/>
    </row>
    <row r="826394" spans="15:15" x14ac:dyDescent="0.25">
      <c r="O826394" s="9"/>
    </row>
    <row r="826415" spans="15:15" x14ac:dyDescent="0.25">
      <c r="O826415" s="9"/>
    </row>
    <row r="826436" spans="15:15" x14ac:dyDescent="0.25">
      <c r="O826436" s="9"/>
    </row>
    <row r="826457" spans="15:15" x14ac:dyDescent="0.25">
      <c r="O826457" s="9"/>
    </row>
    <row r="826478" spans="15:15" x14ac:dyDescent="0.25">
      <c r="O826478" s="9"/>
    </row>
    <row r="826499" spans="15:15" x14ac:dyDescent="0.25">
      <c r="O826499" s="9"/>
    </row>
    <row r="826520" spans="15:15" x14ac:dyDescent="0.25">
      <c r="O826520" s="9"/>
    </row>
    <row r="826541" spans="15:15" x14ac:dyDescent="0.25">
      <c r="O826541" s="9"/>
    </row>
    <row r="826562" spans="15:15" x14ac:dyDescent="0.25">
      <c r="O826562" s="9"/>
    </row>
    <row r="826583" spans="15:15" x14ac:dyDescent="0.25">
      <c r="O826583" s="9"/>
    </row>
    <row r="826604" spans="15:15" x14ac:dyDescent="0.25">
      <c r="O826604" s="9"/>
    </row>
    <row r="826625" spans="15:15" x14ac:dyDescent="0.25">
      <c r="O826625" s="9"/>
    </row>
    <row r="826646" spans="15:15" x14ac:dyDescent="0.25">
      <c r="O826646" s="9"/>
    </row>
    <row r="826667" spans="15:15" x14ac:dyDescent="0.25">
      <c r="O826667" s="9"/>
    </row>
    <row r="826688" spans="15:15" x14ac:dyDescent="0.25">
      <c r="O826688" s="9"/>
    </row>
    <row r="826709" spans="15:15" x14ac:dyDescent="0.25">
      <c r="O826709" s="9"/>
    </row>
    <row r="826730" spans="15:15" x14ac:dyDescent="0.25">
      <c r="O826730" s="9"/>
    </row>
    <row r="826751" spans="15:15" x14ac:dyDescent="0.25">
      <c r="O826751" s="9"/>
    </row>
    <row r="826772" spans="15:15" x14ac:dyDescent="0.25">
      <c r="O826772" s="9"/>
    </row>
    <row r="826793" spans="15:15" x14ac:dyDescent="0.25">
      <c r="O826793" s="9"/>
    </row>
    <row r="826814" spans="15:15" x14ac:dyDescent="0.25">
      <c r="O826814" s="9"/>
    </row>
    <row r="826835" spans="15:15" x14ac:dyDescent="0.25">
      <c r="O826835" s="9"/>
    </row>
    <row r="826856" spans="15:15" x14ac:dyDescent="0.25">
      <c r="O826856" s="9"/>
    </row>
    <row r="826877" spans="15:15" x14ac:dyDescent="0.25">
      <c r="O826877" s="9"/>
    </row>
    <row r="826898" spans="15:15" x14ac:dyDescent="0.25">
      <c r="O826898" s="9"/>
    </row>
    <row r="826919" spans="15:15" x14ac:dyDescent="0.25">
      <c r="O826919" s="9"/>
    </row>
    <row r="826940" spans="15:15" x14ac:dyDescent="0.25">
      <c r="O826940" s="9"/>
    </row>
    <row r="826961" spans="15:15" x14ac:dyDescent="0.25">
      <c r="O826961" s="9"/>
    </row>
    <row r="826982" spans="15:15" x14ac:dyDescent="0.25">
      <c r="O826982" s="9"/>
    </row>
    <row r="827003" spans="15:15" x14ac:dyDescent="0.25">
      <c r="O827003" s="9"/>
    </row>
    <row r="827024" spans="15:15" x14ac:dyDescent="0.25">
      <c r="O827024" s="9"/>
    </row>
    <row r="827045" spans="15:15" x14ac:dyDescent="0.25">
      <c r="O827045" s="9"/>
    </row>
    <row r="827066" spans="15:15" x14ac:dyDescent="0.25">
      <c r="O827066" s="9"/>
    </row>
    <row r="827087" spans="15:15" x14ac:dyDescent="0.25">
      <c r="O827087" s="9"/>
    </row>
    <row r="827108" spans="15:15" x14ac:dyDescent="0.25">
      <c r="O827108" s="9"/>
    </row>
    <row r="827129" spans="15:15" x14ac:dyDescent="0.25">
      <c r="O827129" s="9"/>
    </row>
    <row r="827150" spans="15:15" x14ac:dyDescent="0.25">
      <c r="O827150" s="9"/>
    </row>
    <row r="827171" spans="15:15" x14ac:dyDescent="0.25">
      <c r="O827171" s="9"/>
    </row>
    <row r="827192" spans="15:15" x14ac:dyDescent="0.25">
      <c r="O827192" s="9"/>
    </row>
    <row r="827213" spans="15:15" x14ac:dyDescent="0.25">
      <c r="O827213" s="9"/>
    </row>
    <row r="827234" spans="15:15" x14ac:dyDescent="0.25">
      <c r="O827234" s="9"/>
    </row>
    <row r="827255" spans="15:15" x14ac:dyDescent="0.25">
      <c r="O827255" s="9"/>
    </row>
    <row r="827276" spans="15:15" x14ac:dyDescent="0.25">
      <c r="O827276" s="9"/>
    </row>
    <row r="827297" spans="15:15" x14ac:dyDescent="0.25">
      <c r="O827297" s="9"/>
    </row>
    <row r="827318" spans="15:15" x14ac:dyDescent="0.25">
      <c r="O827318" s="9"/>
    </row>
    <row r="827339" spans="15:15" x14ac:dyDescent="0.25">
      <c r="O827339" s="9"/>
    </row>
    <row r="827360" spans="15:15" x14ac:dyDescent="0.25">
      <c r="O827360" s="9"/>
    </row>
    <row r="827381" spans="15:15" x14ac:dyDescent="0.25">
      <c r="O827381" s="9"/>
    </row>
    <row r="827402" spans="15:15" x14ac:dyDescent="0.25">
      <c r="O827402" s="9"/>
    </row>
    <row r="827423" spans="15:15" x14ac:dyDescent="0.25">
      <c r="O827423" s="9"/>
    </row>
    <row r="827444" spans="15:15" x14ac:dyDescent="0.25">
      <c r="O827444" s="9"/>
    </row>
    <row r="827465" spans="15:15" x14ac:dyDescent="0.25">
      <c r="O827465" s="9"/>
    </row>
    <row r="827486" spans="15:15" x14ac:dyDescent="0.25">
      <c r="O827486" s="9"/>
    </row>
    <row r="827507" spans="15:15" x14ac:dyDescent="0.25">
      <c r="O827507" s="9"/>
    </row>
    <row r="827528" spans="15:15" x14ac:dyDescent="0.25">
      <c r="O827528" s="9"/>
    </row>
    <row r="827549" spans="15:15" x14ac:dyDescent="0.25">
      <c r="O827549" s="9"/>
    </row>
    <row r="827570" spans="15:15" x14ac:dyDescent="0.25">
      <c r="O827570" s="9"/>
    </row>
    <row r="827591" spans="15:15" x14ac:dyDescent="0.25">
      <c r="O827591" s="9"/>
    </row>
    <row r="827612" spans="15:15" x14ac:dyDescent="0.25">
      <c r="O827612" s="9"/>
    </row>
    <row r="827633" spans="15:15" x14ac:dyDescent="0.25">
      <c r="O827633" s="9"/>
    </row>
    <row r="827654" spans="15:15" x14ac:dyDescent="0.25">
      <c r="O827654" s="9"/>
    </row>
    <row r="827675" spans="15:15" x14ac:dyDescent="0.25">
      <c r="O827675" s="9"/>
    </row>
    <row r="827696" spans="15:15" x14ac:dyDescent="0.25">
      <c r="O827696" s="9"/>
    </row>
    <row r="827717" spans="15:15" x14ac:dyDescent="0.25">
      <c r="O827717" s="9"/>
    </row>
    <row r="827738" spans="15:15" x14ac:dyDescent="0.25">
      <c r="O827738" s="9"/>
    </row>
    <row r="827759" spans="15:15" x14ac:dyDescent="0.25">
      <c r="O827759" s="9"/>
    </row>
    <row r="827780" spans="15:15" x14ac:dyDescent="0.25">
      <c r="O827780" s="9"/>
    </row>
    <row r="827801" spans="15:15" x14ac:dyDescent="0.25">
      <c r="O827801" s="9"/>
    </row>
    <row r="827822" spans="15:15" x14ac:dyDescent="0.25">
      <c r="O827822" s="9"/>
    </row>
    <row r="827843" spans="15:15" x14ac:dyDescent="0.25">
      <c r="O827843" s="9"/>
    </row>
    <row r="827864" spans="15:15" x14ac:dyDescent="0.25">
      <c r="O827864" s="9"/>
    </row>
    <row r="827885" spans="15:15" x14ac:dyDescent="0.25">
      <c r="O827885" s="9"/>
    </row>
    <row r="827906" spans="15:15" x14ac:dyDescent="0.25">
      <c r="O827906" s="9"/>
    </row>
    <row r="827927" spans="15:15" x14ac:dyDescent="0.25">
      <c r="O827927" s="9"/>
    </row>
    <row r="827948" spans="15:15" x14ac:dyDescent="0.25">
      <c r="O827948" s="9"/>
    </row>
    <row r="827969" spans="15:15" x14ac:dyDescent="0.25">
      <c r="O827969" s="9"/>
    </row>
    <row r="827990" spans="15:15" x14ac:dyDescent="0.25">
      <c r="O827990" s="9"/>
    </row>
    <row r="828011" spans="15:15" x14ac:dyDescent="0.25">
      <c r="O828011" s="9"/>
    </row>
    <row r="828032" spans="15:15" x14ac:dyDescent="0.25">
      <c r="O828032" s="9"/>
    </row>
    <row r="828053" spans="15:15" x14ac:dyDescent="0.25">
      <c r="O828053" s="9"/>
    </row>
    <row r="828074" spans="15:15" x14ac:dyDescent="0.25">
      <c r="O828074" s="9"/>
    </row>
    <row r="828095" spans="15:15" x14ac:dyDescent="0.25">
      <c r="O828095" s="9"/>
    </row>
    <row r="828116" spans="15:15" x14ac:dyDescent="0.25">
      <c r="O828116" s="9"/>
    </row>
    <row r="828137" spans="15:15" x14ac:dyDescent="0.25">
      <c r="O828137" s="9"/>
    </row>
    <row r="828158" spans="15:15" x14ac:dyDescent="0.25">
      <c r="O828158" s="9"/>
    </row>
    <row r="828179" spans="15:15" x14ac:dyDescent="0.25">
      <c r="O828179" s="9"/>
    </row>
    <row r="828200" spans="15:15" x14ac:dyDescent="0.25">
      <c r="O828200" s="9"/>
    </row>
    <row r="828221" spans="15:15" x14ac:dyDescent="0.25">
      <c r="O828221" s="9"/>
    </row>
    <row r="828242" spans="15:15" x14ac:dyDescent="0.25">
      <c r="O828242" s="9"/>
    </row>
    <row r="828263" spans="15:15" x14ac:dyDescent="0.25">
      <c r="O828263" s="9"/>
    </row>
    <row r="828284" spans="15:15" x14ac:dyDescent="0.25">
      <c r="O828284" s="9"/>
    </row>
    <row r="828305" spans="15:15" x14ac:dyDescent="0.25">
      <c r="O828305" s="9"/>
    </row>
    <row r="828326" spans="15:15" x14ac:dyDescent="0.25">
      <c r="O828326" s="9"/>
    </row>
    <row r="828347" spans="15:15" x14ac:dyDescent="0.25">
      <c r="O828347" s="9"/>
    </row>
    <row r="828368" spans="15:15" x14ac:dyDescent="0.25">
      <c r="O828368" s="9"/>
    </row>
    <row r="828389" spans="15:15" x14ac:dyDescent="0.25">
      <c r="O828389" s="9"/>
    </row>
    <row r="828410" spans="15:15" x14ac:dyDescent="0.25">
      <c r="O828410" s="9"/>
    </row>
    <row r="828431" spans="15:15" x14ac:dyDescent="0.25">
      <c r="O828431" s="9"/>
    </row>
    <row r="828452" spans="15:15" x14ac:dyDescent="0.25">
      <c r="O828452" s="9"/>
    </row>
    <row r="828473" spans="15:15" x14ac:dyDescent="0.25">
      <c r="O828473" s="9"/>
    </row>
    <row r="828494" spans="15:15" x14ac:dyDescent="0.25">
      <c r="O828494" s="9"/>
    </row>
    <row r="828515" spans="15:15" x14ac:dyDescent="0.25">
      <c r="O828515" s="9"/>
    </row>
    <row r="828536" spans="15:15" x14ac:dyDescent="0.25">
      <c r="O828536" s="9"/>
    </row>
    <row r="828557" spans="15:15" x14ac:dyDescent="0.25">
      <c r="O828557" s="9"/>
    </row>
    <row r="828578" spans="15:15" x14ac:dyDescent="0.25">
      <c r="O828578" s="9"/>
    </row>
    <row r="828599" spans="15:15" x14ac:dyDescent="0.25">
      <c r="O828599" s="9"/>
    </row>
    <row r="828620" spans="15:15" x14ac:dyDescent="0.25">
      <c r="O828620" s="9"/>
    </row>
    <row r="828641" spans="15:15" x14ac:dyDescent="0.25">
      <c r="O828641" s="9"/>
    </row>
    <row r="828662" spans="15:15" x14ac:dyDescent="0.25">
      <c r="O828662" s="9"/>
    </row>
    <row r="828683" spans="15:15" x14ac:dyDescent="0.25">
      <c r="O828683" s="9"/>
    </row>
    <row r="828704" spans="15:15" x14ac:dyDescent="0.25">
      <c r="O828704" s="9"/>
    </row>
    <row r="828725" spans="15:15" x14ac:dyDescent="0.25">
      <c r="O828725" s="9"/>
    </row>
    <row r="828746" spans="15:15" x14ac:dyDescent="0.25">
      <c r="O828746" s="9"/>
    </row>
    <row r="828767" spans="15:15" x14ac:dyDescent="0.25">
      <c r="O828767" s="9"/>
    </row>
    <row r="828788" spans="15:15" x14ac:dyDescent="0.25">
      <c r="O828788" s="9"/>
    </row>
    <row r="828809" spans="15:15" x14ac:dyDescent="0.25">
      <c r="O828809" s="9"/>
    </row>
    <row r="828830" spans="15:15" x14ac:dyDescent="0.25">
      <c r="O828830" s="9"/>
    </row>
    <row r="828851" spans="15:15" x14ac:dyDescent="0.25">
      <c r="O828851" s="9"/>
    </row>
    <row r="828872" spans="15:15" x14ac:dyDescent="0.25">
      <c r="O828872" s="9"/>
    </row>
    <row r="828893" spans="15:15" x14ac:dyDescent="0.25">
      <c r="O828893" s="9"/>
    </row>
    <row r="828914" spans="15:15" x14ac:dyDescent="0.25">
      <c r="O828914" s="9"/>
    </row>
    <row r="828935" spans="15:15" x14ac:dyDescent="0.25">
      <c r="O828935" s="9"/>
    </row>
    <row r="828956" spans="15:15" x14ac:dyDescent="0.25">
      <c r="O828956" s="9"/>
    </row>
    <row r="828977" spans="15:15" x14ac:dyDescent="0.25">
      <c r="O828977" s="9"/>
    </row>
    <row r="828998" spans="15:15" x14ac:dyDescent="0.25">
      <c r="O828998" s="9"/>
    </row>
    <row r="829019" spans="15:15" x14ac:dyDescent="0.25">
      <c r="O829019" s="9"/>
    </row>
    <row r="829040" spans="15:15" x14ac:dyDescent="0.25">
      <c r="O829040" s="9"/>
    </row>
    <row r="829061" spans="15:15" x14ac:dyDescent="0.25">
      <c r="O829061" s="9"/>
    </row>
    <row r="829082" spans="15:15" x14ac:dyDescent="0.25">
      <c r="O829082" s="9"/>
    </row>
    <row r="829103" spans="15:15" x14ac:dyDescent="0.25">
      <c r="O829103" s="9"/>
    </row>
    <row r="829124" spans="15:15" x14ac:dyDescent="0.25">
      <c r="O829124" s="9"/>
    </row>
    <row r="829145" spans="15:15" x14ac:dyDescent="0.25">
      <c r="O829145" s="9"/>
    </row>
    <row r="829166" spans="15:15" x14ac:dyDescent="0.25">
      <c r="O829166" s="9"/>
    </row>
    <row r="829187" spans="15:15" x14ac:dyDescent="0.25">
      <c r="O829187" s="9"/>
    </row>
    <row r="829208" spans="15:15" x14ac:dyDescent="0.25">
      <c r="O829208" s="9"/>
    </row>
    <row r="829229" spans="15:15" x14ac:dyDescent="0.25">
      <c r="O829229" s="9"/>
    </row>
    <row r="829250" spans="15:15" x14ac:dyDescent="0.25">
      <c r="O829250" s="9"/>
    </row>
    <row r="829271" spans="15:15" x14ac:dyDescent="0.25">
      <c r="O829271" s="9"/>
    </row>
    <row r="829292" spans="15:15" x14ac:dyDescent="0.25">
      <c r="O829292" s="9"/>
    </row>
    <row r="829313" spans="15:15" x14ac:dyDescent="0.25">
      <c r="O829313" s="9"/>
    </row>
    <row r="829334" spans="15:15" x14ac:dyDescent="0.25">
      <c r="O829334" s="9"/>
    </row>
    <row r="829355" spans="15:15" x14ac:dyDescent="0.25">
      <c r="O829355" s="9"/>
    </row>
    <row r="829376" spans="15:15" x14ac:dyDescent="0.25">
      <c r="O829376" s="9"/>
    </row>
    <row r="829397" spans="15:15" x14ac:dyDescent="0.25">
      <c r="O829397" s="9"/>
    </row>
    <row r="829418" spans="15:15" x14ac:dyDescent="0.25">
      <c r="O829418" s="9"/>
    </row>
    <row r="829439" spans="15:15" x14ac:dyDescent="0.25">
      <c r="O829439" s="9"/>
    </row>
    <row r="829460" spans="15:15" x14ac:dyDescent="0.25">
      <c r="O829460" s="9"/>
    </row>
    <row r="829481" spans="15:15" x14ac:dyDescent="0.25">
      <c r="O829481" s="9"/>
    </row>
    <row r="829502" spans="15:15" x14ac:dyDescent="0.25">
      <c r="O829502" s="9"/>
    </row>
    <row r="829523" spans="15:15" x14ac:dyDescent="0.25">
      <c r="O829523" s="9"/>
    </row>
    <row r="829544" spans="15:15" x14ac:dyDescent="0.25">
      <c r="O829544" s="9"/>
    </row>
    <row r="829565" spans="15:15" x14ac:dyDescent="0.25">
      <c r="O829565" s="9"/>
    </row>
    <row r="829586" spans="15:15" x14ac:dyDescent="0.25">
      <c r="O829586" s="9"/>
    </row>
    <row r="829607" spans="15:15" x14ac:dyDescent="0.25">
      <c r="O829607" s="9"/>
    </row>
    <row r="829628" spans="15:15" x14ac:dyDescent="0.25">
      <c r="O829628" s="9"/>
    </row>
    <row r="829649" spans="15:15" x14ac:dyDescent="0.25">
      <c r="O829649" s="9"/>
    </row>
    <row r="829670" spans="15:15" x14ac:dyDescent="0.25">
      <c r="O829670" s="9"/>
    </row>
    <row r="829691" spans="15:15" x14ac:dyDescent="0.25">
      <c r="O829691" s="9"/>
    </row>
    <row r="829712" spans="15:15" x14ac:dyDescent="0.25">
      <c r="O829712" s="9"/>
    </row>
    <row r="829733" spans="15:15" x14ac:dyDescent="0.25">
      <c r="O829733" s="9"/>
    </row>
    <row r="829754" spans="15:15" x14ac:dyDescent="0.25">
      <c r="O829754" s="9"/>
    </row>
    <row r="829775" spans="15:15" x14ac:dyDescent="0.25">
      <c r="O829775" s="9"/>
    </row>
    <row r="829796" spans="15:15" x14ac:dyDescent="0.25">
      <c r="O829796" s="9"/>
    </row>
    <row r="829817" spans="15:15" x14ac:dyDescent="0.25">
      <c r="O829817" s="9"/>
    </row>
    <row r="829838" spans="15:15" x14ac:dyDescent="0.25">
      <c r="O829838" s="9"/>
    </row>
    <row r="829859" spans="15:15" x14ac:dyDescent="0.25">
      <c r="O829859" s="9"/>
    </row>
    <row r="829880" spans="15:15" x14ac:dyDescent="0.25">
      <c r="O829880" s="9"/>
    </row>
    <row r="829901" spans="15:15" x14ac:dyDescent="0.25">
      <c r="O829901" s="9"/>
    </row>
    <row r="829922" spans="15:15" x14ac:dyDescent="0.25">
      <c r="O829922" s="9"/>
    </row>
    <row r="829943" spans="15:15" x14ac:dyDescent="0.25">
      <c r="O829943" s="9"/>
    </row>
    <row r="829964" spans="15:15" x14ac:dyDescent="0.25">
      <c r="O829964" s="9"/>
    </row>
    <row r="829985" spans="15:15" x14ac:dyDescent="0.25">
      <c r="O829985" s="9"/>
    </row>
    <row r="830006" spans="15:15" x14ac:dyDescent="0.25">
      <c r="O830006" s="9"/>
    </row>
    <row r="830027" spans="15:15" x14ac:dyDescent="0.25">
      <c r="O830027" s="9"/>
    </row>
    <row r="830048" spans="15:15" x14ac:dyDescent="0.25">
      <c r="O830048" s="9"/>
    </row>
    <row r="830069" spans="15:15" x14ac:dyDescent="0.25">
      <c r="O830069" s="9"/>
    </row>
    <row r="830090" spans="15:15" x14ac:dyDescent="0.25">
      <c r="O830090" s="9"/>
    </row>
    <row r="830111" spans="15:15" x14ac:dyDescent="0.25">
      <c r="O830111" s="9"/>
    </row>
    <row r="830132" spans="15:15" x14ac:dyDescent="0.25">
      <c r="O830132" s="9"/>
    </row>
    <row r="830153" spans="15:15" x14ac:dyDescent="0.25">
      <c r="O830153" s="9"/>
    </row>
    <row r="830174" spans="15:15" x14ac:dyDescent="0.25">
      <c r="O830174" s="9"/>
    </row>
    <row r="830195" spans="15:15" x14ac:dyDescent="0.25">
      <c r="O830195" s="9"/>
    </row>
    <row r="830216" spans="15:15" x14ac:dyDescent="0.25">
      <c r="O830216" s="9"/>
    </row>
    <row r="830237" spans="15:15" x14ac:dyDescent="0.25">
      <c r="O830237" s="9"/>
    </row>
    <row r="830258" spans="15:15" x14ac:dyDescent="0.25">
      <c r="O830258" s="9"/>
    </row>
    <row r="830279" spans="15:15" x14ac:dyDescent="0.25">
      <c r="O830279" s="9"/>
    </row>
    <row r="830300" spans="15:15" x14ac:dyDescent="0.25">
      <c r="O830300" s="9"/>
    </row>
    <row r="830321" spans="15:15" x14ac:dyDescent="0.25">
      <c r="O830321" s="9"/>
    </row>
    <row r="830342" spans="15:15" x14ac:dyDescent="0.25">
      <c r="O830342" s="9"/>
    </row>
    <row r="830363" spans="15:15" x14ac:dyDescent="0.25">
      <c r="O830363" s="9"/>
    </row>
    <row r="830384" spans="15:15" x14ac:dyDescent="0.25">
      <c r="O830384" s="9"/>
    </row>
    <row r="830405" spans="15:15" x14ac:dyDescent="0.25">
      <c r="O830405" s="9"/>
    </row>
    <row r="830426" spans="15:15" x14ac:dyDescent="0.25">
      <c r="O830426" s="9"/>
    </row>
    <row r="830447" spans="15:15" x14ac:dyDescent="0.25">
      <c r="O830447" s="9"/>
    </row>
    <row r="830468" spans="15:15" x14ac:dyDescent="0.25">
      <c r="O830468" s="9"/>
    </row>
    <row r="830489" spans="15:15" x14ac:dyDescent="0.25">
      <c r="O830489" s="9"/>
    </row>
    <row r="830510" spans="15:15" x14ac:dyDescent="0.25">
      <c r="O830510" s="9"/>
    </row>
    <row r="830531" spans="15:15" x14ac:dyDescent="0.25">
      <c r="O830531" s="9"/>
    </row>
    <row r="830552" spans="15:15" x14ac:dyDescent="0.25">
      <c r="O830552" s="9"/>
    </row>
    <row r="830573" spans="15:15" x14ac:dyDescent="0.25">
      <c r="O830573" s="9"/>
    </row>
    <row r="830594" spans="15:15" x14ac:dyDescent="0.25">
      <c r="O830594" s="9"/>
    </row>
    <row r="830615" spans="15:15" x14ac:dyDescent="0.25">
      <c r="O830615" s="9"/>
    </row>
    <row r="830636" spans="15:15" x14ac:dyDescent="0.25">
      <c r="O830636" s="9"/>
    </row>
    <row r="830657" spans="15:15" x14ac:dyDescent="0.25">
      <c r="O830657" s="9"/>
    </row>
    <row r="830678" spans="15:15" x14ac:dyDescent="0.25">
      <c r="O830678" s="9"/>
    </row>
    <row r="830699" spans="15:15" x14ac:dyDescent="0.25">
      <c r="O830699" s="9"/>
    </row>
    <row r="830720" spans="15:15" x14ac:dyDescent="0.25">
      <c r="O830720" s="9"/>
    </row>
    <row r="830741" spans="15:15" x14ac:dyDescent="0.25">
      <c r="O830741" s="9"/>
    </row>
    <row r="830762" spans="15:15" x14ac:dyDescent="0.25">
      <c r="O830762" s="9"/>
    </row>
    <row r="830783" spans="15:15" x14ac:dyDescent="0.25">
      <c r="O830783" s="9"/>
    </row>
    <row r="830804" spans="15:15" x14ac:dyDescent="0.25">
      <c r="O830804" s="9"/>
    </row>
    <row r="830825" spans="15:15" x14ac:dyDescent="0.25">
      <c r="O830825" s="9"/>
    </row>
    <row r="830846" spans="15:15" x14ac:dyDescent="0.25">
      <c r="O830846" s="9"/>
    </row>
    <row r="830867" spans="15:15" x14ac:dyDescent="0.25">
      <c r="O830867" s="9"/>
    </row>
    <row r="830888" spans="15:15" x14ac:dyDescent="0.25">
      <c r="O830888" s="9"/>
    </row>
    <row r="830909" spans="15:15" x14ac:dyDescent="0.25">
      <c r="O830909" s="9"/>
    </row>
    <row r="830930" spans="15:15" x14ac:dyDescent="0.25">
      <c r="O830930" s="9"/>
    </row>
    <row r="830951" spans="15:15" x14ac:dyDescent="0.25">
      <c r="O830951" s="9"/>
    </row>
    <row r="830972" spans="15:15" x14ac:dyDescent="0.25">
      <c r="O830972" s="9"/>
    </row>
    <row r="830993" spans="15:15" x14ac:dyDescent="0.25">
      <c r="O830993" s="9"/>
    </row>
    <row r="831014" spans="15:15" x14ac:dyDescent="0.25">
      <c r="O831014" s="9"/>
    </row>
    <row r="831035" spans="15:15" x14ac:dyDescent="0.25">
      <c r="O831035" s="9"/>
    </row>
    <row r="831056" spans="15:15" x14ac:dyDescent="0.25">
      <c r="O831056" s="9"/>
    </row>
    <row r="831077" spans="15:15" x14ac:dyDescent="0.25">
      <c r="O831077" s="9"/>
    </row>
    <row r="831098" spans="15:15" x14ac:dyDescent="0.25">
      <c r="O831098" s="9"/>
    </row>
    <row r="831119" spans="15:15" x14ac:dyDescent="0.25">
      <c r="O831119" s="9"/>
    </row>
    <row r="831140" spans="15:15" x14ac:dyDescent="0.25">
      <c r="O831140" s="9"/>
    </row>
    <row r="831161" spans="15:15" x14ac:dyDescent="0.25">
      <c r="O831161" s="9"/>
    </row>
    <row r="831182" spans="15:15" x14ac:dyDescent="0.25">
      <c r="O831182" s="9"/>
    </row>
    <row r="831203" spans="15:15" x14ac:dyDescent="0.25">
      <c r="O831203" s="9"/>
    </row>
    <row r="831224" spans="15:15" x14ac:dyDescent="0.25">
      <c r="O831224" s="9"/>
    </row>
    <row r="831245" spans="15:15" x14ac:dyDescent="0.25">
      <c r="O831245" s="9"/>
    </row>
    <row r="831266" spans="15:15" x14ac:dyDescent="0.25">
      <c r="O831266" s="9"/>
    </row>
    <row r="831287" spans="15:15" x14ac:dyDescent="0.25">
      <c r="O831287" s="9"/>
    </row>
    <row r="831308" spans="15:15" x14ac:dyDescent="0.25">
      <c r="O831308" s="9"/>
    </row>
    <row r="831329" spans="15:15" x14ac:dyDescent="0.25">
      <c r="O831329" s="9"/>
    </row>
    <row r="831350" spans="15:15" x14ac:dyDescent="0.25">
      <c r="O831350" s="9"/>
    </row>
    <row r="831371" spans="15:15" x14ac:dyDescent="0.25">
      <c r="O831371" s="9"/>
    </row>
    <row r="831392" spans="15:15" x14ac:dyDescent="0.25">
      <c r="O831392" s="9"/>
    </row>
    <row r="831413" spans="15:15" x14ac:dyDescent="0.25">
      <c r="O831413" s="9"/>
    </row>
    <row r="831434" spans="15:15" x14ac:dyDescent="0.25">
      <c r="O831434" s="9"/>
    </row>
    <row r="831455" spans="15:15" x14ac:dyDescent="0.25">
      <c r="O831455" s="9"/>
    </row>
    <row r="831476" spans="15:15" x14ac:dyDescent="0.25">
      <c r="O831476" s="9"/>
    </row>
    <row r="831497" spans="15:15" x14ac:dyDescent="0.25">
      <c r="O831497" s="9"/>
    </row>
    <row r="831518" spans="15:15" x14ac:dyDescent="0.25">
      <c r="O831518" s="9"/>
    </row>
    <row r="831539" spans="15:15" x14ac:dyDescent="0.25">
      <c r="O831539" s="9"/>
    </row>
    <row r="831560" spans="15:15" x14ac:dyDescent="0.25">
      <c r="O831560" s="9"/>
    </row>
    <row r="831581" spans="15:15" x14ac:dyDescent="0.25">
      <c r="O831581" s="9"/>
    </row>
    <row r="831602" spans="15:15" x14ac:dyDescent="0.25">
      <c r="O831602" s="9"/>
    </row>
    <row r="831623" spans="15:15" x14ac:dyDescent="0.25">
      <c r="O831623" s="9"/>
    </row>
    <row r="831644" spans="15:15" x14ac:dyDescent="0.25">
      <c r="O831644" s="9"/>
    </row>
    <row r="831665" spans="15:15" x14ac:dyDescent="0.25">
      <c r="O831665" s="9"/>
    </row>
    <row r="831686" spans="15:15" x14ac:dyDescent="0.25">
      <c r="O831686" s="9"/>
    </row>
    <row r="831707" spans="15:15" x14ac:dyDescent="0.25">
      <c r="O831707" s="9"/>
    </row>
    <row r="831728" spans="15:15" x14ac:dyDescent="0.25">
      <c r="O831728" s="9"/>
    </row>
    <row r="831749" spans="15:15" x14ac:dyDescent="0.25">
      <c r="O831749" s="9"/>
    </row>
    <row r="831770" spans="15:15" x14ac:dyDescent="0.25">
      <c r="O831770" s="9"/>
    </row>
    <row r="831791" spans="15:15" x14ac:dyDescent="0.25">
      <c r="O831791" s="9"/>
    </row>
    <row r="831812" spans="15:15" x14ac:dyDescent="0.25">
      <c r="O831812" s="9"/>
    </row>
    <row r="831833" spans="15:15" x14ac:dyDescent="0.25">
      <c r="O831833" s="9"/>
    </row>
    <row r="831854" spans="15:15" x14ac:dyDescent="0.25">
      <c r="O831854" s="9"/>
    </row>
    <row r="831875" spans="15:15" x14ac:dyDescent="0.25">
      <c r="O831875" s="9"/>
    </row>
    <row r="831896" spans="15:15" x14ac:dyDescent="0.25">
      <c r="O831896" s="9"/>
    </row>
    <row r="831917" spans="15:15" x14ac:dyDescent="0.25">
      <c r="O831917" s="9"/>
    </row>
    <row r="831938" spans="15:15" x14ac:dyDescent="0.25">
      <c r="O831938" s="9"/>
    </row>
    <row r="831959" spans="15:15" x14ac:dyDescent="0.25">
      <c r="O831959" s="9"/>
    </row>
    <row r="831980" spans="15:15" x14ac:dyDescent="0.25">
      <c r="O831980" s="9"/>
    </row>
    <row r="832001" spans="15:15" x14ac:dyDescent="0.25">
      <c r="O832001" s="9"/>
    </row>
    <row r="832022" spans="15:15" x14ac:dyDescent="0.25">
      <c r="O832022" s="9"/>
    </row>
    <row r="832043" spans="15:15" x14ac:dyDescent="0.25">
      <c r="O832043" s="9"/>
    </row>
    <row r="832064" spans="15:15" x14ac:dyDescent="0.25">
      <c r="O832064" s="9"/>
    </row>
    <row r="832085" spans="15:15" x14ac:dyDescent="0.25">
      <c r="O832085" s="9"/>
    </row>
    <row r="832106" spans="15:15" x14ac:dyDescent="0.25">
      <c r="O832106" s="9"/>
    </row>
    <row r="832127" spans="15:15" x14ac:dyDescent="0.25">
      <c r="O832127" s="9"/>
    </row>
    <row r="832148" spans="15:15" x14ac:dyDescent="0.25">
      <c r="O832148" s="9"/>
    </row>
    <row r="832169" spans="15:15" x14ac:dyDescent="0.25">
      <c r="O832169" s="9"/>
    </row>
    <row r="832190" spans="15:15" x14ac:dyDescent="0.25">
      <c r="O832190" s="9"/>
    </row>
    <row r="832211" spans="15:15" x14ac:dyDescent="0.25">
      <c r="O832211" s="9"/>
    </row>
    <row r="832232" spans="15:15" x14ac:dyDescent="0.25">
      <c r="O832232" s="9"/>
    </row>
    <row r="832253" spans="15:15" x14ac:dyDescent="0.25">
      <c r="O832253" s="9"/>
    </row>
    <row r="832274" spans="15:15" x14ac:dyDescent="0.25">
      <c r="O832274" s="9"/>
    </row>
    <row r="832295" spans="15:15" x14ac:dyDescent="0.25">
      <c r="O832295" s="9"/>
    </row>
    <row r="832316" spans="15:15" x14ac:dyDescent="0.25">
      <c r="O832316" s="9"/>
    </row>
    <row r="832337" spans="15:15" x14ac:dyDescent="0.25">
      <c r="O832337" s="9"/>
    </row>
    <row r="832358" spans="15:15" x14ac:dyDescent="0.25">
      <c r="O832358" s="9"/>
    </row>
    <row r="832379" spans="15:15" x14ac:dyDescent="0.25">
      <c r="O832379" s="9"/>
    </row>
    <row r="832400" spans="15:15" x14ac:dyDescent="0.25">
      <c r="O832400" s="9"/>
    </row>
    <row r="832421" spans="15:15" x14ac:dyDescent="0.25">
      <c r="O832421" s="9"/>
    </row>
    <row r="832442" spans="15:15" x14ac:dyDescent="0.25">
      <c r="O832442" s="9"/>
    </row>
    <row r="832463" spans="15:15" x14ac:dyDescent="0.25">
      <c r="O832463" s="9"/>
    </row>
    <row r="832484" spans="15:15" x14ac:dyDescent="0.25">
      <c r="O832484" s="9"/>
    </row>
    <row r="832505" spans="15:15" x14ac:dyDescent="0.25">
      <c r="O832505" s="9"/>
    </row>
    <row r="832526" spans="15:15" x14ac:dyDescent="0.25">
      <c r="O832526" s="9"/>
    </row>
    <row r="832547" spans="15:15" x14ac:dyDescent="0.25">
      <c r="O832547" s="9"/>
    </row>
    <row r="832568" spans="15:15" x14ac:dyDescent="0.25">
      <c r="O832568" s="9"/>
    </row>
    <row r="832589" spans="15:15" x14ac:dyDescent="0.25">
      <c r="O832589" s="9"/>
    </row>
    <row r="832610" spans="15:15" x14ac:dyDescent="0.25">
      <c r="O832610" s="9"/>
    </row>
    <row r="832631" spans="15:15" x14ac:dyDescent="0.25">
      <c r="O832631" s="9"/>
    </row>
    <row r="832652" spans="15:15" x14ac:dyDescent="0.25">
      <c r="O832652" s="9"/>
    </row>
    <row r="832673" spans="15:15" x14ac:dyDescent="0.25">
      <c r="O832673" s="9"/>
    </row>
    <row r="832694" spans="15:15" x14ac:dyDescent="0.25">
      <c r="O832694" s="9"/>
    </row>
    <row r="832715" spans="15:15" x14ac:dyDescent="0.25">
      <c r="O832715" s="9"/>
    </row>
    <row r="832736" spans="15:15" x14ac:dyDescent="0.25">
      <c r="O832736" s="9"/>
    </row>
    <row r="832757" spans="15:15" x14ac:dyDescent="0.25">
      <c r="O832757" s="9"/>
    </row>
    <row r="832778" spans="15:15" x14ac:dyDescent="0.25">
      <c r="O832778" s="9"/>
    </row>
    <row r="832799" spans="15:15" x14ac:dyDescent="0.25">
      <c r="O832799" s="9"/>
    </row>
    <row r="832820" spans="15:15" x14ac:dyDescent="0.25">
      <c r="O832820" s="9"/>
    </row>
    <row r="832841" spans="15:15" x14ac:dyDescent="0.25">
      <c r="O832841" s="9"/>
    </row>
    <row r="832862" spans="15:15" x14ac:dyDescent="0.25">
      <c r="O832862" s="9"/>
    </row>
    <row r="832883" spans="15:15" x14ac:dyDescent="0.25">
      <c r="O832883" s="9"/>
    </row>
    <row r="832904" spans="15:15" x14ac:dyDescent="0.25">
      <c r="O832904" s="9"/>
    </row>
    <row r="832925" spans="15:15" x14ac:dyDescent="0.25">
      <c r="O832925" s="9"/>
    </row>
    <row r="832946" spans="15:15" x14ac:dyDescent="0.25">
      <c r="O832946" s="9"/>
    </row>
    <row r="832967" spans="15:15" x14ac:dyDescent="0.25">
      <c r="O832967" s="9"/>
    </row>
    <row r="832988" spans="15:15" x14ac:dyDescent="0.25">
      <c r="O832988" s="9"/>
    </row>
    <row r="833009" spans="15:15" x14ac:dyDescent="0.25">
      <c r="O833009" s="9"/>
    </row>
    <row r="833030" spans="15:15" x14ac:dyDescent="0.25">
      <c r="O833030" s="9"/>
    </row>
    <row r="833051" spans="15:15" x14ac:dyDescent="0.25">
      <c r="O833051" s="9"/>
    </row>
    <row r="833072" spans="15:15" x14ac:dyDescent="0.25">
      <c r="O833072" s="9"/>
    </row>
    <row r="833093" spans="15:15" x14ac:dyDescent="0.25">
      <c r="O833093" s="9"/>
    </row>
    <row r="833114" spans="15:15" x14ac:dyDescent="0.25">
      <c r="O833114" s="9"/>
    </row>
    <row r="833135" spans="15:15" x14ac:dyDescent="0.25">
      <c r="O833135" s="9"/>
    </row>
    <row r="833156" spans="15:15" x14ac:dyDescent="0.25">
      <c r="O833156" s="9"/>
    </row>
    <row r="833177" spans="15:15" x14ac:dyDescent="0.25">
      <c r="O833177" s="9"/>
    </row>
    <row r="833198" spans="15:15" x14ac:dyDescent="0.25">
      <c r="O833198" s="9"/>
    </row>
    <row r="833219" spans="15:15" x14ac:dyDescent="0.25">
      <c r="O833219" s="9"/>
    </row>
    <row r="833240" spans="15:15" x14ac:dyDescent="0.25">
      <c r="O833240" s="9"/>
    </row>
    <row r="833261" spans="15:15" x14ac:dyDescent="0.25">
      <c r="O833261" s="9"/>
    </row>
    <row r="833282" spans="15:15" x14ac:dyDescent="0.25">
      <c r="O833282" s="9"/>
    </row>
    <row r="833303" spans="15:15" x14ac:dyDescent="0.25">
      <c r="O833303" s="9"/>
    </row>
    <row r="833324" spans="15:15" x14ac:dyDescent="0.25">
      <c r="O833324" s="9"/>
    </row>
    <row r="833345" spans="15:15" x14ac:dyDescent="0.25">
      <c r="O833345" s="9"/>
    </row>
    <row r="833366" spans="15:15" x14ac:dyDescent="0.25">
      <c r="O833366" s="9"/>
    </row>
    <row r="833387" spans="15:15" x14ac:dyDescent="0.25">
      <c r="O833387" s="9"/>
    </row>
    <row r="833408" spans="15:15" x14ac:dyDescent="0.25">
      <c r="O833408" s="9"/>
    </row>
    <row r="833429" spans="15:15" x14ac:dyDescent="0.25">
      <c r="O833429" s="9"/>
    </row>
    <row r="833450" spans="15:15" x14ac:dyDescent="0.25">
      <c r="O833450" s="9"/>
    </row>
    <row r="833471" spans="15:15" x14ac:dyDescent="0.25">
      <c r="O833471" s="9"/>
    </row>
    <row r="833492" spans="15:15" x14ac:dyDescent="0.25">
      <c r="O833492" s="9"/>
    </row>
    <row r="833513" spans="15:15" x14ac:dyDescent="0.25">
      <c r="O833513" s="9"/>
    </row>
    <row r="833534" spans="15:15" x14ac:dyDescent="0.25">
      <c r="O833534" s="9"/>
    </row>
    <row r="833555" spans="15:15" x14ac:dyDescent="0.25">
      <c r="O833555" s="9"/>
    </row>
    <row r="833576" spans="15:15" x14ac:dyDescent="0.25">
      <c r="O833576" s="9"/>
    </row>
    <row r="833597" spans="15:15" x14ac:dyDescent="0.25">
      <c r="O833597" s="9"/>
    </row>
    <row r="833618" spans="15:15" x14ac:dyDescent="0.25">
      <c r="O833618" s="9"/>
    </row>
    <row r="833639" spans="15:15" x14ac:dyDescent="0.25">
      <c r="O833639" s="9"/>
    </row>
    <row r="833660" spans="15:15" x14ac:dyDescent="0.25">
      <c r="O833660" s="9"/>
    </row>
    <row r="833681" spans="15:15" x14ac:dyDescent="0.25">
      <c r="O833681" s="9"/>
    </row>
    <row r="833702" spans="15:15" x14ac:dyDescent="0.25">
      <c r="O833702" s="9"/>
    </row>
    <row r="833723" spans="15:15" x14ac:dyDescent="0.25">
      <c r="O833723" s="9"/>
    </row>
    <row r="833744" spans="15:15" x14ac:dyDescent="0.25">
      <c r="O833744" s="9"/>
    </row>
    <row r="833765" spans="15:15" x14ac:dyDescent="0.25">
      <c r="O833765" s="9"/>
    </row>
    <row r="833786" spans="15:15" x14ac:dyDescent="0.25">
      <c r="O833786" s="9"/>
    </row>
    <row r="833807" spans="15:15" x14ac:dyDescent="0.25">
      <c r="O833807" s="9"/>
    </row>
    <row r="833828" spans="15:15" x14ac:dyDescent="0.25">
      <c r="O833828" s="9"/>
    </row>
    <row r="833849" spans="15:15" x14ac:dyDescent="0.25">
      <c r="O833849" s="9"/>
    </row>
    <row r="833870" spans="15:15" x14ac:dyDescent="0.25">
      <c r="O833870" s="9"/>
    </row>
    <row r="833891" spans="15:15" x14ac:dyDescent="0.25">
      <c r="O833891" s="9"/>
    </row>
    <row r="833912" spans="15:15" x14ac:dyDescent="0.25">
      <c r="O833912" s="9"/>
    </row>
    <row r="833933" spans="15:15" x14ac:dyDescent="0.25">
      <c r="O833933" s="9"/>
    </row>
    <row r="833954" spans="15:15" x14ac:dyDescent="0.25">
      <c r="O833954" s="9"/>
    </row>
    <row r="833975" spans="15:15" x14ac:dyDescent="0.25">
      <c r="O833975" s="9"/>
    </row>
    <row r="833996" spans="15:15" x14ac:dyDescent="0.25">
      <c r="O833996" s="9"/>
    </row>
    <row r="834017" spans="15:15" x14ac:dyDescent="0.25">
      <c r="O834017" s="9"/>
    </row>
    <row r="834038" spans="15:15" x14ac:dyDescent="0.25">
      <c r="O834038" s="9"/>
    </row>
    <row r="834059" spans="15:15" x14ac:dyDescent="0.25">
      <c r="O834059" s="9"/>
    </row>
    <row r="834080" spans="15:15" x14ac:dyDescent="0.25">
      <c r="O834080" s="9"/>
    </row>
    <row r="834101" spans="15:15" x14ac:dyDescent="0.25">
      <c r="O834101" s="9"/>
    </row>
    <row r="834122" spans="15:15" x14ac:dyDescent="0.25">
      <c r="O834122" s="9"/>
    </row>
    <row r="834143" spans="15:15" x14ac:dyDescent="0.25">
      <c r="O834143" s="9"/>
    </row>
    <row r="834164" spans="15:15" x14ac:dyDescent="0.25">
      <c r="O834164" s="9"/>
    </row>
    <row r="834185" spans="15:15" x14ac:dyDescent="0.25">
      <c r="O834185" s="9"/>
    </row>
    <row r="834206" spans="15:15" x14ac:dyDescent="0.25">
      <c r="O834206" s="9"/>
    </row>
    <row r="834227" spans="15:15" x14ac:dyDescent="0.25">
      <c r="O834227" s="9"/>
    </row>
    <row r="834248" spans="15:15" x14ac:dyDescent="0.25">
      <c r="O834248" s="9"/>
    </row>
    <row r="834269" spans="15:15" x14ac:dyDescent="0.25">
      <c r="O834269" s="9"/>
    </row>
    <row r="834290" spans="15:15" x14ac:dyDescent="0.25">
      <c r="O834290" s="9"/>
    </row>
    <row r="834311" spans="15:15" x14ac:dyDescent="0.25">
      <c r="O834311" s="9"/>
    </row>
    <row r="834332" spans="15:15" x14ac:dyDescent="0.25">
      <c r="O834332" s="9"/>
    </row>
    <row r="834353" spans="15:15" x14ac:dyDescent="0.25">
      <c r="O834353" s="9"/>
    </row>
    <row r="834374" spans="15:15" x14ac:dyDescent="0.25">
      <c r="O834374" s="9"/>
    </row>
    <row r="834395" spans="15:15" x14ac:dyDescent="0.25">
      <c r="O834395" s="9"/>
    </row>
    <row r="834416" spans="15:15" x14ac:dyDescent="0.25">
      <c r="O834416" s="9"/>
    </row>
    <row r="834437" spans="15:15" x14ac:dyDescent="0.25">
      <c r="O834437" s="9"/>
    </row>
    <row r="834458" spans="15:15" x14ac:dyDescent="0.25">
      <c r="O834458" s="9"/>
    </row>
    <row r="834479" spans="15:15" x14ac:dyDescent="0.25">
      <c r="O834479" s="9"/>
    </row>
    <row r="834500" spans="15:15" x14ac:dyDescent="0.25">
      <c r="O834500" s="9"/>
    </row>
    <row r="834521" spans="15:15" x14ac:dyDescent="0.25">
      <c r="O834521" s="9"/>
    </row>
    <row r="834542" spans="15:15" x14ac:dyDescent="0.25">
      <c r="O834542" s="9"/>
    </row>
    <row r="834563" spans="15:15" x14ac:dyDescent="0.25">
      <c r="O834563" s="9"/>
    </row>
    <row r="834584" spans="15:15" x14ac:dyDescent="0.25">
      <c r="O834584" s="9"/>
    </row>
    <row r="834605" spans="15:15" x14ac:dyDescent="0.25">
      <c r="O834605" s="9"/>
    </row>
    <row r="834626" spans="15:15" x14ac:dyDescent="0.25">
      <c r="O834626" s="9"/>
    </row>
    <row r="834647" spans="15:15" x14ac:dyDescent="0.25">
      <c r="O834647" s="9"/>
    </row>
    <row r="834668" spans="15:15" x14ac:dyDescent="0.25">
      <c r="O834668" s="9"/>
    </row>
    <row r="834689" spans="15:15" x14ac:dyDescent="0.25">
      <c r="O834689" s="9"/>
    </row>
    <row r="834710" spans="15:15" x14ac:dyDescent="0.25">
      <c r="O834710" s="9"/>
    </row>
    <row r="834731" spans="15:15" x14ac:dyDescent="0.25">
      <c r="O834731" s="9"/>
    </row>
    <row r="834752" spans="15:15" x14ac:dyDescent="0.25">
      <c r="O834752" s="9"/>
    </row>
    <row r="834773" spans="15:15" x14ac:dyDescent="0.25">
      <c r="O834773" s="9"/>
    </row>
    <row r="834794" spans="15:15" x14ac:dyDescent="0.25">
      <c r="O834794" s="9"/>
    </row>
    <row r="834815" spans="15:15" x14ac:dyDescent="0.25">
      <c r="O834815" s="9"/>
    </row>
    <row r="834836" spans="15:15" x14ac:dyDescent="0.25">
      <c r="O834836" s="9"/>
    </row>
    <row r="834857" spans="15:15" x14ac:dyDescent="0.25">
      <c r="O834857" s="9"/>
    </row>
    <row r="834878" spans="15:15" x14ac:dyDescent="0.25">
      <c r="O834878" s="9"/>
    </row>
    <row r="834899" spans="15:15" x14ac:dyDescent="0.25">
      <c r="O834899" s="9"/>
    </row>
    <row r="834920" spans="15:15" x14ac:dyDescent="0.25">
      <c r="O834920" s="9"/>
    </row>
    <row r="834941" spans="15:15" x14ac:dyDescent="0.25">
      <c r="O834941" s="9"/>
    </row>
    <row r="834962" spans="15:15" x14ac:dyDescent="0.25">
      <c r="O834962" s="9"/>
    </row>
    <row r="834983" spans="15:15" x14ac:dyDescent="0.25">
      <c r="O834983" s="9"/>
    </row>
    <row r="835004" spans="15:15" x14ac:dyDescent="0.25">
      <c r="O835004" s="9"/>
    </row>
    <row r="835025" spans="15:15" x14ac:dyDescent="0.25">
      <c r="O835025" s="9"/>
    </row>
    <row r="835046" spans="15:15" x14ac:dyDescent="0.25">
      <c r="O835046" s="9"/>
    </row>
    <row r="835067" spans="15:15" x14ac:dyDescent="0.25">
      <c r="O835067" s="9"/>
    </row>
    <row r="835088" spans="15:15" x14ac:dyDescent="0.25">
      <c r="O835088" s="9"/>
    </row>
    <row r="835109" spans="15:15" x14ac:dyDescent="0.25">
      <c r="O835109" s="9"/>
    </row>
    <row r="835130" spans="15:15" x14ac:dyDescent="0.25">
      <c r="O835130" s="9"/>
    </row>
    <row r="835151" spans="15:15" x14ac:dyDescent="0.25">
      <c r="O835151" s="9"/>
    </row>
    <row r="835172" spans="15:15" x14ac:dyDescent="0.25">
      <c r="O835172" s="9"/>
    </row>
    <row r="835193" spans="15:15" x14ac:dyDescent="0.25">
      <c r="O835193" s="9"/>
    </row>
    <row r="835214" spans="15:15" x14ac:dyDescent="0.25">
      <c r="O835214" s="9"/>
    </row>
    <row r="835235" spans="15:15" x14ac:dyDescent="0.25">
      <c r="O835235" s="9"/>
    </row>
    <row r="835256" spans="15:15" x14ac:dyDescent="0.25">
      <c r="O835256" s="9"/>
    </row>
    <row r="835277" spans="15:15" x14ac:dyDescent="0.25">
      <c r="O835277" s="9"/>
    </row>
    <row r="835298" spans="15:15" x14ac:dyDescent="0.25">
      <c r="O835298" s="9"/>
    </row>
    <row r="835319" spans="15:15" x14ac:dyDescent="0.25">
      <c r="O835319" s="9"/>
    </row>
    <row r="835340" spans="15:15" x14ac:dyDescent="0.25">
      <c r="O835340" s="9"/>
    </row>
    <row r="835361" spans="15:15" x14ac:dyDescent="0.25">
      <c r="O835361" s="9"/>
    </row>
    <row r="835382" spans="15:15" x14ac:dyDescent="0.25">
      <c r="O835382" s="9"/>
    </row>
    <row r="835403" spans="15:15" x14ac:dyDescent="0.25">
      <c r="O835403" s="9"/>
    </row>
    <row r="835424" spans="15:15" x14ac:dyDescent="0.25">
      <c r="O835424" s="9"/>
    </row>
    <row r="835445" spans="15:15" x14ac:dyDescent="0.25">
      <c r="O835445" s="9"/>
    </row>
    <row r="835466" spans="15:15" x14ac:dyDescent="0.25">
      <c r="O835466" s="9"/>
    </row>
    <row r="835487" spans="15:15" x14ac:dyDescent="0.25">
      <c r="O835487" s="9"/>
    </row>
    <row r="835508" spans="15:15" x14ac:dyDescent="0.25">
      <c r="O835508" s="9"/>
    </row>
    <row r="835529" spans="15:15" x14ac:dyDescent="0.25">
      <c r="O835529" s="9"/>
    </row>
    <row r="835550" spans="15:15" x14ac:dyDescent="0.25">
      <c r="O835550" s="9"/>
    </row>
    <row r="835571" spans="15:15" x14ac:dyDescent="0.25">
      <c r="O835571" s="9"/>
    </row>
    <row r="835592" spans="15:15" x14ac:dyDescent="0.25">
      <c r="O835592" s="9"/>
    </row>
    <row r="835613" spans="15:15" x14ac:dyDescent="0.25">
      <c r="O835613" s="9"/>
    </row>
    <row r="835634" spans="15:15" x14ac:dyDescent="0.25">
      <c r="O835634" s="9"/>
    </row>
    <row r="835655" spans="15:15" x14ac:dyDescent="0.25">
      <c r="O835655" s="9"/>
    </row>
    <row r="835676" spans="15:15" x14ac:dyDescent="0.25">
      <c r="O835676" s="9"/>
    </row>
    <row r="835697" spans="15:15" x14ac:dyDescent="0.25">
      <c r="O835697" s="9"/>
    </row>
    <row r="835718" spans="15:15" x14ac:dyDescent="0.25">
      <c r="O835718" s="9"/>
    </row>
    <row r="835739" spans="15:15" x14ac:dyDescent="0.25">
      <c r="O835739" s="9"/>
    </row>
    <row r="835760" spans="15:15" x14ac:dyDescent="0.25">
      <c r="O835760" s="9"/>
    </row>
    <row r="835781" spans="15:15" x14ac:dyDescent="0.25">
      <c r="O835781" s="9"/>
    </row>
    <row r="835802" spans="15:15" x14ac:dyDescent="0.25">
      <c r="O835802" s="9"/>
    </row>
    <row r="835823" spans="15:15" x14ac:dyDescent="0.25">
      <c r="O835823" s="9"/>
    </row>
    <row r="835844" spans="15:15" x14ac:dyDescent="0.25">
      <c r="O835844" s="9"/>
    </row>
    <row r="835865" spans="15:15" x14ac:dyDescent="0.25">
      <c r="O835865" s="9"/>
    </row>
    <row r="835886" spans="15:15" x14ac:dyDescent="0.25">
      <c r="O835886" s="9"/>
    </row>
    <row r="835907" spans="15:15" x14ac:dyDescent="0.25">
      <c r="O835907" s="9"/>
    </row>
    <row r="835928" spans="15:15" x14ac:dyDescent="0.25">
      <c r="O835928" s="9"/>
    </row>
    <row r="835949" spans="15:15" x14ac:dyDescent="0.25">
      <c r="O835949" s="9"/>
    </row>
    <row r="835970" spans="15:15" x14ac:dyDescent="0.25">
      <c r="O835970" s="9"/>
    </row>
    <row r="835991" spans="15:15" x14ac:dyDescent="0.25">
      <c r="O835991" s="9"/>
    </row>
    <row r="836012" spans="15:15" x14ac:dyDescent="0.25">
      <c r="O836012" s="9"/>
    </row>
    <row r="836033" spans="15:15" x14ac:dyDescent="0.25">
      <c r="O836033" s="9"/>
    </row>
    <row r="836054" spans="15:15" x14ac:dyDescent="0.25">
      <c r="O836054" s="9"/>
    </row>
    <row r="836075" spans="15:15" x14ac:dyDescent="0.25">
      <c r="O836075" s="9"/>
    </row>
    <row r="836096" spans="15:15" x14ac:dyDescent="0.25">
      <c r="O836096" s="9"/>
    </row>
    <row r="836117" spans="15:15" x14ac:dyDescent="0.25">
      <c r="O836117" s="9"/>
    </row>
    <row r="836138" spans="15:15" x14ac:dyDescent="0.25">
      <c r="O836138" s="9"/>
    </row>
    <row r="836159" spans="15:15" x14ac:dyDescent="0.25">
      <c r="O836159" s="9"/>
    </row>
    <row r="836180" spans="15:15" x14ac:dyDescent="0.25">
      <c r="O836180" s="9"/>
    </row>
    <row r="836201" spans="15:15" x14ac:dyDescent="0.25">
      <c r="O836201" s="9"/>
    </row>
    <row r="836222" spans="15:15" x14ac:dyDescent="0.25">
      <c r="O836222" s="9"/>
    </row>
    <row r="836243" spans="15:15" x14ac:dyDescent="0.25">
      <c r="O836243" s="9"/>
    </row>
    <row r="836264" spans="15:15" x14ac:dyDescent="0.25">
      <c r="O836264" s="9"/>
    </row>
    <row r="836285" spans="15:15" x14ac:dyDescent="0.25">
      <c r="O836285" s="9"/>
    </row>
    <row r="836306" spans="15:15" x14ac:dyDescent="0.25">
      <c r="O836306" s="9"/>
    </row>
    <row r="836327" spans="15:15" x14ac:dyDescent="0.25">
      <c r="O836327" s="9"/>
    </row>
    <row r="836348" spans="15:15" x14ac:dyDescent="0.25">
      <c r="O836348" s="9"/>
    </row>
    <row r="836369" spans="15:15" x14ac:dyDescent="0.25">
      <c r="O836369" s="9"/>
    </row>
    <row r="836390" spans="15:15" x14ac:dyDescent="0.25">
      <c r="O836390" s="9"/>
    </row>
    <row r="836411" spans="15:15" x14ac:dyDescent="0.25">
      <c r="O836411" s="9"/>
    </row>
    <row r="836432" spans="15:15" x14ac:dyDescent="0.25">
      <c r="O836432" s="9"/>
    </row>
    <row r="836453" spans="15:15" x14ac:dyDescent="0.25">
      <c r="O836453" s="9"/>
    </row>
    <row r="836474" spans="15:15" x14ac:dyDescent="0.25">
      <c r="O836474" s="9"/>
    </row>
    <row r="836495" spans="15:15" x14ac:dyDescent="0.25">
      <c r="O836495" s="9"/>
    </row>
    <row r="836516" spans="15:15" x14ac:dyDescent="0.25">
      <c r="O836516" s="9"/>
    </row>
    <row r="836537" spans="15:15" x14ac:dyDescent="0.25">
      <c r="O836537" s="9"/>
    </row>
    <row r="836558" spans="15:15" x14ac:dyDescent="0.25">
      <c r="O836558" s="9"/>
    </row>
    <row r="836579" spans="15:15" x14ac:dyDescent="0.25">
      <c r="O836579" s="9"/>
    </row>
    <row r="836600" spans="15:15" x14ac:dyDescent="0.25">
      <c r="O836600" s="9"/>
    </row>
    <row r="836621" spans="15:15" x14ac:dyDescent="0.25">
      <c r="O836621" s="9"/>
    </row>
    <row r="836642" spans="15:15" x14ac:dyDescent="0.25">
      <c r="O836642" s="9"/>
    </row>
    <row r="836663" spans="15:15" x14ac:dyDescent="0.25">
      <c r="O836663" s="9"/>
    </row>
    <row r="836684" spans="15:15" x14ac:dyDescent="0.25">
      <c r="O836684" s="9"/>
    </row>
    <row r="836705" spans="15:15" x14ac:dyDescent="0.25">
      <c r="O836705" s="9"/>
    </row>
    <row r="836726" spans="15:15" x14ac:dyDescent="0.25">
      <c r="O836726" s="9"/>
    </row>
    <row r="836747" spans="15:15" x14ac:dyDescent="0.25">
      <c r="O836747" s="9"/>
    </row>
    <row r="836768" spans="15:15" x14ac:dyDescent="0.25">
      <c r="O836768" s="9"/>
    </row>
    <row r="836789" spans="15:15" x14ac:dyDescent="0.25">
      <c r="O836789" s="9"/>
    </row>
    <row r="836810" spans="15:15" x14ac:dyDescent="0.25">
      <c r="O836810" s="9"/>
    </row>
    <row r="836831" spans="15:15" x14ac:dyDescent="0.25">
      <c r="O836831" s="9"/>
    </row>
    <row r="836852" spans="15:15" x14ac:dyDescent="0.25">
      <c r="O836852" s="9"/>
    </row>
    <row r="836873" spans="15:15" x14ac:dyDescent="0.25">
      <c r="O836873" s="9"/>
    </row>
    <row r="836894" spans="15:15" x14ac:dyDescent="0.25">
      <c r="O836894" s="9"/>
    </row>
    <row r="836915" spans="15:15" x14ac:dyDescent="0.25">
      <c r="O836915" s="9"/>
    </row>
    <row r="836936" spans="15:15" x14ac:dyDescent="0.25">
      <c r="O836936" s="9"/>
    </row>
    <row r="836957" spans="15:15" x14ac:dyDescent="0.25">
      <c r="O836957" s="9"/>
    </row>
    <row r="836978" spans="15:15" x14ac:dyDescent="0.25">
      <c r="O836978" s="9"/>
    </row>
    <row r="836999" spans="15:15" x14ac:dyDescent="0.25">
      <c r="O836999" s="9"/>
    </row>
    <row r="837020" spans="15:15" x14ac:dyDescent="0.25">
      <c r="O837020" s="9"/>
    </row>
    <row r="837041" spans="15:15" x14ac:dyDescent="0.25">
      <c r="O837041" s="9"/>
    </row>
    <row r="837062" spans="15:15" x14ac:dyDescent="0.25">
      <c r="O837062" s="9"/>
    </row>
    <row r="837083" spans="15:15" x14ac:dyDescent="0.25">
      <c r="O837083" s="9"/>
    </row>
    <row r="837104" spans="15:15" x14ac:dyDescent="0.25">
      <c r="O837104" s="9"/>
    </row>
    <row r="837125" spans="15:15" x14ac:dyDescent="0.25">
      <c r="O837125" s="9"/>
    </row>
    <row r="837146" spans="15:15" x14ac:dyDescent="0.25">
      <c r="O837146" s="9"/>
    </row>
    <row r="837167" spans="15:15" x14ac:dyDescent="0.25">
      <c r="O837167" s="9"/>
    </row>
    <row r="837188" spans="15:15" x14ac:dyDescent="0.25">
      <c r="O837188" s="9"/>
    </row>
    <row r="837209" spans="15:15" x14ac:dyDescent="0.25">
      <c r="O837209" s="9"/>
    </row>
    <row r="837230" spans="15:15" x14ac:dyDescent="0.25">
      <c r="O837230" s="9"/>
    </row>
    <row r="837251" spans="15:15" x14ac:dyDescent="0.25">
      <c r="O837251" s="9"/>
    </row>
    <row r="837272" spans="15:15" x14ac:dyDescent="0.25">
      <c r="O837272" s="9"/>
    </row>
    <row r="837293" spans="15:15" x14ac:dyDescent="0.25">
      <c r="O837293" s="9"/>
    </row>
    <row r="837314" spans="15:15" x14ac:dyDescent="0.25">
      <c r="O837314" s="9"/>
    </row>
    <row r="837335" spans="15:15" x14ac:dyDescent="0.25">
      <c r="O837335" s="9"/>
    </row>
    <row r="837356" spans="15:15" x14ac:dyDescent="0.25">
      <c r="O837356" s="9"/>
    </row>
    <row r="837377" spans="15:15" x14ac:dyDescent="0.25">
      <c r="O837377" s="9"/>
    </row>
    <row r="837398" spans="15:15" x14ac:dyDescent="0.25">
      <c r="O837398" s="9"/>
    </row>
    <row r="837419" spans="15:15" x14ac:dyDescent="0.25">
      <c r="O837419" s="9"/>
    </row>
    <row r="837440" spans="15:15" x14ac:dyDescent="0.25">
      <c r="O837440" s="9"/>
    </row>
    <row r="837461" spans="15:15" x14ac:dyDescent="0.25">
      <c r="O837461" s="9"/>
    </row>
    <row r="837482" spans="15:15" x14ac:dyDescent="0.25">
      <c r="O837482" s="9"/>
    </row>
    <row r="837503" spans="15:15" x14ac:dyDescent="0.25">
      <c r="O837503" s="9"/>
    </row>
    <row r="837524" spans="15:15" x14ac:dyDescent="0.25">
      <c r="O837524" s="9"/>
    </row>
    <row r="837545" spans="15:15" x14ac:dyDescent="0.25">
      <c r="O837545" s="9"/>
    </row>
    <row r="837566" spans="15:15" x14ac:dyDescent="0.25">
      <c r="O837566" s="9"/>
    </row>
    <row r="837587" spans="15:15" x14ac:dyDescent="0.25">
      <c r="O837587" s="9"/>
    </row>
    <row r="837608" spans="15:15" x14ac:dyDescent="0.25">
      <c r="O837608" s="9"/>
    </row>
    <row r="837629" spans="15:15" x14ac:dyDescent="0.25">
      <c r="O837629" s="9"/>
    </row>
    <row r="837650" spans="15:15" x14ac:dyDescent="0.25">
      <c r="O837650" s="9"/>
    </row>
    <row r="837671" spans="15:15" x14ac:dyDescent="0.25">
      <c r="O837671" s="9"/>
    </row>
    <row r="837692" spans="15:15" x14ac:dyDescent="0.25">
      <c r="O837692" s="9"/>
    </row>
    <row r="837713" spans="15:15" x14ac:dyDescent="0.25">
      <c r="O837713" s="9"/>
    </row>
    <row r="837734" spans="15:15" x14ac:dyDescent="0.25">
      <c r="O837734" s="9"/>
    </row>
    <row r="837755" spans="15:15" x14ac:dyDescent="0.25">
      <c r="O837755" s="9"/>
    </row>
    <row r="837776" spans="15:15" x14ac:dyDescent="0.25">
      <c r="O837776" s="9"/>
    </row>
    <row r="837797" spans="15:15" x14ac:dyDescent="0.25">
      <c r="O837797" s="9"/>
    </row>
    <row r="837818" spans="15:15" x14ac:dyDescent="0.25">
      <c r="O837818" s="9"/>
    </row>
    <row r="837839" spans="15:15" x14ac:dyDescent="0.25">
      <c r="O837839" s="9"/>
    </row>
    <row r="837860" spans="15:15" x14ac:dyDescent="0.25">
      <c r="O837860" s="9"/>
    </row>
    <row r="837881" spans="15:15" x14ac:dyDescent="0.25">
      <c r="O837881" s="9"/>
    </row>
    <row r="837902" spans="15:15" x14ac:dyDescent="0.25">
      <c r="O837902" s="9"/>
    </row>
    <row r="837923" spans="15:15" x14ac:dyDescent="0.25">
      <c r="O837923" s="9"/>
    </row>
    <row r="837944" spans="15:15" x14ac:dyDescent="0.25">
      <c r="O837944" s="9"/>
    </row>
    <row r="837965" spans="15:15" x14ac:dyDescent="0.25">
      <c r="O837965" s="9"/>
    </row>
    <row r="837986" spans="15:15" x14ac:dyDescent="0.25">
      <c r="O837986" s="9"/>
    </row>
    <row r="838007" spans="15:15" x14ac:dyDescent="0.25">
      <c r="O838007" s="9"/>
    </row>
    <row r="838028" spans="15:15" x14ac:dyDescent="0.25">
      <c r="O838028" s="9"/>
    </row>
    <row r="838049" spans="15:15" x14ac:dyDescent="0.25">
      <c r="O838049" s="9"/>
    </row>
    <row r="838070" spans="15:15" x14ac:dyDescent="0.25">
      <c r="O838070" s="9"/>
    </row>
    <row r="838091" spans="15:15" x14ac:dyDescent="0.25">
      <c r="O838091" s="9"/>
    </row>
    <row r="838112" spans="15:15" x14ac:dyDescent="0.25">
      <c r="O838112" s="9"/>
    </row>
    <row r="838133" spans="15:15" x14ac:dyDescent="0.25">
      <c r="O838133" s="9"/>
    </row>
    <row r="838154" spans="15:15" x14ac:dyDescent="0.25">
      <c r="O838154" s="9"/>
    </row>
    <row r="838175" spans="15:15" x14ac:dyDescent="0.25">
      <c r="O838175" s="9"/>
    </row>
    <row r="838196" spans="15:15" x14ac:dyDescent="0.25">
      <c r="O838196" s="9"/>
    </row>
    <row r="838217" spans="15:15" x14ac:dyDescent="0.25">
      <c r="O838217" s="9"/>
    </row>
    <row r="838238" spans="15:15" x14ac:dyDescent="0.25">
      <c r="O838238" s="9"/>
    </row>
    <row r="838259" spans="15:15" x14ac:dyDescent="0.25">
      <c r="O838259" s="9"/>
    </row>
    <row r="838280" spans="15:15" x14ac:dyDescent="0.25">
      <c r="O838280" s="9"/>
    </row>
    <row r="838301" spans="15:15" x14ac:dyDescent="0.25">
      <c r="O838301" s="9"/>
    </row>
    <row r="838322" spans="15:15" x14ac:dyDescent="0.25">
      <c r="O838322" s="9"/>
    </row>
    <row r="838343" spans="15:15" x14ac:dyDescent="0.25">
      <c r="O838343" s="9"/>
    </row>
    <row r="838364" spans="15:15" x14ac:dyDescent="0.25">
      <c r="O838364" s="9"/>
    </row>
    <row r="838385" spans="15:15" x14ac:dyDescent="0.25">
      <c r="O838385" s="9"/>
    </row>
    <row r="838406" spans="15:15" x14ac:dyDescent="0.25">
      <c r="O838406" s="9"/>
    </row>
    <row r="838427" spans="15:15" x14ac:dyDescent="0.25">
      <c r="O838427" s="9"/>
    </row>
    <row r="838448" spans="15:15" x14ac:dyDescent="0.25">
      <c r="O838448" s="9"/>
    </row>
    <row r="838469" spans="15:15" x14ac:dyDescent="0.25">
      <c r="O838469" s="9"/>
    </row>
    <row r="838490" spans="15:15" x14ac:dyDescent="0.25">
      <c r="O838490" s="9"/>
    </row>
    <row r="838511" spans="15:15" x14ac:dyDescent="0.25">
      <c r="O838511" s="9"/>
    </row>
    <row r="838532" spans="15:15" x14ac:dyDescent="0.25">
      <c r="O838532" s="9"/>
    </row>
    <row r="838553" spans="15:15" x14ac:dyDescent="0.25">
      <c r="O838553" s="9"/>
    </row>
    <row r="838574" spans="15:15" x14ac:dyDescent="0.25">
      <c r="O838574" s="9"/>
    </row>
    <row r="838595" spans="15:15" x14ac:dyDescent="0.25">
      <c r="O838595" s="9"/>
    </row>
    <row r="838616" spans="15:15" x14ac:dyDescent="0.25">
      <c r="O838616" s="9"/>
    </row>
    <row r="838637" spans="15:15" x14ac:dyDescent="0.25">
      <c r="O838637" s="9"/>
    </row>
    <row r="838658" spans="15:15" x14ac:dyDescent="0.25">
      <c r="O838658" s="9"/>
    </row>
    <row r="838679" spans="15:15" x14ac:dyDescent="0.25">
      <c r="O838679" s="9"/>
    </row>
    <row r="838700" spans="15:15" x14ac:dyDescent="0.25">
      <c r="O838700" s="9"/>
    </row>
    <row r="838721" spans="15:15" x14ac:dyDescent="0.25">
      <c r="O838721" s="9"/>
    </row>
    <row r="838742" spans="15:15" x14ac:dyDescent="0.25">
      <c r="O838742" s="9"/>
    </row>
    <row r="838763" spans="15:15" x14ac:dyDescent="0.25">
      <c r="O838763" s="9"/>
    </row>
    <row r="838784" spans="15:15" x14ac:dyDescent="0.25">
      <c r="O838784" s="9"/>
    </row>
    <row r="838805" spans="15:15" x14ac:dyDescent="0.25">
      <c r="O838805" s="9"/>
    </row>
    <row r="838826" spans="15:15" x14ac:dyDescent="0.25">
      <c r="O838826" s="9"/>
    </row>
    <row r="838847" spans="15:15" x14ac:dyDescent="0.25">
      <c r="O838847" s="9"/>
    </row>
    <row r="838868" spans="15:15" x14ac:dyDescent="0.25">
      <c r="O838868" s="9"/>
    </row>
    <row r="838889" spans="15:15" x14ac:dyDescent="0.25">
      <c r="O838889" s="9"/>
    </row>
    <row r="838910" spans="15:15" x14ac:dyDescent="0.25">
      <c r="O838910" s="9"/>
    </row>
    <row r="838931" spans="15:15" x14ac:dyDescent="0.25">
      <c r="O838931" s="9"/>
    </row>
    <row r="838952" spans="15:15" x14ac:dyDescent="0.25">
      <c r="O838952" s="9"/>
    </row>
    <row r="838973" spans="15:15" x14ac:dyDescent="0.25">
      <c r="O838973" s="9"/>
    </row>
    <row r="838994" spans="15:15" x14ac:dyDescent="0.25">
      <c r="O838994" s="9"/>
    </row>
    <row r="839015" spans="15:15" x14ac:dyDescent="0.25">
      <c r="O839015" s="9"/>
    </row>
    <row r="839036" spans="15:15" x14ac:dyDescent="0.25">
      <c r="O839036" s="9"/>
    </row>
    <row r="839057" spans="15:15" x14ac:dyDescent="0.25">
      <c r="O839057" s="9"/>
    </row>
    <row r="839078" spans="15:15" x14ac:dyDescent="0.25">
      <c r="O839078" s="9"/>
    </row>
    <row r="839099" spans="15:15" x14ac:dyDescent="0.25">
      <c r="O839099" s="9"/>
    </row>
    <row r="839120" spans="15:15" x14ac:dyDescent="0.25">
      <c r="O839120" s="9"/>
    </row>
    <row r="839141" spans="15:15" x14ac:dyDescent="0.25">
      <c r="O839141" s="9"/>
    </row>
    <row r="839162" spans="15:15" x14ac:dyDescent="0.25">
      <c r="O839162" s="9"/>
    </row>
    <row r="839183" spans="15:15" x14ac:dyDescent="0.25">
      <c r="O839183" s="9"/>
    </row>
    <row r="839204" spans="15:15" x14ac:dyDescent="0.25">
      <c r="O839204" s="9"/>
    </row>
    <row r="839225" spans="15:15" x14ac:dyDescent="0.25">
      <c r="O839225" s="9"/>
    </row>
    <row r="839246" spans="15:15" x14ac:dyDescent="0.25">
      <c r="O839246" s="9"/>
    </row>
    <row r="839267" spans="15:15" x14ac:dyDescent="0.25">
      <c r="O839267" s="9"/>
    </row>
    <row r="839288" spans="15:15" x14ac:dyDescent="0.25">
      <c r="O839288" s="9"/>
    </row>
    <row r="839309" spans="15:15" x14ac:dyDescent="0.25">
      <c r="O839309" s="9"/>
    </row>
    <row r="839330" spans="15:15" x14ac:dyDescent="0.25">
      <c r="O839330" s="9"/>
    </row>
    <row r="839351" spans="15:15" x14ac:dyDescent="0.25">
      <c r="O839351" s="9"/>
    </row>
    <row r="839372" spans="15:15" x14ac:dyDescent="0.25">
      <c r="O839372" s="9"/>
    </row>
    <row r="839393" spans="15:15" x14ac:dyDescent="0.25">
      <c r="O839393" s="9"/>
    </row>
    <row r="839414" spans="15:15" x14ac:dyDescent="0.25">
      <c r="O839414" s="9"/>
    </row>
    <row r="839435" spans="15:15" x14ac:dyDescent="0.25">
      <c r="O839435" s="9"/>
    </row>
    <row r="839456" spans="15:15" x14ac:dyDescent="0.25">
      <c r="O839456" s="9"/>
    </row>
    <row r="839477" spans="15:15" x14ac:dyDescent="0.25">
      <c r="O839477" s="9"/>
    </row>
    <row r="839498" spans="15:15" x14ac:dyDescent="0.25">
      <c r="O839498" s="9"/>
    </row>
    <row r="839519" spans="15:15" x14ac:dyDescent="0.25">
      <c r="O839519" s="9"/>
    </row>
    <row r="839540" spans="15:15" x14ac:dyDescent="0.25">
      <c r="O839540" s="9"/>
    </row>
    <row r="839561" spans="15:15" x14ac:dyDescent="0.25">
      <c r="O839561" s="9"/>
    </row>
    <row r="839582" spans="15:15" x14ac:dyDescent="0.25">
      <c r="O839582" s="9"/>
    </row>
    <row r="839603" spans="15:15" x14ac:dyDescent="0.25">
      <c r="O839603" s="9"/>
    </row>
    <row r="839624" spans="15:15" x14ac:dyDescent="0.25">
      <c r="O839624" s="9"/>
    </row>
    <row r="839645" spans="15:15" x14ac:dyDescent="0.25">
      <c r="O839645" s="9"/>
    </row>
    <row r="839666" spans="15:15" x14ac:dyDescent="0.25">
      <c r="O839666" s="9"/>
    </row>
    <row r="839687" spans="15:15" x14ac:dyDescent="0.25">
      <c r="O839687" s="9"/>
    </row>
    <row r="839708" spans="15:15" x14ac:dyDescent="0.25">
      <c r="O839708" s="9"/>
    </row>
    <row r="839729" spans="15:15" x14ac:dyDescent="0.25">
      <c r="O839729" s="9"/>
    </row>
    <row r="839750" spans="15:15" x14ac:dyDescent="0.25">
      <c r="O839750" s="9"/>
    </row>
    <row r="839771" spans="15:15" x14ac:dyDescent="0.25">
      <c r="O839771" s="9"/>
    </row>
    <row r="839792" spans="15:15" x14ac:dyDescent="0.25">
      <c r="O839792" s="9"/>
    </row>
    <row r="839813" spans="15:15" x14ac:dyDescent="0.25">
      <c r="O839813" s="9"/>
    </row>
    <row r="839834" spans="15:15" x14ac:dyDescent="0.25">
      <c r="O839834" s="9"/>
    </row>
    <row r="839855" spans="15:15" x14ac:dyDescent="0.25">
      <c r="O839855" s="9"/>
    </row>
    <row r="839876" spans="15:15" x14ac:dyDescent="0.25">
      <c r="O839876" s="9"/>
    </row>
    <row r="839897" spans="15:15" x14ac:dyDescent="0.25">
      <c r="O839897" s="9"/>
    </row>
    <row r="839918" spans="15:15" x14ac:dyDescent="0.25">
      <c r="O839918" s="9"/>
    </row>
    <row r="839939" spans="15:15" x14ac:dyDescent="0.25">
      <c r="O839939" s="9"/>
    </row>
    <row r="839960" spans="15:15" x14ac:dyDescent="0.25">
      <c r="O839960" s="9"/>
    </row>
    <row r="839981" spans="15:15" x14ac:dyDescent="0.25">
      <c r="O839981" s="9"/>
    </row>
    <row r="840002" spans="15:15" x14ac:dyDescent="0.25">
      <c r="O840002" s="9"/>
    </row>
    <row r="840023" spans="15:15" x14ac:dyDescent="0.25">
      <c r="O840023" s="9"/>
    </row>
    <row r="840044" spans="15:15" x14ac:dyDescent="0.25">
      <c r="O840044" s="9"/>
    </row>
    <row r="840065" spans="15:15" x14ac:dyDescent="0.25">
      <c r="O840065" s="9"/>
    </row>
    <row r="840086" spans="15:15" x14ac:dyDescent="0.25">
      <c r="O840086" s="9"/>
    </row>
    <row r="840107" spans="15:15" x14ac:dyDescent="0.25">
      <c r="O840107" s="9"/>
    </row>
    <row r="840128" spans="15:15" x14ac:dyDescent="0.25">
      <c r="O840128" s="9"/>
    </row>
    <row r="840149" spans="15:15" x14ac:dyDescent="0.25">
      <c r="O840149" s="9"/>
    </row>
    <row r="840170" spans="15:15" x14ac:dyDescent="0.25">
      <c r="O840170" s="9"/>
    </row>
    <row r="840191" spans="15:15" x14ac:dyDescent="0.25">
      <c r="O840191" s="9"/>
    </row>
    <row r="840212" spans="15:15" x14ac:dyDescent="0.25">
      <c r="O840212" s="9"/>
    </row>
    <row r="840233" spans="15:15" x14ac:dyDescent="0.25">
      <c r="O840233" s="9"/>
    </row>
    <row r="840254" spans="15:15" x14ac:dyDescent="0.25">
      <c r="O840254" s="9"/>
    </row>
    <row r="840275" spans="15:15" x14ac:dyDescent="0.25">
      <c r="O840275" s="9"/>
    </row>
    <row r="840296" spans="15:15" x14ac:dyDescent="0.25">
      <c r="O840296" s="9"/>
    </row>
    <row r="840317" spans="15:15" x14ac:dyDescent="0.25">
      <c r="O840317" s="9"/>
    </row>
    <row r="840338" spans="15:15" x14ac:dyDescent="0.25">
      <c r="O840338" s="9"/>
    </row>
    <row r="840359" spans="15:15" x14ac:dyDescent="0.25">
      <c r="O840359" s="9"/>
    </row>
    <row r="840380" spans="15:15" x14ac:dyDescent="0.25">
      <c r="O840380" s="9"/>
    </row>
    <row r="840401" spans="15:15" x14ac:dyDescent="0.25">
      <c r="O840401" s="9"/>
    </row>
    <row r="840422" spans="15:15" x14ac:dyDescent="0.25">
      <c r="O840422" s="9"/>
    </row>
    <row r="840443" spans="15:15" x14ac:dyDescent="0.25">
      <c r="O840443" s="9"/>
    </row>
    <row r="840464" spans="15:15" x14ac:dyDescent="0.25">
      <c r="O840464" s="9"/>
    </row>
    <row r="840485" spans="15:15" x14ac:dyDescent="0.25">
      <c r="O840485" s="9"/>
    </row>
    <row r="840506" spans="15:15" x14ac:dyDescent="0.25">
      <c r="O840506" s="9"/>
    </row>
    <row r="840527" spans="15:15" x14ac:dyDescent="0.25">
      <c r="O840527" s="9"/>
    </row>
    <row r="840548" spans="15:15" x14ac:dyDescent="0.25">
      <c r="O840548" s="9"/>
    </row>
    <row r="840569" spans="15:15" x14ac:dyDescent="0.25">
      <c r="O840569" s="9"/>
    </row>
    <row r="840590" spans="15:15" x14ac:dyDescent="0.25">
      <c r="O840590" s="9"/>
    </row>
    <row r="840611" spans="15:15" x14ac:dyDescent="0.25">
      <c r="O840611" s="9"/>
    </row>
    <row r="840632" spans="15:15" x14ac:dyDescent="0.25">
      <c r="O840632" s="9"/>
    </row>
    <row r="840653" spans="15:15" x14ac:dyDescent="0.25">
      <c r="O840653" s="9"/>
    </row>
    <row r="840674" spans="15:15" x14ac:dyDescent="0.25">
      <c r="O840674" s="9"/>
    </row>
    <row r="840695" spans="15:15" x14ac:dyDescent="0.25">
      <c r="O840695" s="9"/>
    </row>
    <row r="840716" spans="15:15" x14ac:dyDescent="0.25">
      <c r="O840716" s="9"/>
    </row>
    <row r="840737" spans="15:15" x14ac:dyDescent="0.25">
      <c r="O840737" s="9"/>
    </row>
    <row r="840758" spans="15:15" x14ac:dyDescent="0.25">
      <c r="O840758" s="9"/>
    </row>
    <row r="840779" spans="15:15" x14ac:dyDescent="0.25">
      <c r="O840779" s="9"/>
    </row>
    <row r="840800" spans="15:15" x14ac:dyDescent="0.25">
      <c r="O840800" s="9"/>
    </row>
    <row r="840821" spans="15:15" x14ac:dyDescent="0.25">
      <c r="O840821" s="9"/>
    </row>
    <row r="840842" spans="15:15" x14ac:dyDescent="0.25">
      <c r="O840842" s="9"/>
    </row>
    <row r="840863" spans="15:15" x14ac:dyDescent="0.25">
      <c r="O840863" s="9"/>
    </row>
    <row r="840884" spans="15:15" x14ac:dyDescent="0.25">
      <c r="O840884" s="9"/>
    </row>
    <row r="840905" spans="15:15" x14ac:dyDescent="0.25">
      <c r="O840905" s="9"/>
    </row>
    <row r="840926" spans="15:15" x14ac:dyDescent="0.25">
      <c r="O840926" s="9"/>
    </row>
    <row r="840947" spans="15:15" x14ac:dyDescent="0.25">
      <c r="O840947" s="9"/>
    </row>
    <row r="840968" spans="15:15" x14ac:dyDescent="0.25">
      <c r="O840968" s="9"/>
    </row>
    <row r="840989" spans="15:15" x14ac:dyDescent="0.25">
      <c r="O840989" s="9"/>
    </row>
    <row r="841010" spans="15:15" x14ac:dyDescent="0.25">
      <c r="O841010" s="9"/>
    </row>
    <row r="841031" spans="15:15" x14ac:dyDescent="0.25">
      <c r="O841031" s="9"/>
    </row>
    <row r="841052" spans="15:15" x14ac:dyDescent="0.25">
      <c r="O841052" s="9"/>
    </row>
    <row r="841073" spans="15:15" x14ac:dyDescent="0.25">
      <c r="O841073" s="9"/>
    </row>
    <row r="841094" spans="15:15" x14ac:dyDescent="0.25">
      <c r="O841094" s="9"/>
    </row>
    <row r="841115" spans="15:15" x14ac:dyDescent="0.25">
      <c r="O841115" s="9"/>
    </row>
    <row r="841136" spans="15:15" x14ac:dyDescent="0.25">
      <c r="O841136" s="9"/>
    </row>
    <row r="841157" spans="15:15" x14ac:dyDescent="0.25">
      <c r="O841157" s="9"/>
    </row>
    <row r="841178" spans="15:15" x14ac:dyDescent="0.25">
      <c r="O841178" s="9"/>
    </row>
    <row r="841199" spans="15:15" x14ac:dyDescent="0.25">
      <c r="O841199" s="9"/>
    </row>
    <row r="841220" spans="15:15" x14ac:dyDescent="0.25">
      <c r="O841220" s="9"/>
    </row>
    <row r="841241" spans="15:15" x14ac:dyDescent="0.25">
      <c r="O841241" s="9"/>
    </row>
    <row r="841262" spans="15:15" x14ac:dyDescent="0.25">
      <c r="O841262" s="9"/>
    </row>
    <row r="841283" spans="15:15" x14ac:dyDescent="0.25">
      <c r="O841283" s="9"/>
    </row>
    <row r="841304" spans="15:15" x14ac:dyDescent="0.25">
      <c r="O841304" s="9"/>
    </row>
    <row r="841325" spans="15:15" x14ac:dyDescent="0.25">
      <c r="O841325" s="9"/>
    </row>
    <row r="841346" spans="15:15" x14ac:dyDescent="0.25">
      <c r="O841346" s="9"/>
    </row>
    <row r="841367" spans="15:15" x14ac:dyDescent="0.25">
      <c r="O841367" s="9"/>
    </row>
    <row r="841388" spans="15:15" x14ac:dyDescent="0.25">
      <c r="O841388" s="9"/>
    </row>
    <row r="841409" spans="15:15" x14ac:dyDescent="0.25">
      <c r="O841409" s="9"/>
    </row>
    <row r="841430" spans="15:15" x14ac:dyDescent="0.25">
      <c r="O841430" s="9"/>
    </row>
    <row r="841451" spans="15:15" x14ac:dyDescent="0.25">
      <c r="O841451" s="9"/>
    </row>
    <row r="841472" spans="15:15" x14ac:dyDescent="0.25">
      <c r="O841472" s="9"/>
    </row>
    <row r="841493" spans="15:15" x14ac:dyDescent="0.25">
      <c r="O841493" s="9"/>
    </row>
    <row r="841514" spans="15:15" x14ac:dyDescent="0.25">
      <c r="O841514" s="9"/>
    </row>
    <row r="841535" spans="15:15" x14ac:dyDescent="0.25">
      <c r="O841535" s="9"/>
    </row>
    <row r="841556" spans="15:15" x14ac:dyDescent="0.25">
      <c r="O841556" s="9"/>
    </row>
    <row r="841577" spans="15:15" x14ac:dyDescent="0.25">
      <c r="O841577" s="9"/>
    </row>
    <row r="841598" spans="15:15" x14ac:dyDescent="0.25">
      <c r="O841598" s="9"/>
    </row>
    <row r="841619" spans="15:15" x14ac:dyDescent="0.25">
      <c r="O841619" s="9"/>
    </row>
    <row r="841640" spans="15:15" x14ac:dyDescent="0.25">
      <c r="O841640" s="9"/>
    </row>
    <row r="841661" spans="15:15" x14ac:dyDescent="0.25">
      <c r="O841661" s="9"/>
    </row>
    <row r="841682" spans="15:15" x14ac:dyDescent="0.25">
      <c r="O841682" s="9"/>
    </row>
    <row r="841703" spans="15:15" x14ac:dyDescent="0.25">
      <c r="O841703" s="9"/>
    </row>
    <row r="841724" spans="15:15" x14ac:dyDescent="0.25">
      <c r="O841724" s="9"/>
    </row>
    <row r="841745" spans="15:15" x14ac:dyDescent="0.25">
      <c r="O841745" s="9"/>
    </row>
    <row r="841766" spans="15:15" x14ac:dyDescent="0.25">
      <c r="O841766" s="9"/>
    </row>
    <row r="841787" spans="15:15" x14ac:dyDescent="0.25">
      <c r="O841787" s="9"/>
    </row>
    <row r="841808" spans="15:15" x14ac:dyDescent="0.25">
      <c r="O841808" s="9"/>
    </row>
    <row r="841829" spans="15:15" x14ac:dyDescent="0.25">
      <c r="O841829" s="9"/>
    </row>
    <row r="841850" spans="15:15" x14ac:dyDescent="0.25">
      <c r="O841850" s="9"/>
    </row>
    <row r="841871" spans="15:15" x14ac:dyDescent="0.25">
      <c r="O841871" s="9"/>
    </row>
    <row r="841892" spans="15:15" x14ac:dyDescent="0.25">
      <c r="O841892" s="9"/>
    </row>
    <row r="841913" spans="15:15" x14ac:dyDescent="0.25">
      <c r="O841913" s="9"/>
    </row>
    <row r="841934" spans="15:15" x14ac:dyDescent="0.25">
      <c r="O841934" s="9"/>
    </row>
    <row r="841955" spans="15:15" x14ac:dyDescent="0.25">
      <c r="O841955" s="9"/>
    </row>
    <row r="841976" spans="15:15" x14ac:dyDescent="0.25">
      <c r="O841976" s="9"/>
    </row>
    <row r="841997" spans="15:15" x14ac:dyDescent="0.25">
      <c r="O841997" s="9"/>
    </row>
    <row r="842018" spans="15:15" x14ac:dyDescent="0.25">
      <c r="O842018" s="9"/>
    </row>
    <row r="842039" spans="15:15" x14ac:dyDescent="0.25">
      <c r="O842039" s="9"/>
    </row>
    <row r="842060" spans="15:15" x14ac:dyDescent="0.25">
      <c r="O842060" s="9"/>
    </row>
    <row r="842081" spans="15:15" x14ac:dyDescent="0.25">
      <c r="O842081" s="9"/>
    </row>
    <row r="842102" spans="15:15" x14ac:dyDescent="0.25">
      <c r="O842102" s="9"/>
    </row>
    <row r="842123" spans="15:15" x14ac:dyDescent="0.25">
      <c r="O842123" s="9"/>
    </row>
    <row r="842144" spans="15:15" x14ac:dyDescent="0.25">
      <c r="O842144" s="9"/>
    </row>
    <row r="842165" spans="15:15" x14ac:dyDescent="0.25">
      <c r="O842165" s="9"/>
    </row>
    <row r="842186" spans="15:15" x14ac:dyDescent="0.25">
      <c r="O842186" s="9"/>
    </row>
    <row r="842207" spans="15:15" x14ac:dyDescent="0.25">
      <c r="O842207" s="9"/>
    </row>
    <row r="842228" spans="15:15" x14ac:dyDescent="0.25">
      <c r="O842228" s="9"/>
    </row>
    <row r="842249" spans="15:15" x14ac:dyDescent="0.25">
      <c r="O842249" s="9"/>
    </row>
    <row r="842270" spans="15:15" x14ac:dyDescent="0.25">
      <c r="O842270" s="9"/>
    </row>
    <row r="842291" spans="15:15" x14ac:dyDescent="0.25">
      <c r="O842291" s="9"/>
    </row>
    <row r="842312" spans="15:15" x14ac:dyDescent="0.25">
      <c r="O842312" s="9"/>
    </row>
    <row r="842333" spans="15:15" x14ac:dyDescent="0.25">
      <c r="O842333" s="9"/>
    </row>
    <row r="842354" spans="15:15" x14ac:dyDescent="0.25">
      <c r="O842354" s="9"/>
    </row>
    <row r="842375" spans="15:15" x14ac:dyDescent="0.25">
      <c r="O842375" s="9"/>
    </row>
    <row r="842396" spans="15:15" x14ac:dyDescent="0.25">
      <c r="O842396" s="9"/>
    </row>
    <row r="842417" spans="15:15" x14ac:dyDescent="0.25">
      <c r="O842417" s="9"/>
    </row>
    <row r="842438" spans="15:15" x14ac:dyDescent="0.25">
      <c r="O842438" s="9"/>
    </row>
    <row r="842459" spans="15:15" x14ac:dyDescent="0.25">
      <c r="O842459" s="9"/>
    </row>
    <row r="842480" spans="15:15" x14ac:dyDescent="0.25">
      <c r="O842480" s="9"/>
    </row>
    <row r="842501" spans="15:15" x14ac:dyDescent="0.25">
      <c r="O842501" s="9"/>
    </row>
    <row r="842522" spans="15:15" x14ac:dyDescent="0.25">
      <c r="O842522" s="9"/>
    </row>
    <row r="842543" spans="15:15" x14ac:dyDescent="0.25">
      <c r="O842543" s="9"/>
    </row>
    <row r="842564" spans="15:15" x14ac:dyDescent="0.25">
      <c r="O842564" s="9"/>
    </row>
    <row r="842585" spans="15:15" x14ac:dyDescent="0.25">
      <c r="O842585" s="9"/>
    </row>
    <row r="842606" spans="15:15" x14ac:dyDescent="0.25">
      <c r="O842606" s="9"/>
    </row>
    <row r="842627" spans="15:15" x14ac:dyDescent="0.25">
      <c r="O842627" s="9"/>
    </row>
    <row r="842648" spans="15:15" x14ac:dyDescent="0.25">
      <c r="O842648" s="9"/>
    </row>
    <row r="842669" spans="15:15" x14ac:dyDescent="0.25">
      <c r="O842669" s="9"/>
    </row>
    <row r="842690" spans="15:15" x14ac:dyDescent="0.25">
      <c r="O842690" s="9"/>
    </row>
    <row r="842711" spans="15:15" x14ac:dyDescent="0.25">
      <c r="O842711" s="9"/>
    </row>
    <row r="842732" spans="15:15" x14ac:dyDescent="0.25">
      <c r="O842732" s="9"/>
    </row>
    <row r="842753" spans="15:15" x14ac:dyDescent="0.25">
      <c r="O842753" s="9"/>
    </row>
    <row r="842774" spans="15:15" x14ac:dyDescent="0.25">
      <c r="O842774" s="9"/>
    </row>
    <row r="842795" spans="15:15" x14ac:dyDescent="0.25">
      <c r="O842795" s="9"/>
    </row>
    <row r="842816" spans="15:15" x14ac:dyDescent="0.25">
      <c r="O842816" s="9"/>
    </row>
    <row r="842837" spans="15:15" x14ac:dyDescent="0.25">
      <c r="O842837" s="9"/>
    </row>
    <row r="842858" spans="15:15" x14ac:dyDescent="0.25">
      <c r="O842858" s="9"/>
    </row>
    <row r="842879" spans="15:15" x14ac:dyDescent="0.25">
      <c r="O842879" s="9"/>
    </row>
    <row r="842900" spans="15:15" x14ac:dyDescent="0.25">
      <c r="O842900" s="9"/>
    </row>
    <row r="842921" spans="15:15" x14ac:dyDescent="0.25">
      <c r="O842921" s="9"/>
    </row>
    <row r="842942" spans="15:15" x14ac:dyDescent="0.25">
      <c r="O842942" s="9"/>
    </row>
    <row r="842963" spans="15:15" x14ac:dyDescent="0.25">
      <c r="O842963" s="9"/>
    </row>
    <row r="842984" spans="15:15" x14ac:dyDescent="0.25">
      <c r="O842984" s="9"/>
    </row>
    <row r="843005" spans="15:15" x14ac:dyDescent="0.25">
      <c r="O843005" s="9"/>
    </row>
    <row r="843026" spans="15:15" x14ac:dyDescent="0.25">
      <c r="O843026" s="9"/>
    </row>
    <row r="843047" spans="15:15" x14ac:dyDescent="0.25">
      <c r="O843047" s="9"/>
    </row>
    <row r="843068" spans="15:15" x14ac:dyDescent="0.25">
      <c r="O843068" s="9"/>
    </row>
    <row r="843089" spans="15:15" x14ac:dyDescent="0.25">
      <c r="O843089" s="9"/>
    </row>
    <row r="843110" spans="15:15" x14ac:dyDescent="0.25">
      <c r="O843110" s="9"/>
    </row>
    <row r="843131" spans="15:15" x14ac:dyDescent="0.25">
      <c r="O843131" s="9"/>
    </row>
    <row r="843152" spans="15:15" x14ac:dyDescent="0.25">
      <c r="O843152" s="9"/>
    </row>
    <row r="843173" spans="15:15" x14ac:dyDescent="0.25">
      <c r="O843173" s="9"/>
    </row>
    <row r="843194" spans="15:15" x14ac:dyDescent="0.25">
      <c r="O843194" s="9"/>
    </row>
    <row r="843215" spans="15:15" x14ac:dyDescent="0.25">
      <c r="O843215" s="9"/>
    </row>
    <row r="843236" spans="15:15" x14ac:dyDescent="0.25">
      <c r="O843236" s="9"/>
    </row>
    <row r="843257" spans="15:15" x14ac:dyDescent="0.25">
      <c r="O843257" s="9"/>
    </row>
    <row r="843278" spans="15:15" x14ac:dyDescent="0.25">
      <c r="O843278" s="9"/>
    </row>
    <row r="843299" spans="15:15" x14ac:dyDescent="0.25">
      <c r="O843299" s="9"/>
    </row>
    <row r="843320" spans="15:15" x14ac:dyDescent="0.25">
      <c r="O843320" s="9"/>
    </row>
    <row r="843341" spans="15:15" x14ac:dyDescent="0.25">
      <c r="O843341" s="9"/>
    </row>
    <row r="843362" spans="15:15" x14ac:dyDescent="0.25">
      <c r="O843362" s="9"/>
    </row>
    <row r="843383" spans="15:15" x14ac:dyDescent="0.25">
      <c r="O843383" s="9"/>
    </row>
    <row r="843404" spans="15:15" x14ac:dyDescent="0.25">
      <c r="O843404" s="9"/>
    </row>
    <row r="843425" spans="15:15" x14ac:dyDescent="0.25">
      <c r="O843425" s="9"/>
    </row>
    <row r="843446" spans="15:15" x14ac:dyDescent="0.25">
      <c r="O843446" s="9"/>
    </row>
    <row r="843467" spans="15:15" x14ac:dyDescent="0.25">
      <c r="O843467" s="9"/>
    </row>
    <row r="843488" spans="15:15" x14ac:dyDescent="0.25">
      <c r="O843488" s="9"/>
    </row>
    <row r="843509" spans="15:15" x14ac:dyDescent="0.25">
      <c r="O843509" s="9"/>
    </row>
    <row r="843530" spans="15:15" x14ac:dyDescent="0.25">
      <c r="O843530" s="9"/>
    </row>
    <row r="843551" spans="15:15" x14ac:dyDescent="0.25">
      <c r="O843551" s="9"/>
    </row>
    <row r="843572" spans="15:15" x14ac:dyDescent="0.25">
      <c r="O843572" s="9"/>
    </row>
    <row r="843593" spans="15:15" x14ac:dyDescent="0.25">
      <c r="O843593" s="9"/>
    </row>
    <row r="843614" spans="15:15" x14ac:dyDescent="0.25">
      <c r="O843614" s="9"/>
    </row>
    <row r="843635" spans="15:15" x14ac:dyDescent="0.25">
      <c r="O843635" s="9"/>
    </row>
    <row r="843656" spans="15:15" x14ac:dyDescent="0.25">
      <c r="O843656" s="9"/>
    </row>
    <row r="843677" spans="15:15" x14ac:dyDescent="0.25">
      <c r="O843677" s="9"/>
    </row>
    <row r="843698" spans="15:15" x14ac:dyDescent="0.25">
      <c r="O843698" s="9"/>
    </row>
    <row r="843719" spans="15:15" x14ac:dyDescent="0.25">
      <c r="O843719" s="9"/>
    </row>
    <row r="843740" spans="15:15" x14ac:dyDescent="0.25">
      <c r="O843740" s="9"/>
    </row>
    <row r="843761" spans="15:15" x14ac:dyDescent="0.25">
      <c r="O843761" s="9"/>
    </row>
    <row r="843782" spans="15:15" x14ac:dyDescent="0.25">
      <c r="O843782" s="9"/>
    </row>
    <row r="843803" spans="15:15" x14ac:dyDescent="0.25">
      <c r="O843803" s="9"/>
    </row>
    <row r="843824" spans="15:15" x14ac:dyDescent="0.25">
      <c r="O843824" s="9"/>
    </row>
    <row r="843845" spans="15:15" x14ac:dyDescent="0.25">
      <c r="O843845" s="9"/>
    </row>
    <row r="843866" spans="15:15" x14ac:dyDescent="0.25">
      <c r="O843866" s="9"/>
    </row>
    <row r="843887" spans="15:15" x14ac:dyDescent="0.25">
      <c r="O843887" s="9"/>
    </row>
    <row r="843908" spans="15:15" x14ac:dyDescent="0.25">
      <c r="O843908" s="9"/>
    </row>
    <row r="843929" spans="15:15" x14ac:dyDescent="0.25">
      <c r="O843929" s="9"/>
    </row>
    <row r="843950" spans="15:15" x14ac:dyDescent="0.25">
      <c r="O843950" s="9"/>
    </row>
    <row r="843971" spans="15:15" x14ac:dyDescent="0.25">
      <c r="O843971" s="9"/>
    </row>
    <row r="843992" spans="15:15" x14ac:dyDescent="0.25">
      <c r="O843992" s="9"/>
    </row>
    <row r="844013" spans="15:15" x14ac:dyDescent="0.25">
      <c r="O844013" s="9"/>
    </row>
    <row r="844034" spans="15:15" x14ac:dyDescent="0.25">
      <c r="O844034" s="9"/>
    </row>
    <row r="844055" spans="15:15" x14ac:dyDescent="0.25">
      <c r="O844055" s="9"/>
    </row>
    <row r="844076" spans="15:15" x14ac:dyDescent="0.25">
      <c r="O844076" s="9"/>
    </row>
    <row r="844097" spans="15:15" x14ac:dyDescent="0.25">
      <c r="O844097" s="9"/>
    </row>
    <row r="844118" spans="15:15" x14ac:dyDescent="0.25">
      <c r="O844118" s="9"/>
    </row>
    <row r="844139" spans="15:15" x14ac:dyDescent="0.25">
      <c r="O844139" s="9"/>
    </row>
    <row r="844160" spans="15:15" x14ac:dyDescent="0.25">
      <c r="O844160" s="9"/>
    </row>
    <row r="844181" spans="15:15" x14ac:dyDescent="0.25">
      <c r="O844181" s="9"/>
    </row>
    <row r="844202" spans="15:15" x14ac:dyDescent="0.25">
      <c r="O844202" s="9"/>
    </row>
    <row r="844223" spans="15:15" x14ac:dyDescent="0.25">
      <c r="O844223" s="9"/>
    </row>
    <row r="844244" spans="15:15" x14ac:dyDescent="0.25">
      <c r="O844244" s="9"/>
    </row>
    <row r="844265" spans="15:15" x14ac:dyDescent="0.25">
      <c r="O844265" s="9"/>
    </row>
    <row r="844286" spans="15:15" x14ac:dyDescent="0.25">
      <c r="O844286" s="9"/>
    </row>
    <row r="844307" spans="15:15" x14ac:dyDescent="0.25">
      <c r="O844307" s="9"/>
    </row>
    <row r="844328" spans="15:15" x14ac:dyDescent="0.25">
      <c r="O844328" s="9"/>
    </row>
    <row r="844349" spans="15:15" x14ac:dyDescent="0.25">
      <c r="O844349" s="9"/>
    </row>
    <row r="844370" spans="15:15" x14ac:dyDescent="0.25">
      <c r="O844370" s="9"/>
    </row>
    <row r="844391" spans="15:15" x14ac:dyDescent="0.25">
      <c r="O844391" s="9"/>
    </row>
    <row r="844412" spans="15:15" x14ac:dyDescent="0.25">
      <c r="O844412" s="9"/>
    </row>
    <row r="844433" spans="15:15" x14ac:dyDescent="0.25">
      <c r="O844433" s="9"/>
    </row>
    <row r="844454" spans="15:15" x14ac:dyDescent="0.25">
      <c r="O844454" s="9"/>
    </row>
    <row r="844475" spans="15:15" x14ac:dyDescent="0.25">
      <c r="O844475" s="9"/>
    </row>
    <row r="844496" spans="15:15" x14ac:dyDescent="0.25">
      <c r="O844496" s="9"/>
    </row>
    <row r="844517" spans="15:15" x14ac:dyDescent="0.25">
      <c r="O844517" s="9"/>
    </row>
    <row r="844538" spans="15:15" x14ac:dyDescent="0.25">
      <c r="O844538" s="9"/>
    </row>
    <row r="844559" spans="15:15" x14ac:dyDescent="0.25">
      <c r="O844559" s="9"/>
    </row>
    <row r="844580" spans="15:15" x14ac:dyDescent="0.25">
      <c r="O844580" s="9"/>
    </row>
    <row r="844601" spans="15:15" x14ac:dyDescent="0.25">
      <c r="O844601" s="9"/>
    </row>
    <row r="844622" spans="15:15" x14ac:dyDescent="0.25">
      <c r="O844622" s="9"/>
    </row>
    <row r="844643" spans="15:15" x14ac:dyDescent="0.25">
      <c r="O844643" s="9"/>
    </row>
    <row r="844664" spans="15:15" x14ac:dyDescent="0.25">
      <c r="O844664" s="9"/>
    </row>
    <row r="844685" spans="15:15" x14ac:dyDescent="0.25">
      <c r="O844685" s="9"/>
    </row>
    <row r="844706" spans="15:15" x14ac:dyDescent="0.25">
      <c r="O844706" s="9"/>
    </row>
    <row r="844727" spans="15:15" x14ac:dyDescent="0.25">
      <c r="O844727" s="9"/>
    </row>
    <row r="844748" spans="15:15" x14ac:dyDescent="0.25">
      <c r="O844748" s="9"/>
    </row>
    <row r="844769" spans="15:15" x14ac:dyDescent="0.25">
      <c r="O844769" s="9"/>
    </row>
    <row r="844790" spans="15:15" x14ac:dyDescent="0.25">
      <c r="O844790" s="9"/>
    </row>
    <row r="844811" spans="15:15" x14ac:dyDescent="0.25">
      <c r="O844811" s="9"/>
    </row>
    <row r="844832" spans="15:15" x14ac:dyDescent="0.25">
      <c r="O844832" s="9"/>
    </row>
    <row r="844853" spans="15:15" x14ac:dyDescent="0.25">
      <c r="O844853" s="9"/>
    </row>
    <row r="844874" spans="15:15" x14ac:dyDescent="0.25">
      <c r="O844874" s="9"/>
    </row>
    <row r="844895" spans="15:15" x14ac:dyDescent="0.25">
      <c r="O844895" s="9"/>
    </row>
    <row r="844916" spans="15:15" x14ac:dyDescent="0.25">
      <c r="O844916" s="9"/>
    </row>
    <row r="844937" spans="15:15" x14ac:dyDescent="0.25">
      <c r="O844937" s="9"/>
    </row>
    <row r="844958" spans="15:15" x14ac:dyDescent="0.25">
      <c r="O844958" s="9"/>
    </row>
    <row r="844979" spans="15:15" x14ac:dyDescent="0.25">
      <c r="O844979" s="9"/>
    </row>
    <row r="845000" spans="15:15" x14ac:dyDescent="0.25">
      <c r="O845000" s="9"/>
    </row>
    <row r="845021" spans="15:15" x14ac:dyDescent="0.25">
      <c r="O845021" s="9"/>
    </row>
    <row r="845042" spans="15:15" x14ac:dyDescent="0.25">
      <c r="O845042" s="9"/>
    </row>
    <row r="845063" spans="15:15" x14ac:dyDescent="0.25">
      <c r="O845063" s="9"/>
    </row>
    <row r="845084" spans="15:15" x14ac:dyDescent="0.25">
      <c r="O845084" s="9"/>
    </row>
    <row r="845105" spans="15:15" x14ac:dyDescent="0.25">
      <c r="O845105" s="9"/>
    </row>
    <row r="845126" spans="15:15" x14ac:dyDescent="0.25">
      <c r="O845126" s="9"/>
    </row>
    <row r="845147" spans="15:15" x14ac:dyDescent="0.25">
      <c r="O845147" s="9"/>
    </row>
    <row r="845168" spans="15:15" x14ac:dyDescent="0.25">
      <c r="O845168" s="9"/>
    </row>
    <row r="845189" spans="15:15" x14ac:dyDescent="0.25">
      <c r="O845189" s="9"/>
    </row>
    <row r="845210" spans="15:15" x14ac:dyDescent="0.25">
      <c r="O845210" s="9"/>
    </row>
    <row r="845231" spans="15:15" x14ac:dyDescent="0.25">
      <c r="O845231" s="9"/>
    </row>
    <row r="845252" spans="15:15" x14ac:dyDescent="0.25">
      <c r="O845252" s="9"/>
    </row>
    <row r="845273" spans="15:15" x14ac:dyDescent="0.25">
      <c r="O845273" s="9"/>
    </row>
    <row r="845294" spans="15:15" x14ac:dyDescent="0.25">
      <c r="O845294" s="9"/>
    </row>
    <row r="845315" spans="15:15" x14ac:dyDescent="0.25">
      <c r="O845315" s="9"/>
    </row>
    <row r="845336" spans="15:15" x14ac:dyDescent="0.25">
      <c r="O845336" s="9"/>
    </row>
    <row r="845357" spans="15:15" x14ac:dyDescent="0.25">
      <c r="O845357" s="9"/>
    </row>
    <row r="845378" spans="15:15" x14ac:dyDescent="0.25">
      <c r="O845378" s="9"/>
    </row>
    <row r="845399" spans="15:15" x14ac:dyDescent="0.25">
      <c r="O845399" s="9"/>
    </row>
    <row r="845420" spans="15:15" x14ac:dyDescent="0.25">
      <c r="O845420" s="9"/>
    </row>
    <row r="845441" spans="15:15" x14ac:dyDescent="0.25">
      <c r="O845441" s="9"/>
    </row>
    <row r="845462" spans="15:15" x14ac:dyDescent="0.25">
      <c r="O845462" s="9"/>
    </row>
    <row r="845483" spans="15:15" x14ac:dyDescent="0.25">
      <c r="O845483" s="9"/>
    </row>
    <row r="845504" spans="15:15" x14ac:dyDescent="0.25">
      <c r="O845504" s="9"/>
    </row>
    <row r="845525" spans="15:15" x14ac:dyDescent="0.25">
      <c r="O845525" s="9"/>
    </row>
    <row r="845546" spans="15:15" x14ac:dyDescent="0.25">
      <c r="O845546" s="9"/>
    </row>
    <row r="845567" spans="15:15" x14ac:dyDescent="0.25">
      <c r="O845567" s="9"/>
    </row>
    <row r="845588" spans="15:15" x14ac:dyDescent="0.25">
      <c r="O845588" s="9"/>
    </row>
    <row r="845609" spans="15:15" x14ac:dyDescent="0.25">
      <c r="O845609" s="9"/>
    </row>
    <row r="845630" spans="15:15" x14ac:dyDescent="0.25">
      <c r="O845630" s="9"/>
    </row>
    <row r="845651" spans="15:15" x14ac:dyDescent="0.25">
      <c r="O845651" s="9"/>
    </row>
    <row r="845672" spans="15:15" x14ac:dyDescent="0.25">
      <c r="O845672" s="9"/>
    </row>
    <row r="845693" spans="15:15" x14ac:dyDescent="0.25">
      <c r="O845693" s="9"/>
    </row>
    <row r="845714" spans="15:15" x14ac:dyDescent="0.25">
      <c r="O845714" s="9"/>
    </row>
    <row r="845735" spans="15:15" x14ac:dyDescent="0.25">
      <c r="O845735" s="9"/>
    </row>
    <row r="845756" spans="15:15" x14ac:dyDescent="0.25">
      <c r="O845756" s="9"/>
    </row>
    <row r="845777" spans="15:15" x14ac:dyDescent="0.25">
      <c r="O845777" s="9"/>
    </row>
    <row r="845798" spans="15:15" x14ac:dyDescent="0.25">
      <c r="O845798" s="9"/>
    </row>
    <row r="845819" spans="15:15" x14ac:dyDescent="0.25">
      <c r="O845819" s="9"/>
    </row>
    <row r="845840" spans="15:15" x14ac:dyDescent="0.25">
      <c r="O845840" s="9"/>
    </row>
    <row r="845861" spans="15:15" x14ac:dyDescent="0.25">
      <c r="O845861" s="9"/>
    </row>
    <row r="845882" spans="15:15" x14ac:dyDescent="0.25">
      <c r="O845882" s="9"/>
    </row>
    <row r="845903" spans="15:15" x14ac:dyDescent="0.25">
      <c r="O845903" s="9"/>
    </row>
    <row r="845924" spans="15:15" x14ac:dyDescent="0.25">
      <c r="O845924" s="9"/>
    </row>
    <row r="845945" spans="15:15" x14ac:dyDescent="0.25">
      <c r="O845945" s="9"/>
    </row>
    <row r="845966" spans="15:15" x14ac:dyDescent="0.25">
      <c r="O845966" s="9"/>
    </row>
    <row r="845987" spans="15:15" x14ac:dyDescent="0.25">
      <c r="O845987" s="9"/>
    </row>
    <row r="846008" spans="15:15" x14ac:dyDescent="0.25">
      <c r="O846008" s="9"/>
    </row>
    <row r="846029" spans="15:15" x14ac:dyDescent="0.25">
      <c r="O846029" s="9"/>
    </row>
    <row r="846050" spans="15:15" x14ac:dyDescent="0.25">
      <c r="O846050" s="9"/>
    </row>
    <row r="846071" spans="15:15" x14ac:dyDescent="0.25">
      <c r="O846071" s="9"/>
    </row>
    <row r="846092" spans="15:15" x14ac:dyDescent="0.25">
      <c r="O846092" s="9"/>
    </row>
    <row r="846113" spans="15:15" x14ac:dyDescent="0.25">
      <c r="O846113" s="9"/>
    </row>
    <row r="846134" spans="15:15" x14ac:dyDescent="0.25">
      <c r="O846134" s="9"/>
    </row>
    <row r="846155" spans="15:15" x14ac:dyDescent="0.25">
      <c r="O846155" s="9"/>
    </row>
    <row r="846176" spans="15:15" x14ac:dyDescent="0.25">
      <c r="O846176" s="9"/>
    </row>
    <row r="846197" spans="15:15" x14ac:dyDescent="0.25">
      <c r="O846197" s="9"/>
    </row>
    <row r="846218" spans="15:15" x14ac:dyDescent="0.25">
      <c r="O846218" s="9"/>
    </row>
    <row r="846239" spans="15:15" x14ac:dyDescent="0.25">
      <c r="O846239" s="9"/>
    </row>
    <row r="846260" spans="15:15" x14ac:dyDescent="0.25">
      <c r="O846260" s="9"/>
    </row>
    <row r="846281" spans="15:15" x14ac:dyDescent="0.25">
      <c r="O846281" s="9"/>
    </row>
    <row r="846302" spans="15:15" x14ac:dyDescent="0.25">
      <c r="O846302" s="9"/>
    </row>
    <row r="846323" spans="15:15" x14ac:dyDescent="0.25">
      <c r="O846323" s="9"/>
    </row>
    <row r="846344" spans="15:15" x14ac:dyDescent="0.25">
      <c r="O846344" s="9"/>
    </row>
    <row r="846365" spans="15:15" x14ac:dyDescent="0.25">
      <c r="O846365" s="9"/>
    </row>
    <row r="846386" spans="15:15" x14ac:dyDescent="0.25">
      <c r="O846386" s="9"/>
    </row>
    <row r="846407" spans="15:15" x14ac:dyDescent="0.25">
      <c r="O846407" s="9"/>
    </row>
    <row r="846428" spans="15:15" x14ac:dyDescent="0.25">
      <c r="O846428" s="9"/>
    </row>
    <row r="846449" spans="15:15" x14ac:dyDescent="0.25">
      <c r="O846449" s="9"/>
    </row>
    <row r="846470" spans="15:15" x14ac:dyDescent="0.25">
      <c r="O846470" s="9"/>
    </row>
    <row r="846491" spans="15:15" x14ac:dyDescent="0.25">
      <c r="O846491" s="9"/>
    </row>
    <row r="846512" spans="15:15" x14ac:dyDescent="0.25">
      <c r="O846512" s="9"/>
    </row>
    <row r="846533" spans="15:15" x14ac:dyDescent="0.25">
      <c r="O846533" s="9"/>
    </row>
    <row r="846554" spans="15:15" x14ac:dyDescent="0.25">
      <c r="O846554" s="9"/>
    </row>
    <row r="846575" spans="15:15" x14ac:dyDescent="0.25">
      <c r="O846575" s="9"/>
    </row>
    <row r="846596" spans="15:15" x14ac:dyDescent="0.25">
      <c r="O846596" s="9"/>
    </row>
    <row r="846617" spans="15:15" x14ac:dyDescent="0.25">
      <c r="O846617" s="9"/>
    </row>
    <row r="846638" spans="15:15" x14ac:dyDescent="0.25">
      <c r="O846638" s="9"/>
    </row>
    <row r="846659" spans="15:15" x14ac:dyDescent="0.25">
      <c r="O846659" s="9"/>
    </row>
    <row r="846680" spans="15:15" x14ac:dyDescent="0.25">
      <c r="O846680" s="9"/>
    </row>
    <row r="846701" spans="15:15" x14ac:dyDescent="0.25">
      <c r="O846701" s="9"/>
    </row>
    <row r="846722" spans="15:15" x14ac:dyDescent="0.25">
      <c r="O846722" s="9"/>
    </row>
    <row r="846743" spans="15:15" x14ac:dyDescent="0.25">
      <c r="O846743" s="9"/>
    </row>
    <row r="846764" spans="15:15" x14ac:dyDescent="0.25">
      <c r="O846764" s="9"/>
    </row>
    <row r="846785" spans="15:15" x14ac:dyDescent="0.25">
      <c r="O846785" s="9"/>
    </row>
    <row r="846806" spans="15:15" x14ac:dyDescent="0.25">
      <c r="O846806" s="9"/>
    </row>
    <row r="846827" spans="15:15" x14ac:dyDescent="0.25">
      <c r="O846827" s="9"/>
    </row>
    <row r="846848" spans="15:15" x14ac:dyDescent="0.25">
      <c r="O846848" s="9"/>
    </row>
    <row r="846869" spans="15:15" x14ac:dyDescent="0.25">
      <c r="O846869" s="9"/>
    </row>
    <row r="846890" spans="15:15" x14ac:dyDescent="0.25">
      <c r="O846890" s="9"/>
    </row>
    <row r="846911" spans="15:15" x14ac:dyDescent="0.25">
      <c r="O846911" s="9"/>
    </row>
    <row r="846932" spans="15:15" x14ac:dyDescent="0.25">
      <c r="O846932" s="9"/>
    </row>
    <row r="846953" spans="15:15" x14ac:dyDescent="0.25">
      <c r="O846953" s="9"/>
    </row>
    <row r="846974" spans="15:15" x14ac:dyDescent="0.25">
      <c r="O846974" s="9"/>
    </row>
    <row r="846995" spans="15:15" x14ac:dyDescent="0.25">
      <c r="O846995" s="9"/>
    </row>
    <row r="847016" spans="15:15" x14ac:dyDescent="0.25">
      <c r="O847016" s="9"/>
    </row>
    <row r="847037" spans="15:15" x14ac:dyDescent="0.25">
      <c r="O847037" s="9"/>
    </row>
    <row r="847058" spans="15:15" x14ac:dyDescent="0.25">
      <c r="O847058" s="9"/>
    </row>
    <row r="847079" spans="15:15" x14ac:dyDescent="0.25">
      <c r="O847079" s="9"/>
    </row>
    <row r="847100" spans="15:15" x14ac:dyDescent="0.25">
      <c r="O847100" s="9"/>
    </row>
    <row r="847121" spans="15:15" x14ac:dyDescent="0.25">
      <c r="O847121" s="9"/>
    </row>
    <row r="847142" spans="15:15" x14ac:dyDescent="0.25">
      <c r="O847142" s="9"/>
    </row>
    <row r="847163" spans="15:15" x14ac:dyDescent="0.25">
      <c r="O847163" s="9"/>
    </row>
    <row r="847184" spans="15:15" x14ac:dyDescent="0.25">
      <c r="O847184" s="9"/>
    </row>
    <row r="847205" spans="15:15" x14ac:dyDescent="0.25">
      <c r="O847205" s="9"/>
    </row>
    <row r="847226" spans="15:15" x14ac:dyDescent="0.25">
      <c r="O847226" s="9"/>
    </row>
    <row r="847247" spans="15:15" x14ac:dyDescent="0.25">
      <c r="O847247" s="9"/>
    </row>
    <row r="847268" spans="15:15" x14ac:dyDescent="0.25">
      <c r="O847268" s="9"/>
    </row>
    <row r="847289" spans="15:15" x14ac:dyDescent="0.25">
      <c r="O847289" s="9"/>
    </row>
    <row r="847310" spans="15:15" x14ac:dyDescent="0.25">
      <c r="O847310" s="9"/>
    </row>
    <row r="847331" spans="15:15" x14ac:dyDescent="0.25">
      <c r="O847331" s="9"/>
    </row>
    <row r="847352" spans="15:15" x14ac:dyDescent="0.25">
      <c r="O847352" s="9"/>
    </row>
    <row r="847373" spans="15:15" x14ac:dyDescent="0.25">
      <c r="O847373" s="9"/>
    </row>
    <row r="847394" spans="15:15" x14ac:dyDescent="0.25">
      <c r="O847394" s="9"/>
    </row>
    <row r="847415" spans="15:15" x14ac:dyDescent="0.25">
      <c r="O847415" s="9"/>
    </row>
    <row r="847436" spans="15:15" x14ac:dyDescent="0.25">
      <c r="O847436" s="9"/>
    </row>
    <row r="847457" spans="15:15" x14ac:dyDescent="0.25">
      <c r="O847457" s="9"/>
    </row>
    <row r="847478" spans="15:15" x14ac:dyDescent="0.25">
      <c r="O847478" s="9"/>
    </row>
    <row r="847499" spans="15:15" x14ac:dyDescent="0.25">
      <c r="O847499" s="9"/>
    </row>
    <row r="847520" spans="15:15" x14ac:dyDescent="0.25">
      <c r="O847520" s="9"/>
    </row>
    <row r="847541" spans="15:15" x14ac:dyDescent="0.25">
      <c r="O847541" s="9"/>
    </row>
    <row r="847562" spans="15:15" x14ac:dyDescent="0.25">
      <c r="O847562" s="9"/>
    </row>
    <row r="847583" spans="15:15" x14ac:dyDescent="0.25">
      <c r="O847583" s="9"/>
    </row>
    <row r="847604" spans="15:15" x14ac:dyDescent="0.25">
      <c r="O847604" s="9"/>
    </row>
    <row r="847625" spans="15:15" x14ac:dyDescent="0.25">
      <c r="O847625" s="9"/>
    </row>
    <row r="847646" spans="15:15" x14ac:dyDescent="0.25">
      <c r="O847646" s="9"/>
    </row>
    <row r="847667" spans="15:15" x14ac:dyDescent="0.25">
      <c r="O847667" s="9"/>
    </row>
    <row r="847688" spans="15:15" x14ac:dyDescent="0.25">
      <c r="O847688" s="9"/>
    </row>
    <row r="847709" spans="15:15" x14ac:dyDescent="0.25">
      <c r="O847709" s="9"/>
    </row>
    <row r="847730" spans="15:15" x14ac:dyDescent="0.25">
      <c r="O847730" s="9"/>
    </row>
    <row r="847751" spans="15:15" x14ac:dyDescent="0.25">
      <c r="O847751" s="9"/>
    </row>
    <row r="847772" spans="15:15" x14ac:dyDescent="0.25">
      <c r="O847772" s="9"/>
    </row>
    <row r="847793" spans="15:15" x14ac:dyDescent="0.25">
      <c r="O847793" s="9"/>
    </row>
    <row r="847814" spans="15:15" x14ac:dyDescent="0.25">
      <c r="O847814" s="9"/>
    </row>
    <row r="847835" spans="15:15" x14ac:dyDescent="0.25">
      <c r="O847835" s="9"/>
    </row>
    <row r="847856" spans="15:15" x14ac:dyDescent="0.25">
      <c r="O847856" s="9"/>
    </row>
    <row r="847877" spans="15:15" x14ac:dyDescent="0.25">
      <c r="O847877" s="9"/>
    </row>
    <row r="847898" spans="15:15" x14ac:dyDescent="0.25">
      <c r="O847898" s="9"/>
    </row>
    <row r="847919" spans="15:15" x14ac:dyDescent="0.25">
      <c r="O847919" s="9"/>
    </row>
    <row r="847940" spans="15:15" x14ac:dyDescent="0.25">
      <c r="O847940" s="9"/>
    </row>
    <row r="847961" spans="15:15" x14ac:dyDescent="0.25">
      <c r="O847961" s="9"/>
    </row>
    <row r="847982" spans="15:15" x14ac:dyDescent="0.25">
      <c r="O847982" s="9"/>
    </row>
    <row r="848003" spans="15:15" x14ac:dyDescent="0.25">
      <c r="O848003" s="9"/>
    </row>
    <row r="848024" spans="15:15" x14ac:dyDescent="0.25">
      <c r="O848024" s="9"/>
    </row>
    <row r="848045" spans="15:15" x14ac:dyDescent="0.25">
      <c r="O848045" s="9"/>
    </row>
    <row r="848066" spans="15:15" x14ac:dyDescent="0.25">
      <c r="O848066" s="9"/>
    </row>
    <row r="848087" spans="15:15" x14ac:dyDescent="0.25">
      <c r="O848087" s="9"/>
    </row>
    <row r="848108" spans="15:15" x14ac:dyDescent="0.25">
      <c r="O848108" s="9"/>
    </row>
    <row r="848129" spans="15:15" x14ac:dyDescent="0.25">
      <c r="O848129" s="9"/>
    </row>
    <row r="848150" spans="15:15" x14ac:dyDescent="0.25">
      <c r="O848150" s="9"/>
    </row>
    <row r="848171" spans="15:15" x14ac:dyDescent="0.25">
      <c r="O848171" s="9"/>
    </row>
    <row r="848192" spans="15:15" x14ac:dyDescent="0.25">
      <c r="O848192" s="9"/>
    </row>
    <row r="848213" spans="15:15" x14ac:dyDescent="0.25">
      <c r="O848213" s="9"/>
    </row>
    <row r="848234" spans="15:15" x14ac:dyDescent="0.25">
      <c r="O848234" s="9"/>
    </row>
    <row r="848255" spans="15:15" x14ac:dyDescent="0.25">
      <c r="O848255" s="9"/>
    </row>
    <row r="848276" spans="15:15" x14ac:dyDescent="0.25">
      <c r="O848276" s="9"/>
    </row>
    <row r="848297" spans="15:15" x14ac:dyDescent="0.25">
      <c r="O848297" s="9"/>
    </row>
    <row r="848318" spans="15:15" x14ac:dyDescent="0.25">
      <c r="O848318" s="9"/>
    </row>
    <row r="848339" spans="15:15" x14ac:dyDescent="0.25">
      <c r="O848339" s="9"/>
    </row>
    <row r="848360" spans="15:15" x14ac:dyDescent="0.25">
      <c r="O848360" s="9"/>
    </row>
    <row r="848381" spans="15:15" x14ac:dyDescent="0.25">
      <c r="O848381" s="9"/>
    </row>
    <row r="848402" spans="15:15" x14ac:dyDescent="0.25">
      <c r="O848402" s="9"/>
    </row>
    <row r="848423" spans="15:15" x14ac:dyDescent="0.25">
      <c r="O848423" s="9"/>
    </row>
    <row r="848444" spans="15:15" x14ac:dyDescent="0.25">
      <c r="O848444" s="9"/>
    </row>
    <row r="848465" spans="15:15" x14ac:dyDescent="0.25">
      <c r="O848465" s="9"/>
    </row>
    <row r="848486" spans="15:15" x14ac:dyDescent="0.25">
      <c r="O848486" s="9"/>
    </row>
    <row r="848507" spans="15:15" x14ac:dyDescent="0.25">
      <c r="O848507" s="9"/>
    </row>
    <row r="848528" spans="15:15" x14ac:dyDescent="0.25">
      <c r="O848528" s="9"/>
    </row>
    <row r="848549" spans="15:15" x14ac:dyDescent="0.25">
      <c r="O848549" s="9"/>
    </row>
    <row r="848570" spans="15:15" x14ac:dyDescent="0.25">
      <c r="O848570" s="9"/>
    </row>
    <row r="848591" spans="15:15" x14ac:dyDescent="0.25">
      <c r="O848591" s="9"/>
    </row>
    <row r="848612" spans="15:15" x14ac:dyDescent="0.25">
      <c r="O848612" s="9"/>
    </row>
    <row r="848633" spans="15:15" x14ac:dyDescent="0.25">
      <c r="O848633" s="9"/>
    </row>
    <row r="848654" spans="15:15" x14ac:dyDescent="0.25">
      <c r="O848654" s="9"/>
    </row>
    <row r="848675" spans="15:15" x14ac:dyDescent="0.25">
      <c r="O848675" s="9"/>
    </row>
    <row r="848696" spans="15:15" x14ac:dyDescent="0.25">
      <c r="O848696" s="9"/>
    </row>
    <row r="848717" spans="15:15" x14ac:dyDescent="0.25">
      <c r="O848717" s="9"/>
    </row>
    <row r="848738" spans="15:15" x14ac:dyDescent="0.25">
      <c r="O848738" s="9"/>
    </row>
    <row r="848759" spans="15:15" x14ac:dyDescent="0.25">
      <c r="O848759" s="9"/>
    </row>
    <row r="848780" spans="15:15" x14ac:dyDescent="0.25">
      <c r="O848780" s="9"/>
    </row>
    <row r="848801" spans="15:15" x14ac:dyDescent="0.25">
      <c r="O848801" s="9"/>
    </row>
    <row r="848822" spans="15:15" x14ac:dyDescent="0.25">
      <c r="O848822" s="9"/>
    </row>
    <row r="848843" spans="15:15" x14ac:dyDescent="0.25">
      <c r="O848843" s="9"/>
    </row>
    <row r="848864" spans="15:15" x14ac:dyDescent="0.25">
      <c r="O848864" s="9"/>
    </row>
    <row r="848885" spans="15:15" x14ac:dyDescent="0.25">
      <c r="O848885" s="9"/>
    </row>
    <row r="848906" spans="15:15" x14ac:dyDescent="0.25">
      <c r="O848906" s="9"/>
    </row>
    <row r="848927" spans="15:15" x14ac:dyDescent="0.25">
      <c r="O848927" s="9"/>
    </row>
    <row r="848948" spans="15:15" x14ac:dyDescent="0.25">
      <c r="O848948" s="9"/>
    </row>
    <row r="848969" spans="15:15" x14ac:dyDescent="0.25">
      <c r="O848969" s="9"/>
    </row>
    <row r="848990" spans="15:15" x14ac:dyDescent="0.25">
      <c r="O848990" s="9"/>
    </row>
    <row r="849011" spans="15:15" x14ac:dyDescent="0.25">
      <c r="O849011" s="9"/>
    </row>
    <row r="849032" spans="15:15" x14ac:dyDescent="0.25">
      <c r="O849032" s="9"/>
    </row>
    <row r="849053" spans="15:15" x14ac:dyDescent="0.25">
      <c r="O849053" s="9"/>
    </row>
    <row r="849074" spans="15:15" x14ac:dyDescent="0.25">
      <c r="O849074" s="9"/>
    </row>
    <row r="849095" spans="15:15" x14ac:dyDescent="0.25">
      <c r="O849095" s="9"/>
    </row>
    <row r="849116" spans="15:15" x14ac:dyDescent="0.25">
      <c r="O849116" s="9"/>
    </row>
    <row r="849137" spans="15:15" x14ac:dyDescent="0.25">
      <c r="O849137" s="9"/>
    </row>
    <row r="849158" spans="15:15" x14ac:dyDescent="0.25">
      <c r="O849158" s="9"/>
    </row>
    <row r="849179" spans="15:15" x14ac:dyDescent="0.25">
      <c r="O849179" s="9"/>
    </row>
    <row r="849200" spans="15:15" x14ac:dyDescent="0.25">
      <c r="O849200" s="9"/>
    </row>
    <row r="849221" spans="15:15" x14ac:dyDescent="0.25">
      <c r="O849221" s="9"/>
    </row>
    <row r="849242" spans="15:15" x14ac:dyDescent="0.25">
      <c r="O849242" s="9"/>
    </row>
    <row r="849263" spans="15:15" x14ac:dyDescent="0.25">
      <c r="O849263" s="9"/>
    </row>
    <row r="849284" spans="15:15" x14ac:dyDescent="0.25">
      <c r="O849284" s="9"/>
    </row>
    <row r="849305" spans="15:15" x14ac:dyDescent="0.25">
      <c r="O849305" s="9"/>
    </row>
    <row r="849326" spans="15:15" x14ac:dyDescent="0.25">
      <c r="O849326" s="9"/>
    </row>
    <row r="849347" spans="15:15" x14ac:dyDescent="0.25">
      <c r="O849347" s="9"/>
    </row>
    <row r="849368" spans="15:15" x14ac:dyDescent="0.25">
      <c r="O849368" s="9"/>
    </row>
    <row r="849389" spans="15:15" x14ac:dyDescent="0.25">
      <c r="O849389" s="9"/>
    </row>
    <row r="849410" spans="15:15" x14ac:dyDescent="0.25">
      <c r="O849410" s="9"/>
    </row>
    <row r="849431" spans="15:15" x14ac:dyDescent="0.25">
      <c r="O849431" s="9"/>
    </row>
    <row r="849452" spans="15:15" x14ac:dyDescent="0.25">
      <c r="O849452" s="9"/>
    </row>
    <row r="849473" spans="15:15" x14ac:dyDescent="0.25">
      <c r="O849473" s="9"/>
    </row>
    <row r="849494" spans="15:15" x14ac:dyDescent="0.25">
      <c r="O849494" s="9"/>
    </row>
    <row r="849515" spans="15:15" x14ac:dyDescent="0.25">
      <c r="O849515" s="9"/>
    </row>
    <row r="849536" spans="15:15" x14ac:dyDescent="0.25">
      <c r="O849536" s="9"/>
    </row>
    <row r="849557" spans="15:15" x14ac:dyDescent="0.25">
      <c r="O849557" s="9"/>
    </row>
    <row r="849578" spans="15:15" x14ac:dyDescent="0.25">
      <c r="O849578" s="9"/>
    </row>
    <row r="849599" spans="15:15" x14ac:dyDescent="0.25">
      <c r="O849599" s="9"/>
    </row>
    <row r="849620" spans="15:15" x14ac:dyDescent="0.25">
      <c r="O849620" s="9"/>
    </row>
    <row r="849641" spans="15:15" x14ac:dyDescent="0.25">
      <c r="O849641" s="9"/>
    </row>
    <row r="849662" spans="15:15" x14ac:dyDescent="0.25">
      <c r="O849662" s="9"/>
    </row>
    <row r="849683" spans="15:15" x14ac:dyDescent="0.25">
      <c r="O849683" s="9"/>
    </row>
    <row r="849704" spans="15:15" x14ac:dyDescent="0.25">
      <c r="O849704" s="9"/>
    </row>
    <row r="849725" spans="15:15" x14ac:dyDescent="0.25">
      <c r="O849725" s="9"/>
    </row>
    <row r="849746" spans="15:15" x14ac:dyDescent="0.25">
      <c r="O849746" s="9"/>
    </row>
    <row r="849767" spans="15:15" x14ac:dyDescent="0.25">
      <c r="O849767" s="9"/>
    </row>
    <row r="849788" spans="15:15" x14ac:dyDescent="0.25">
      <c r="O849788" s="9"/>
    </row>
    <row r="849809" spans="15:15" x14ac:dyDescent="0.25">
      <c r="O849809" s="9"/>
    </row>
    <row r="849830" spans="15:15" x14ac:dyDescent="0.25">
      <c r="O849830" s="9"/>
    </row>
    <row r="849851" spans="15:15" x14ac:dyDescent="0.25">
      <c r="O849851" s="9"/>
    </row>
    <row r="849872" spans="15:15" x14ac:dyDescent="0.25">
      <c r="O849872" s="9"/>
    </row>
    <row r="849893" spans="15:15" x14ac:dyDescent="0.25">
      <c r="O849893" s="9"/>
    </row>
    <row r="849914" spans="15:15" x14ac:dyDescent="0.25">
      <c r="O849914" s="9"/>
    </row>
    <row r="849935" spans="15:15" x14ac:dyDescent="0.25">
      <c r="O849935" s="9"/>
    </row>
    <row r="849956" spans="15:15" x14ac:dyDescent="0.25">
      <c r="O849956" s="9"/>
    </row>
    <row r="849977" spans="15:15" x14ac:dyDescent="0.25">
      <c r="O849977" s="9"/>
    </row>
    <row r="849998" spans="15:15" x14ac:dyDescent="0.25">
      <c r="O849998" s="9"/>
    </row>
    <row r="850019" spans="15:15" x14ac:dyDescent="0.25">
      <c r="O850019" s="9"/>
    </row>
    <row r="850040" spans="15:15" x14ac:dyDescent="0.25">
      <c r="O850040" s="9"/>
    </row>
    <row r="850061" spans="15:15" x14ac:dyDescent="0.25">
      <c r="O850061" s="9"/>
    </row>
    <row r="850082" spans="15:15" x14ac:dyDescent="0.25">
      <c r="O850082" s="9"/>
    </row>
    <row r="850103" spans="15:15" x14ac:dyDescent="0.25">
      <c r="O850103" s="9"/>
    </row>
    <row r="850124" spans="15:15" x14ac:dyDescent="0.25">
      <c r="O850124" s="9"/>
    </row>
    <row r="850145" spans="15:15" x14ac:dyDescent="0.25">
      <c r="O850145" s="9"/>
    </row>
    <row r="850166" spans="15:15" x14ac:dyDescent="0.25">
      <c r="O850166" s="9"/>
    </row>
    <row r="850187" spans="15:15" x14ac:dyDescent="0.25">
      <c r="O850187" s="9"/>
    </row>
    <row r="850208" spans="15:15" x14ac:dyDescent="0.25">
      <c r="O850208" s="9"/>
    </row>
    <row r="850229" spans="15:15" x14ac:dyDescent="0.25">
      <c r="O850229" s="9"/>
    </row>
    <row r="850250" spans="15:15" x14ac:dyDescent="0.25">
      <c r="O850250" s="9"/>
    </row>
    <row r="850271" spans="15:15" x14ac:dyDescent="0.25">
      <c r="O850271" s="9"/>
    </row>
    <row r="850292" spans="15:15" x14ac:dyDescent="0.25">
      <c r="O850292" s="9"/>
    </row>
    <row r="850313" spans="15:15" x14ac:dyDescent="0.25">
      <c r="O850313" s="9"/>
    </row>
    <row r="850334" spans="15:15" x14ac:dyDescent="0.25">
      <c r="O850334" s="9"/>
    </row>
    <row r="850355" spans="15:15" x14ac:dyDescent="0.25">
      <c r="O850355" s="9"/>
    </row>
    <row r="850376" spans="15:15" x14ac:dyDescent="0.25">
      <c r="O850376" s="9"/>
    </row>
    <row r="850397" spans="15:15" x14ac:dyDescent="0.25">
      <c r="O850397" s="9"/>
    </row>
    <row r="850418" spans="15:15" x14ac:dyDescent="0.25">
      <c r="O850418" s="9"/>
    </row>
    <row r="850439" spans="15:15" x14ac:dyDescent="0.25">
      <c r="O850439" s="9"/>
    </row>
    <row r="850460" spans="15:15" x14ac:dyDescent="0.25">
      <c r="O850460" s="9"/>
    </row>
    <row r="850481" spans="15:15" x14ac:dyDescent="0.25">
      <c r="O850481" s="9"/>
    </row>
    <row r="850502" spans="15:15" x14ac:dyDescent="0.25">
      <c r="O850502" s="9"/>
    </row>
    <row r="850523" spans="15:15" x14ac:dyDescent="0.25">
      <c r="O850523" s="9"/>
    </row>
    <row r="850544" spans="15:15" x14ac:dyDescent="0.25">
      <c r="O850544" s="9"/>
    </row>
    <row r="850565" spans="15:15" x14ac:dyDescent="0.25">
      <c r="O850565" s="9"/>
    </row>
    <row r="850586" spans="15:15" x14ac:dyDescent="0.25">
      <c r="O850586" s="9"/>
    </row>
    <row r="850607" spans="15:15" x14ac:dyDescent="0.25">
      <c r="O850607" s="9"/>
    </row>
    <row r="850628" spans="15:15" x14ac:dyDescent="0.25">
      <c r="O850628" s="9"/>
    </row>
    <row r="850649" spans="15:15" x14ac:dyDescent="0.25">
      <c r="O850649" s="9"/>
    </row>
    <row r="850670" spans="15:15" x14ac:dyDescent="0.25">
      <c r="O850670" s="9"/>
    </row>
    <row r="850691" spans="15:15" x14ac:dyDescent="0.25">
      <c r="O850691" s="9"/>
    </row>
    <row r="850712" spans="15:15" x14ac:dyDescent="0.25">
      <c r="O850712" s="9"/>
    </row>
    <row r="850733" spans="15:15" x14ac:dyDescent="0.25">
      <c r="O850733" s="9"/>
    </row>
    <row r="850754" spans="15:15" x14ac:dyDescent="0.25">
      <c r="O850754" s="9"/>
    </row>
    <row r="850775" spans="15:15" x14ac:dyDescent="0.25">
      <c r="O850775" s="9"/>
    </row>
    <row r="850796" spans="15:15" x14ac:dyDescent="0.25">
      <c r="O850796" s="9"/>
    </row>
    <row r="850817" spans="15:15" x14ac:dyDescent="0.25">
      <c r="O850817" s="9"/>
    </row>
    <row r="850838" spans="15:15" x14ac:dyDescent="0.25">
      <c r="O850838" s="9"/>
    </row>
    <row r="850859" spans="15:15" x14ac:dyDescent="0.25">
      <c r="O850859" s="9"/>
    </row>
    <row r="850880" spans="15:15" x14ac:dyDescent="0.25">
      <c r="O850880" s="9"/>
    </row>
    <row r="850901" spans="15:15" x14ac:dyDescent="0.25">
      <c r="O850901" s="9"/>
    </row>
    <row r="850922" spans="15:15" x14ac:dyDescent="0.25">
      <c r="O850922" s="9"/>
    </row>
    <row r="850943" spans="15:15" x14ac:dyDescent="0.25">
      <c r="O850943" s="9"/>
    </row>
    <row r="850964" spans="15:15" x14ac:dyDescent="0.25">
      <c r="O850964" s="9"/>
    </row>
    <row r="850985" spans="15:15" x14ac:dyDescent="0.25">
      <c r="O850985" s="9"/>
    </row>
    <row r="851006" spans="15:15" x14ac:dyDescent="0.25">
      <c r="O851006" s="9"/>
    </row>
    <row r="851027" spans="15:15" x14ac:dyDescent="0.25">
      <c r="O851027" s="9"/>
    </row>
    <row r="851048" spans="15:15" x14ac:dyDescent="0.25">
      <c r="O851048" s="9"/>
    </row>
    <row r="851069" spans="15:15" x14ac:dyDescent="0.25">
      <c r="O851069" s="9"/>
    </row>
    <row r="851090" spans="15:15" x14ac:dyDescent="0.25">
      <c r="O851090" s="9"/>
    </row>
    <row r="851111" spans="15:15" x14ac:dyDescent="0.25">
      <c r="O851111" s="9"/>
    </row>
    <row r="851132" spans="15:15" x14ac:dyDescent="0.25">
      <c r="O851132" s="9"/>
    </row>
    <row r="851153" spans="15:15" x14ac:dyDescent="0.25">
      <c r="O851153" s="9"/>
    </row>
    <row r="851174" spans="15:15" x14ac:dyDescent="0.25">
      <c r="O851174" s="9"/>
    </row>
    <row r="851195" spans="15:15" x14ac:dyDescent="0.25">
      <c r="O851195" s="9"/>
    </row>
    <row r="851216" spans="15:15" x14ac:dyDescent="0.25">
      <c r="O851216" s="9"/>
    </row>
    <row r="851237" spans="15:15" x14ac:dyDescent="0.25">
      <c r="O851237" s="9"/>
    </row>
    <row r="851258" spans="15:15" x14ac:dyDescent="0.25">
      <c r="O851258" s="9"/>
    </row>
    <row r="851279" spans="15:15" x14ac:dyDescent="0.25">
      <c r="O851279" s="9"/>
    </row>
    <row r="851300" spans="15:15" x14ac:dyDescent="0.25">
      <c r="O851300" s="9"/>
    </row>
    <row r="851321" spans="15:15" x14ac:dyDescent="0.25">
      <c r="O851321" s="9"/>
    </row>
    <row r="851342" spans="15:15" x14ac:dyDescent="0.25">
      <c r="O851342" s="9"/>
    </row>
    <row r="851363" spans="15:15" x14ac:dyDescent="0.25">
      <c r="O851363" s="9"/>
    </row>
    <row r="851384" spans="15:15" x14ac:dyDescent="0.25">
      <c r="O851384" s="9"/>
    </row>
    <row r="851405" spans="15:15" x14ac:dyDescent="0.25">
      <c r="O851405" s="9"/>
    </row>
    <row r="851426" spans="15:15" x14ac:dyDescent="0.25">
      <c r="O851426" s="9"/>
    </row>
    <row r="851447" spans="15:15" x14ac:dyDescent="0.25">
      <c r="O851447" s="9"/>
    </row>
    <row r="851468" spans="15:15" x14ac:dyDescent="0.25">
      <c r="O851468" s="9"/>
    </row>
    <row r="851489" spans="15:15" x14ac:dyDescent="0.25">
      <c r="O851489" s="9"/>
    </row>
    <row r="851510" spans="15:15" x14ac:dyDescent="0.25">
      <c r="O851510" s="9"/>
    </row>
    <row r="851531" spans="15:15" x14ac:dyDescent="0.25">
      <c r="O851531" s="9"/>
    </row>
    <row r="851552" spans="15:15" x14ac:dyDescent="0.25">
      <c r="O851552" s="9"/>
    </row>
    <row r="851573" spans="15:15" x14ac:dyDescent="0.25">
      <c r="O851573" s="9"/>
    </row>
    <row r="851594" spans="15:15" x14ac:dyDescent="0.25">
      <c r="O851594" s="9"/>
    </row>
    <row r="851615" spans="15:15" x14ac:dyDescent="0.25">
      <c r="O851615" s="9"/>
    </row>
    <row r="851636" spans="15:15" x14ac:dyDescent="0.25">
      <c r="O851636" s="9"/>
    </row>
    <row r="851657" spans="15:15" x14ac:dyDescent="0.25">
      <c r="O851657" s="9"/>
    </row>
    <row r="851678" spans="15:15" x14ac:dyDescent="0.25">
      <c r="O851678" s="9"/>
    </row>
    <row r="851699" spans="15:15" x14ac:dyDescent="0.25">
      <c r="O851699" s="9"/>
    </row>
    <row r="851720" spans="15:15" x14ac:dyDescent="0.25">
      <c r="O851720" s="9"/>
    </row>
    <row r="851741" spans="15:15" x14ac:dyDescent="0.25">
      <c r="O851741" s="9"/>
    </row>
    <row r="851762" spans="15:15" x14ac:dyDescent="0.25">
      <c r="O851762" s="9"/>
    </row>
    <row r="851783" spans="15:15" x14ac:dyDescent="0.25">
      <c r="O851783" s="9"/>
    </row>
    <row r="851804" spans="15:15" x14ac:dyDescent="0.25">
      <c r="O851804" s="9"/>
    </row>
    <row r="851825" spans="15:15" x14ac:dyDescent="0.25">
      <c r="O851825" s="9"/>
    </row>
    <row r="851846" spans="15:15" x14ac:dyDescent="0.25">
      <c r="O851846" s="9"/>
    </row>
    <row r="851867" spans="15:15" x14ac:dyDescent="0.25">
      <c r="O851867" s="9"/>
    </row>
    <row r="851888" spans="15:15" x14ac:dyDescent="0.25">
      <c r="O851888" s="9"/>
    </row>
    <row r="851909" spans="15:15" x14ac:dyDescent="0.25">
      <c r="O851909" s="9"/>
    </row>
    <row r="851930" spans="15:15" x14ac:dyDescent="0.25">
      <c r="O851930" s="9"/>
    </row>
    <row r="851951" spans="15:15" x14ac:dyDescent="0.25">
      <c r="O851951" s="9"/>
    </row>
    <row r="851972" spans="15:15" x14ac:dyDescent="0.25">
      <c r="O851972" s="9"/>
    </row>
    <row r="851993" spans="15:15" x14ac:dyDescent="0.25">
      <c r="O851993" s="9"/>
    </row>
    <row r="852014" spans="15:15" x14ac:dyDescent="0.25">
      <c r="O852014" s="9"/>
    </row>
    <row r="852035" spans="15:15" x14ac:dyDescent="0.25">
      <c r="O852035" s="9"/>
    </row>
    <row r="852056" spans="15:15" x14ac:dyDescent="0.25">
      <c r="O852056" s="9"/>
    </row>
    <row r="852077" spans="15:15" x14ac:dyDescent="0.25">
      <c r="O852077" s="9"/>
    </row>
    <row r="852098" spans="15:15" x14ac:dyDescent="0.25">
      <c r="O852098" s="9"/>
    </row>
    <row r="852119" spans="15:15" x14ac:dyDescent="0.25">
      <c r="O852119" s="9"/>
    </row>
    <row r="852140" spans="15:15" x14ac:dyDescent="0.25">
      <c r="O852140" s="9"/>
    </row>
    <row r="852161" spans="15:15" x14ac:dyDescent="0.25">
      <c r="O852161" s="9"/>
    </row>
    <row r="852182" spans="15:15" x14ac:dyDescent="0.25">
      <c r="O852182" s="9"/>
    </row>
    <row r="852203" spans="15:15" x14ac:dyDescent="0.25">
      <c r="O852203" s="9"/>
    </row>
    <row r="852224" spans="15:15" x14ac:dyDescent="0.25">
      <c r="O852224" s="9"/>
    </row>
    <row r="852245" spans="15:15" x14ac:dyDescent="0.25">
      <c r="O852245" s="9"/>
    </row>
    <row r="852266" spans="15:15" x14ac:dyDescent="0.25">
      <c r="O852266" s="9"/>
    </row>
    <row r="852287" spans="15:15" x14ac:dyDescent="0.25">
      <c r="O852287" s="9"/>
    </row>
    <row r="852308" spans="15:15" x14ac:dyDescent="0.25">
      <c r="O852308" s="9"/>
    </row>
    <row r="852329" spans="15:15" x14ac:dyDescent="0.25">
      <c r="O852329" s="9"/>
    </row>
    <row r="852350" spans="15:15" x14ac:dyDescent="0.25">
      <c r="O852350" s="9"/>
    </row>
    <row r="852371" spans="15:15" x14ac:dyDescent="0.25">
      <c r="O852371" s="9"/>
    </row>
    <row r="852392" spans="15:15" x14ac:dyDescent="0.25">
      <c r="O852392" s="9"/>
    </row>
    <row r="852413" spans="15:15" x14ac:dyDescent="0.25">
      <c r="O852413" s="9"/>
    </row>
    <row r="852434" spans="15:15" x14ac:dyDescent="0.25">
      <c r="O852434" s="9"/>
    </row>
    <row r="852455" spans="15:15" x14ac:dyDescent="0.25">
      <c r="O852455" s="9"/>
    </row>
    <row r="852476" spans="15:15" x14ac:dyDescent="0.25">
      <c r="O852476" s="9"/>
    </row>
    <row r="852497" spans="15:15" x14ac:dyDescent="0.25">
      <c r="O852497" s="9"/>
    </row>
    <row r="852518" spans="15:15" x14ac:dyDescent="0.25">
      <c r="O852518" s="9"/>
    </row>
    <row r="852539" spans="15:15" x14ac:dyDescent="0.25">
      <c r="O852539" s="9"/>
    </row>
    <row r="852560" spans="15:15" x14ac:dyDescent="0.25">
      <c r="O852560" s="9"/>
    </row>
    <row r="852581" spans="15:15" x14ac:dyDescent="0.25">
      <c r="O852581" s="9"/>
    </row>
    <row r="852602" spans="15:15" x14ac:dyDescent="0.25">
      <c r="O852602" s="9"/>
    </row>
    <row r="852623" spans="15:15" x14ac:dyDescent="0.25">
      <c r="O852623" s="9"/>
    </row>
    <row r="852644" spans="15:15" x14ac:dyDescent="0.25">
      <c r="O852644" s="9"/>
    </row>
    <row r="852665" spans="15:15" x14ac:dyDescent="0.25">
      <c r="O852665" s="9"/>
    </row>
    <row r="852686" spans="15:15" x14ac:dyDescent="0.25">
      <c r="O852686" s="9"/>
    </row>
    <row r="852707" spans="15:15" x14ac:dyDescent="0.25">
      <c r="O852707" s="9"/>
    </row>
    <row r="852728" spans="15:15" x14ac:dyDescent="0.25">
      <c r="O852728" s="9"/>
    </row>
    <row r="852749" spans="15:15" x14ac:dyDescent="0.25">
      <c r="O852749" s="9"/>
    </row>
    <row r="852770" spans="15:15" x14ac:dyDescent="0.25">
      <c r="O852770" s="9"/>
    </row>
    <row r="852791" spans="15:15" x14ac:dyDescent="0.25">
      <c r="O852791" s="9"/>
    </row>
    <row r="852812" spans="15:15" x14ac:dyDescent="0.25">
      <c r="O852812" s="9"/>
    </row>
    <row r="852833" spans="15:15" x14ac:dyDescent="0.25">
      <c r="O852833" s="9"/>
    </row>
    <row r="852854" spans="15:15" x14ac:dyDescent="0.25">
      <c r="O852854" s="9"/>
    </row>
    <row r="852875" spans="15:15" x14ac:dyDescent="0.25">
      <c r="O852875" s="9"/>
    </row>
    <row r="852896" spans="15:15" x14ac:dyDescent="0.25">
      <c r="O852896" s="9"/>
    </row>
    <row r="852917" spans="15:15" x14ac:dyDescent="0.25">
      <c r="O852917" s="9"/>
    </row>
    <row r="852938" spans="15:15" x14ac:dyDescent="0.25">
      <c r="O852938" s="9"/>
    </row>
    <row r="852959" spans="15:15" x14ac:dyDescent="0.25">
      <c r="O852959" s="9"/>
    </row>
    <row r="852980" spans="15:15" x14ac:dyDescent="0.25">
      <c r="O852980" s="9"/>
    </row>
    <row r="853001" spans="15:15" x14ac:dyDescent="0.25">
      <c r="O853001" s="9"/>
    </row>
    <row r="853022" spans="15:15" x14ac:dyDescent="0.25">
      <c r="O853022" s="9"/>
    </row>
    <row r="853043" spans="15:15" x14ac:dyDescent="0.25">
      <c r="O853043" s="9"/>
    </row>
    <row r="853064" spans="15:15" x14ac:dyDescent="0.25">
      <c r="O853064" s="9"/>
    </row>
    <row r="853085" spans="15:15" x14ac:dyDescent="0.25">
      <c r="O853085" s="9"/>
    </row>
    <row r="853106" spans="15:15" x14ac:dyDescent="0.25">
      <c r="O853106" s="9"/>
    </row>
    <row r="853127" spans="15:15" x14ac:dyDescent="0.25">
      <c r="O853127" s="9"/>
    </row>
    <row r="853148" spans="15:15" x14ac:dyDescent="0.25">
      <c r="O853148" s="9"/>
    </row>
    <row r="853169" spans="15:15" x14ac:dyDescent="0.25">
      <c r="O853169" s="9"/>
    </row>
    <row r="853190" spans="15:15" x14ac:dyDescent="0.25">
      <c r="O853190" s="9"/>
    </row>
    <row r="853211" spans="15:15" x14ac:dyDescent="0.25">
      <c r="O853211" s="9"/>
    </row>
    <row r="853232" spans="15:15" x14ac:dyDescent="0.25">
      <c r="O853232" s="9"/>
    </row>
    <row r="853253" spans="15:15" x14ac:dyDescent="0.25">
      <c r="O853253" s="9"/>
    </row>
    <row r="853274" spans="15:15" x14ac:dyDescent="0.25">
      <c r="O853274" s="9"/>
    </row>
    <row r="853295" spans="15:15" x14ac:dyDescent="0.25">
      <c r="O853295" s="9"/>
    </row>
    <row r="853316" spans="15:15" x14ac:dyDescent="0.25">
      <c r="O853316" s="9"/>
    </row>
    <row r="853337" spans="15:15" x14ac:dyDescent="0.25">
      <c r="O853337" s="9"/>
    </row>
    <row r="853358" spans="15:15" x14ac:dyDescent="0.25">
      <c r="O853358" s="9"/>
    </row>
    <row r="853379" spans="15:15" x14ac:dyDescent="0.25">
      <c r="O853379" s="9"/>
    </row>
    <row r="853400" spans="15:15" x14ac:dyDescent="0.25">
      <c r="O853400" s="9"/>
    </row>
    <row r="853421" spans="15:15" x14ac:dyDescent="0.25">
      <c r="O853421" s="9"/>
    </row>
    <row r="853442" spans="15:15" x14ac:dyDescent="0.25">
      <c r="O853442" s="9"/>
    </row>
    <row r="853463" spans="15:15" x14ac:dyDescent="0.25">
      <c r="O853463" s="9"/>
    </row>
    <row r="853484" spans="15:15" x14ac:dyDescent="0.25">
      <c r="O853484" s="9"/>
    </row>
    <row r="853505" spans="15:15" x14ac:dyDescent="0.25">
      <c r="O853505" s="9"/>
    </row>
    <row r="853526" spans="15:15" x14ac:dyDescent="0.25">
      <c r="O853526" s="9"/>
    </row>
    <row r="853547" spans="15:15" x14ac:dyDescent="0.25">
      <c r="O853547" s="9"/>
    </row>
    <row r="853568" spans="15:15" x14ac:dyDescent="0.25">
      <c r="O853568" s="9"/>
    </row>
    <row r="853589" spans="15:15" x14ac:dyDescent="0.25">
      <c r="O853589" s="9"/>
    </row>
    <row r="853610" spans="15:15" x14ac:dyDescent="0.25">
      <c r="O853610" s="9"/>
    </row>
    <row r="853631" spans="15:15" x14ac:dyDescent="0.25">
      <c r="O853631" s="9"/>
    </row>
    <row r="853652" spans="15:15" x14ac:dyDescent="0.25">
      <c r="O853652" s="9"/>
    </row>
    <row r="853673" spans="15:15" x14ac:dyDescent="0.25">
      <c r="O853673" s="9"/>
    </row>
    <row r="853694" spans="15:15" x14ac:dyDescent="0.25">
      <c r="O853694" s="9"/>
    </row>
    <row r="853715" spans="15:15" x14ac:dyDescent="0.25">
      <c r="O853715" s="9"/>
    </row>
    <row r="853736" spans="15:15" x14ac:dyDescent="0.25">
      <c r="O853736" s="9"/>
    </row>
    <row r="853757" spans="15:15" x14ac:dyDescent="0.25">
      <c r="O853757" s="9"/>
    </row>
    <row r="853778" spans="15:15" x14ac:dyDescent="0.25">
      <c r="O853778" s="9"/>
    </row>
    <row r="853799" spans="15:15" x14ac:dyDescent="0.25">
      <c r="O853799" s="9"/>
    </row>
    <row r="853820" spans="15:15" x14ac:dyDescent="0.25">
      <c r="O853820" s="9"/>
    </row>
    <row r="853841" spans="15:15" x14ac:dyDescent="0.25">
      <c r="O853841" s="9"/>
    </row>
    <row r="853862" spans="15:15" x14ac:dyDescent="0.25">
      <c r="O853862" s="9"/>
    </row>
    <row r="853883" spans="15:15" x14ac:dyDescent="0.25">
      <c r="O853883" s="9"/>
    </row>
    <row r="853904" spans="15:15" x14ac:dyDescent="0.25">
      <c r="O853904" s="9"/>
    </row>
    <row r="853925" spans="15:15" x14ac:dyDescent="0.25">
      <c r="O853925" s="9"/>
    </row>
    <row r="853946" spans="15:15" x14ac:dyDescent="0.25">
      <c r="O853946" s="9"/>
    </row>
    <row r="853967" spans="15:15" x14ac:dyDescent="0.25">
      <c r="O853967" s="9"/>
    </row>
    <row r="853988" spans="15:15" x14ac:dyDescent="0.25">
      <c r="O853988" s="9"/>
    </row>
    <row r="854009" spans="15:15" x14ac:dyDescent="0.25">
      <c r="O854009" s="9"/>
    </row>
    <row r="854030" spans="15:15" x14ac:dyDescent="0.25">
      <c r="O854030" s="9"/>
    </row>
    <row r="854051" spans="15:15" x14ac:dyDescent="0.25">
      <c r="O854051" s="9"/>
    </row>
    <row r="854072" spans="15:15" x14ac:dyDescent="0.25">
      <c r="O854072" s="9"/>
    </row>
    <row r="854093" spans="15:15" x14ac:dyDescent="0.25">
      <c r="O854093" s="9"/>
    </row>
    <row r="854114" spans="15:15" x14ac:dyDescent="0.25">
      <c r="O854114" s="9"/>
    </row>
    <row r="854135" spans="15:15" x14ac:dyDescent="0.25">
      <c r="O854135" s="9"/>
    </row>
    <row r="854156" spans="15:15" x14ac:dyDescent="0.25">
      <c r="O854156" s="9"/>
    </row>
    <row r="854177" spans="15:15" x14ac:dyDescent="0.25">
      <c r="O854177" s="9"/>
    </row>
    <row r="854198" spans="15:15" x14ac:dyDescent="0.25">
      <c r="O854198" s="9"/>
    </row>
    <row r="854219" spans="15:15" x14ac:dyDescent="0.25">
      <c r="O854219" s="9"/>
    </row>
    <row r="854240" spans="15:15" x14ac:dyDescent="0.25">
      <c r="O854240" s="9"/>
    </row>
    <row r="854261" spans="15:15" x14ac:dyDescent="0.25">
      <c r="O854261" s="9"/>
    </row>
    <row r="854282" spans="15:15" x14ac:dyDescent="0.25">
      <c r="O854282" s="9"/>
    </row>
    <row r="854303" spans="15:15" x14ac:dyDescent="0.25">
      <c r="O854303" s="9"/>
    </row>
    <row r="854324" spans="15:15" x14ac:dyDescent="0.25">
      <c r="O854324" s="9"/>
    </row>
    <row r="854345" spans="15:15" x14ac:dyDescent="0.25">
      <c r="O854345" s="9"/>
    </row>
    <row r="854366" spans="15:15" x14ac:dyDescent="0.25">
      <c r="O854366" s="9"/>
    </row>
    <row r="854387" spans="15:15" x14ac:dyDescent="0.25">
      <c r="O854387" s="9"/>
    </row>
    <row r="854408" spans="15:15" x14ac:dyDescent="0.25">
      <c r="O854408" s="9"/>
    </row>
    <row r="854429" spans="15:15" x14ac:dyDescent="0.25">
      <c r="O854429" s="9"/>
    </row>
    <row r="854450" spans="15:15" x14ac:dyDescent="0.25">
      <c r="O854450" s="9"/>
    </row>
    <row r="854471" spans="15:15" x14ac:dyDescent="0.25">
      <c r="O854471" s="9"/>
    </row>
    <row r="854492" spans="15:15" x14ac:dyDescent="0.25">
      <c r="O854492" s="9"/>
    </row>
    <row r="854513" spans="15:15" x14ac:dyDescent="0.25">
      <c r="O854513" s="9"/>
    </row>
    <row r="854534" spans="15:15" x14ac:dyDescent="0.25">
      <c r="O854534" s="9"/>
    </row>
    <row r="854555" spans="15:15" x14ac:dyDescent="0.25">
      <c r="O854555" s="9"/>
    </row>
    <row r="854576" spans="15:15" x14ac:dyDescent="0.25">
      <c r="O854576" s="9"/>
    </row>
    <row r="854597" spans="15:15" x14ac:dyDescent="0.25">
      <c r="O854597" s="9"/>
    </row>
    <row r="854618" spans="15:15" x14ac:dyDescent="0.25">
      <c r="O854618" s="9"/>
    </row>
    <row r="854639" spans="15:15" x14ac:dyDescent="0.25">
      <c r="O854639" s="9"/>
    </row>
    <row r="854660" spans="15:15" x14ac:dyDescent="0.25">
      <c r="O854660" s="9"/>
    </row>
    <row r="854681" spans="15:15" x14ac:dyDescent="0.25">
      <c r="O854681" s="9"/>
    </row>
    <row r="854702" spans="15:15" x14ac:dyDescent="0.25">
      <c r="O854702" s="9"/>
    </row>
    <row r="854723" spans="15:15" x14ac:dyDescent="0.25">
      <c r="O854723" s="9"/>
    </row>
    <row r="854744" spans="15:15" x14ac:dyDescent="0.25">
      <c r="O854744" s="9"/>
    </row>
    <row r="854765" spans="15:15" x14ac:dyDescent="0.25">
      <c r="O854765" s="9"/>
    </row>
    <row r="854786" spans="15:15" x14ac:dyDescent="0.25">
      <c r="O854786" s="9"/>
    </row>
    <row r="854807" spans="15:15" x14ac:dyDescent="0.25">
      <c r="O854807" s="9"/>
    </row>
    <row r="854828" spans="15:15" x14ac:dyDescent="0.25">
      <c r="O854828" s="9"/>
    </row>
    <row r="854849" spans="15:15" x14ac:dyDescent="0.25">
      <c r="O854849" s="9"/>
    </row>
    <row r="854870" spans="15:15" x14ac:dyDescent="0.25">
      <c r="O854870" s="9"/>
    </row>
    <row r="854891" spans="15:15" x14ac:dyDescent="0.25">
      <c r="O854891" s="9"/>
    </row>
    <row r="854912" spans="15:15" x14ac:dyDescent="0.25">
      <c r="O854912" s="9"/>
    </row>
    <row r="854933" spans="15:15" x14ac:dyDescent="0.25">
      <c r="O854933" s="9"/>
    </row>
    <row r="854954" spans="15:15" x14ac:dyDescent="0.25">
      <c r="O854954" s="9"/>
    </row>
    <row r="854975" spans="15:15" x14ac:dyDescent="0.25">
      <c r="O854975" s="9"/>
    </row>
    <row r="854996" spans="15:15" x14ac:dyDescent="0.25">
      <c r="O854996" s="9"/>
    </row>
    <row r="855017" spans="15:15" x14ac:dyDescent="0.25">
      <c r="O855017" s="9"/>
    </row>
    <row r="855038" spans="15:15" x14ac:dyDescent="0.25">
      <c r="O855038" s="9"/>
    </row>
    <row r="855059" spans="15:15" x14ac:dyDescent="0.25">
      <c r="O855059" s="9"/>
    </row>
    <row r="855080" spans="15:15" x14ac:dyDescent="0.25">
      <c r="O855080" s="9"/>
    </row>
    <row r="855101" spans="15:15" x14ac:dyDescent="0.25">
      <c r="O855101" s="9"/>
    </row>
    <row r="855122" spans="15:15" x14ac:dyDescent="0.25">
      <c r="O855122" s="9"/>
    </row>
    <row r="855143" spans="15:15" x14ac:dyDescent="0.25">
      <c r="O855143" s="9"/>
    </row>
    <row r="855164" spans="15:15" x14ac:dyDescent="0.25">
      <c r="O855164" s="9"/>
    </row>
    <row r="855185" spans="15:15" x14ac:dyDescent="0.25">
      <c r="O855185" s="9"/>
    </row>
    <row r="855206" spans="15:15" x14ac:dyDescent="0.25">
      <c r="O855206" s="9"/>
    </row>
    <row r="855227" spans="15:15" x14ac:dyDescent="0.25">
      <c r="O855227" s="9"/>
    </row>
    <row r="855248" spans="15:15" x14ac:dyDescent="0.25">
      <c r="O855248" s="9"/>
    </row>
    <row r="855269" spans="15:15" x14ac:dyDescent="0.25">
      <c r="O855269" s="9"/>
    </row>
    <row r="855290" spans="15:15" x14ac:dyDescent="0.25">
      <c r="O855290" s="9"/>
    </row>
    <row r="855311" spans="15:15" x14ac:dyDescent="0.25">
      <c r="O855311" s="9"/>
    </row>
    <row r="855332" spans="15:15" x14ac:dyDescent="0.25">
      <c r="O855332" s="9"/>
    </row>
    <row r="855353" spans="15:15" x14ac:dyDescent="0.25">
      <c r="O855353" s="9"/>
    </row>
    <row r="855374" spans="15:15" x14ac:dyDescent="0.25">
      <c r="O855374" s="9"/>
    </row>
    <row r="855395" spans="15:15" x14ac:dyDescent="0.25">
      <c r="O855395" s="9"/>
    </row>
    <row r="855416" spans="15:15" x14ac:dyDescent="0.25">
      <c r="O855416" s="9"/>
    </row>
    <row r="855437" spans="15:15" x14ac:dyDescent="0.25">
      <c r="O855437" s="9"/>
    </row>
    <row r="855458" spans="15:15" x14ac:dyDescent="0.25">
      <c r="O855458" s="9"/>
    </row>
    <row r="855479" spans="15:15" x14ac:dyDescent="0.25">
      <c r="O855479" s="9"/>
    </row>
    <row r="855500" spans="15:15" x14ac:dyDescent="0.25">
      <c r="O855500" s="9"/>
    </row>
    <row r="855521" spans="15:15" x14ac:dyDescent="0.25">
      <c r="O855521" s="9"/>
    </row>
    <row r="855542" spans="15:15" x14ac:dyDescent="0.25">
      <c r="O855542" s="9"/>
    </row>
    <row r="855563" spans="15:15" x14ac:dyDescent="0.25">
      <c r="O855563" s="9"/>
    </row>
    <row r="855584" spans="15:15" x14ac:dyDescent="0.25">
      <c r="O855584" s="9"/>
    </row>
    <row r="855605" spans="15:15" x14ac:dyDescent="0.25">
      <c r="O855605" s="9"/>
    </row>
    <row r="855626" spans="15:15" x14ac:dyDescent="0.25">
      <c r="O855626" s="9"/>
    </row>
    <row r="855647" spans="15:15" x14ac:dyDescent="0.25">
      <c r="O855647" s="9"/>
    </row>
    <row r="855668" spans="15:15" x14ac:dyDescent="0.25">
      <c r="O855668" s="9"/>
    </row>
    <row r="855689" spans="15:15" x14ac:dyDescent="0.25">
      <c r="O855689" s="9"/>
    </row>
    <row r="855710" spans="15:15" x14ac:dyDescent="0.25">
      <c r="O855710" s="9"/>
    </row>
    <row r="855731" spans="15:15" x14ac:dyDescent="0.25">
      <c r="O855731" s="9"/>
    </row>
    <row r="855752" spans="15:15" x14ac:dyDescent="0.25">
      <c r="O855752" s="9"/>
    </row>
    <row r="855773" spans="15:15" x14ac:dyDescent="0.25">
      <c r="O855773" s="9"/>
    </row>
    <row r="855794" spans="15:15" x14ac:dyDescent="0.25">
      <c r="O855794" s="9"/>
    </row>
    <row r="855815" spans="15:15" x14ac:dyDescent="0.25">
      <c r="O855815" s="9"/>
    </row>
    <row r="855836" spans="15:15" x14ac:dyDescent="0.25">
      <c r="O855836" s="9"/>
    </row>
    <row r="855857" spans="15:15" x14ac:dyDescent="0.25">
      <c r="O855857" s="9"/>
    </row>
    <row r="855878" spans="15:15" x14ac:dyDescent="0.25">
      <c r="O855878" s="9"/>
    </row>
    <row r="855899" spans="15:15" x14ac:dyDescent="0.25">
      <c r="O855899" s="9"/>
    </row>
    <row r="855920" spans="15:15" x14ac:dyDescent="0.25">
      <c r="O855920" s="9"/>
    </row>
    <row r="855941" spans="15:15" x14ac:dyDescent="0.25">
      <c r="O855941" s="9"/>
    </row>
    <row r="855962" spans="15:15" x14ac:dyDescent="0.25">
      <c r="O855962" s="9"/>
    </row>
    <row r="855983" spans="15:15" x14ac:dyDescent="0.25">
      <c r="O855983" s="9"/>
    </row>
    <row r="856004" spans="15:15" x14ac:dyDescent="0.25">
      <c r="O856004" s="9"/>
    </row>
    <row r="856025" spans="15:15" x14ac:dyDescent="0.25">
      <c r="O856025" s="9"/>
    </row>
    <row r="856046" spans="15:15" x14ac:dyDescent="0.25">
      <c r="O856046" s="9"/>
    </row>
    <row r="856067" spans="15:15" x14ac:dyDescent="0.25">
      <c r="O856067" s="9"/>
    </row>
    <row r="856088" spans="15:15" x14ac:dyDescent="0.25">
      <c r="O856088" s="9"/>
    </row>
    <row r="856109" spans="15:15" x14ac:dyDescent="0.25">
      <c r="O856109" s="9"/>
    </row>
    <row r="856130" spans="15:15" x14ac:dyDescent="0.25">
      <c r="O856130" s="9"/>
    </row>
    <row r="856151" spans="15:15" x14ac:dyDescent="0.25">
      <c r="O856151" s="9"/>
    </row>
    <row r="856172" spans="15:15" x14ac:dyDescent="0.25">
      <c r="O856172" s="9"/>
    </row>
    <row r="856193" spans="15:15" x14ac:dyDescent="0.25">
      <c r="O856193" s="9"/>
    </row>
    <row r="856214" spans="15:15" x14ac:dyDescent="0.25">
      <c r="O856214" s="9"/>
    </row>
    <row r="856235" spans="15:15" x14ac:dyDescent="0.25">
      <c r="O856235" s="9"/>
    </row>
    <row r="856256" spans="15:15" x14ac:dyDescent="0.25">
      <c r="O856256" s="9"/>
    </row>
    <row r="856277" spans="15:15" x14ac:dyDescent="0.25">
      <c r="O856277" s="9"/>
    </row>
    <row r="856298" spans="15:15" x14ac:dyDescent="0.25">
      <c r="O856298" s="9"/>
    </row>
    <row r="856319" spans="15:15" x14ac:dyDescent="0.25">
      <c r="O856319" s="9"/>
    </row>
    <row r="856340" spans="15:15" x14ac:dyDescent="0.25">
      <c r="O856340" s="9"/>
    </row>
    <row r="856361" spans="15:15" x14ac:dyDescent="0.25">
      <c r="O856361" s="9"/>
    </row>
    <row r="856382" spans="15:15" x14ac:dyDescent="0.25">
      <c r="O856382" s="9"/>
    </row>
    <row r="856403" spans="15:15" x14ac:dyDescent="0.25">
      <c r="O856403" s="9"/>
    </row>
    <row r="856424" spans="15:15" x14ac:dyDescent="0.25">
      <c r="O856424" s="9"/>
    </row>
    <row r="856445" spans="15:15" x14ac:dyDescent="0.25">
      <c r="O856445" s="9"/>
    </row>
    <row r="856466" spans="15:15" x14ac:dyDescent="0.25">
      <c r="O856466" s="9"/>
    </row>
    <row r="856487" spans="15:15" x14ac:dyDescent="0.25">
      <c r="O856487" s="9"/>
    </row>
    <row r="856508" spans="15:15" x14ac:dyDescent="0.25">
      <c r="O856508" s="9"/>
    </row>
    <row r="856529" spans="15:15" x14ac:dyDescent="0.25">
      <c r="O856529" s="9"/>
    </row>
    <row r="856550" spans="15:15" x14ac:dyDescent="0.25">
      <c r="O856550" s="9"/>
    </row>
    <row r="856571" spans="15:15" x14ac:dyDescent="0.25">
      <c r="O856571" s="9"/>
    </row>
    <row r="856592" spans="15:15" x14ac:dyDescent="0.25">
      <c r="O856592" s="9"/>
    </row>
    <row r="856613" spans="15:15" x14ac:dyDescent="0.25">
      <c r="O856613" s="9"/>
    </row>
    <row r="856634" spans="15:15" x14ac:dyDescent="0.25">
      <c r="O856634" s="9"/>
    </row>
    <row r="856655" spans="15:15" x14ac:dyDescent="0.25">
      <c r="O856655" s="9"/>
    </row>
    <row r="856676" spans="15:15" x14ac:dyDescent="0.25">
      <c r="O856676" s="9"/>
    </row>
    <row r="856697" spans="15:15" x14ac:dyDescent="0.25">
      <c r="O856697" s="9"/>
    </row>
    <row r="856718" spans="15:15" x14ac:dyDescent="0.25">
      <c r="O856718" s="9"/>
    </row>
    <row r="856739" spans="15:15" x14ac:dyDescent="0.25">
      <c r="O856739" s="9"/>
    </row>
    <row r="856760" spans="15:15" x14ac:dyDescent="0.25">
      <c r="O856760" s="9"/>
    </row>
    <row r="856781" spans="15:15" x14ac:dyDescent="0.25">
      <c r="O856781" s="9"/>
    </row>
    <row r="856802" spans="15:15" x14ac:dyDescent="0.25">
      <c r="O856802" s="9"/>
    </row>
    <row r="856823" spans="15:15" x14ac:dyDescent="0.25">
      <c r="O856823" s="9"/>
    </row>
    <row r="856844" spans="15:15" x14ac:dyDescent="0.25">
      <c r="O856844" s="9"/>
    </row>
    <row r="856865" spans="15:15" x14ac:dyDescent="0.25">
      <c r="O856865" s="9"/>
    </row>
    <row r="856886" spans="15:15" x14ac:dyDescent="0.25">
      <c r="O856886" s="9"/>
    </row>
    <row r="856907" spans="15:15" x14ac:dyDescent="0.25">
      <c r="O856907" s="9"/>
    </row>
    <row r="856928" spans="15:15" x14ac:dyDescent="0.25">
      <c r="O856928" s="9"/>
    </row>
    <row r="856949" spans="15:15" x14ac:dyDescent="0.25">
      <c r="O856949" s="9"/>
    </row>
    <row r="856970" spans="15:15" x14ac:dyDescent="0.25">
      <c r="O856970" s="9"/>
    </row>
    <row r="856991" spans="15:15" x14ac:dyDescent="0.25">
      <c r="O856991" s="9"/>
    </row>
    <row r="857012" spans="15:15" x14ac:dyDescent="0.25">
      <c r="O857012" s="9"/>
    </row>
    <row r="857033" spans="15:15" x14ac:dyDescent="0.25">
      <c r="O857033" s="9"/>
    </row>
    <row r="857054" spans="15:15" x14ac:dyDescent="0.25">
      <c r="O857054" s="9"/>
    </row>
    <row r="857075" spans="15:15" x14ac:dyDescent="0.25">
      <c r="O857075" s="9"/>
    </row>
    <row r="857096" spans="15:15" x14ac:dyDescent="0.25">
      <c r="O857096" s="9"/>
    </row>
    <row r="857117" spans="15:15" x14ac:dyDescent="0.25">
      <c r="O857117" s="9"/>
    </row>
    <row r="857138" spans="15:15" x14ac:dyDescent="0.25">
      <c r="O857138" s="9"/>
    </row>
    <row r="857159" spans="15:15" x14ac:dyDescent="0.25">
      <c r="O857159" s="9"/>
    </row>
    <row r="857180" spans="15:15" x14ac:dyDescent="0.25">
      <c r="O857180" s="9"/>
    </row>
    <row r="857201" spans="15:15" x14ac:dyDescent="0.25">
      <c r="O857201" s="9"/>
    </row>
    <row r="857222" spans="15:15" x14ac:dyDescent="0.25">
      <c r="O857222" s="9"/>
    </row>
    <row r="857243" spans="15:15" x14ac:dyDescent="0.25">
      <c r="O857243" s="9"/>
    </row>
    <row r="857264" spans="15:15" x14ac:dyDescent="0.25">
      <c r="O857264" s="9"/>
    </row>
    <row r="857285" spans="15:15" x14ac:dyDescent="0.25">
      <c r="O857285" s="9"/>
    </row>
    <row r="857306" spans="15:15" x14ac:dyDescent="0.25">
      <c r="O857306" s="9"/>
    </row>
    <row r="857327" spans="15:15" x14ac:dyDescent="0.25">
      <c r="O857327" s="9"/>
    </row>
    <row r="857348" spans="15:15" x14ac:dyDescent="0.25">
      <c r="O857348" s="9"/>
    </row>
    <row r="857369" spans="15:15" x14ac:dyDescent="0.25">
      <c r="O857369" s="9"/>
    </row>
    <row r="857390" spans="15:15" x14ac:dyDescent="0.25">
      <c r="O857390" s="9"/>
    </row>
    <row r="857411" spans="15:15" x14ac:dyDescent="0.25">
      <c r="O857411" s="9"/>
    </row>
    <row r="857432" spans="15:15" x14ac:dyDescent="0.25">
      <c r="O857432" s="9"/>
    </row>
    <row r="857453" spans="15:15" x14ac:dyDescent="0.25">
      <c r="O857453" s="9"/>
    </row>
    <row r="857474" spans="15:15" x14ac:dyDescent="0.25">
      <c r="O857474" s="9"/>
    </row>
    <row r="857495" spans="15:15" x14ac:dyDescent="0.25">
      <c r="O857495" s="9"/>
    </row>
    <row r="857516" spans="15:15" x14ac:dyDescent="0.25">
      <c r="O857516" s="9"/>
    </row>
    <row r="857537" spans="15:15" x14ac:dyDescent="0.25">
      <c r="O857537" s="9"/>
    </row>
    <row r="857558" spans="15:15" x14ac:dyDescent="0.25">
      <c r="O857558" s="9"/>
    </row>
    <row r="857579" spans="15:15" x14ac:dyDescent="0.25">
      <c r="O857579" s="9"/>
    </row>
    <row r="857600" spans="15:15" x14ac:dyDescent="0.25">
      <c r="O857600" s="9"/>
    </row>
    <row r="857621" spans="15:15" x14ac:dyDescent="0.25">
      <c r="O857621" s="9"/>
    </row>
    <row r="857642" spans="15:15" x14ac:dyDescent="0.25">
      <c r="O857642" s="9"/>
    </row>
    <row r="857663" spans="15:15" x14ac:dyDescent="0.25">
      <c r="O857663" s="9"/>
    </row>
    <row r="857684" spans="15:15" x14ac:dyDescent="0.25">
      <c r="O857684" s="9"/>
    </row>
    <row r="857705" spans="15:15" x14ac:dyDescent="0.25">
      <c r="O857705" s="9"/>
    </row>
    <row r="857726" spans="15:15" x14ac:dyDescent="0.25">
      <c r="O857726" s="9"/>
    </row>
    <row r="857747" spans="15:15" x14ac:dyDescent="0.25">
      <c r="O857747" s="9"/>
    </row>
    <row r="857768" spans="15:15" x14ac:dyDescent="0.25">
      <c r="O857768" s="9"/>
    </row>
    <row r="857789" spans="15:15" x14ac:dyDescent="0.25">
      <c r="O857789" s="9"/>
    </row>
    <row r="857810" spans="15:15" x14ac:dyDescent="0.25">
      <c r="O857810" s="9"/>
    </row>
    <row r="857831" spans="15:15" x14ac:dyDescent="0.25">
      <c r="O857831" s="9"/>
    </row>
    <row r="857852" spans="15:15" x14ac:dyDescent="0.25">
      <c r="O857852" s="9"/>
    </row>
    <row r="857873" spans="15:15" x14ac:dyDescent="0.25">
      <c r="O857873" s="9"/>
    </row>
    <row r="857894" spans="15:15" x14ac:dyDescent="0.25">
      <c r="O857894" s="9"/>
    </row>
    <row r="857915" spans="15:15" x14ac:dyDescent="0.25">
      <c r="O857915" s="9"/>
    </row>
    <row r="857936" spans="15:15" x14ac:dyDescent="0.25">
      <c r="O857936" s="9"/>
    </row>
    <row r="857957" spans="15:15" x14ac:dyDescent="0.25">
      <c r="O857957" s="9"/>
    </row>
    <row r="857978" spans="15:15" x14ac:dyDescent="0.25">
      <c r="O857978" s="9"/>
    </row>
    <row r="857999" spans="15:15" x14ac:dyDescent="0.25">
      <c r="O857999" s="9"/>
    </row>
    <row r="858020" spans="15:15" x14ac:dyDescent="0.25">
      <c r="O858020" s="9"/>
    </row>
    <row r="858041" spans="15:15" x14ac:dyDescent="0.25">
      <c r="O858041" s="9"/>
    </row>
    <row r="858062" spans="15:15" x14ac:dyDescent="0.25">
      <c r="O858062" s="9"/>
    </row>
    <row r="858083" spans="15:15" x14ac:dyDescent="0.25">
      <c r="O858083" s="9"/>
    </row>
    <row r="858104" spans="15:15" x14ac:dyDescent="0.25">
      <c r="O858104" s="9"/>
    </row>
    <row r="858125" spans="15:15" x14ac:dyDescent="0.25">
      <c r="O858125" s="9"/>
    </row>
    <row r="858146" spans="15:15" x14ac:dyDescent="0.25">
      <c r="O858146" s="9"/>
    </row>
    <row r="858167" spans="15:15" x14ac:dyDescent="0.25">
      <c r="O858167" s="9"/>
    </row>
    <row r="858188" spans="15:15" x14ac:dyDescent="0.25">
      <c r="O858188" s="9"/>
    </row>
    <row r="858209" spans="15:15" x14ac:dyDescent="0.25">
      <c r="O858209" s="9"/>
    </row>
    <row r="858230" spans="15:15" x14ac:dyDescent="0.25">
      <c r="O858230" s="9"/>
    </row>
    <row r="858251" spans="15:15" x14ac:dyDescent="0.25">
      <c r="O858251" s="9"/>
    </row>
    <row r="858272" spans="15:15" x14ac:dyDescent="0.25">
      <c r="O858272" s="9"/>
    </row>
    <row r="858293" spans="15:15" x14ac:dyDescent="0.25">
      <c r="O858293" s="9"/>
    </row>
    <row r="858314" spans="15:15" x14ac:dyDescent="0.25">
      <c r="O858314" s="9"/>
    </row>
    <row r="858335" spans="15:15" x14ac:dyDescent="0.25">
      <c r="O858335" s="9"/>
    </row>
    <row r="858356" spans="15:15" x14ac:dyDescent="0.25">
      <c r="O858356" s="9"/>
    </row>
    <row r="858377" spans="15:15" x14ac:dyDescent="0.25">
      <c r="O858377" s="9"/>
    </row>
    <row r="858398" spans="15:15" x14ac:dyDescent="0.25">
      <c r="O858398" s="9"/>
    </row>
    <row r="858419" spans="15:15" x14ac:dyDescent="0.25">
      <c r="O858419" s="9"/>
    </row>
    <row r="858440" spans="15:15" x14ac:dyDescent="0.25">
      <c r="O858440" s="9"/>
    </row>
    <row r="858461" spans="15:15" x14ac:dyDescent="0.25">
      <c r="O858461" s="9"/>
    </row>
    <row r="858482" spans="15:15" x14ac:dyDescent="0.25">
      <c r="O858482" s="9"/>
    </row>
    <row r="858503" spans="15:15" x14ac:dyDescent="0.25">
      <c r="O858503" s="9"/>
    </row>
    <row r="858524" spans="15:15" x14ac:dyDescent="0.25">
      <c r="O858524" s="9"/>
    </row>
    <row r="858545" spans="15:15" x14ac:dyDescent="0.25">
      <c r="O858545" s="9"/>
    </row>
    <row r="858566" spans="15:15" x14ac:dyDescent="0.25">
      <c r="O858566" s="9"/>
    </row>
    <row r="858587" spans="15:15" x14ac:dyDescent="0.25">
      <c r="O858587" s="9"/>
    </row>
    <row r="858608" spans="15:15" x14ac:dyDescent="0.25">
      <c r="O858608" s="9"/>
    </row>
    <row r="858629" spans="15:15" x14ac:dyDescent="0.25">
      <c r="O858629" s="9"/>
    </row>
    <row r="858650" spans="15:15" x14ac:dyDescent="0.25">
      <c r="O858650" s="9"/>
    </row>
    <row r="858671" spans="15:15" x14ac:dyDescent="0.25">
      <c r="O858671" s="9"/>
    </row>
    <row r="858692" spans="15:15" x14ac:dyDescent="0.25">
      <c r="O858692" s="9"/>
    </row>
    <row r="858713" spans="15:15" x14ac:dyDescent="0.25">
      <c r="O858713" s="9"/>
    </row>
    <row r="858734" spans="15:15" x14ac:dyDescent="0.25">
      <c r="O858734" s="9"/>
    </row>
    <row r="858755" spans="15:15" x14ac:dyDescent="0.25">
      <c r="O858755" s="9"/>
    </row>
    <row r="858776" spans="15:15" x14ac:dyDescent="0.25">
      <c r="O858776" s="9"/>
    </row>
    <row r="858797" spans="15:15" x14ac:dyDescent="0.25">
      <c r="O858797" s="9"/>
    </row>
    <row r="858818" spans="15:15" x14ac:dyDescent="0.25">
      <c r="O858818" s="9"/>
    </row>
    <row r="858839" spans="15:15" x14ac:dyDescent="0.25">
      <c r="O858839" s="9"/>
    </row>
    <row r="858860" spans="15:15" x14ac:dyDescent="0.25">
      <c r="O858860" s="9"/>
    </row>
    <row r="858881" spans="15:15" x14ac:dyDescent="0.25">
      <c r="O858881" s="9"/>
    </row>
    <row r="858902" spans="15:15" x14ac:dyDescent="0.25">
      <c r="O858902" s="9"/>
    </row>
    <row r="858923" spans="15:15" x14ac:dyDescent="0.25">
      <c r="O858923" s="9"/>
    </row>
    <row r="858944" spans="15:15" x14ac:dyDescent="0.25">
      <c r="O858944" s="9"/>
    </row>
    <row r="858965" spans="15:15" x14ac:dyDescent="0.25">
      <c r="O858965" s="9"/>
    </row>
    <row r="858986" spans="15:15" x14ac:dyDescent="0.25">
      <c r="O858986" s="9"/>
    </row>
    <row r="859007" spans="15:15" x14ac:dyDescent="0.25">
      <c r="O859007" s="9"/>
    </row>
    <row r="859028" spans="15:15" x14ac:dyDescent="0.25">
      <c r="O859028" s="9"/>
    </row>
    <row r="859049" spans="15:15" x14ac:dyDescent="0.25">
      <c r="O859049" s="9"/>
    </row>
    <row r="859070" spans="15:15" x14ac:dyDescent="0.25">
      <c r="O859070" s="9"/>
    </row>
    <row r="859091" spans="15:15" x14ac:dyDescent="0.25">
      <c r="O859091" s="9"/>
    </row>
    <row r="859112" spans="15:15" x14ac:dyDescent="0.25">
      <c r="O859112" s="9"/>
    </row>
    <row r="859133" spans="15:15" x14ac:dyDescent="0.25">
      <c r="O859133" s="9"/>
    </row>
    <row r="859154" spans="15:15" x14ac:dyDescent="0.25">
      <c r="O859154" s="9"/>
    </row>
    <row r="859175" spans="15:15" x14ac:dyDescent="0.25">
      <c r="O859175" s="9"/>
    </row>
    <row r="859196" spans="15:15" x14ac:dyDescent="0.25">
      <c r="O859196" s="9"/>
    </row>
    <row r="859217" spans="15:15" x14ac:dyDescent="0.25">
      <c r="O859217" s="9"/>
    </row>
    <row r="859238" spans="15:15" x14ac:dyDescent="0.25">
      <c r="O859238" s="9"/>
    </row>
    <row r="859259" spans="15:15" x14ac:dyDescent="0.25">
      <c r="O859259" s="9"/>
    </row>
    <row r="859280" spans="15:15" x14ac:dyDescent="0.25">
      <c r="O859280" s="9"/>
    </row>
    <row r="859301" spans="15:15" x14ac:dyDescent="0.25">
      <c r="O859301" s="9"/>
    </row>
    <row r="859322" spans="15:15" x14ac:dyDescent="0.25">
      <c r="O859322" s="9"/>
    </row>
    <row r="859343" spans="15:15" x14ac:dyDescent="0.25">
      <c r="O859343" s="9"/>
    </row>
    <row r="859364" spans="15:15" x14ac:dyDescent="0.25">
      <c r="O859364" s="9"/>
    </row>
    <row r="859385" spans="15:15" x14ac:dyDescent="0.25">
      <c r="O859385" s="9"/>
    </row>
    <row r="859406" spans="15:15" x14ac:dyDescent="0.25">
      <c r="O859406" s="9"/>
    </row>
    <row r="859427" spans="15:15" x14ac:dyDescent="0.25">
      <c r="O859427" s="9"/>
    </row>
    <row r="859448" spans="15:15" x14ac:dyDescent="0.25">
      <c r="O859448" s="9"/>
    </row>
    <row r="859469" spans="15:15" x14ac:dyDescent="0.25">
      <c r="O859469" s="9"/>
    </row>
    <row r="859490" spans="15:15" x14ac:dyDescent="0.25">
      <c r="O859490" s="9"/>
    </row>
    <row r="859511" spans="15:15" x14ac:dyDescent="0.25">
      <c r="O859511" s="9"/>
    </row>
    <row r="859532" spans="15:15" x14ac:dyDescent="0.25">
      <c r="O859532" s="9"/>
    </row>
    <row r="859553" spans="15:15" x14ac:dyDescent="0.25">
      <c r="O859553" s="9"/>
    </row>
    <row r="859574" spans="15:15" x14ac:dyDescent="0.25">
      <c r="O859574" s="9"/>
    </row>
    <row r="859595" spans="15:15" x14ac:dyDescent="0.25">
      <c r="O859595" s="9"/>
    </row>
    <row r="859616" spans="15:15" x14ac:dyDescent="0.25">
      <c r="O859616" s="9"/>
    </row>
    <row r="859637" spans="15:15" x14ac:dyDescent="0.25">
      <c r="O859637" s="9"/>
    </row>
    <row r="859658" spans="15:15" x14ac:dyDescent="0.25">
      <c r="O859658" s="9"/>
    </row>
    <row r="859679" spans="15:15" x14ac:dyDescent="0.25">
      <c r="O859679" s="9"/>
    </row>
    <row r="859700" spans="15:15" x14ac:dyDescent="0.25">
      <c r="O859700" s="9"/>
    </row>
    <row r="859721" spans="15:15" x14ac:dyDescent="0.25">
      <c r="O859721" s="9"/>
    </row>
    <row r="859742" spans="15:15" x14ac:dyDescent="0.25">
      <c r="O859742" s="9"/>
    </row>
    <row r="859763" spans="15:15" x14ac:dyDescent="0.25">
      <c r="O859763" s="9"/>
    </row>
    <row r="859784" spans="15:15" x14ac:dyDescent="0.25">
      <c r="O859784" s="9"/>
    </row>
    <row r="859805" spans="15:15" x14ac:dyDescent="0.25">
      <c r="O859805" s="9"/>
    </row>
    <row r="859826" spans="15:15" x14ac:dyDescent="0.25">
      <c r="O859826" s="9"/>
    </row>
    <row r="859847" spans="15:15" x14ac:dyDescent="0.25">
      <c r="O859847" s="9"/>
    </row>
    <row r="859868" spans="15:15" x14ac:dyDescent="0.25">
      <c r="O859868" s="9"/>
    </row>
    <row r="859889" spans="15:15" x14ac:dyDescent="0.25">
      <c r="O859889" s="9"/>
    </row>
    <row r="859910" spans="15:15" x14ac:dyDescent="0.25">
      <c r="O859910" s="9"/>
    </row>
    <row r="859931" spans="15:15" x14ac:dyDescent="0.25">
      <c r="O859931" s="9"/>
    </row>
    <row r="859952" spans="15:15" x14ac:dyDescent="0.25">
      <c r="O859952" s="9"/>
    </row>
    <row r="859973" spans="15:15" x14ac:dyDescent="0.25">
      <c r="O859973" s="9"/>
    </row>
    <row r="859994" spans="15:15" x14ac:dyDescent="0.25">
      <c r="O859994" s="9"/>
    </row>
    <row r="860015" spans="15:15" x14ac:dyDescent="0.25">
      <c r="O860015" s="9"/>
    </row>
    <row r="860036" spans="15:15" x14ac:dyDescent="0.25">
      <c r="O860036" s="9"/>
    </row>
    <row r="860057" spans="15:15" x14ac:dyDescent="0.25">
      <c r="O860057" s="9"/>
    </row>
    <row r="860078" spans="15:15" x14ac:dyDescent="0.25">
      <c r="O860078" s="9"/>
    </row>
    <row r="860099" spans="15:15" x14ac:dyDescent="0.25">
      <c r="O860099" s="9"/>
    </row>
    <row r="860120" spans="15:15" x14ac:dyDescent="0.25">
      <c r="O860120" s="9"/>
    </row>
    <row r="860141" spans="15:15" x14ac:dyDescent="0.25">
      <c r="O860141" s="9"/>
    </row>
    <row r="860162" spans="15:15" x14ac:dyDescent="0.25">
      <c r="O860162" s="9"/>
    </row>
    <row r="860183" spans="15:15" x14ac:dyDescent="0.25">
      <c r="O860183" s="9"/>
    </row>
    <row r="860204" spans="15:15" x14ac:dyDescent="0.25">
      <c r="O860204" s="9"/>
    </row>
    <row r="860225" spans="15:15" x14ac:dyDescent="0.25">
      <c r="O860225" s="9"/>
    </row>
    <row r="860246" spans="15:15" x14ac:dyDescent="0.25">
      <c r="O860246" s="9"/>
    </row>
    <row r="860267" spans="15:15" x14ac:dyDescent="0.25">
      <c r="O860267" s="9"/>
    </row>
    <row r="860288" spans="15:15" x14ac:dyDescent="0.25">
      <c r="O860288" s="9"/>
    </row>
    <row r="860309" spans="15:15" x14ac:dyDescent="0.25">
      <c r="O860309" s="9"/>
    </row>
    <row r="860330" spans="15:15" x14ac:dyDescent="0.25">
      <c r="O860330" s="9"/>
    </row>
    <row r="860351" spans="15:15" x14ac:dyDescent="0.25">
      <c r="O860351" s="9"/>
    </row>
    <row r="860372" spans="15:15" x14ac:dyDescent="0.25">
      <c r="O860372" s="9"/>
    </row>
    <row r="860393" spans="15:15" x14ac:dyDescent="0.25">
      <c r="O860393" s="9"/>
    </row>
    <row r="860414" spans="15:15" x14ac:dyDescent="0.25">
      <c r="O860414" s="9"/>
    </row>
    <row r="860435" spans="15:15" x14ac:dyDescent="0.25">
      <c r="O860435" s="9"/>
    </row>
    <row r="860456" spans="15:15" x14ac:dyDescent="0.25">
      <c r="O860456" s="9"/>
    </row>
    <row r="860477" spans="15:15" x14ac:dyDescent="0.25">
      <c r="O860477" s="9"/>
    </row>
    <row r="860498" spans="15:15" x14ac:dyDescent="0.25">
      <c r="O860498" s="9"/>
    </row>
    <row r="860519" spans="15:15" x14ac:dyDescent="0.25">
      <c r="O860519" s="9"/>
    </row>
    <row r="860540" spans="15:15" x14ac:dyDescent="0.25">
      <c r="O860540" s="9"/>
    </row>
    <row r="860561" spans="15:15" x14ac:dyDescent="0.25">
      <c r="O860561" s="9"/>
    </row>
    <row r="860582" spans="15:15" x14ac:dyDescent="0.25">
      <c r="O860582" s="9"/>
    </row>
    <row r="860603" spans="15:15" x14ac:dyDescent="0.25">
      <c r="O860603" s="9"/>
    </row>
    <row r="860624" spans="15:15" x14ac:dyDescent="0.25">
      <c r="O860624" s="9"/>
    </row>
    <row r="860645" spans="15:15" x14ac:dyDescent="0.25">
      <c r="O860645" s="9"/>
    </row>
    <row r="860666" spans="15:15" x14ac:dyDescent="0.25">
      <c r="O860666" s="9"/>
    </row>
    <row r="860687" spans="15:15" x14ac:dyDescent="0.25">
      <c r="O860687" s="9"/>
    </row>
    <row r="860708" spans="15:15" x14ac:dyDescent="0.25">
      <c r="O860708" s="9"/>
    </row>
    <row r="860729" spans="15:15" x14ac:dyDescent="0.25">
      <c r="O860729" s="9"/>
    </row>
    <row r="860750" spans="15:15" x14ac:dyDescent="0.25">
      <c r="O860750" s="9"/>
    </row>
    <row r="860771" spans="15:15" x14ac:dyDescent="0.25">
      <c r="O860771" s="9"/>
    </row>
    <row r="860792" spans="15:15" x14ac:dyDescent="0.25">
      <c r="O860792" s="9"/>
    </row>
    <row r="860813" spans="15:15" x14ac:dyDescent="0.25">
      <c r="O860813" s="9"/>
    </row>
    <row r="860834" spans="15:15" x14ac:dyDescent="0.25">
      <c r="O860834" s="9"/>
    </row>
    <row r="860855" spans="15:15" x14ac:dyDescent="0.25">
      <c r="O860855" s="9"/>
    </row>
    <row r="860876" spans="15:15" x14ac:dyDescent="0.25">
      <c r="O860876" s="9"/>
    </row>
    <row r="860897" spans="15:15" x14ac:dyDescent="0.25">
      <c r="O860897" s="9"/>
    </row>
    <row r="860918" spans="15:15" x14ac:dyDescent="0.25">
      <c r="O860918" s="9"/>
    </row>
    <row r="860939" spans="15:15" x14ac:dyDescent="0.25">
      <c r="O860939" s="9"/>
    </row>
    <row r="860960" spans="15:15" x14ac:dyDescent="0.25">
      <c r="O860960" s="9"/>
    </row>
    <row r="860981" spans="15:15" x14ac:dyDescent="0.25">
      <c r="O860981" s="9"/>
    </row>
    <row r="861002" spans="15:15" x14ac:dyDescent="0.25">
      <c r="O861002" s="9"/>
    </row>
    <row r="861023" spans="15:15" x14ac:dyDescent="0.25">
      <c r="O861023" s="9"/>
    </row>
    <row r="861044" spans="15:15" x14ac:dyDescent="0.25">
      <c r="O861044" s="9"/>
    </row>
    <row r="861065" spans="15:15" x14ac:dyDescent="0.25">
      <c r="O861065" s="9"/>
    </row>
    <row r="861086" spans="15:15" x14ac:dyDescent="0.25">
      <c r="O861086" s="9"/>
    </row>
    <row r="861107" spans="15:15" x14ac:dyDescent="0.25">
      <c r="O861107" s="9"/>
    </row>
    <row r="861128" spans="15:15" x14ac:dyDescent="0.25">
      <c r="O861128" s="9"/>
    </row>
    <row r="861149" spans="15:15" x14ac:dyDescent="0.25">
      <c r="O861149" s="9"/>
    </row>
    <row r="861170" spans="15:15" x14ac:dyDescent="0.25">
      <c r="O861170" s="9"/>
    </row>
    <row r="861191" spans="15:15" x14ac:dyDescent="0.25">
      <c r="O861191" s="9"/>
    </row>
    <row r="861212" spans="15:15" x14ac:dyDescent="0.25">
      <c r="O861212" s="9"/>
    </row>
    <row r="861233" spans="15:15" x14ac:dyDescent="0.25">
      <c r="O861233" s="9"/>
    </row>
    <row r="861254" spans="15:15" x14ac:dyDescent="0.25">
      <c r="O861254" s="9"/>
    </row>
    <row r="861275" spans="15:15" x14ac:dyDescent="0.25">
      <c r="O861275" s="9"/>
    </row>
    <row r="861296" spans="15:15" x14ac:dyDescent="0.25">
      <c r="O861296" s="9"/>
    </row>
    <row r="861317" spans="15:15" x14ac:dyDescent="0.25">
      <c r="O861317" s="9"/>
    </row>
    <row r="861338" spans="15:15" x14ac:dyDescent="0.25">
      <c r="O861338" s="9"/>
    </row>
    <row r="861359" spans="15:15" x14ac:dyDescent="0.25">
      <c r="O861359" s="9"/>
    </row>
    <row r="861380" spans="15:15" x14ac:dyDescent="0.25">
      <c r="O861380" s="9"/>
    </row>
    <row r="861401" spans="15:15" x14ac:dyDescent="0.25">
      <c r="O861401" s="9"/>
    </row>
    <row r="861422" spans="15:15" x14ac:dyDescent="0.25">
      <c r="O861422" s="9"/>
    </row>
    <row r="861443" spans="15:15" x14ac:dyDescent="0.25">
      <c r="O861443" s="9"/>
    </row>
    <row r="861464" spans="15:15" x14ac:dyDescent="0.25">
      <c r="O861464" s="9"/>
    </row>
    <row r="861485" spans="15:15" x14ac:dyDescent="0.25">
      <c r="O861485" s="9"/>
    </row>
    <row r="861506" spans="15:15" x14ac:dyDescent="0.25">
      <c r="O861506" s="9"/>
    </row>
    <row r="861527" spans="15:15" x14ac:dyDescent="0.25">
      <c r="O861527" s="9"/>
    </row>
    <row r="861548" spans="15:15" x14ac:dyDescent="0.25">
      <c r="O861548" s="9"/>
    </row>
    <row r="861569" spans="15:15" x14ac:dyDescent="0.25">
      <c r="O861569" s="9"/>
    </row>
    <row r="861590" spans="15:15" x14ac:dyDescent="0.25">
      <c r="O861590" s="9"/>
    </row>
    <row r="861611" spans="15:15" x14ac:dyDescent="0.25">
      <c r="O861611" s="9"/>
    </row>
    <row r="861632" spans="15:15" x14ac:dyDescent="0.25">
      <c r="O861632" s="9"/>
    </row>
    <row r="861653" spans="15:15" x14ac:dyDescent="0.25">
      <c r="O861653" s="9"/>
    </row>
    <row r="861674" spans="15:15" x14ac:dyDescent="0.25">
      <c r="O861674" s="9"/>
    </row>
    <row r="861695" spans="15:15" x14ac:dyDescent="0.25">
      <c r="O861695" s="9"/>
    </row>
    <row r="861716" spans="15:15" x14ac:dyDescent="0.25">
      <c r="O861716" s="9"/>
    </row>
    <row r="861737" spans="15:15" x14ac:dyDescent="0.25">
      <c r="O861737" s="9"/>
    </row>
    <row r="861758" spans="15:15" x14ac:dyDescent="0.25">
      <c r="O861758" s="9"/>
    </row>
    <row r="861779" spans="15:15" x14ac:dyDescent="0.25">
      <c r="O861779" s="9"/>
    </row>
    <row r="861800" spans="15:15" x14ac:dyDescent="0.25">
      <c r="O861800" s="9"/>
    </row>
    <row r="861821" spans="15:15" x14ac:dyDescent="0.25">
      <c r="O861821" s="9"/>
    </row>
    <row r="861842" spans="15:15" x14ac:dyDescent="0.25">
      <c r="O861842" s="9"/>
    </row>
    <row r="861863" spans="15:15" x14ac:dyDescent="0.25">
      <c r="O861863" s="9"/>
    </row>
    <row r="861884" spans="15:15" x14ac:dyDescent="0.25">
      <c r="O861884" s="9"/>
    </row>
    <row r="861905" spans="15:15" x14ac:dyDescent="0.25">
      <c r="O861905" s="9"/>
    </row>
    <row r="861926" spans="15:15" x14ac:dyDescent="0.25">
      <c r="O861926" s="9"/>
    </row>
    <row r="861947" spans="15:15" x14ac:dyDescent="0.25">
      <c r="O861947" s="9"/>
    </row>
    <row r="861968" spans="15:15" x14ac:dyDescent="0.25">
      <c r="O861968" s="9"/>
    </row>
    <row r="861989" spans="15:15" x14ac:dyDescent="0.25">
      <c r="O861989" s="9"/>
    </row>
    <row r="862010" spans="15:15" x14ac:dyDescent="0.25">
      <c r="O862010" s="9"/>
    </row>
    <row r="862031" spans="15:15" x14ac:dyDescent="0.25">
      <c r="O862031" s="9"/>
    </row>
    <row r="862052" spans="15:15" x14ac:dyDescent="0.25">
      <c r="O862052" s="9"/>
    </row>
    <row r="862073" spans="15:15" x14ac:dyDescent="0.25">
      <c r="O862073" s="9"/>
    </row>
    <row r="862094" spans="15:15" x14ac:dyDescent="0.25">
      <c r="O862094" s="9"/>
    </row>
    <row r="862115" spans="15:15" x14ac:dyDescent="0.25">
      <c r="O862115" s="9"/>
    </row>
    <row r="862136" spans="15:15" x14ac:dyDescent="0.25">
      <c r="O862136" s="9"/>
    </row>
    <row r="862157" spans="15:15" x14ac:dyDescent="0.25">
      <c r="O862157" s="9"/>
    </row>
    <row r="862178" spans="15:15" x14ac:dyDescent="0.25">
      <c r="O862178" s="9"/>
    </row>
    <row r="862199" spans="15:15" x14ac:dyDescent="0.25">
      <c r="O862199" s="9"/>
    </row>
    <row r="862220" spans="15:15" x14ac:dyDescent="0.25">
      <c r="O862220" s="9"/>
    </row>
    <row r="862241" spans="15:15" x14ac:dyDescent="0.25">
      <c r="O862241" s="9"/>
    </row>
    <row r="862262" spans="15:15" x14ac:dyDescent="0.25">
      <c r="O862262" s="9"/>
    </row>
    <row r="862283" spans="15:15" x14ac:dyDescent="0.25">
      <c r="O862283" s="9"/>
    </row>
    <row r="862304" spans="15:15" x14ac:dyDescent="0.25">
      <c r="O862304" s="9"/>
    </row>
    <row r="862325" spans="15:15" x14ac:dyDescent="0.25">
      <c r="O862325" s="9"/>
    </row>
    <row r="862346" spans="15:15" x14ac:dyDescent="0.25">
      <c r="O862346" s="9"/>
    </row>
    <row r="862367" spans="15:15" x14ac:dyDescent="0.25">
      <c r="O862367" s="9"/>
    </row>
    <row r="862388" spans="15:15" x14ac:dyDescent="0.25">
      <c r="O862388" s="9"/>
    </row>
    <row r="862409" spans="15:15" x14ac:dyDescent="0.25">
      <c r="O862409" s="9"/>
    </row>
    <row r="862430" spans="15:15" x14ac:dyDescent="0.25">
      <c r="O862430" s="9"/>
    </row>
    <row r="862451" spans="15:15" x14ac:dyDescent="0.25">
      <c r="O862451" s="9"/>
    </row>
    <row r="862472" spans="15:15" x14ac:dyDescent="0.25">
      <c r="O862472" s="9"/>
    </row>
    <row r="862493" spans="15:15" x14ac:dyDescent="0.25">
      <c r="O862493" s="9"/>
    </row>
    <row r="862514" spans="15:15" x14ac:dyDescent="0.25">
      <c r="O862514" s="9"/>
    </row>
    <row r="862535" spans="15:15" x14ac:dyDescent="0.25">
      <c r="O862535" s="9"/>
    </row>
    <row r="862556" spans="15:15" x14ac:dyDescent="0.25">
      <c r="O862556" s="9"/>
    </row>
    <row r="862577" spans="15:15" x14ac:dyDescent="0.25">
      <c r="O862577" s="9"/>
    </row>
    <row r="862598" spans="15:15" x14ac:dyDescent="0.25">
      <c r="O862598" s="9"/>
    </row>
    <row r="862619" spans="15:15" x14ac:dyDescent="0.25">
      <c r="O862619" s="9"/>
    </row>
    <row r="862640" spans="15:15" x14ac:dyDescent="0.25">
      <c r="O862640" s="9"/>
    </row>
    <row r="862661" spans="15:15" x14ac:dyDescent="0.25">
      <c r="O862661" s="9"/>
    </row>
    <row r="862682" spans="15:15" x14ac:dyDescent="0.25">
      <c r="O862682" s="9"/>
    </row>
    <row r="862703" spans="15:15" x14ac:dyDescent="0.25">
      <c r="O862703" s="9"/>
    </row>
    <row r="862724" spans="15:15" x14ac:dyDescent="0.25">
      <c r="O862724" s="9"/>
    </row>
    <row r="862745" spans="15:15" x14ac:dyDescent="0.25">
      <c r="O862745" s="9"/>
    </row>
    <row r="862766" spans="15:15" x14ac:dyDescent="0.25">
      <c r="O862766" s="9"/>
    </row>
    <row r="862787" spans="15:15" x14ac:dyDescent="0.25">
      <c r="O862787" s="9"/>
    </row>
    <row r="862808" spans="15:15" x14ac:dyDescent="0.25">
      <c r="O862808" s="9"/>
    </row>
    <row r="862829" spans="15:15" x14ac:dyDescent="0.25">
      <c r="O862829" s="9"/>
    </row>
    <row r="862850" spans="15:15" x14ac:dyDescent="0.25">
      <c r="O862850" s="9"/>
    </row>
    <row r="862871" spans="15:15" x14ac:dyDescent="0.25">
      <c r="O862871" s="9"/>
    </row>
    <row r="862892" spans="15:15" x14ac:dyDescent="0.25">
      <c r="O862892" s="9"/>
    </row>
    <row r="862913" spans="15:15" x14ac:dyDescent="0.25">
      <c r="O862913" s="9"/>
    </row>
    <row r="862934" spans="15:15" x14ac:dyDescent="0.25">
      <c r="O862934" s="9"/>
    </row>
    <row r="862955" spans="15:15" x14ac:dyDescent="0.25">
      <c r="O862955" s="9"/>
    </row>
    <row r="862976" spans="15:15" x14ac:dyDescent="0.25">
      <c r="O862976" s="9"/>
    </row>
    <row r="862997" spans="15:15" x14ac:dyDescent="0.25">
      <c r="O862997" s="9"/>
    </row>
    <row r="863018" spans="15:15" x14ac:dyDescent="0.25">
      <c r="O863018" s="9"/>
    </row>
    <row r="863039" spans="15:15" x14ac:dyDescent="0.25">
      <c r="O863039" s="9"/>
    </row>
    <row r="863060" spans="15:15" x14ac:dyDescent="0.25">
      <c r="O863060" s="9"/>
    </row>
    <row r="863081" spans="15:15" x14ac:dyDescent="0.25">
      <c r="O863081" s="9"/>
    </row>
    <row r="863102" spans="15:15" x14ac:dyDescent="0.25">
      <c r="O863102" s="9"/>
    </row>
    <row r="863123" spans="15:15" x14ac:dyDescent="0.25">
      <c r="O863123" s="9"/>
    </row>
    <row r="863144" spans="15:15" x14ac:dyDescent="0.25">
      <c r="O863144" s="9"/>
    </row>
    <row r="863165" spans="15:15" x14ac:dyDescent="0.25">
      <c r="O863165" s="9"/>
    </row>
    <row r="863186" spans="15:15" x14ac:dyDescent="0.25">
      <c r="O863186" s="9"/>
    </row>
    <row r="863207" spans="15:15" x14ac:dyDescent="0.25">
      <c r="O863207" s="9"/>
    </row>
    <row r="863228" spans="15:15" x14ac:dyDescent="0.25">
      <c r="O863228" s="9"/>
    </row>
    <row r="863249" spans="15:15" x14ac:dyDescent="0.25">
      <c r="O863249" s="9"/>
    </row>
    <row r="863270" spans="15:15" x14ac:dyDescent="0.25">
      <c r="O863270" s="9"/>
    </row>
    <row r="863291" spans="15:15" x14ac:dyDescent="0.25">
      <c r="O863291" s="9"/>
    </row>
    <row r="863312" spans="15:15" x14ac:dyDescent="0.25">
      <c r="O863312" s="9"/>
    </row>
    <row r="863333" spans="15:15" x14ac:dyDescent="0.25">
      <c r="O863333" s="9"/>
    </row>
    <row r="863354" spans="15:15" x14ac:dyDescent="0.25">
      <c r="O863354" s="9"/>
    </row>
    <row r="863375" spans="15:15" x14ac:dyDescent="0.25">
      <c r="O863375" s="9"/>
    </row>
    <row r="863396" spans="15:15" x14ac:dyDescent="0.25">
      <c r="O863396" s="9"/>
    </row>
    <row r="863417" spans="15:15" x14ac:dyDescent="0.25">
      <c r="O863417" s="9"/>
    </row>
    <row r="863438" spans="15:15" x14ac:dyDescent="0.25">
      <c r="O863438" s="9"/>
    </row>
    <row r="863459" spans="15:15" x14ac:dyDescent="0.25">
      <c r="O863459" s="9"/>
    </row>
    <row r="863480" spans="15:15" x14ac:dyDescent="0.25">
      <c r="O863480" s="9"/>
    </row>
    <row r="863501" spans="15:15" x14ac:dyDescent="0.25">
      <c r="O863501" s="9"/>
    </row>
    <row r="863522" spans="15:15" x14ac:dyDescent="0.25">
      <c r="O863522" s="9"/>
    </row>
    <row r="863543" spans="15:15" x14ac:dyDescent="0.25">
      <c r="O863543" s="9"/>
    </row>
    <row r="863564" spans="15:15" x14ac:dyDescent="0.25">
      <c r="O863564" s="9"/>
    </row>
    <row r="863585" spans="15:15" x14ac:dyDescent="0.25">
      <c r="O863585" s="9"/>
    </row>
    <row r="863606" spans="15:15" x14ac:dyDescent="0.25">
      <c r="O863606" s="9"/>
    </row>
    <row r="863627" spans="15:15" x14ac:dyDescent="0.25">
      <c r="O863627" s="9"/>
    </row>
    <row r="863648" spans="15:15" x14ac:dyDescent="0.25">
      <c r="O863648" s="9"/>
    </row>
    <row r="863669" spans="15:15" x14ac:dyDescent="0.25">
      <c r="O863669" s="9"/>
    </row>
    <row r="863690" spans="15:15" x14ac:dyDescent="0.25">
      <c r="O863690" s="9"/>
    </row>
    <row r="863711" spans="15:15" x14ac:dyDescent="0.25">
      <c r="O863711" s="9"/>
    </row>
    <row r="863732" spans="15:15" x14ac:dyDescent="0.25">
      <c r="O863732" s="9"/>
    </row>
    <row r="863753" spans="15:15" x14ac:dyDescent="0.25">
      <c r="O863753" s="9"/>
    </row>
    <row r="863774" spans="15:15" x14ac:dyDescent="0.25">
      <c r="O863774" s="9"/>
    </row>
    <row r="863795" spans="15:15" x14ac:dyDescent="0.25">
      <c r="O863795" s="9"/>
    </row>
    <row r="863816" spans="15:15" x14ac:dyDescent="0.25">
      <c r="O863816" s="9"/>
    </row>
    <row r="863837" spans="15:15" x14ac:dyDescent="0.25">
      <c r="O863837" s="9"/>
    </row>
    <row r="863858" spans="15:15" x14ac:dyDescent="0.25">
      <c r="O863858" s="9"/>
    </row>
    <row r="863879" spans="15:15" x14ac:dyDescent="0.25">
      <c r="O863879" s="9"/>
    </row>
    <row r="863900" spans="15:15" x14ac:dyDescent="0.25">
      <c r="O863900" s="9"/>
    </row>
    <row r="863921" spans="15:15" x14ac:dyDescent="0.25">
      <c r="O863921" s="9"/>
    </row>
    <row r="863942" spans="15:15" x14ac:dyDescent="0.25">
      <c r="O863942" s="9"/>
    </row>
    <row r="863963" spans="15:15" x14ac:dyDescent="0.25">
      <c r="O863963" s="9"/>
    </row>
    <row r="863984" spans="15:15" x14ac:dyDescent="0.25">
      <c r="O863984" s="9"/>
    </row>
    <row r="864005" spans="15:15" x14ac:dyDescent="0.25">
      <c r="O864005" s="9"/>
    </row>
    <row r="864026" spans="15:15" x14ac:dyDescent="0.25">
      <c r="O864026" s="9"/>
    </row>
    <row r="864047" spans="15:15" x14ac:dyDescent="0.25">
      <c r="O864047" s="9"/>
    </row>
    <row r="864068" spans="15:15" x14ac:dyDescent="0.25">
      <c r="O864068" s="9"/>
    </row>
    <row r="864089" spans="15:15" x14ac:dyDescent="0.25">
      <c r="O864089" s="9"/>
    </row>
    <row r="864110" spans="15:15" x14ac:dyDescent="0.25">
      <c r="O864110" s="9"/>
    </row>
    <row r="864131" spans="15:15" x14ac:dyDescent="0.25">
      <c r="O864131" s="9"/>
    </row>
    <row r="864152" spans="15:15" x14ac:dyDescent="0.25">
      <c r="O864152" s="9"/>
    </row>
    <row r="864173" spans="15:15" x14ac:dyDescent="0.25">
      <c r="O864173" s="9"/>
    </row>
    <row r="864194" spans="15:15" x14ac:dyDescent="0.25">
      <c r="O864194" s="9"/>
    </row>
    <row r="864215" spans="15:15" x14ac:dyDescent="0.25">
      <c r="O864215" s="9"/>
    </row>
    <row r="864236" spans="15:15" x14ac:dyDescent="0.25">
      <c r="O864236" s="9"/>
    </row>
    <row r="864257" spans="15:15" x14ac:dyDescent="0.25">
      <c r="O864257" s="9"/>
    </row>
    <row r="864278" spans="15:15" x14ac:dyDescent="0.25">
      <c r="O864278" s="9"/>
    </row>
    <row r="864299" spans="15:15" x14ac:dyDescent="0.25">
      <c r="O864299" s="9"/>
    </row>
    <row r="864320" spans="15:15" x14ac:dyDescent="0.25">
      <c r="O864320" s="9"/>
    </row>
    <row r="864341" spans="15:15" x14ac:dyDescent="0.25">
      <c r="O864341" s="9"/>
    </row>
    <row r="864362" spans="15:15" x14ac:dyDescent="0.25">
      <c r="O864362" s="9"/>
    </row>
    <row r="864383" spans="15:15" x14ac:dyDescent="0.25">
      <c r="O864383" s="9"/>
    </row>
    <row r="864404" spans="15:15" x14ac:dyDescent="0.25">
      <c r="O864404" s="9"/>
    </row>
    <row r="864425" spans="15:15" x14ac:dyDescent="0.25">
      <c r="O864425" s="9"/>
    </row>
    <row r="864446" spans="15:15" x14ac:dyDescent="0.25">
      <c r="O864446" s="9"/>
    </row>
    <row r="864467" spans="15:15" x14ac:dyDescent="0.25">
      <c r="O864467" s="9"/>
    </row>
    <row r="864488" spans="15:15" x14ac:dyDescent="0.25">
      <c r="O864488" s="9"/>
    </row>
    <row r="864509" spans="15:15" x14ac:dyDescent="0.25">
      <c r="O864509" s="9"/>
    </row>
    <row r="864530" spans="15:15" x14ac:dyDescent="0.25">
      <c r="O864530" s="9"/>
    </row>
    <row r="864551" spans="15:15" x14ac:dyDescent="0.25">
      <c r="O864551" s="9"/>
    </row>
    <row r="864572" spans="15:15" x14ac:dyDescent="0.25">
      <c r="O864572" s="9"/>
    </row>
    <row r="864593" spans="15:15" x14ac:dyDescent="0.25">
      <c r="O864593" s="9"/>
    </row>
    <row r="864614" spans="15:15" x14ac:dyDescent="0.25">
      <c r="O864614" s="9"/>
    </row>
    <row r="864635" spans="15:15" x14ac:dyDescent="0.25">
      <c r="O864635" s="9"/>
    </row>
    <row r="864656" spans="15:15" x14ac:dyDescent="0.25">
      <c r="O864656" s="9"/>
    </row>
    <row r="864677" spans="15:15" x14ac:dyDescent="0.25">
      <c r="O864677" s="9"/>
    </row>
    <row r="864698" spans="15:15" x14ac:dyDescent="0.25">
      <c r="O864698" s="9"/>
    </row>
    <row r="864719" spans="15:15" x14ac:dyDescent="0.25">
      <c r="O864719" s="9"/>
    </row>
    <row r="864740" spans="15:15" x14ac:dyDescent="0.25">
      <c r="O864740" s="9"/>
    </row>
    <row r="864761" spans="15:15" x14ac:dyDescent="0.25">
      <c r="O864761" s="9"/>
    </row>
    <row r="864782" spans="15:15" x14ac:dyDescent="0.25">
      <c r="O864782" s="9"/>
    </row>
    <row r="864803" spans="15:15" x14ac:dyDescent="0.25">
      <c r="O864803" s="9"/>
    </row>
    <row r="864824" spans="15:15" x14ac:dyDescent="0.25">
      <c r="O864824" s="9"/>
    </row>
    <row r="864845" spans="15:15" x14ac:dyDescent="0.25">
      <c r="O864845" s="9"/>
    </row>
    <row r="864866" spans="15:15" x14ac:dyDescent="0.25">
      <c r="O864866" s="9"/>
    </row>
    <row r="864887" spans="15:15" x14ac:dyDescent="0.25">
      <c r="O864887" s="9"/>
    </row>
    <row r="864908" spans="15:15" x14ac:dyDescent="0.25">
      <c r="O864908" s="9"/>
    </row>
    <row r="864929" spans="15:15" x14ac:dyDescent="0.25">
      <c r="O864929" s="9"/>
    </row>
    <row r="864950" spans="15:15" x14ac:dyDescent="0.25">
      <c r="O864950" s="9"/>
    </row>
    <row r="864971" spans="15:15" x14ac:dyDescent="0.25">
      <c r="O864971" s="9"/>
    </row>
    <row r="864992" spans="15:15" x14ac:dyDescent="0.25">
      <c r="O864992" s="9"/>
    </row>
    <row r="865013" spans="15:15" x14ac:dyDescent="0.25">
      <c r="O865013" s="9"/>
    </row>
    <row r="865034" spans="15:15" x14ac:dyDescent="0.25">
      <c r="O865034" s="9"/>
    </row>
    <row r="865055" spans="15:15" x14ac:dyDescent="0.25">
      <c r="O865055" s="9"/>
    </row>
    <row r="865076" spans="15:15" x14ac:dyDescent="0.25">
      <c r="O865076" s="9"/>
    </row>
    <row r="865097" spans="15:15" x14ac:dyDescent="0.25">
      <c r="O865097" s="9"/>
    </row>
    <row r="865118" spans="15:15" x14ac:dyDescent="0.25">
      <c r="O865118" s="9"/>
    </row>
    <row r="865139" spans="15:15" x14ac:dyDescent="0.25">
      <c r="O865139" s="9"/>
    </row>
    <row r="865160" spans="15:15" x14ac:dyDescent="0.25">
      <c r="O865160" s="9"/>
    </row>
    <row r="865181" spans="15:15" x14ac:dyDescent="0.25">
      <c r="O865181" s="9"/>
    </row>
    <row r="865202" spans="15:15" x14ac:dyDescent="0.25">
      <c r="O865202" s="9"/>
    </row>
    <row r="865223" spans="15:15" x14ac:dyDescent="0.25">
      <c r="O865223" s="9"/>
    </row>
    <row r="865244" spans="15:15" x14ac:dyDescent="0.25">
      <c r="O865244" s="9"/>
    </row>
    <row r="865265" spans="15:15" x14ac:dyDescent="0.25">
      <c r="O865265" s="9"/>
    </row>
    <row r="865286" spans="15:15" x14ac:dyDescent="0.25">
      <c r="O865286" s="9"/>
    </row>
    <row r="865307" spans="15:15" x14ac:dyDescent="0.25">
      <c r="O865307" s="9"/>
    </row>
    <row r="865328" spans="15:15" x14ac:dyDescent="0.25">
      <c r="O865328" s="9"/>
    </row>
    <row r="865349" spans="15:15" x14ac:dyDescent="0.25">
      <c r="O865349" s="9"/>
    </row>
    <row r="865370" spans="15:15" x14ac:dyDescent="0.25">
      <c r="O865370" s="9"/>
    </row>
    <row r="865391" spans="15:15" x14ac:dyDescent="0.25">
      <c r="O865391" s="9"/>
    </row>
    <row r="865412" spans="15:15" x14ac:dyDescent="0.25">
      <c r="O865412" s="9"/>
    </row>
    <row r="865433" spans="15:15" x14ac:dyDescent="0.25">
      <c r="O865433" s="9"/>
    </row>
    <row r="865454" spans="15:15" x14ac:dyDescent="0.25">
      <c r="O865454" s="9"/>
    </row>
    <row r="865475" spans="15:15" x14ac:dyDescent="0.25">
      <c r="O865475" s="9"/>
    </row>
    <row r="865496" spans="15:15" x14ac:dyDescent="0.25">
      <c r="O865496" s="9"/>
    </row>
    <row r="865517" spans="15:15" x14ac:dyDescent="0.25">
      <c r="O865517" s="9"/>
    </row>
    <row r="865538" spans="15:15" x14ac:dyDescent="0.25">
      <c r="O865538" s="9"/>
    </row>
    <row r="865559" spans="15:15" x14ac:dyDescent="0.25">
      <c r="O865559" s="9"/>
    </row>
    <row r="865580" spans="15:15" x14ac:dyDescent="0.25">
      <c r="O865580" s="9"/>
    </row>
    <row r="865601" spans="15:15" x14ac:dyDescent="0.25">
      <c r="O865601" s="9"/>
    </row>
    <row r="865622" spans="15:15" x14ac:dyDescent="0.25">
      <c r="O865622" s="9"/>
    </row>
    <row r="865643" spans="15:15" x14ac:dyDescent="0.25">
      <c r="O865643" s="9"/>
    </row>
    <row r="865664" spans="15:15" x14ac:dyDescent="0.25">
      <c r="O865664" s="9"/>
    </row>
    <row r="865685" spans="15:15" x14ac:dyDescent="0.25">
      <c r="O865685" s="9"/>
    </row>
    <row r="865706" spans="15:15" x14ac:dyDescent="0.25">
      <c r="O865706" s="9"/>
    </row>
    <row r="865727" spans="15:15" x14ac:dyDescent="0.25">
      <c r="O865727" s="9"/>
    </row>
    <row r="865748" spans="15:15" x14ac:dyDescent="0.25">
      <c r="O865748" s="9"/>
    </row>
    <row r="865769" spans="15:15" x14ac:dyDescent="0.25">
      <c r="O865769" s="9"/>
    </row>
    <row r="865790" spans="15:15" x14ac:dyDescent="0.25">
      <c r="O865790" s="9"/>
    </row>
    <row r="865811" spans="15:15" x14ac:dyDescent="0.25">
      <c r="O865811" s="9"/>
    </row>
    <row r="865832" spans="15:15" x14ac:dyDescent="0.25">
      <c r="O865832" s="9"/>
    </row>
    <row r="865853" spans="15:15" x14ac:dyDescent="0.25">
      <c r="O865853" s="9"/>
    </row>
    <row r="865874" spans="15:15" x14ac:dyDescent="0.25">
      <c r="O865874" s="9"/>
    </row>
    <row r="865895" spans="15:15" x14ac:dyDescent="0.25">
      <c r="O865895" s="9"/>
    </row>
    <row r="865916" spans="15:15" x14ac:dyDescent="0.25">
      <c r="O865916" s="9"/>
    </row>
    <row r="865937" spans="15:15" x14ac:dyDescent="0.25">
      <c r="O865937" s="9"/>
    </row>
    <row r="865958" spans="15:15" x14ac:dyDescent="0.25">
      <c r="O865958" s="9"/>
    </row>
    <row r="865979" spans="15:15" x14ac:dyDescent="0.25">
      <c r="O865979" s="9"/>
    </row>
    <row r="866000" spans="15:15" x14ac:dyDescent="0.25">
      <c r="O866000" s="9"/>
    </row>
    <row r="866021" spans="15:15" x14ac:dyDescent="0.25">
      <c r="O866021" s="9"/>
    </row>
    <row r="866042" spans="15:15" x14ac:dyDescent="0.25">
      <c r="O866042" s="9"/>
    </row>
    <row r="866063" spans="15:15" x14ac:dyDescent="0.25">
      <c r="O866063" s="9"/>
    </row>
    <row r="866084" spans="15:15" x14ac:dyDescent="0.25">
      <c r="O866084" s="9"/>
    </row>
    <row r="866105" spans="15:15" x14ac:dyDescent="0.25">
      <c r="O866105" s="9"/>
    </row>
    <row r="866126" spans="15:15" x14ac:dyDescent="0.25">
      <c r="O866126" s="9"/>
    </row>
    <row r="866147" spans="15:15" x14ac:dyDescent="0.25">
      <c r="O866147" s="9"/>
    </row>
    <row r="866168" spans="15:15" x14ac:dyDescent="0.25">
      <c r="O866168" s="9"/>
    </row>
    <row r="866189" spans="15:15" x14ac:dyDescent="0.25">
      <c r="O866189" s="9"/>
    </row>
    <row r="866210" spans="15:15" x14ac:dyDescent="0.25">
      <c r="O866210" s="9"/>
    </row>
    <row r="866231" spans="15:15" x14ac:dyDescent="0.25">
      <c r="O866231" s="9"/>
    </row>
    <row r="866252" spans="15:15" x14ac:dyDescent="0.25">
      <c r="O866252" s="9"/>
    </row>
    <row r="866273" spans="15:15" x14ac:dyDescent="0.25">
      <c r="O866273" s="9"/>
    </row>
    <row r="866294" spans="15:15" x14ac:dyDescent="0.25">
      <c r="O866294" s="9"/>
    </row>
    <row r="866315" spans="15:15" x14ac:dyDescent="0.25">
      <c r="O866315" s="9"/>
    </row>
    <row r="866336" spans="15:15" x14ac:dyDescent="0.25">
      <c r="O866336" s="9"/>
    </row>
    <row r="866357" spans="15:15" x14ac:dyDescent="0.25">
      <c r="O866357" s="9"/>
    </row>
    <row r="866378" spans="15:15" x14ac:dyDescent="0.25">
      <c r="O866378" s="9"/>
    </row>
    <row r="866399" spans="15:15" x14ac:dyDescent="0.25">
      <c r="O866399" s="9"/>
    </row>
    <row r="866420" spans="15:15" x14ac:dyDescent="0.25">
      <c r="O866420" s="9"/>
    </row>
    <row r="866441" spans="15:15" x14ac:dyDescent="0.25">
      <c r="O866441" s="9"/>
    </row>
    <row r="866462" spans="15:15" x14ac:dyDescent="0.25">
      <c r="O866462" s="9"/>
    </row>
    <row r="866483" spans="15:15" x14ac:dyDescent="0.25">
      <c r="O866483" s="9"/>
    </row>
    <row r="866504" spans="15:15" x14ac:dyDescent="0.25">
      <c r="O866504" s="9"/>
    </row>
    <row r="866525" spans="15:15" x14ac:dyDescent="0.25">
      <c r="O866525" s="9"/>
    </row>
    <row r="866546" spans="15:15" x14ac:dyDescent="0.25">
      <c r="O866546" s="9"/>
    </row>
    <row r="866567" spans="15:15" x14ac:dyDescent="0.25">
      <c r="O866567" s="9"/>
    </row>
    <row r="866588" spans="15:15" x14ac:dyDescent="0.25">
      <c r="O866588" s="9"/>
    </row>
    <row r="866609" spans="15:15" x14ac:dyDescent="0.25">
      <c r="O866609" s="9"/>
    </row>
    <row r="866630" spans="15:15" x14ac:dyDescent="0.25">
      <c r="O866630" s="9"/>
    </row>
    <row r="866651" spans="15:15" x14ac:dyDescent="0.25">
      <c r="O866651" s="9"/>
    </row>
    <row r="866672" spans="15:15" x14ac:dyDescent="0.25">
      <c r="O866672" s="9"/>
    </row>
    <row r="866693" spans="15:15" x14ac:dyDescent="0.25">
      <c r="O866693" s="9"/>
    </row>
    <row r="866714" spans="15:15" x14ac:dyDescent="0.25">
      <c r="O866714" s="9"/>
    </row>
    <row r="866735" spans="15:15" x14ac:dyDescent="0.25">
      <c r="O866735" s="9"/>
    </row>
    <row r="866756" spans="15:15" x14ac:dyDescent="0.25">
      <c r="O866756" s="9"/>
    </row>
    <row r="866777" spans="15:15" x14ac:dyDescent="0.25">
      <c r="O866777" s="9"/>
    </row>
    <row r="866798" spans="15:15" x14ac:dyDescent="0.25">
      <c r="O866798" s="9"/>
    </row>
    <row r="866819" spans="15:15" x14ac:dyDescent="0.25">
      <c r="O866819" s="9"/>
    </row>
    <row r="866840" spans="15:15" x14ac:dyDescent="0.25">
      <c r="O866840" s="9"/>
    </row>
    <row r="866861" spans="15:15" x14ac:dyDescent="0.25">
      <c r="O866861" s="9"/>
    </row>
    <row r="866882" spans="15:15" x14ac:dyDescent="0.25">
      <c r="O866882" s="9"/>
    </row>
    <row r="866903" spans="15:15" x14ac:dyDescent="0.25">
      <c r="O866903" s="9"/>
    </row>
    <row r="866924" spans="15:15" x14ac:dyDescent="0.25">
      <c r="O866924" s="9"/>
    </row>
    <row r="866945" spans="15:15" x14ac:dyDescent="0.25">
      <c r="O866945" s="9"/>
    </row>
    <row r="866966" spans="15:15" x14ac:dyDescent="0.25">
      <c r="O866966" s="9"/>
    </row>
    <row r="866987" spans="15:15" x14ac:dyDescent="0.25">
      <c r="O866987" s="9"/>
    </row>
    <row r="867008" spans="15:15" x14ac:dyDescent="0.25">
      <c r="O867008" s="9"/>
    </row>
    <row r="867029" spans="15:15" x14ac:dyDescent="0.25">
      <c r="O867029" s="9"/>
    </row>
    <row r="867050" spans="15:15" x14ac:dyDescent="0.25">
      <c r="O867050" s="9"/>
    </row>
    <row r="867071" spans="15:15" x14ac:dyDescent="0.25">
      <c r="O867071" s="9"/>
    </row>
    <row r="867092" spans="15:15" x14ac:dyDescent="0.25">
      <c r="O867092" s="9"/>
    </row>
    <row r="867113" spans="15:15" x14ac:dyDescent="0.25">
      <c r="O867113" s="9"/>
    </row>
    <row r="867134" spans="15:15" x14ac:dyDescent="0.25">
      <c r="O867134" s="9"/>
    </row>
    <row r="867155" spans="15:15" x14ac:dyDescent="0.25">
      <c r="O867155" s="9"/>
    </row>
    <row r="867176" spans="15:15" x14ac:dyDescent="0.25">
      <c r="O867176" s="9"/>
    </row>
    <row r="867197" spans="15:15" x14ac:dyDescent="0.25">
      <c r="O867197" s="9"/>
    </row>
    <row r="867218" spans="15:15" x14ac:dyDescent="0.25">
      <c r="O867218" s="9"/>
    </row>
    <row r="867239" spans="15:15" x14ac:dyDescent="0.25">
      <c r="O867239" s="9"/>
    </row>
    <row r="867260" spans="15:15" x14ac:dyDescent="0.25">
      <c r="O867260" s="9"/>
    </row>
    <row r="867281" spans="15:15" x14ac:dyDescent="0.25">
      <c r="O867281" s="9"/>
    </row>
    <row r="867302" spans="15:15" x14ac:dyDescent="0.25">
      <c r="O867302" s="9"/>
    </row>
    <row r="867323" spans="15:15" x14ac:dyDescent="0.25">
      <c r="O867323" s="9"/>
    </row>
    <row r="867344" spans="15:15" x14ac:dyDescent="0.25">
      <c r="O867344" s="9"/>
    </row>
    <row r="867365" spans="15:15" x14ac:dyDescent="0.25">
      <c r="O867365" s="9"/>
    </row>
    <row r="867386" spans="15:15" x14ac:dyDescent="0.25">
      <c r="O867386" s="9"/>
    </row>
    <row r="867407" spans="15:15" x14ac:dyDescent="0.25">
      <c r="O867407" s="9"/>
    </row>
    <row r="867428" spans="15:15" x14ac:dyDescent="0.25">
      <c r="O867428" s="9"/>
    </row>
    <row r="867449" spans="15:15" x14ac:dyDescent="0.25">
      <c r="O867449" s="9"/>
    </row>
    <row r="867470" spans="15:15" x14ac:dyDescent="0.25">
      <c r="O867470" s="9"/>
    </row>
    <row r="867491" spans="15:15" x14ac:dyDescent="0.25">
      <c r="O867491" s="9"/>
    </row>
    <row r="867512" spans="15:15" x14ac:dyDescent="0.25">
      <c r="O867512" s="9"/>
    </row>
    <row r="867533" spans="15:15" x14ac:dyDescent="0.25">
      <c r="O867533" s="9"/>
    </row>
    <row r="867554" spans="15:15" x14ac:dyDescent="0.25">
      <c r="O867554" s="9"/>
    </row>
    <row r="867575" spans="15:15" x14ac:dyDescent="0.25">
      <c r="O867575" s="9"/>
    </row>
    <row r="867596" spans="15:15" x14ac:dyDescent="0.25">
      <c r="O867596" s="9"/>
    </row>
    <row r="867617" spans="15:15" x14ac:dyDescent="0.25">
      <c r="O867617" s="9"/>
    </row>
    <row r="867638" spans="15:15" x14ac:dyDescent="0.25">
      <c r="O867638" s="9"/>
    </row>
    <row r="867659" spans="15:15" x14ac:dyDescent="0.25">
      <c r="O867659" s="9"/>
    </row>
    <row r="867680" spans="15:15" x14ac:dyDescent="0.25">
      <c r="O867680" s="9"/>
    </row>
    <row r="867701" spans="15:15" x14ac:dyDescent="0.25">
      <c r="O867701" s="9"/>
    </row>
    <row r="867722" spans="15:15" x14ac:dyDescent="0.25">
      <c r="O867722" s="9"/>
    </row>
    <row r="867743" spans="15:15" x14ac:dyDescent="0.25">
      <c r="O867743" s="9"/>
    </row>
    <row r="867764" spans="15:15" x14ac:dyDescent="0.25">
      <c r="O867764" s="9"/>
    </row>
    <row r="867785" spans="15:15" x14ac:dyDescent="0.25">
      <c r="O867785" s="9"/>
    </row>
    <row r="867806" spans="15:15" x14ac:dyDescent="0.25">
      <c r="O867806" s="9"/>
    </row>
    <row r="867827" spans="15:15" x14ac:dyDescent="0.25">
      <c r="O867827" s="9"/>
    </row>
    <row r="867848" spans="15:15" x14ac:dyDescent="0.25">
      <c r="O867848" s="9"/>
    </row>
    <row r="867869" spans="15:15" x14ac:dyDescent="0.25">
      <c r="O867869" s="9"/>
    </row>
    <row r="867890" spans="15:15" x14ac:dyDescent="0.25">
      <c r="O867890" s="9"/>
    </row>
    <row r="867911" spans="15:15" x14ac:dyDescent="0.25">
      <c r="O867911" s="9"/>
    </row>
    <row r="867932" spans="15:15" x14ac:dyDescent="0.25">
      <c r="O867932" s="9"/>
    </row>
    <row r="867953" spans="15:15" x14ac:dyDescent="0.25">
      <c r="O867953" s="9"/>
    </row>
    <row r="867974" spans="15:15" x14ac:dyDescent="0.25">
      <c r="O867974" s="9"/>
    </row>
    <row r="867995" spans="15:15" x14ac:dyDescent="0.25">
      <c r="O867995" s="9"/>
    </row>
    <row r="868016" spans="15:15" x14ac:dyDescent="0.25">
      <c r="O868016" s="9"/>
    </row>
    <row r="868037" spans="15:15" x14ac:dyDescent="0.25">
      <c r="O868037" s="9"/>
    </row>
    <row r="868058" spans="15:15" x14ac:dyDescent="0.25">
      <c r="O868058" s="9"/>
    </row>
    <row r="868079" spans="15:15" x14ac:dyDescent="0.25">
      <c r="O868079" s="9"/>
    </row>
    <row r="868100" spans="15:15" x14ac:dyDescent="0.25">
      <c r="O868100" s="9"/>
    </row>
    <row r="868121" spans="15:15" x14ac:dyDescent="0.25">
      <c r="O868121" s="9"/>
    </row>
    <row r="868142" spans="15:15" x14ac:dyDescent="0.25">
      <c r="O868142" s="9"/>
    </row>
    <row r="868163" spans="15:15" x14ac:dyDescent="0.25">
      <c r="O868163" s="9"/>
    </row>
    <row r="868184" spans="15:15" x14ac:dyDescent="0.25">
      <c r="O868184" s="9"/>
    </row>
    <row r="868205" spans="15:15" x14ac:dyDescent="0.25">
      <c r="O868205" s="9"/>
    </row>
    <row r="868226" spans="15:15" x14ac:dyDescent="0.25">
      <c r="O868226" s="9"/>
    </row>
    <row r="868247" spans="15:15" x14ac:dyDescent="0.25">
      <c r="O868247" s="9"/>
    </row>
    <row r="868268" spans="15:15" x14ac:dyDescent="0.25">
      <c r="O868268" s="9"/>
    </row>
    <row r="868289" spans="15:15" x14ac:dyDescent="0.25">
      <c r="O868289" s="9"/>
    </row>
    <row r="868310" spans="15:15" x14ac:dyDescent="0.25">
      <c r="O868310" s="9"/>
    </row>
    <row r="868331" spans="15:15" x14ac:dyDescent="0.25">
      <c r="O868331" s="9"/>
    </row>
    <row r="868352" spans="15:15" x14ac:dyDescent="0.25">
      <c r="O868352" s="9"/>
    </row>
    <row r="868373" spans="15:15" x14ac:dyDescent="0.25">
      <c r="O868373" s="9"/>
    </row>
    <row r="868394" spans="15:15" x14ac:dyDescent="0.25">
      <c r="O868394" s="9"/>
    </row>
    <row r="868415" spans="15:15" x14ac:dyDescent="0.25">
      <c r="O868415" s="9"/>
    </row>
    <row r="868436" spans="15:15" x14ac:dyDescent="0.25">
      <c r="O868436" s="9"/>
    </row>
    <row r="868457" spans="15:15" x14ac:dyDescent="0.25">
      <c r="O868457" s="9"/>
    </row>
    <row r="868478" spans="15:15" x14ac:dyDescent="0.25">
      <c r="O868478" s="9"/>
    </row>
    <row r="868499" spans="15:15" x14ac:dyDescent="0.25">
      <c r="O868499" s="9"/>
    </row>
    <row r="868520" spans="15:15" x14ac:dyDescent="0.25">
      <c r="O868520" s="9"/>
    </row>
    <row r="868541" spans="15:15" x14ac:dyDescent="0.25">
      <c r="O868541" s="9"/>
    </row>
    <row r="868562" spans="15:15" x14ac:dyDescent="0.25">
      <c r="O868562" s="9"/>
    </row>
    <row r="868583" spans="15:15" x14ac:dyDescent="0.25">
      <c r="O868583" s="9"/>
    </row>
    <row r="868604" spans="15:15" x14ac:dyDescent="0.25">
      <c r="O868604" s="9"/>
    </row>
    <row r="868625" spans="15:15" x14ac:dyDescent="0.25">
      <c r="O868625" s="9"/>
    </row>
    <row r="868646" spans="15:15" x14ac:dyDescent="0.25">
      <c r="O868646" s="9"/>
    </row>
    <row r="868667" spans="15:15" x14ac:dyDescent="0.25">
      <c r="O868667" s="9"/>
    </row>
    <row r="868688" spans="15:15" x14ac:dyDescent="0.25">
      <c r="O868688" s="9"/>
    </row>
    <row r="868709" spans="15:15" x14ac:dyDescent="0.25">
      <c r="O868709" s="9"/>
    </row>
    <row r="868730" spans="15:15" x14ac:dyDescent="0.25">
      <c r="O868730" s="9"/>
    </row>
    <row r="868751" spans="15:15" x14ac:dyDescent="0.25">
      <c r="O868751" s="9"/>
    </row>
    <row r="868772" spans="15:15" x14ac:dyDescent="0.25">
      <c r="O868772" s="9"/>
    </row>
    <row r="868793" spans="15:15" x14ac:dyDescent="0.25">
      <c r="O868793" s="9"/>
    </row>
    <row r="868814" spans="15:15" x14ac:dyDescent="0.25">
      <c r="O868814" s="9"/>
    </row>
    <row r="868835" spans="15:15" x14ac:dyDescent="0.25">
      <c r="O868835" s="9"/>
    </row>
    <row r="868856" spans="15:15" x14ac:dyDescent="0.25">
      <c r="O868856" s="9"/>
    </row>
    <row r="868877" spans="15:15" x14ac:dyDescent="0.25">
      <c r="O868877" s="9"/>
    </row>
    <row r="868898" spans="15:15" x14ac:dyDescent="0.25">
      <c r="O868898" s="9"/>
    </row>
    <row r="868919" spans="15:15" x14ac:dyDescent="0.25">
      <c r="O868919" s="9"/>
    </row>
    <row r="868940" spans="15:15" x14ac:dyDescent="0.25">
      <c r="O868940" s="9"/>
    </row>
    <row r="868961" spans="15:15" x14ac:dyDescent="0.25">
      <c r="O868961" s="9"/>
    </row>
    <row r="868982" spans="15:15" x14ac:dyDescent="0.25">
      <c r="O868982" s="9"/>
    </row>
    <row r="869003" spans="15:15" x14ac:dyDescent="0.25">
      <c r="O869003" s="9"/>
    </row>
    <row r="869024" spans="15:15" x14ac:dyDescent="0.25">
      <c r="O869024" s="9"/>
    </row>
    <row r="869045" spans="15:15" x14ac:dyDescent="0.25">
      <c r="O869045" s="9"/>
    </row>
    <row r="869066" spans="15:15" x14ac:dyDescent="0.25">
      <c r="O869066" s="9"/>
    </row>
    <row r="869087" spans="15:15" x14ac:dyDescent="0.25">
      <c r="O869087" s="9"/>
    </row>
    <row r="869108" spans="15:15" x14ac:dyDescent="0.25">
      <c r="O869108" s="9"/>
    </row>
    <row r="869129" spans="15:15" x14ac:dyDescent="0.25">
      <c r="O869129" s="9"/>
    </row>
    <row r="869150" spans="15:15" x14ac:dyDescent="0.25">
      <c r="O869150" s="9"/>
    </row>
    <row r="869171" spans="15:15" x14ac:dyDescent="0.25">
      <c r="O869171" s="9"/>
    </row>
    <row r="869192" spans="15:15" x14ac:dyDescent="0.25">
      <c r="O869192" s="9"/>
    </row>
    <row r="869213" spans="15:15" x14ac:dyDescent="0.25">
      <c r="O869213" s="9"/>
    </row>
    <row r="869234" spans="15:15" x14ac:dyDescent="0.25">
      <c r="O869234" s="9"/>
    </row>
    <row r="869255" spans="15:15" x14ac:dyDescent="0.25">
      <c r="O869255" s="9"/>
    </row>
    <row r="869276" spans="15:15" x14ac:dyDescent="0.25">
      <c r="O869276" s="9"/>
    </row>
    <row r="869297" spans="15:15" x14ac:dyDescent="0.25">
      <c r="O869297" s="9"/>
    </row>
    <row r="869318" spans="15:15" x14ac:dyDescent="0.25">
      <c r="O869318" s="9"/>
    </row>
    <row r="869339" spans="15:15" x14ac:dyDescent="0.25">
      <c r="O869339" s="9"/>
    </row>
    <row r="869360" spans="15:15" x14ac:dyDescent="0.25">
      <c r="O869360" s="9"/>
    </row>
    <row r="869381" spans="15:15" x14ac:dyDescent="0.25">
      <c r="O869381" s="9"/>
    </row>
    <row r="869402" spans="15:15" x14ac:dyDescent="0.25">
      <c r="O869402" s="9"/>
    </row>
    <row r="869423" spans="15:15" x14ac:dyDescent="0.25">
      <c r="O869423" s="9"/>
    </row>
    <row r="869444" spans="15:15" x14ac:dyDescent="0.25">
      <c r="O869444" s="9"/>
    </row>
    <row r="869465" spans="15:15" x14ac:dyDescent="0.25">
      <c r="O869465" s="9"/>
    </row>
    <row r="869486" spans="15:15" x14ac:dyDescent="0.25">
      <c r="O869486" s="9"/>
    </row>
    <row r="869507" spans="15:15" x14ac:dyDescent="0.25">
      <c r="O869507" s="9"/>
    </row>
    <row r="869528" spans="15:15" x14ac:dyDescent="0.25">
      <c r="O869528" s="9"/>
    </row>
    <row r="869549" spans="15:15" x14ac:dyDescent="0.25">
      <c r="O869549" s="9"/>
    </row>
    <row r="869570" spans="15:15" x14ac:dyDescent="0.25">
      <c r="O869570" s="9"/>
    </row>
    <row r="869591" spans="15:15" x14ac:dyDescent="0.25">
      <c r="O869591" s="9"/>
    </row>
    <row r="869612" spans="15:15" x14ac:dyDescent="0.25">
      <c r="O869612" s="9"/>
    </row>
    <row r="869633" spans="15:15" x14ac:dyDescent="0.25">
      <c r="O869633" s="9"/>
    </row>
    <row r="869654" spans="15:15" x14ac:dyDescent="0.25">
      <c r="O869654" s="9"/>
    </row>
    <row r="869675" spans="15:15" x14ac:dyDescent="0.25">
      <c r="O869675" s="9"/>
    </row>
    <row r="869696" spans="15:15" x14ac:dyDescent="0.25">
      <c r="O869696" s="9"/>
    </row>
    <row r="869717" spans="15:15" x14ac:dyDescent="0.25">
      <c r="O869717" s="9"/>
    </row>
    <row r="869738" spans="15:15" x14ac:dyDescent="0.25">
      <c r="O869738" s="9"/>
    </row>
    <row r="869759" spans="15:15" x14ac:dyDescent="0.25">
      <c r="O869759" s="9"/>
    </row>
    <row r="869780" spans="15:15" x14ac:dyDescent="0.25">
      <c r="O869780" s="9"/>
    </row>
    <row r="869801" spans="15:15" x14ac:dyDescent="0.25">
      <c r="O869801" s="9"/>
    </row>
    <row r="869822" spans="15:15" x14ac:dyDescent="0.25">
      <c r="O869822" s="9"/>
    </row>
    <row r="869843" spans="15:15" x14ac:dyDescent="0.25">
      <c r="O869843" s="9"/>
    </row>
    <row r="869864" spans="15:15" x14ac:dyDescent="0.25">
      <c r="O869864" s="9"/>
    </row>
    <row r="869885" spans="15:15" x14ac:dyDescent="0.25">
      <c r="O869885" s="9"/>
    </row>
    <row r="869906" spans="15:15" x14ac:dyDescent="0.25">
      <c r="O869906" s="9"/>
    </row>
    <row r="869927" spans="15:15" x14ac:dyDescent="0.25">
      <c r="O869927" s="9"/>
    </row>
    <row r="869948" spans="15:15" x14ac:dyDescent="0.25">
      <c r="O869948" s="9"/>
    </row>
    <row r="869969" spans="15:15" x14ac:dyDescent="0.25">
      <c r="O869969" s="9"/>
    </row>
    <row r="869990" spans="15:15" x14ac:dyDescent="0.25">
      <c r="O869990" s="9"/>
    </row>
    <row r="870011" spans="15:15" x14ac:dyDescent="0.25">
      <c r="O870011" s="9"/>
    </row>
    <row r="870032" spans="15:15" x14ac:dyDescent="0.25">
      <c r="O870032" s="9"/>
    </row>
    <row r="870053" spans="15:15" x14ac:dyDescent="0.25">
      <c r="O870053" s="9"/>
    </row>
    <row r="870074" spans="15:15" x14ac:dyDescent="0.25">
      <c r="O870074" s="9"/>
    </row>
    <row r="870095" spans="15:15" x14ac:dyDescent="0.25">
      <c r="O870095" s="9"/>
    </row>
    <row r="870116" spans="15:15" x14ac:dyDescent="0.25">
      <c r="O870116" s="9"/>
    </row>
    <row r="870137" spans="15:15" x14ac:dyDescent="0.25">
      <c r="O870137" s="9"/>
    </row>
    <row r="870158" spans="15:15" x14ac:dyDescent="0.25">
      <c r="O870158" s="9"/>
    </row>
    <row r="870179" spans="15:15" x14ac:dyDescent="0.25">
      <c r="O870179" s="9"/>
    </row>
    <row r="870200" spans="15:15" x14ac:dyDescent="0.25">
      <c r="O870200" s="9"/>
    </row>
    <row r="870221" spans="15:15" x14ac:dyDescent="0.25">
      <c r="O870221" s="9"/>
    </row>
    <row r="870242" spans="15:15" x14ac:dyDescent="0.25">
      <c r="O870242" s="9"/>
    </row>
    <row r="870263" spans="15:15" x14ac:dyDescent="0.25">
      <c r="O870263" s="9"/>
    </row>
    <row r="870284" spans="15:15" x14ac:dyDescent="0.25">
      <c r="O870284" s="9"/>
    </row>
    <row r="870305" spans="15:15" x14ac:dyDescent="0.25">
      <c r="O870305" s="9"/>
    </row>
    <row r="870326" spans="15:15" x14ac:dyDescent="0.25">
      <c r="O870326" s="9"/>
    </row>
    <row r="870347" spans="15:15" x14ac:dyDescent="0.25">
      <c r="O870347" s="9"/>
    </row>
    <row r="870368" spans="15:15" x14ac:dyDescent="0.25">
      <c r="O870368" s="9"/>
    </row>
    <row r="870389" spans="15:15" x14ac:dyDescent="0.25">
      <c r="O870389" s="9"/>
    </row>
    <row r="870410" spans="15:15" x14ac:dyDescent="0.25">
      <c r="O870410" s="9"/>
    </row>
    <row r="870431" spans="15:15" x14ac:dyDescent="0.25">
      <c r="O870431" s="9"/>
    </row>
    <row r="870452" spans="15:15" x14ac:dyDescent="0.25">
      <c r="O870452" s="9"/>
    </row>
    <row r="870473" spans="15:15" x14ac:dyDescent="0.25">
      <c r="O870473" s="9"/>
    </row>
    <row r="870494" spans="15:15" x14ac:dyDescent="0.25">
      <c r="O870494" s="9"/>
    </row>
    <row r="870515" spans="15:15" x14ac:dyDescent="0.25">
      <c r="O870515" s="9"/>
    </row>
    <row r="870536" spans="15:15" x14ac:dyDescent="0.25">
      <c r="O870536" s="9"/>
    </row>
    <row r="870557" spans="15:15" x14ac:dyDescent="0.25">
      <c r="O870557" s="9"/>
    </row>
    <row r="870578" spans="15:15" x14ac:dyDescent="0.25">
      <c r="O870578" s="9"/>
    </row>
    <row r="870599" spans="15:15" x14ac:dyDescent="0.25">
      <c r="O870599" s="9"/>
    </row>
    <row r="870620" spans="15:15" x14ac:dyDescent="0.25">
      <c r="O870620" s="9"/>
    </row>
    <row r="870641" spans="15:15" x14ac:dyDescent="0.25">
      <c r="O870641" s="9"/>
    </row>
    <row r="870662" spans="15:15" x14ac:dyDescent="0.25">
      <c r="O870662" s="9"/>
    </row>
    <row r="870683" spans="15:15" x14ac:dyDescent="0.25">
      <c r="O870683" s="9"/>
    </row>
    <row r="870704" spans="15:15" x14ac:dyDescent="0.25">
      <c r="O870704" s="9"/>
    </row>
    <row r="870725" spans="15:15" x14ac:dyDescent="0.25">
      <c r="O870725" s="9"/>
    </row>
    <row r="870746" spans="15:15" x14ac:dyDescent="0.25">
      <c r="O870746" s="9"/>
    </row>
    <row r="870767" spans="15:15" x14ac:dyDescent="0.25">
      <c r="O870767" s="9"/>
    </row>
    <row r="870788" spans="15:15" x14ac:dyDescent="0.25">
      <c r="O870788" s="9"/>
    </row>
    <row r="870809" spans="15:15" x14ac:dyDescent="0.25">
      <c r="O870809" s="9"/>
    </row>
    <row r="870830" spans="15:15" x14ac:dyDescent="0.25">
      <c r="O870830" s="9"/>
    </row>
    <row r="870851" spans="15:15" x14ac:dyDescent="0.25">
      <c r="O870851" s="9"/>
    </row>
    <row r="870872" spans="15:15" x14ac:dyDescent="0.25">
      <c r="O870872" s="9"/>
    </row>
    <row r="870893" spans="15:15" x14ac:dyDescent="0.25">
      <c r="O870893" s="9"/>
    </row>
    <row r="870914" spans="15:15" x14ac:dyDescent="0.25">
      <c r="O870914" s="9"/>
    </row>
    <row r="870935" spans="15:15" x14ac:dyDescent="0.25">
      <c r="O870935" s="9"/>
    </row>
    <row r="870956" spans="15:15" x14ac:dyDescent="0.25">
      <c r="O870956" s="9"/>
    </row>
    <row r="870977" spans="15:15" x14ac:dyDescent="0.25">
      <c r="O870977" s="9"/>
    </row>
    <row r="870998" spans="15:15" x14ac:dyDescent="0.25">
      <c r="O870998" s="9"/>
    </row>
    <row r="871019" spans="15:15" x14ac:dyDescent="0.25">
      <c r="O871019" s="9"/>
    </row>
    <row r="871040" spans="15:15" x14ac:dyDescent="0.25">
      <c r="O871040" s="9"/>
    </row>
    <row r="871061" spans="15:15" x14ac:dyDescent="0.25">
      <c r="O871061" s="9"/>
    </row>
    <row r="871082" spans="15:15" x14ac:dyDescent="0.25">
      <c r="O871082" s="9"/>
    </row>
    <row r="871103" spans="15:15" x14ac:dyDescent="0.25">
      <c r="O871103" s="9"/>
    </row>
    <row r="871124" spans="15:15" x14ac:dyDescent="0.25">
      <c r="O871124" s="9"/>
    </row>
    <row r="871145" spans="15:15" x14ac:dyDescent="0.25">
      <c r="O871145" s="9"/>
    </row>
    <row r="871166" spans="15:15" x14ac:dyDescent="0.25">
      <c r="O871166" s="9"/>
    </row>
    <row r="871187" spans="15:15" x14ac:dyDescent="0.25">
      <c r="O871187" s="9"/>
    </row>
    <row r="871208" spans="15:15" x14ac:dyDescent="0.25">
      <c r="O871208" s="9"/>
    </row>
    <row r="871229" spans="15:15" x14ac:dyDescent="0.25">
      <c r="O871229" s="9"/>
    </row>
    <row r="871250" spans="15:15" x14ac:dyDescent="0.25">
      <c r="O871250" s="9"/>
    </row>
    <row r="871271" spans="15:15" x14ac:dyDescent="0.25">
      <c r="O871271" s="9"/>
    </row>
    <row r="871292" spans="15:15" x14ac:dyDescent="0.25">
      <c r="O871292" s="9"/>
    </row>
    <row r="871313" spans="15:15" x14ac:dyDescent="0.25">
      <c r="O871313" s="9"/>
    </row>
    <row r="871334" spans="15:15" x14ac:dyDescent="0.25">
      <c r="O871334" s="9"/>
    </row>
    <row r="871355" spans="15:15" x14ac:dyDescent="0.25">
      <c r="O871355" s="9"/>
    </row>
    <row r="871376" spans="15:15" x14ac:dyDescent="0.25">
      <c r="O871376" s="9"/>
    </row>
    <row r="871397" spans="15:15" x14ac:dyDescent="0.25">
      <c r="O871397" s="9"/>
    </row>
    <row r="871418" spans="15:15" x14ac:dyDescent="0.25">
      <c r="O871418" s="9"/>
    </row>
    <row r="871439" spans="15:15" x14ac:dyDescent="0.25">
      <c r="O871439" s="9"/>
    </row>
    <row r="871460" spans="15:15" x14ac:dyDescent="0.25">
      <c r="O871460" s="9"/>
    </row>
    <row r="871481" spans="15:15" x14ac:dyDescent="0.25">
      <c r="O871481" s="9"/>
    </row>
    <row r="871502" spans="15:15" x14ac:dyDescent="0.25">
      <c r="O871502" s="9"/>
    </row>
    <row r="871523" spans="15:15" x14ac:dyDescent="0.25">
      <c r="O871523" s="9"/>
    </row>
    <row r="871544" spans="15:15" x14ac:dyDescent="0.25">
      <c r="O871544" s="9"/>
    </row>
    <row r="871565" spans="15:15" x14ac:dyDescent="0.25">
      <c r="O871565" s="9"/>
    </row>
    <row r="871586" spans="15:15" x14ac:dyDescent="0.25">
      <c r="O871586" s="9"/>
    </row>
    <row r="871607" spans="15:15" x14ac:dyDescent="0.25">
      <c r="O871607" s="9"/>
    </row>
    <row r="871628" spans="15:15" x14ac:dyDescent="0.25">
      <c r="O871628" s="9"/>
    </row>
    <row r="871649" spans="15:15" x14ac:dyDescent="0.25">
      <c r="O871649" s="9"/>
    </row>
    <row r="871670" spans="15:15" x14ac:dyDescent="0.25">
      <c r="O871670" s="9"/>
    </row>
    <row r="871691" spans="15:15" x14ac:dyDescent="0.25">
      <c r="O871691" s="9"/>
    </row>
    <row r="871712" spans="15:15" x14ac:dyDescent="0.25">
      <c r="O871712" s="9"/>
    </row>
    <row r="871733" spans="15:15" x14ac:dyDescent="0.25">
      <c r="O871733" s="9"/>
    </row>
    <row r="871754" spans="15:15" x14ac:dyDescent="0.25">
      <c r="O871754" s="9"/>
    </row>
    <row r="871775" spans="15:15" x14ac:dyDescent="0.25">
      <c r="O871775" s="9"/>
    </row>
    <row r="871796" spans="15:15" x14ac:dyDescent="0.25">
      <c r="O871796" s="9"/>
    </row>
    <row r="871817" spans="15:15" x14ac:dyDescent="0.25">
      <c r="O871817" s="9"/>
    </row>
    <row r="871838" spans="15:15" x14ac:dyDescent="0.25">
      <c r="O871838" s="9"/>
    </row>
    <row r="871859" spans="15:15" x14ac:dyDescent="0.25">
      <c r="O871859" s="9"/>
    </row>
    <row r="871880" spans="15:15" x14ac:dyDescent="0.25">
      <c r="O871880" s="9"/>
    </row>
    <row r="871901" spans="15:15" x14ac:dyDescent="0.25">
      <c r="O871901" s="9"/>
    </row>
    <row r="871922" spans="15:15" x14ac:dyDescent="0.25">
      <c r="O871922" s="9"/>
    </row>
    <row r="871943" spans="15:15" x14ac:dyDescent="0.25">
      <c r="O871943" s="9"/>
    </row>
    <row r="871964" spans="15:15" x14ac:dyDescent="0.25">
      <c r="O871964" s="9"/>
    </row>
    <row r="871985" spans="15:15" x14ac:dyDescent="0.25">
      <c r="O871985" s="9"/>
    </row>
    <row r="872006" spans="15:15" x14ac:dyDescent="0.25">
      <c r="O872006" s="9"/>
    </row>
    <row r="872027" spans="15:15" x14ac:dyDescent="0.25">
      <c r="O872027" s="9"/>
    </row>
    <row r="872048" spans="15:15" x14ac:dyDescent="0.25">
      <c r="O872048" s="9"/>
    </row>
    <row r="872069" spans="15:15" x14ac:dyDescent="0.25">
      <c r="O872069" s="9"/>
    </row>
    <row r="872090" spans="15:15" x14ac:dyDescent="0.25">
      <c r="O872090" s="9"/>
    </row>
    <row r="872111" spans="15:15" x14ac:dyDescent="0.25">
      <c r="O872111" s="9"/>
    </row>
    <row r="872132" spans="15:15" x14ac:dyDescent="0.25">
      <c r="O872132" s="9"/>
    </row>
    <row r="872153" spans="15:15" x14ac:dyDescent="0.25">
      <c r="O872153" s="9"/>
    </row>
    <row r="872174" spans="15:15" x14ac:dyDescent="0.25">
      <c r="O872174" s="9"/>
    </row>
    <row r="872195" spans="15:15" x14ac:dyDescent="0.25">
      <c r="O872195" s="9"/>
    </row>
    <row r="872216" spans="15:15" x14ac:dyDescent="0.25">
      <c r="O872216" s="9"/>
    </row>
    <row r="872237" spans="15:15" x14ac:dyDescent="0.25">
      <c r="O872237" s="9"/>
    </row>
    <row r="872258" spans="15:15" x14ac:dyDescent="0.25">
      <c r="O872258" s="9"/>
    </row>
    <row r="872279" spans="15:15" x14ac:dyDescent="0.25">
      <c r="O872279" s="9"/>
    </row>
    <row r="872300" spans="15:15" x14ac:dyDescent="0.25">
      <c r="O872300" s="9"/>
    </row>
    <row r="872321" spans="15:15" x14ac:dyDescent="0.25">
      <c r="O872321" s="9"/>
    </row>
    <row r="872342" spans="15:15" x14ac:dyDescent="0.25">
      <c r="O872342" s="9"/>
    </row>
    <row r="872363" spans="15:15" x14ac:dyDescent="0.25">
      <c r="O872363" s="9"/>
    </row>
    <row r="872384" spans="15:15" x14ac:dyDescent="0.25">
      <c r="O872384" s="9"/>
    </row>
    <row r="872405" spans="15:15" x14ac:dyDescent="0.25">
      <c r="O872405" s="9"/>
    </row>
    <row r="872426" spans="15:15" x14ac:dyDescent="0.25">
      <c r="O872426" s="9"/>
    </row>
    <row r="872447" spans="15:15" x14ac:dyDescent="0.25">
      <c r="O872447" s="9"/>
    </row>
    <row r="872468" spans="15:15" x14ac:dyDescent="0.25">
      <c r="O872468" s="9"/>
    </row>
    <row r="872489" spans="15:15" x14ac:dyDescent="0.25">
      <c r="O872489" s="9"/>
    </row>
    <row r="872510" spans="15:15" x14ac:dyDescent="0.25">
      <c r="O872510" s="9"/>
    </row>
    <row r="872531" spans="15:15" x14ac:dyDescent="0.25">
      <c r="O872531" s="9"/>
    </row>
    <row r="872552" spans="15:15" x14ac:dyDescent="0.25">
      <c r="O872552" s="9"/>
    </row>
    <row r="872573" spans="15:15" x14ac:dyDescent="0.25">
      <c r="O872573" s="9"/>
    </row>
    <row r="872594" spans="15:15" x14ac:dyDescent="0.25">
      <c r="O872594" s="9"/>
    </row>
    <row r="872615" spans="15:15" x14ac:dyDescent="0.25">
      <c r="O872615" s="9"/>
    </row>
    <row r="872636" spans="15:15" x14ac:dyDescent="0.25">
      <c r="O872636" s="9"/>
    </row>
    <row r="872657" spans="15:15" x14ac:dyDescent="0.25">
      <c r="O872657" s="9"/>
    </row>
    <row r="872678" spans="15:15" x14ac:dyDescent="0.25">
      <c r="O872678" s="9"/>
    </row>
    <row r="872699" spans="15:15" x14ac:dyDescent="0.25">
      <c r="O872699" s="9"/>
    </row>
    <row r="872720" spans="15:15" x14ac:dyDescent="0.25">
      <c r="O872720" s="9"/>
    </row>
    <row r="872741" spans="15:15" x14ac:dyDescent="0.25">
      <c r="O872741" s="9"/>
    </row>
    <row r="872762" spans="15:15" x14ac:dyDescent="0.25">
      <c r="O872762" s="9"/>
    </row>
    <row r="872783" spans="15:15" x14ac:dyDescent="0.25">
      <c r="O872783" s="9"/>
    </row>
    <row r="872804" spans="15:15" x14ac:dyDescent="0.25">
      <c r="O872804" s="9"/>
    </row>
    <row r="872825" spans="15:15" x14ac:dyDescent="0.25">
      <c r="O872825" s="9"/>
    </row>
    <row r="872846" spans="15:15" x14ac:dyDescent="0.25">
      <c r="O872846" s="9"/>
    </row>
    <row r="872867" spans="15:15" x14ac:dyDescent="0.25">
      <c r="O872867" s="9"/>
    </row>
    <row r="872888" spans="15:15" x14ac:dyDescent="0.25">
      <c r="O872888" s="9"/>
    </row>
    <row r="872909" spans="15:15" x14ac:dyDescent="0.25">
      <c r="O872909" s="9"/>
    </row>
    <row r="872930" spans="15:15" x14ac:dyDescent="0.25">
      <c r="O872930" s="9"/>
    </row>
    <row r="872951" spans="15:15" x14ac:dyDescent="0.25">
      <c r="O872951" s="9"/>
    </row>
    <row r="872972" spans="15:15" x14ac:dyDescent="0.25">
      <c r="O872972" s="9"/>
    </row>
    <row r="872993" spans="15:15" x14ac:dyDescent="0.25">
      <c r="O872993" s="9"/>
    </row>
    <row r="873014" spans="15:15" x14ac:dyDescent="0.25">
      <c r="O873014" s="9"/>
    </row>
    <row r="873035" spans="15:15" x14ac:dyDescent="0.25">
      <c r="O873035" s="9"/>
    </row>
    <row r="873056" spans="15:15" x14ac:dyDescent="0.25">
      <c r="O873056" s="9"/>
    </row>
    <row r="873077" spans="15:15" x14ac:dyDescent="0.25">
      <c r="O873077" s="9"/>
    </row>
    <row r="873098" spans="15:15" x14ac:dyDescent="0.25">
      <c r="O873098" s="9"/>
    </row>
    <row r="873119" spans="15:15" x14ac:dyDescent="0.25">
      <c r="O873119" s="9"/>
    </row>
    <row r="873140" spans="15:15" x14ac:dyDescent="0.25">
      <c r="O873140" s="9"/>
    </row>
    <row r="873161" spans="15:15" x14ac:dyDescent="0.25">
      <c r="O873161" s="9"/>
    </row>
    <row r="873182" spans="15:15" x14ac:dyDescent="0.25">
      <c r="O873182" s="9"/>
    </row>
    <row r="873203" spans="15:15" x14ac:dyDescent="0.25">
      <c r="O873203" s="9"/>
    </row>
    <row r="873224" spans="15:15" x14ac:dyDescent="0.25">
      <c r="O873224" s="9"/>
    </row>
    <row r="873245" spans="15:15" x14ac:dyDescent="0.25">
      <c r="O873245" s="9"/>
    </row>
    <row r="873266" spans="15:15" x14ac:dyDescent="0.25">
      <c r="O873266" s="9"/>
    </row>
    <row r="873287" spans="15:15" x14ac:dyDescent="0.25">
      <c r="O873287" s="9"/>
    </row>
    <row r="873308" spans="15:15" x14ac:dyDescent="0.25">
      <c r="O873308" s="9"/>
    </row>
    <row r="873329" spans="15:15" x14ac:dyDescent="0.25">
      <c r="O873329" s="9"/>
    </row>
    <row r="873350" spans="15:15" x14ac:dyDescent="0.25">
      <c r="O873350" s="9"/>
    </row>
    <row r="873371" spans="15:15" x14ac:dyDescent="0.25">
      <c r="O873371" s="9"/>
    </row>
    <row r="873392" spans="15:15" x14ac:dyDescent="0.25">
      <c r="O873392" s="9"/>
    </row>
    <row r="873413" spans="15:15" x14ac:dyDescent="0.25">
      <c r="O873413" s="9"/>
    </row>
    <row r="873434" spans="15:15" x14ac:dyDescent="0.25">
      <c r="O873434" s="9"/>
    </row>
    <row r="873455" spans="15:15" x14ac:dyDescent="0.25">
      <c r="O873455" s="9"/>
    </row>
    <row r="873476" spans="15:15" x14ac:dyDescent="0.25">
      <c r="O873476" s="9"/>
    </row>
    <row r="873497" spans="15:15" x14ac:dyDescent="0.25">
      <c r="O873497" s="9"/>
    </row>
    <row r="873518" spans="15:15" x14ac:dyDescent="0.25">
      <c r="O873518" s="9"/>
    </row>
    <row r="873539" spans="15:15" x14ac:dyDescent="0.25">
      <c r="O873539" s="9"/>
    </row>
    <row r="873560" spans="15:15" x14ac:dyDescent="0.25">
      <c r="O873560" s="9"/>
    </row>
    <row r="873581" spans="15:15" x14ac:dyDescent="0.25">
      <c r="O873581" s="9"/>
    </row>
    <row r="873602" spans="15:15" x14ac:dyDescent="0.25">
      <c r="O873602" s="9"/>
    </row>
    <row r="873623" spans="15:15" x14ac:dyDescent="0.25">
      <c r="O873623" s="9"/>
    </row>
    <row r="873644" spans="15:15" x14ac:dyDescent="0.25">
      <c r="O873644" s="9"/>
    </row>
    <row r="873665" spans="15:15" x14ac:dyDescent="0.25">
      <c r="O873665" s="9"/>
    </row>
    <row r="873686" spans="15:15" x14ac:dyDescent="0.25">
      <c r="O873686" s="9"/>
    </row>
    <row r="873707" spans="15:15" x14ac:dyDescent="0.25">
      <c r="O873707" s="9"/>
    </row>
    <row r="873728" spans="15:15" x14ac:dyDescent="0.25">
      <c r="O873728" s="9"/>
    </row>
    <row r="873749" spans="15:15" x14ac:dyDescent="0.25">
      <c r="O873749" s="9"/>
    </row>
    <row r="873770" spans="15:15" x14ac:dyDescent="0.25">
      <c r="O873770" s="9"/>
    </row>
    <row r="873791" spans="15:15" x14ac:dyDescent="0.25">
      <c r="O873791" s="9"/>
    </row>
    <row r="873812" spans="15:15" x14ac:dyDescent="0.25">
      <c r="O873812" s="9"/>
    </row>
    <row r="873833" spans="15:15" x14ac:dyDescent="0.25">
      <c r="O873833" s="9"/>
    </row>
    <row r="873854" spans="15:15" x14ac:dyDescent="0.25">
      <c r="O873854" s="9"/>
    </row>
    <row r="873875" spans="15:15" x14ac:dyDescent="0.25">
      <c r="O873875" s="9"/>
    </row>
    <row r="873896" spans="15:15" x14ac:dyDescent="0.25">
      <c r="O873896" s="9"/>
    </row>
    <row r="873917" spans="15:15" x14ac:dyDescent="0.25">
      <c r="O873917" s="9"/>
    </row>
    <row r="873938" spans="15:15" x14ac:dyDescent="0.25">
      <c r="O873938" s="9"/>
    </row>
    <row r="873959" spans="15:15" x14ac:dyDescent="0.25">
      <c r="O873959" s="9"/>
    </row>
    <row r="873980" spans="15:15" x14ac:dyDescent="0.25">
      <c r="O873980" s="9"/>
    </row>
    <row r="874001" spans="15:15" x14ac:dyDescent="0.25">
      <c r="O874001" s="9"/>
    </row>
    <row r="874022" spans="15:15" x14ac:dyDescent="0.25">
      <c r="O874022" s="9"/>
    </row>
    <row r="874043" spans="15:15" x14ac:dyDescent="0.25">
      <c r="O874043" s="9"/>
    </row>
    <row r="874064" spans="15:15" x14ac:dyDescent="0.25">
      <c r="O874064" s="9"/>
    </row>
    <row r="874085" spans="15:15" x14ac:dyDescent="0.25">
      <c r="O874085" s="9"/>
    </row>
    <row r="874106" spans="15:15" x14ac:dyDescent="0.25">
      <c r="O874106" s="9"/>
    </row>
    <row r="874127" spans="15:15" x14ac:dyDescent="0.25">
      <c r="O874127" s="9"/>
    </row>
    <row r="874148" spans="15:15" x14ac:dyDescent="0.25">
      <c r="O874148" s="9"/>
    </row>
    <row r="874169" spans="15:15" x14ac:dyDescent="0.25">
      <c r="O874169" s="9"/>
    </row>
    <row r="874190" spans="15:15" x14ac:dyDescent="0.25">
      <c r="O874190" s="9"/>
    </row>
    <row r="874211" spans="15:15" x14ac:dyDescent="0.25">
      <c r="O874211" s="9"/>
    </row>
    <row r="874232" spans="15:15" x14ac:dyDescent="0.25">
      <c r="O874232" s="9"/>
    </row>
    <row r="874253" spans="15:15" x14ac:dyDescent="0.25">
      <c r="O874253" s="9"/>
    </row>
    <row r="874274" spans="15:15" x14ac:dyDescent="0.25">
      <c r="O874274" s="9"/>
    </row>
    <row r="874295" spans="15:15" x14ac:dyDescent="0.25">
      <c r="O874295" s="9"/>
    </row>
    <row r="874316" spans="15:15" x14ac:dyDescent="0.25">
      <c r="O874316" s="9"/>
    </row>
    <row r="874337" spans="15:15" x14ac:dyDescent="0.25">
      <c r="O874337" s="9"/>
    </row>
    <row r="874358" spans="15:15" x14ac:dyDescent="0.25">
      <c r="O874358" s="9"/>
    </row>
    <row r="874379" spans="15:15" x14ac:dyDescent="0.25">
      <c r="O874379" s="9"/>
    </row>
    <row r="874400" spans="15:15" x14ac:dyDescent="0.25">
      <c r="O874400" s="9"/>
    </row>
    <row r="874421" spans="15:15" x14ac:dyDescent="0.25">
      <c r="O874421" s="9"/>
    </row>
    <row r="874442" spans="15:15" x14ac:dyDescent="0.25">
      <c r="O874442" s="9"/>
    </row>
    <row r="874463" spans="15:15" x14ac:dyDescent="0.25">
      <c r="O874463" s="9"/>
    </row>
    <row r="874484" spans="15:15" x14ac:dyDescent="0.25">
      <c r="O874484" s="9"/>
    </row>
    <row r="874505" spans="15:15" x14ac:dyDescent="0.25">
      <c r="O874505" s="9"/>
    </row>
    <row r="874526" spans="15:15" x14ac:dyDescent="0.25">
      <c r="O874526" s="9"/>
    </row>
    <row r="874547" spans="15:15" x14ac:dyDescent="0.25">
      <c r="O874547" s="9"/>
    </row>
    <row r="874568" spans="15:15" x14ac:dyDescent="0.25">
      <c r="O874568" s="9"/>
    </row>
    <row r="874589" spans="15:15" x14ac:dyDescent="0.25">
      <c r="O874589" s="9"/>
    </row>
    <row r="874610" spans="15:15" x14ac:dyDescent="0.25">
      <c r="O874610" s="9"/>
    </row>
    <row r="874631" spans="15:15" x14ac:dyDescent="0.25">
      <c r="O874631" s="9"/>
    </row>
    <row r="874652" spans="15:15" x14ac:dyDescent="0.25">
      <c r="O874652" s="9"/>
    </row>
    <row r="874673" spans="15:15" x14ac:dyDescent="0.25">
      <c r="O874673" s="9"/>
    </row>
    <row r="874694" spans="15:15" x14ac:dyDescent="0.25">
      <c r="O874694" s="9"/>
    </row>
    <row r="874715" spans="15:15" x14ac:dyDescent="0.25">
      <c r="O874715" s="9"/>
    </row>
    <row r="874736" spans="15:15" x14ac:dyDescent="0.25">
      <c r="O874736" s="9"/>
    </row>
    <row r="874757" spans="15:15" x14ac:dyDescent="0.25">
      <c r="O874757" s="9"/>
    </row>
    <row r="874778" spans="15:15" x14ac:dyDescent="0.25">
      <c r="O874778" s="9"/>
    </row>
    <row r="874799" spans="15:15" x14ac:dyDescent="0.25">
      <c r="O874799" s="9"/>
    </row>
    <row r="874820" spans="15:15" x14ac:dyDescent="0.25">
      <c r="O874820" s="9"/>
    </row>
    <row r="874841" spans="15:15" x14ac:dyDescent="0.25">
      <c r="O874841" s="9"/>
    </row>
    <row r="874862" spans="15:15" x14ac:dyDescent="0.25">
      <c r="O874862" s="9"/>
    </row>
    <row r="874883" spans="15:15" x14ac:dyDescent="0.25">
      <c r="O874883" s="9"/>
    </row>
    <row r="874904" spans="15:15" x14ac:dyDescent="0.25">
      <c r="O874904" s="9"/>
    </row>
    <row r="874925" spans="15:15" x14ac:dyDescent="0.25">
      <c r="O874925" s="9"/>
    </row>
    <row r="874946" spans="15:15" x14ac:dyDescent="0.25">
      <c r="O874946" s="9"/>
    </row>
    <row r="874967" spans="15:15" x14ac:dyDescent="0.25">
      <c r="O874967" s="9"/>
    </row>
    <row r="874988" spans="15:15" x14ac:dyDescent="0.25">
      <c r="O874988" s="9"/>
    </row>
    <row r="875009" spans="15:15" x14ac:dyDescent="0.25">
      <c r="O875009" s="9"/>
    </row>
    <row r="875030" spans="15:15" x14ac:dyDescent="0.25">
      <c r="O875030" s="9"/>
    </row>
    <row r="875051" spans="15:15" x14ac:dyDescent="0.25">
      <c r="O875051" s="9"/>
    </row>
    <row r="875072" spans="15:15" x14ac:dyDescent="0.25">
      <c r="O875072" s="9"/>
    </row>
    <row r="875093" spans="15:15" x14ac:dyDescent="0.25">
      <c r="O875093" s="9"/>
    </row>
    <row r="875114" spans="15:15" x14ac:dyDescent="0.25">
      <c r="O875114" s="9"/>
    </row>
    <row r="875135" spans="15:15" x14ac:dyDescent="0.25">
      <c r="O875135" s="9"/>
    </row>
    <row r="875156" spans="15:15" x14ac:dyDescent="0.25">
      <c r="O875156" s="9"/>
    </row>
    <row r="875177" spans="15:15" x14ac:dyDescent="0.25">
      <c r="O875177" s="9"/>
    </row>
    <row r="875198" spans="15:15" x14ac:dyDescent="0.25">
      <c r="O875198" s="9"/>
    </row>
    <row r="875219" spans="15:15" x14ac:dyDescent="0.25">
      <c r="O875219" s="9"/>
    </row>
    <row r="875240" spans="15:15" x14ac:dyDescent="0.25">
      <c r="O875240" s="9"/>
    </row>
    <row r="875261" spans="15:15" x14ac:dyDescent="0.25">
      <c r="O875261" s="9"/>
    </row>
    <row r="875282" spans="15:15" x14ac:dyDescent="0.25">
      <c r="O875282" s="9"/>
    </row>
    <row r="875303" spans="15:15" x14ac:dyDescent="0.25">
      <c r="O875303" s="9"/>
    </row>
    <row r="875324" spans="15:15" x14ac:dyDescent="0.25">
      <c r="O875324" s="9"/>
    </row>
    <row r="875345" spans="15:15" x14ac:dyDescent="0.25">
      <c r="O875345" s="9"/>
    </row>
    <row r="875366" spans="15:15" x14ac:dyDescent="0.25">
      <c r="O875366" s="9"/>
    </row>
    <row r="875387" spans="15:15" x14ac:dyDescent="0.25">
      <c r="O875387" s="9"/>
    </row>
    <row r="875408" spans="15:15" x14ac:dyDescent="0.25">
      <c r="O875408" s="9"/>
    </row>
    <row r="875429" spans="15:15" x14ac:dyDescent="0.25">
      <c r="O875429" s="9"/>
    </row>
    <row r="875450" spans="15:15" x14ac:dyDescent="0.25">
      <c r="O875450" s="9"/>
    </row>
    <row r="875471" spans="15:15" x14ac:dyDescent="0.25">
      <c r="O875471" s="9"/>
    </row>
    <row r="875492" spans="15:15" x14ac:dyDescent="0.25">
      <c r="O875492" s="9"/>
    </row>
    <row r="875513" spans="15:15" x14ac:dyDescent="0.25">
      <c r="O875513" s="9"/>
    </row>
    <row r="875534" spans="15:15" x14ac:dyDescent="0.25">
      <c r="O875534" s="9"/>
    </row>
    <row r="875555" spans="15:15" x14ac:dyDescent="0.25">
      <c r="O875555" s="9"/>
    </row>
    <row r="875576" spans="15:15" x14ac:dyDescent="0.25">
      <c r="O875576" s="9"/>
    </row>
    <row r="875597" spans="15:15" x14ac:dyDescent="0.25">
      <c r="O875597" s="9"/>
    </row>
    <row r="875618" spans="15:15" x14ac:dyDescent="0.25">
      <c r="O875618" s="9"/>
    </row>
    <row r="875639" spans="15:15" x14ac:dyDescent="0.25">
      <c r="O875639" s="9"/>
    </row>
    <row r="875660" spans="15:15" x14ac:dyDescent="0.25">
      <c r="O875660" s="9"/>
    </row>
    <row r="875681" spans="15:15" x14ac:dyDescent="0.25">
      <c r="O875681" s="9"/>
    </row>
    <row r="875702" spans="15:15" x14ac:dyDescent="0.25">
      <c r="O875702" s="9"/>
    </row>
    <row r="875723" spans="15:15" x14ac:dyDescent="0.25">
      <c r="O875723" s="9"/>
    </row>
    <row r="875744" spans="15:15" x14ac:dyDescent="0.25">
      <c r="O875744" s="9"/>
    </row>
    <row r="875765" spans="15:15" x14ac:dyDescent="0.25">
      <c r="O875765" s="9"/>
    </row>
    <row r="875786" spans="15:15" x14ac:dyDescent="0.25">
      <c r="O875786" s="9"/>
    </row>
    <row r="875807" spans="15:15" x14ac:dyDescent="0.25">
      <c r="O875807" s="9"/>
    </row>
    <row r="875828" spans="15:15" x14ac:dyDescent="0.25">
      <c r="O875828" s="9"/>
    </row>
    <row r="875849" spans="15:15" x14ac:dyDescent="0.25">
      <c r="O875849" s="9"/>
    </row>
    <row r="875870" spans="15:15" x14ac:dyDescent="0.25">
      <c r="O875870" s="9"/>
    </row>
    <row r="875891" spans="15:15" x14ac:dyDescent="0.25">
      <c r="O875891" s="9"/>
    </row>
    <row r="875912" spans="15:15" x14ac:dyDescent="0.25">
      <c r="O875912" s="9"/>
    </row>
    <row r="875933" spans="15:15" x14ac:dyDescent="0.25">
      <c r="O875933" s="9"/>
    </row>
    <row r="875954" spans="15:15" x14ac:dyDescent="0.25">
      <c r="O875954" s="9"/>
    </row>
    <row r="875975" spans="15:15" x14ac:dyDescent="0.25">
      <c r="O875975" s="9"/>
    </row>
    <row r="875996" spans="15:15" x14ac:dyDescent="0.25">
      <c r="O875996" s="9"/>
    </row>
    <row r="876017" spans="15:15" x14ac:dyDescent="0.25">
      <c r="O876017" s="9"/>
    </row>
    <row r="876038" spans="15:15" x14ac:dyDescent="0.25">
      <c r="O876038" s="9"/>
    </row>
    <row r="876059" spans="15:15" x14ac:dyDescent="0.25">
      <c r="O876059" s="9"/>
    </row>
    <row r="876080" spans="15:15" x14ac:dyDescent="0.25">
      <c r="O876080" s="9"/>
    </row>
    <row r="876101" spans="15:15" x14ac:dyDescent="0.25">
      <c r="O876101" s="9"/>
    </row>
    <row r="876122" spans="15:15" x14ac:dyDescent="0.25">
      <c r="O876122" s="9"/>
    </row>
    <row r="876143" spans="15:15" x14ac:dyDescent="0.25">
      <c r="O876143" s="9"/>
    </row>
    <row r="876164" spans="15:15" x14ac:dyDescent="0.25">
      <c r="O876164" s="9"/>
    </row>
    <row r="876185" spans="15:15" x14ac:dyDescent="0.25">
      <c r="O876185" s="9"/>
    </row>
    <row r="876206" spans="15:15" x14ac:dyDescent="0.25">
      <c r="O876206" s="9"/>
    </row>
    <row r="876227" spans="15:15" x14ac:dyDescent="0.25">
      <c r="O876227" s="9"/>
    </row>
    <row r="876248" spans="15:15" x14ac:dyDescent="0.25">
      <c r="O876248" s="9"/>
    </row>
    <row r="876269" spans="15:15" x14ac:dyDescent="0.25">
      <c r="O876269" s="9"/>
    </row>
    <row r="876290" spans="15:15" x14ac:dyDescent="0.25">
      <c r="O876290" s="9"/>
    </row>
    <row r="876311" spans="15:15" x14ac:dyDescent="0.25">
      <c r="O876311" s="9"/>
    </row>
    <row r="876332" spans="15:15" x14ac:dyDescent="0.25">
      <c r="O876332" s="9"/>
    </row>
    <row r="876353" spans="15:15" x14ac:dyDescent="0.25">
      <c r="O876353" s="9"/>
    </row>
    <row r="876374" spans="15:15" x14ac:dyDescent="0.25">
      <c r="O876374" s="9"/>
    </row>
    <row r="876395" spans="15:15" x14ac:dyDescent="0.25">
      <c r="O876395" s="9"/>
    </row>
    <row r="876416" spans="15:15" x14ac:dyDescent="0.25">
      <c r="O876416" s="9"/>
    </row>
    <row r="876437" spans="15:15" x14ac:dyDescent="0.25">
      <c r="O876437" s="9"/>
    </row>
    <row r="876458" spans="15:15" x14ac:dyDescent="0.25">
      <c r="O876458" s="9"/>
    </row>
    <row r="876479" spans="15:15" x14ac:dyDescent="0.25">
      <c r="O876479" s="9"/>
    </row>
    <row r="876500" spans="15:15" x14ac:dyDescent="0.25">
      <c r="O876500" s="9"/>
    </row>
    <row r="876521" spans="15:15" x14ac:dyDescent="0.25">
      <c r="O876521" s="9"/>
    </row>
    <row r="876542" spans="15:15" x14ac:dyDescent="0.25">
      <c r="O876542" s="9"/>
    </row>
    <row r="876563" spans="15:15" x14ac:dyDescent="0.25">
      <c r="O876563" s="9"/>
    </row>
    <row r="876584" spans="15:15" x14ac:dyDescent="0.25">
      <c r="O876584" s="9"/>
    </row>
    <row r="876605" spans="15:15" x14ac:dyDescent="0.25">
      <c r="O876605" s="9"/>
    </row>
    <row r="876626" spans="15:15" x14ac:dyDescent="0.25">
      <c r="O876626" s="9"/>
    </row>
    <row r="876647" spans="15:15" x14ac:dyDescent="0.25">
      <c r="O876647" s="9"/>
    </row>
    <row r="876668" spans="15:15" x14ac:dyDescent="0.25">
      <c r="O876668" s="9"/>
    </row>
    <row r="876689" spans="15:15" x14ac:dyDescent="0.25">
      <c r="O876689" s="9"/>
    </row>
    <row r="876710" spans="15:15" x14ac:dyDescent="0.25">
      <c r="O876710" s="9"/>
    </row>
    <row r="876731" spans="15:15" x14ac:dyDescent="0.25">
      <c r="O876731" s="9"/>
    </row>
    <row r="876752" spans="15:15" x14ac:dyDescent="0.25">
      <c r="O876752" s="9"/>
    </row>
    <row r="876773" spans="15:15" x14ac:dyDescent="0.25">
      <c r="O876773" s="9"/>
    </row>
    <row r="876794" spans="15:15" x14ac:dyDescent="0.25">
      <c r="O876794" s="9"/>
    </row>
    <row r="876815" spans="15:15" x14ac:dyDescent="0.25">
      <c r="O876815" s="9"/>
    </row>
    <row r="876836" spans="15:15" x14ac:dyDescent="0.25">
      <c r="O876836" s="9"/>
    </row>
    <row r="876857" spans="15:15" x14ac:dyDescent="0.25">
      <c r="O876857" s="9"/>
    </row>
    <row r="876878" spans="15:15" x14ac:dyDescent="0.25">
      <c r="O876878" s="9"/>
    </row>
    <row r="876899" spans="15:15" x14ac:dyDescent="0.25">
      <c r="O876899" s="9"/>
    </row>
    <row r="876920" spans="15:15" x14ac:dyDescent="0.25">
      <c r="O876920" s="9"/>
    </row>
    <row r="876941" spans="15:15" x14ac:dyDescent="0.25">
      <c r="O876941" s="9"/>
    </row>
    <row r="876962" spans="15:15" x14ac:dyDescent="0.25">
      <c r="O876962" s="9"/>
    </row>
    <row r="876983" spans="15:15" x14ac:dyDescent="0.25">
      <c r="O876983" s="9"/>
    </row>
    <row r="877004" spans="15:15" x14ac:dyDescent="0.25">
      <c r="O877004" s="9"/>
    </row>
    <row r="877025" spans="15:15" x14ac:dyDescent="0.25">
      <c r="O877025" s="9"/>
    </row>
    <row r="877046" spans="15:15" x14ac:dyDescent="0.25">
      <c r="O877046" s="9"/>
    </row>
    <row r="877067" spans="15:15" x14ac:dyDescent="0.25">
      <c r="O877067" s="9"/>
    </row>
    <row r="877088" spans="15:15" x14ac:dyDescent="0.25">
      <c r="O877088" s="9"/>
    </row>
    <row r="877109" spans="15:15" x14ac:dyDescent="0.25">
      <c r="O877109" s="9"/>
    </row>
    <row r="877130" spans="15:15" x14ac:dyDescent="0.25">
      <c r="O877130" s="9"/>
    </row>
    <row r="877151" spans="15:15" x14ac:dyDescent="0.25">
      <c r="O877151" s="9"/>
    </row>
    <row r="877172" spans="15:15" x14ac:dyDescent="0.25">
      <c r="O877172" s="9"/>
    </row>
    <row r="877193" spans="15:15" x14ac:dyDescent="0.25">
      <c r="O877193" s="9"/>
    </row>
    <row r="877214" spans="15:15" x14ac:dyDescent="0.25">
      <c r="O877214" s="9"/>
    </row>
    <row r="877235" spans="15:15" x14ac:dyDescent="0.25">
      <c r="O877235" s="9"/>
    </row>
    <row r="877256" spans="15:15" x14ac:dyDescent="0.25">
      <c r="O877256" s="9"/>
    </row>
    <row r="877277" spans="15:15" x14ac:dyDescent="0.25">
      <c r="O877277" s="9"/>
    </row>
    <row r="877298" spans="15:15" x14ac:dyDescent="0.25">
      <c r="O877298" s="9"/>
    </row>
    <row r="877319" spans="15:15" x14ac:dyDescent="0.25">
      <c r="O877319" s="9"/>
    </row>
    <row r="877340" spans="15:15" x14ac:dyDescent="0.25">
      <c r="O877340" s="9"/>
    </row>
    <row r="877361" spans="15:15" x14ac:dyDescent="0.25">
      <c r="O877361" s="9"/>
    </row>
    <row r="877382" spans="15:15" x14ac:dyDescent="0.25">
      <c r="O877382" s="9"/>
    </row>
    <row r="877403" spans="15:15" x14ac:dyDescent="0.25">
      <c r="O877403" s="9"/>
    </row>
    <row r="877424" spans="15:15" x14ac:dyDescent="0.25">
      <c r="O877424" s="9"/>
    </row>
    <row r="877445" spans="15:15" x14ac:dyDescent="0.25">
      <c r="O877445" s="9"/>
    </row>
    <row r="877466" spans="15:15" x14ac:dyDescent="0.25">
      <c r="O877466" s="9"/>
    </row>
    <row r="877487" spans="15:15" x14ac:dyDescent="0.25">
      <c r="O877487" s="9"/>
    </row>
    <row r="877508" spans="15:15" x14ac:dyDescent="0.25">
      <c r="O877508" s="9"/>
    </row>
    <row r="877529" spans="15:15" x14ac:dyDescent="0.25">
      <c r="O877529" s="9"/>
    </row>
    <row r="877550" spans="15:15" x14ac:dyDescent="0.25">
      <c r="O877550" s="9"/>
    </row>
    <row r="877571" spans="15:15" x14ac:dyDescent="0.25">
      <c r="O877571" s="9"/>
    </row>
    <row r="877592" spans="15:15" x14ac:dyDescent="0.25">
      <c r="O877592" s="9"/>
    </row>
    <row r="877613" spans="15:15" x14ac:dyDescent="0.25">
      <c r="O877613" s="9"/>
    </row>
    <row r="877634" spans="15:15" x14ac:dyDescent="0.25">
      <c r="O877634" s="9"/>
    </row>
    <row r="877655" spans="15:15" x14ac:dyDescent="0.25">
      <c r="O877655" s="9"/>
    </row>
    <row r="877676" spans="15:15" x14ac:dyDescent="0.25">
      <c r="O877676" s="9"/>
    </row>
    <row r="877697" spans="15:15" x14ac:dyDescent="0.25">
      <c r="O877697" s="9"/>
    </row>
    <row r="877718" spans="15:15" x14ac:dyDescent="0.25">
      <c r="O877718" s="9"/>
    </row>
    <row r="877739" spans="15:15" x14ac:dyDescent="0.25">
      <c r="O877739" s="9"/>
    </row>
    <row r="877760" spans="15:15" x14ac:dyDescent="0.25">
      <c r="O877760" s="9"/>
    </row>
    <row r="877781" spans="15:15" x14ac:dyDescent="0.25">
      <c r="O877781" s="9"/>
    </row>
    <row r="877802" spans="15:15" x14ac:dyDescent="0.25">
      <c r="O877802" s="9"/>
    </row>
    <row r="877823" spans="15:15" x14ac:dyDescent="0.25">
      <c r="O877823" s="9"/>
    </row>
    <row r="877844" spans="15:15" x14ac:dyDescent="0.25">
      <c r="O877844" s="9"/>
    </row>
    <row r="877865" spans="15:15" x14ac:dyDescent="0.25">
      <c r="O877865" s="9"/>
    </row>
    <row r="877886" spans="15:15" x14ac:dyDescent="0.25">
      <c r="O877886" s="9"/>
    </row>
    <row r="877907" spans="15:15" x14ac:dyDescent="0.25">
      <c r="O877907" s="9"/>
    </row>
    <row r="877928" spans="15:15" x14ac:dyDescent="0.25">
      <c r="O877928" s="9"/>
    </row>
    <row r="877949" spans="15:15" x14ac:dyDescent="0.25">
      <c r="O877949" s="9"/>
    </row>
    <row r="877970" spans="15:15" x14ac:dyDescent="0.25">
      <c r="O877970" s="9"/>
    </row>
    <row r="877991" spans="15:15" x14ac:dyDescent="0.25">
      <c r="O877991" s="9"/>
    </row>
    <row r="878012" spans="15:15" x14ac:dyDescent="0.25">
      <c r="O878012" s="9"/>
    </row>
    <row r="878033" spans="15:15" x14ac:dyDescent="0.25">
      <c r="O878033" s="9"/>
    </row>
    <row r="878054" spans="15:15" x14ac:dyDescent="0.25">
      <c r="O878054" s="9"/>
    </row>
    <row r="878075" spans="15:15" x14ac:dyDescent="0.25">
      <c r="O878075" s="9"/>
    </row>
    <row r="878096" spans="15:15" x14ac:dyDescent="0.25">
      <c r="O878096" s="9"/>
    </row>
    <row r="878117" spans="15:15" x14ac:dyDescent="0.25">
      <c r="O878117" s="9"/>
    </row>
    <row r="878138" spans="15:15" x14ac:dyDescent="0.25">
      <c r="O878138" s="9"/>
    </row>
    <row r="878159" spans="15:15" x14ac:dyDescent="0.25">
      <c r="O878159" s="9"/>
    </row>
    <row r="878180" spans="15:15" x14ac:dyDescent="0.25">
      <c r="O878180" s="9"/>
    </row>
    <row r="878201" spans="15:15" x14ac:dyDescent="0.25">
      <c r="O878201" s="9"/>
    </row>
    <row r="878222" spans="15:15" x14ac:dyDescent="0.25">
      <c r="O878222" s="9"/>
    </row>
    <row r="878243" spans="15:15" x14ac:dyDescent="0.25">
      <c r="O878243" s="9"/>
    </row>
    <row r="878264" spans="15:15" x14ac:dyDescent="0.25">
      <c r="O878264" s="9"/>
    </row>
    <row r="878285" spans="15:15" x14ac:dyDescent="0.25">
      <c r="O878285" s="9"/>
    </row>
    <row r="878306" spans="15:15" x14ac:dyDescent="0.25">
      <c r="O878306" s="9"/>
    </row>
    <row r="878327" spans="15:15" x14ac:dyDescent="0.25">
      <c r="O878327" s="9"/>
    </row>
    <row r="878348" spans="15:15" x14ac:dyDescent="0.25">
      <c r="O878348" s="9"/>
    </row>
    <row r="878369" spans="15:15" x14ac:dyDescent="0.25">
      <c r="O878369" s="9"/>
    </row>
    <row r="878390" spans="15:15" x14ac:dyDescent="0.25">
      <c r="O878390" s="9"/>
    </row>
    <row r="878411" spans="15:15" x14ac:dyDescent="0.25">
      <c r="O878411" s="9"/>
    </row>
    <row r="878432" spans="15:15" x14ac:dyDescent="0.25">
      <c r="O878432" s="9"/>
    </row>
    <row r="878453" spans="15:15" x14ac:dyDescent="0.25">
      <c r="O878453" s="9"/>
    </row>
    <row r="878474" spans="15:15" x14ac:dyDescent="0.25">
      <c r="O878474" s="9"/>
    </row>
    <row r="878495" spans="15:15" x14ac:dyDescent="0.25">
      <c r="O878495" s="9"/>
    </row>
    <row r="878516" spans="15:15" x14ac:dyDescent="0.25">
      <c r="O878516" s="9"/>
    </row>
    <row r="878537" spans="15:15" x14ac:dyDescent="0.25">
      <c r="O878537" s="9"/>
    </row>
    <row r="878558" spans="15:15" x14ac:dyDescent="0.25">
      <c r="O878558" s="9"/>
    </row>
    <row r="878579" spans="15:15" x14ac:dyDescent="0.25">
      <c r="O878579" s="9"/>
    </row>
    <row r="878600" spans="15:15" x14ac:dyDescent="0.25">
      <c r="O878600" s="9"/>
    </row>
    <row r="878621" spans="15:15" x14ac:dyDescent="0.25">
      <c r="O878621" s="9"/>
    </row>
    <row r="878642" spans="15:15" x14ac:dyDescent="0.25">
      <c r="O878642" s="9"/>
    </row>
    <row r="878663" spans="15:15" x14ac:dyDescent="0.25">
      <c r="O878663" s="9"/>
    </row>
    <row r="878684" spans="15:15" x14ac:dyDescent="0.25">
      <c r="O878684" s="9"/>
    </row>
    <row r="878705" spans="15:15" x14ac:dyDescent="0.25">
      <c r="O878705" s="9"/>
    </row>
    <row r="878726" spans="15:15" x14ac:dyDescent="0.25">
      <c r="O878726" s="9"/>
    </row>
    <row r="878747" spans="15:15" x14ac:dyDescent="0.25">
      <c r="O878747" s="9"/>
    </row>
    <row r="878768" spans="15:15" x14ac:dyDescent="0.25">
      <c r="O878768" s="9"/>
    </row>
    <row r="878789" spans="15:15" x14ac:dyDescent="0.25">
      <c r="O878789" s="9"/>
    </row>
    <row r="878810" spans="15:15" x14ac:dyDescent="0.25">
      <c r="O878810" s="9"/>
    </row>
    <row r="878831" spans="15:15" x14ac:dyDescent="0.25">
      <c r="O878831" s="9"/>
    </row>
    <row r="878852" spans="15:15" x14ac:dyDescent="0.25">
      <c r="O878852" s="9"/>
    </row>
    <row r="878873" spans="15:15" x14ac:dyDescent="0.25">
      <c r="O878873" s="9"/>
    </row>
    <row r="878894" spans="15:15" x14ac:dyDescent="0.25">
      <c r="O878894" s="9"/>
    </row>
    <row r="878915" spans="15:15" x14ac:dyDescent="0.25">
      <c r="O878915" s="9"/>
    </row>
    <row r="878936" spans="15:15" x14ac:dyDescent="0.25">
      <c r="O878936" s="9"/>
    </row>
    <row r="878957" spans="15:15" x14ac:dyDescent="0.25">
      <c r="O878957" s="9"/>
    </row>
    <row r="878978" spans="15:15" x14ac:dyDescent="0.25">
      <c r="O878978" s="9"/>
    </row>
    <row r="878999" spans="15:15" x14ac:dyDescent="0.25">
      <c r="O878999" s="9"/>
    </row>
    <row r="879020" spans="15:15" x14ac:dyDescent="0.25">
      <c r="O879020" s="9"/>
    </row>
    <row r="879041" spans="15:15" x14ac:dyDescent="0.25">
      <c r="O879041" s="9"/>
    </row>
    <row r="879062" spans="15:15" x14ac:dyDescent="0.25">
      <c r="O879062" s="9"/>
    </row>
    <row r="879083" spans="15:15" x14ac:dyDescent="0.25">
      <c r="O879083" s="9"/>
    </row>
    <row r="879104" spans="15:15" x14ac:dyDescent="0.25">
      <c r="O879104" s="9"/>
    </row>
    <row r="879125" spans="15:15" x14ac:dyDescent="0.25">
      <c r="O879125" s="9"/>
    </row>
    <row r="879146" spans="15:15" x14ac:dyDescent="0.25">
      <c r="O879146" s="9"/>
    </row>
    <row r="879167" spans="15:15" x14ac:dyDescent="0.25">
      <c r="O879167" s="9"/>
    </row>
    <row r="879188" spans="15:15" x14ac:dyDescent="0.25">
      <c r="O879188" s="9"/>
    </row>
    <row r="879209" spans="15:15" x14ac:dyDescent="0.25">
      <c r="O879209" s="9"/>
    </row>
    <row r="879230" spans="15:15" x14ac:dyDescent="0.25">
      <c r="O879230" s="9"/>
    </row>
    <row r="879251" spans="15:15" x14ac:dyDescent="0.25">
      <c r="O879251" s="9"/>
    </row>
    <row r="879272" spans="15:15" x14ac:dyDescent="0.25">
      <c r="O879272" s="9"/>
    </row>
    <row r="879293" spans="15:15" x14ac:dyDescent="0.25">
      <c r="O879293" s="9"/>
    </row>
    <row r="879314" spans="15:15" x14ac:dyDescent="0.25">
      <c r="O879314" s="9"/>
    </row>
    <row r="879335" spans="15:15" x14ac:dyDescent="0.25">
      <c r="O879335" s="9"/>
    </row>
    <row r="879356" spans="15:15" x14ac:dyDescent="0.25">
      <c r="O879356" s="9"/>
    </row>
    <row r="879377" spans="15:15" x14ac:dyDescent="0.25">
      <c r="O879377" s="9"/>
    </row>
    <row r="879398" spans="15:15" x14ac:dyDescent="0.25">
      <c r="O879398" s="9"/>
    </row>
    <row r="879419" spans="15:15" x14ac:dyDescent="0.25">
      <c r="O879419" s="9"/>
    </row>
    <row r="879440" spans="15:15" x14ac:dyDescent="0.25">
      <c r="O879440" s="9"/>
    </row>
    <row r="879461" spans="15:15" x14ac:dyDescent="0.25">
      <c r="O879461" s="9"/>
    </row>
    <row r="879482" spans="15:15" x14ac:dyDescent="0.25">
      <c r="O879482" s="9"/>
    </row>
    <row r="879503" spans="15:15" x14ac:dyDescent="0.25">
      <c r="O879503" s="9"/>
    </row>
    <row r="879524" spans="15:15" x14ac:dyDescent="0.25">
      <c r="O879524" s="9"/>
    </row>
    <row r="879545" spans="15:15" x14ac:dyDescent="0.25">
      <c r="O879545" s="9"/>
    </row>
    <row r="879566" spans="15:15" x14ac:dyDescent="0.25">
      <c r="O879566" s="9"/>
    </row>
    <row r="879587" spans="15:15" x14ac:dyDescent="0.25">
      <c r="O879587" s="9"/>
    </row>
    <row r="879608" spans="15:15" x14ac:dyDescent="0.25">
      <c r="O879608" s="9"/>
    </row>
    <row r="879629" spans="15:15" x14ac:dyDescent="0.25">
      <c r="O879629" s="9"/>
    </row>
    <row r="879650" spans="15:15" x14ac:dyDescent="0.25">
      <c r="O879650" s="9"/>
    </row>
    <row r="879671" spans="15:15" x14ac:dyDescent="0.25">
      <c r="O879671" s="9"/>
    </row>
    <row r="879692" spans="15:15" x14ac:dyDescent="0.25">
      <c r="O879692" s="9"/>
    </row>
    <row r="879713" spans="15:15" x14ac:dyDescent="0.25">
      <c r="O879713" s="9"/>
    </row>
    <row r="879734" spans="15:15" x14ac:dyDescent="0.25">
      <c r="O879734" s="9"/>
    </row>
    <row r="879755" spans="15:15" x14ac:dyDescent="0.25">
      <c r="O879755" s="9"/>
    </row>
    <row r="879776" spans="15:15" x14ac:dyDescent="0.25">
      <c r="O879776" s="9"/>
    </row>
    <row r="879797" spans="15:15" x14ac:dyDescent="0.25">
      <c r="O879797" s="9"/>
    </row>
    <row r="879818" spans="15:15" x14ac:dyDescent="0.25">
      <c r="O879818" s="9"/>
    </row>
    <row r="879839" spans="15:15" x14ac:dyDescent="0.25">
      <c r="O879839" s="9"/>
    </row>
    <row r="879860" spans="15:15" x14ac:dyDescent="0.25">
      <c r="O879860" s="9"/>
    </row>
    <row r="879881" spans="15:15" x14ac:dyDescent="0.25">
      <c r="O879881" s="9"/>
    </row>
    <row r="879902" spans="15:15" x14ac:dyDescent="0.25">
      <c r="O879902" s="9"/>
    </row>
    <row r="879923" spans="15:15" x14ac:dyDescent="0.25">
      <c r="O879923" s="9"/>
    </row>
    <row r="879944" spans="15:15" x14ac:dyDescent="0.25">
      <c r="O879944" s="9"/>
    </row>
    <row r="879965" spans="15:15" x14ac:dyDescent="0.25">
      <c r="O879965" s="9"/>
    </row>
    <row r="879986" spans="15:15" x14ac:dyDescent="0.25">
      <c r="O879986" s="9"/>
    </row>
    <row r="880007" spans="15:15" x14ac:dyDescent="0.25">
      <c r="O880007" s="9"/>
    </row>
    <row r="880028" spans="15:15" x14ac:dyDescent="0.25">
      <c r="O880028" s="9"/>
    </row>
    <row r="880049" spans="15:15" x14ac:dyDescent="0.25">
      <c r="O880049" s="9"/>
    </row>
    <row r="880070" spans="15:15" x14ac:dyDescent="0.25">
      <c r="O880070" s="9"/>
    </row>
    <row r="880091" spans="15:15" x14ac:dyDescent="0.25">
      <c r="O880091" s="9"/>
    </row>
    <row r="880112" spans="15:15" x14ac:dyDescent="0.25">
      <c r="O880112" s="9"/>
    </row>
    <row r="880133" spans="15:15" x14ac:dyDescent="0.25">
      <c r="O880133" s="9"/>
    </row>
    <row r="880154" spans="15:15" x14ac:dyDescent="0.25">
      <c r="O880154" s="9"/>
    </row>
    <row r="880175" spans="15:15" x14ac:dyDescent="0.25">
      <c r="O880175" s="9"/>
    </row>
    <row r="880196" spans="15:15" x14ac:dyDescent="0.25">
      <c r="O880196" s="9"/>
    </row>
    <row r="880217" spans="15:15" x14ac:dyDescent="0.25">
      <c r="O880217" s="9"/>
    </row>
    <row r="880238" spans="15:15" x14ac:dyDescent="0.25">
      <c r="O880238" s="9"/>
    </row>
    <row r="880259" spans="15:15" x14ac:dyDescent="0.25">
      <c r="O880259" s="9"/>
    </row>
    <row r="880280" spans="15:15" x14ac:dyDescent="0.25">
      <c r="O880280" s="9"/>
    </row>
    <row r="880301" spans="15:15" x14ac:dyDescent="0.25">
      <c r="O880301" s="9"/>
    </row>
    <row r="880322" spans="15:15" x14ac:dyDescent="0.25">
      <c r="O880322" s="9"/>
    </row>
    <row r="880343" spans="15:15" x14ac:dyDescent="0.25">
      <c r="O880343" s="9"/>
    </row>
    <row r="880364" spans="15:15" x14ac:dyDescent="0.25">
      <c r="O880364" s="9"/>
    </row>
    <row r="880385" spans="15:15" x14ac:dyDescent="0.25">
      <c r="O880385" s="9"/>
    </row>
    <row r="880406" spans="15:15" x14ac:dyDescent="0.25">
      <c r="O880406" s="9"/>
    </row>
    <row r="880427" spans="15:15" x14ac:dyDescent="0.25">
      <c r="O880427" s="9"/>
    </row>
    <row r="880448" spans="15:15" x14ac:dyDescent="0.25">
      <c r="O880448" s="9"/>
    </row>
    <row r="880469" spans="15:15" x14ac:dyDescent="0.25">
      <c r="O880469" s="9"/>
    </row>
    <row r="880490" spans="15:15" x14ac:dyDescent="0.25">
      <c r="O880490" s="9"/>
    </row>
    <row r="880511" spans="15:15" x14ac:dyDescent="0.25">
      <c r="O880511" s="9"/>
    </row>
    <row r="880532" spans="15:15" x14ac:dyDescent="0.25">
      <c r="O880532" s="9"/>
    </row>
    <row r="880553" spans="15:15" x14ac:dyDescent="0.25">
      <c r="O880553" s="9"/>
    </row>
    <row r="880574" spans="15:15" x14ac:dyDescent="0.25">
      <c r="O880574" s="9"/>
    </row>
    <row r="880595" spans="15:15" x14ac:dyDescent="0.25">
      <c r="O880595" s="9"/>
    </row>
    <row r="880616" spans="15:15" x14ac:dyDescent="0.25">
      <c r="O880616" s="9"/>
    </row>
    <row r="880637" spans="15:15" x14ac:dyDescent="0.25">
      <c r="O880637" s="9"/>
    </row>
    <row r="880658" spans="15:15" x14ac:dyDescent="0.25">
      <c r="O880658" s="9"/>
    </row>
    <row r="880679" spans="15:15" x14ac:dyDescent="0.25">
      <c r="O880679" s="9"/>
    </row>
    <row r="880700" spans="15:15" x14ac:dyDescent="0.25">
      <c r="O880700" s="9"/>
    </row>
    <row r="880721" spans="15:15" x14ac:dyDescent="0.25">
      <c r="O880721" s="9"/>
    </row>
    <row r="880742" spans="15:15" x14ac:dyDescent="0.25">
      <c r="O880742" s="9"/>
    </row>
    <row r="880763" spans="15:15" x14ac:dyDescent="0.25">
      <c r="O880763" s="9"/>
    </row>
    <row r="880784" spans="15:15" x14ac:dyDescent="0.25">
      <c r="O880784" s="9"/>
    </row>
    <row r="880805" spans="15:15" x14ac:dyDescent="0.25">
      <c r="O880805" s="9"/>
    </row>
    <row r="880826" spans="15:15" x14ac:dyDescent="0.25">
      <c r="O880826" s="9"/>
    </row>
    <row r="880847" spans="15:15" x14ac:dyDescent="0.25">
      <c r="O880847" s="9"/>
    </row>
    <row r="880868" spans="15:15" x14ac:dyDescent="0.25">
      <c r="O880868" s="9"/>
    </row>
    <row r="880889" spans="15:15" x14ac:dyDescent="0.25">
      <c r="O880889" s="9"/>
    </row>
    <row r="880910" spans="15:15" x14ac:dyDescent="0.25">
      <c r="O880910" s="9"/>
    </row>
    <row r="880931" spans="15:15" x14ac:dyDescent="0.25">
      <c r="O880931" s="9"/>
    </row>
    <row r="880952" spans="15:15" x14ac:dyDescent="0.25">
      <c r="O880952" s="9"/>
    </row>
    <row r="880973" spans="15:15" x14ac:dyDescent="0.25">
      <c r="O880973" s="9"/>
    </row>
    <row r="880994" spans="15:15" x14ac:dyDescent="0.25">
      <c r="O880994" s="9"/>
    </row>
    <row r="881015" spans="15:15" x14ac:dyDescent="0.25">
      <c r="O881015" s="9"/>
    </row>
    <row r="881036" spans="15:15" x14ac:dyDescent="0.25">
      <c r="O881036" s="9"/>
    </row>
    <row r="881057" spans="15:15" x14ac:dyDescent="0.25">
      <c r="O881057" s="9"/>
    </row>
    <row r="881078" spans="15:15" x14ac:dyDescent="0.25">
      <c r="O881078" s="9"/>
    </row>
    <row r="881099" spans="15:15" x14ac:dyDescent="0.25">
      <c r="O881099" s="9"/>
    </row>
    <row r="881120" spans="15:15" x14ac:dyDescent="0.25">
      <c r="O881120" s="9"/>
    </row>
    <row r="881141" spans="15:15" x14ac:dyDescent="0.25">
      <c r="O881141" s="9"/>
    </row>
    <row r="881162" spans="15:15" x14ac:dyDescent="0.25">
      <c r="O881162" s="9"/>
    </row>
    <row r="881183" spans="15:15" x14ac:dyDescent="0.25">
      <c r="O881183" s="9"/>
    </row>
    <row r="881204" spans="15:15" x14ac:dyDescent="0.25">
      <c r="O881204" s="9"/>
    </row>
    <row r="881225" spans="15:15" x14ac:dyDescent="0.25">
      <c r="O881225" s="9"/>
    </row>
    <row r="881246" spans="15:15" x14ac:dyDescent="0.25">
      <c r="O881246" s="9"/>
    </row>
    <row r="881267" spans="15:15" x14ac:dyDescent="0.25">
      <c r="O881267" s="9"/>
    </row>
    <row r="881288" spans="15:15" x14ac:dyDescent="0.25">
      <c r="O881288" s="9"/>
    </row>
    <row r="881309" spans="15:15" x14ac:dyDescent="0.25">
      <c r="O881309" s="9"/>
    </row>
    <row r="881330" spans="15:15" x14ac:dyDescent="0.25">
      <c r="O881330" s="9"/>
    </row>
    <row r="881351" spans="15:15" x14ac:dyDescent="0.25">
      <c r="O881351" s="9"/>
    </row>
    <row r="881372" spans="15:15" x14ac:dyDescent="0.25">
      <c r="O881372" s="9"/>
    </row>
    <row r="881393" spans="15:15" x14ac:dyDescent="0.25">
      <c r="O881393" s="9"/>
    </row>
    <row r="881414" spans="15:15" x14ac:dyDescent="0.25">
      <c r="O881414" s="9"/>
    </row>
    <row r="881435" spans="15:15" x14ac:dyDescent="0.25">
      <c r="O881435" s="9"/>
    </row>
    <row r="881456" spans="15:15" x14ac:dyDescent="0.25">
      <c r="O881456" s="9"/>
    </row>
    <row r="881477" spans="15:15" x14ac:dyDescent="0.25">
      <c r="O881477" s="9"/>
    </row>
    <row r="881498" spans="15:15" x14ac:dyDescent="0.25">
      <c r="O881498" s="9"/>
    </row>
    <row r="881519" spans="15:15" x14ac:dyDescent="0.25">
      <c r="O881519" s="9"/>
    </row>
    <row r="881540" spans="15:15" x14ac:dyDescent="0.25">
      <c r="O881540" s="9"/>
    </row>
    <row r="881561" spans="15:15" x14ac:dyDescent="0.25">
      <c r="O881561" s="9"/>
    </row>
    <row r="881582" spans="15:15" x14ac:dyDescent="0.25">
      <c r="O881582" s="9"/>
    </row>
    <row r="881603" spans="15:15" x14ac:dyDescent="0.25">
      <c r="O881603" s="9"/>
    </row>
    <row r="881624" spans="15:15" x14ac:dyDescent="0.25">
      <c r="O881624" s="9"/>
    </row>
    <row r="881645" spans="15:15" x14ac:dyDescent="0.25">
      <c r="O881645" s="9"/>
    </row>
    <row r="881666" spans="15:15" x14ac:dyDescent="0.25">
      <c r="O881666" s="9"/>
    </row>
    <row r="881687" spans="15:15" x14ac:dyDescent="0.25">
      <c r="O881687" s="9"/>
    </row>
    <row r="881708" spans="15:15" x14ac:dyDescent="0.25">
      <c r="O881708" s="9"/>
    </row>
    <row r="881729" spans="15:15" x14ac:dyDescent="0.25">
      <c r="O881729" s="9"/>
    </row>
    <row r="881750" spans="15:15" x14ac:dyDescent="0.25">
      <c r="O881750" s="9"/>
    </row>
    <row r="881771" spans="15:15" x14ac:dyDescent="0.25">
      <c r="O881771" s="9"/>
    </row>
    <row r="881792" spans="15:15" x14ac:dyDescent="0.25">
      <c r="O881792" s="9"/>
    </row>
    <row r="881813" spans="15:15" x14ac:dyDescent="0.25">
      <c r="O881813" s="9"/>
    </row>
    <row r="881834" spans="15:15" x14ac:dyDescent="0.25">
      <c r="O881834" s="9"/>
    </row>
    <row r="881855" spans="15:15" x14ac:dyDescent="0.25">
      <c r="O881855" s="9"/>
    </row>
    <row r="881876" spans="15:15" x14ac:dyDescent="0.25">
      <c r="O881876" s="9"/>
    </row>
    <row r="881897" spans="15:15" x14ac:dyDescent="0.25">
      <c r="O881897" s="9"/>
    </row>
    <row r="881918" spans="15:15" x14ac:dyDescent="0.25">
      <c r="O881918" s="9"/>
    </row>
    <row r="881939" spans="15:15" x14ac:dyDescent="0.25">
      <c r="O881939" s="9"/>
    </row>
    <row r="881960" spans="15:15" x14ac:dyDescent="0.25">
      <c r="O881960" s="9"/>
    </row>
    <row r="881981" spans="15:15" x14ac:dyDescent="0.25">
      <c r="O881981" s="9"/>
    </row>
    <row r="882002" spans="15:15" x14ac:dyDescent="0.25">
      <c r="O882002" s="9"/>
    </row>
    <row r="882023" spans="15:15" x14ac:dyDescent="0.25">
      <c r="O882023" s="9"/>
    </row>
    <row r="882044" spans="15:15" x14ac:dyDescent="0.25">
      <c r="O882044" s="9"/>
    </row>
    <row r="882065" spans="15:15" x14ac:dyDescent="0.25">
      <c r="O882065" s="9"/>
    </row>
    <row r="882086" spans="15:15" x14ac:dyDescent="0.25">
      <c r="O882086" s="9"/>
    </row>
    <row r="882107" spans="15:15" x14ac:dyDescent="0.25">
      <c r="O882107" s="9"/>
    </row>
    <row r="882128" spans="15:15" x14ac:dyDescent="0.25">
      <c r="O882128" s="9"/>
    </row>
    <row r="882149" spans="15:15" x14ac:dyDescent="0.25">
      <c r="O882149" s="9"/>
    </row>
    <row r="882170" spans="15:15" x14ac:dyDescent="0.25">
      <c r="O882170" s="9"/>
    </row>
    <row r="882191" spans="15:15" x14ac:dyDescent="0.25">
      <c r="O882191" s="9"/>
    </row>
    <row r="882212" spans="15:15" x14ac:dyDescent="0.25">
      <c r="O882212" s="9"/>
    </row>
    <row r="882233" spans="15:15" x14ac:dyDescent="0.25">
      <c r="O882233" s="9"/>
    </row>
    <row r="882254" spans="15:15" x14ac:dyDescent="0.25">
      <c r="O882254" s="9"/>
    </row>
    <row r="882275" spans="15:15" x14ac:dyDescent="0.25">
      <c r="O882275" s="9"/>
    </row>
    <row r="882296" spans="15:15" x14ac:dyDescent="0.25">
      <c r="O882296" s="9"/>
    </row>
    <row r="882317" spans="15:15" x14ac:dyDescent="0.25">
      <c r="O882317" s="9"/>
    </row>
    <row r="882338" spans="15:15" x14ac:dyDescent="0.25">
      <c r="O882338" s="9"/>
    </row>
    <row r="882359" spans="15:15" x14ac:dyDescent="0.25">
      <c r="O882359" s="9"/>
    </row>
    <row r="882380" spans="15:15" x14ac:dyDescent="0.25">
      <c r="O882380" s="9"/>
    </row>
    <row r="882401" spans="15:15" x14ac:dyDescent="0.25">
      <c r="O882401" s="9"/>
    </row>
    <row r="882422" spans="15:15" x14ac:dyDescent="0.25">
      <c r="O882422" s="9"/>
    </row>
    <row r="882443" spans="15:15" x14ac:dyDescent="0.25">
      <c r="O882443" s="9"/>
    </row>
    <row r="882464" spans="15:15" x14ac:dyDescent="0.25">
      <c r="O882464" s="9"/>
    </row>
    <row r="882485" spans="15:15" x14ac:dyDescent="0.25">
      <c r="O882485" s="9"/>
    </row>
    <row r="882506" spans="15:15" x14ac:dyDescent="0.25">
      <c r="O882506" s="9"/>
    </row>
    <row r="882527" spans="15:15" x14ac:dyDescent="0.25">
      <c r="O882527" s="9"/>
    </row>
    <row r="882548" spans="15:15" x14ac:dyDescent="0.25">
      <c r="O882548" s="9"/>
    </row>
    <row r="882569" spans="15:15" x14ac:dyDescent="0.25">
      <c r="O882569" s="9"/>
    </row>
    <row r="882590" spans="15:15" x14ac:dyDescent="0.25">
      <c r="O882590" s="9"/>
    </row>
    <row r="882611" spans="15:15" x14ac:dyDescent="0.25">
      <c r="O882611" s="9"/>
    </row>
    <row r="882632" spans="15:15" x14ac:dyDescent="0.25">
      <c r="O882632" s="9"/>
    </row>
    <row r="882653" spans="15:15" x14ac:dyDescent="0.25">
      <c r="O882653" s="9"/>
    </row>
    <row r="882674" spans="15:15" x14ac:dyDescent="0.25">
      <c r="O882674" s="9"/>
    </row>
    <row r="882695" spans="15:15" x14ac:dyDescent="0.25">
      <c r="O882695" s="9"/>
    </row>
    <row r="882716" spans="15:15" x14ac:dyDescent="0.25">
      <c r="O882716" s="9"/>
    </row>
    <row r="882737" spans="15:15" x14ac:dyDescent="0.25">
      <c r="O882737" s="9"/>
    </row>
    <row r="882758" spans="15:15" x14ac:dyDescent="0.25">
      <c r="O882758" s="9"/>
    </row>
    <row r="882779" spans="15:15" x14ac:dyDescent="0.25">
      <c r="O882779" s="9"/>
    </row>
    <row r="882800" spans="15:15" x14ac:dyDescent="0.25">
      <c r="O882800" s="9"/>
    </row>
    <row r="882821" spans="15:15" x14ac:dyDescent="0.25">
      <c r="O882821" s="9"/>
    </row>
    <row r="882842" spans="15:15" x14ac:dyDescent="0.25">
      <c r="O882842" s="9"/>
    </row>
    <row r="882863" spans="15:15" x14ac:dyDescent="0.25">
      <c r="O882863" s="9"/>
    </row>
    <row r="882884" spans="15:15" x14ac:dyDescent="0.25">
      <c r="O882884" s="9"/>
    </row>
    <row r="882905" spans="15:15" x14ac:dyDescent="0.25">
      <c r="O882905" s="9"/>
    </row>
    <row r="882926" spans="15:15" x14ac:dyDescent="0.25">
      <c r="O882926" s="9"/>
    </row>
    <row r="882947" spans="15:15" x14ac:dyDescent="0.25">
      <c r="O882947" s="9"/>
    </row>
    <row r="882968" spans="15:15" x14ac:dyDescent="0.25">
      <c r="O882968" s="9"/>
    </row>
    <row r="882989" spans="15:15" x14ac:dyDescent="0.25">
      <c r="O882989" s="9"/>
    </row>
    <row r="883010" spans="15:15" x14ac:dyDescent="0.25">
      <c r="O883010" s="9"/>
    </row>
    <row r="883031" spans="15:15" x14ac:dyDescent="0.25">
      <c r="O883031" s="9"/>
    </row>
    <row r="883052" spans="15:15" x14ac:dyDescent="0.25">
      <c r="O883052" s="9"/>
    </row>
    <row r="883073" spans="15:15" x14ac:dyDescent="0.25">
      <c r="O883073" s="9"/>
    </row>
    <row r="883094" spans="15:15" x14ac:dyDescent="0.25">
      <c r="O883094" s="9"/>
    </row>
    <row r="883115" spans="15:15" x14ac:dyDescent="0.25">
      <c r="O883115" s="9"/>
    </row>
    <row r="883136" spans="15:15" x14ac:dyDescent="0.25">
      <c r="O883136" s="9"/>
    </row>
    <row r="883157" spans="15:15" x14ac:dyDescent="0.25">
      <c r="O883157" s="9"/>
    </row>
    <row r="883178" spans="15:15" x14ac:dyDescent="0.25">
      <c r="O883178" s="9"/>
    </row>
    <row r="883199" spans="15:15" x14ac:dyDescent="0.25">
      <c r="O883199" s="9"/>
    </row>
    <row r="883220" spans="15:15" x14ac:dyDescent="0.25">
      <c r="O883220" s="9"/>
    </row>
    <row r="883241" spans="15:15" x14ac:dyDescent="0.25">
      <c r="O883241" s="9"/>
    </row>
    <row r="883262" spans="15:15" x14ac:dyDescent="0.25">
      <c r="O883262" s="9"/>
    </row>
    <row r="883283" spans="15:15" x14ac:dyDescent="0.25">
      <c r="O883283" s="9"/>
    </row>
    <row r="883304" spans="15:15" x14ac:dyDescent="0.25">
      <c r="O883304" s="9"/>
    </row>
    <row r="883325" spans="15:15" x14ac:dyDescent="0.25">
      <c r="O883325" s="9"/>
    </row>
    <row r="883346" spans="15:15" x14ac:dyDescent="0.25">
      <c r="O883346" s="9"/>
    </row>
    <row r="883367" spans="15:15" x14ac:dyDescent="0.25">
      <c r="O883367" s="9"/>
    </row>
    <row r="883388" spans="15:15" x14ac:dyDescent="0.25">
      <c r="O883388" s="9"/>
    </row>
    <row r="883409" spans="15:15" x14ac:dyDescent="0.25">
      <c r="O883409" s="9"/>
    </row>
    <row r="883430" spans="15:15" x14ac:dyDescent="0.25">
      <c r="O883430" s="9"/>
    </row>
    <row r="883451" spans="15:15" x14ac:dyDescent="0.25">
      <c r="O883451" s="9"/>
    </row>
    <row r="883472" spans="15:15" x14ac:dyDescent="0.25">
      <c r="O883472" s="9"/>
    </row>
    <row r="883493" spans="15:15" x14ac:dyDescent="0.25">
      <c r="O883493" s="9"/>
    </row>
    <row r="883514" spans="15:15" x14ac:dyDescent="0.25">
      <c r="O883514" s="9"/>
    </row>
    <row r="883535" spans="15:15" x14ac:dyDescent="0.25">
      <c r="O883535" s="9"/>
    </row>
    <row r="883556" spans="15:15" x14ac:dyDescent="0.25">
      <c r="O883556" s="9"/>
    </row>
    <row r="883577" spans="15:15" x14ac:dyDescent="0.25">
      <c r="O883577" s="9"/>
    </row>
    <row r="883598" spans="15:15" x14ac:dyDescent="0.25">
      <c r="O883598" s="9"/>
    </row>
    <row r="883619" spans="15:15" x14ac:dyDescent="0.25">
      <c r="O883619" s="9"/>
    </row>
    <row r="883640" spans="15:15" x14ac:dyDescent="0.25">
      <c r="O883640" s="9"/>
    </row>
    <row r="883661" spans="15:15" x14ac:dyDescent="0.25">
      <c r="O883661" s="9"/>
    </row>
    <row r="883682" spans="15:15" x14ac:dyDescent="0.25">
      <c r="O883682" s="9"/>
    </row>
    <row r="883703" spans="15:15" x14ac:dyDescent="0.25">
      <c r="O883703" s="9"/>
    </row>
    <row r="883724" spans="15:15" x14ac:dyDescent="0.25">
      <c r="O883724" s="9"/>
    </row>
    <row r="883745" spans="15:15" x14ac:dyDescent="0.25">
      <c r="O883745" s="9"/>
    </row>
    <row r="883766" spans="15:15" x14ac:dyDescent="0.25">
      <c r="O883766" s="9"/>
    </row>
    <row r="883787" spans="15:15" x14ac:dyDescent="0.25">
      <c r="O883787" s="9"/>
    </row>
    <row r="883808" spans="15:15" x14ac:dyDescent="0.25">
      <c r="O883808" s="9"/>
    </row>
    <row r="883829" spans="15:15" x14ac:dyDescent="0.25">
      <c r="O883829" s="9"/>
    </row>
    <row r="883850" spans="15:15" x14ac:dyDescent="0.25">
      <c r="O883850" s="9"/>
    </row>
    <row r="883871" spans="15:15" x14ac:dyDescent="0.25">
      <c r="O883871" s="9"/>
    </row>
    <row r="883892" spans="15:15" x14ac:dyDescent="0.25">
      <c r="O883892" s="9"/>
    </row>
    <row r="883913" spans="15:15" x14ac:dyDescent="0.25">
      <c r="O883913" s="9"/>
    </row>
    <row r="883934" spans="15:15" x14ac:dyDescent="0.25">
      <c r="O883934" s="9"/>
    </row>
    <row r="883955" spans="15:15" x14ac:dyDescent="0.25">
      <c r="O883955" s="9"/>
    </row>
    <row r="883976" spans="15:15" x14ac:dyDescent="0.25">
      <c r="O883976" s="9"/>
    </row>
    <row r="883997" spans="15:15" x14ac:dyDescent="0.25">
      <c r="O883997" s="9"/>
    </row>
    <row r="884018" spans="15:15" x14ac:dyDescent="0.25">
      <c r="O884018" s="9"/>
    </row>
    <row r="884039" spans="15:15" x14ac:dyDescent="0.25">
      <c r="O884039" s="9"/>
    </row>
    <row r="884060" spans="15:15" x14ac:dyDescent="0.25">
      <c r="O884060" s="9"/>
    </row>
    <row r="884081" spans="15:15" x14ac:dyDescent="0.25">
      <c r="O884081" s="9"/>
    </row>
    <row r="884102" spans="15:15" x14ac:dyDescent="0.25">
      <c r="O884102" s="9"/>
    </row>
    <row r="884123" spans="15:15" x14ac:dyDescent="0.25">
      <c r="O884123" s="9"/>
    </row>
    <row r="884144" spans="15:15" x14ac:dyDescent="0.25">
      <c r="O884144" s="9"/>
    </row>
    <row r="884165" spans="15:15" x14ac:dyDescent="0.25">
      <c r="O884165" s="9"/>
    </row>
    <row r="884186" spans="15:15" x14ac:dyDescent="0.25">
      <c r="O884186" s="9"/>
    </row>
    <row r="884207" spans="15:15" x14ac:dyDescent="0.25">
      <c r="O884207" s="9"/>
    </row>
    <row r="884228" spans="15:15" x14ac:dyDescent="0.25">
      <c r="O884228" s="9"/>
    </row>
    <row r="884249" spans="15:15" x14ac:dyDescent="0.25">
      <c r="O884249" s="9"/>
    </row>
    <row r="884270" spans="15:15" x14ac:dyDescent="0.25">
      <c r="O884270" s="9"/>
    </row>
    <row r="884291" spans="15:15" x14ac:dyDescent="0.25">
      <c r="O884291" s="9"/>
    </row>
    <row r="884312" spans="15:15" x14ac:dyDescent="0.25">
      <c r="O884312" s="9"/>
    </row>
    <row r="884333" spans="15:15" x14ac:dyDescent="0.25">
      <c r="O884333" s="9"/>
    </row>
    <row r="884354" spans="15:15" x14ac:dyDescent="0.25">
      <c r="O884354" s="9"/>
    </row>
    <row r="884375" spans="15:15" x14ac:dyDescent="0.25">
      <c r="O884375" s="9"/>
    </row>
    <row r="884396" spans="15:15" x14ac:dyDescent="0.25">
      <c r="O884396" s="9"/>
    </row>
    <row r="884417" spans="15:15" x14ac:dyDescent="0.25">
      <c r="O884417" s="9"/>
    </row>
    <row r="884438" spans="15:15" x14ac:dyDescent="0.25">
      <c r="O884438" s="9"/>
    </row>
    <row r="884459" spans="15:15" x14ac:dyDescent="0.25">
      <c r="O884459" s="9"/>
    </row>
    <row r="884480" spans="15:15" x14ac:dyDescent="0.25">
      <c r="O884480" s="9"/>
    </row>
    <row r="884501" spans="15:15" x14ac:dyDescent="0.25">
      <c r="O884501" s="9"/>
    </row>
    <row r="884522" spans="15:15" x14ac:dyDescent="0.25">
      <c r="O884522" s="9"/>
    </row>
    <row r="884543" spans="15:15" x14ac:dyDescent="0.25">
      <c r="O884543" s="9"/>
    </row>
    <row r="884564" spans="15:15" x14ac:dyDescent="0.25">
      <c r="O884564" s="9"/>
    </row>
    <row r="884585" spans="15:15" x14ac:dyDescent="0.25">
      <c r="O884585" s="9"/>
    </row>
    <row r="884606" spans="15:15" x14ac:dyDescent="0.25">
      <c r="O884606" s="9"/>
    </row>
    <row r="884627" spans="15:15" x14ac:dyDescent="0.25">
      <c r="O884627" s="9"/>
    </row>
    <row r="884648" spans="15:15" x14ac:dyDescent="0.25">
      <c r="O884648" s="9"/>
    </row>
    <row r="884669" spans="15:15" x14ac:dyDescent="0.25">
      <c r="O884669" s="9"/>
    </row>
    <row r="884690" spans="15:15" x14ac:dyDescent="0.25">
      <c r="O884690" s="9"/>
    </row>
    <row r="884711" spans="15:15" x14ac:dyDescent="0.25">
      <c r="O884711" s="9"/>
    </row>
    <row r="884732" spans="15:15" x14ac:dyDescent="0.25">
      <c r="O884732" s="9"/>
    </row>
    <row r="884753" spans="15:15" x14ac:dyDescent="0.25">
      <c r="O884753" s="9"/>
    </row>
    <row r="884774" spans="15:15" x14ac:dyDescent="0.25">
      <c r="O884774" s="9"/>
    </row>
    <row r="884795" spans="15:15" x14ac:dyDescent="0.25">
      <c r="O884795" s="9"/>
    </row>
    <row r="884816" spans="15:15" x14ac:dyDescent="0.25">
      <c r="O884816" s="9"/>
    </row>
    <row r="884837" spans="15:15" x14ac:dyDescent="0.25">
      <c r="O884837" s="9"/>
    </row>
    <row r="884858" spans="15:15" x14ac:dyDescent="0.25">
      <c r="O884858" s="9"/>
    </row>
    <row r="884879" spans="15:15" x14ac:dyDescent="0.25">
      <c r="O884879" s="9"/>
    </row>
    <row r="884900" spans="15:15" x14ac:dyDescent="0.25">
      <c r="O884900" s="9"/>
    </row>
    <row r="884921" spans="15:15" x14ac:dyDescent="0.25">
      <c r="O884921" s="9"/>
    </row>
    <row r="884942" spans="15:15" x14ac:dyDescent="0.25">
      <c r="O884942" s="9"/>
    </row>
    <row r="884963" spans="15:15" x14ac:dyDescent="0.25">
      <c r="O884963" s="9"/>
    </row>
    <row r="884984" spans="15:15" x14ac:dyDescent="0.25">
      <c r="O884984" s="9"/>
    </row>
    <row r="885005" spans="15:15" x14ac:dyDescent="0.25">
      <c r="O885005" s="9"/>
    </row>
    <row r="885026" spans="15:15" x14ac:dyDescent="0.25">
      <c r="O885026" s="9"/>
    </row>
    <row r="885047" spans="15:15" x14ac:dyDescent="0.25">
      <c r="O885047" s="9"/>
    </row>
    <row r="885068" spans="15:15" x14ac:dyDescent="0.25">
      <c r="O885068" s="9"/>
    </row>
    <row r="885089" spans="15:15" x14ac:dyDescent="0.25">
      <c r="O885089" s="9"/>
    </row>
    <row r="885110" spans="15:15" x14ac:dyDescent="0.25">
      <c r="O885110" s="9"/>
    </row>
    <row r="885131" spans="15:15" x14ac:dyDescent="0.25">
      <c r="O885131" s="9"/>
    </row>
    <row r="885152" spans="15:15" x14ac:dyDescent="0.25">
      <c r="O885152" s="9"/>
    </row>
    <row r="885173" spans="15:15" x14ac:dyDescent="0.25">
      <c r="O885173" s="9"/>
    </row>
    <row r="885194" spans="15:15" x14ac:dyDescent="0.25">
      <c r="O885194" s="9"/>
    </row>
    <row r="885215" spans="15:15" x14ac:dyDescent="0.25">
      <c r="O885215" s="9"/>
    </row>
    <row r="885236" spans="15:15" x14ac:dyDescent="0.25">
      <c r="O885236" s="9"/>
    </row>
    <row r="885257" spans="15:15" x14ac:dyDescent="0.25">
      <c r="O885257" s="9"/>
    </row>
    <row r="885278" spans="15:15" x14ac:dyDescent="0.25">
      <c r="O885278" s="9"/>
    </row>
    <row r="885299" spans="15:15" x14ac:dyDescent="0.25">
      <c r="O885299" s="9"/>
    </row>
    <row r="885320" spans="15:15" x14ac:dyDescent="0.25">
      <c r="O885320" s="9"/>
    </row>
    <row r="885341" spans="15:15" x14ac:dyDescent="0.25">
      <c r="O885341" s="9"/>
    </row>
    <row r="885362" spans="15:15" x14ac:dyDescent="0.25">
      <c r="O885362" s="9"/>
    </row>
    <row r="885383" spans="15:15" x14ac:dyDescent="0.25">
      <c r="O885383" s="9"/>
    </row>
    <row r="885404" spans="15:15" x14ac:dyDescent="0.25">
      <c r="O885404" s="9"/>
    </row>
    <row r="885425" spans="15:15" x14ac:dyDescent="0.25">
      <c r="O885425" s="9"/>
    </row>
    <row r="885446" spans="15:15" x14ac:dyDescent="0.25">
      <c r="O885446" s="9"/>
    </row>
    <row r="885467" spans="15:15" x14ac:dyDescent="0.25">
      <c r="O885467" s="9"/>
    </row>
    <row r="885488" spans="15:15" x14ac:dyDescent="0.25">
      <c r="O885488" s="9"/>
    </row>
    <row r="885509" spans="15:15" x14ac:dyDescent="0.25">
      <c r="O885509" s="9"/>
    </row>
    <row r="885530" spans="15:15" x14ac:dyDescent="0.25">
      <c r="O885530" s="9"/>
    </row>
    <row r="885551" spans="15:15" x14ac:dyDescent="0.25">
      <c r="O885551" s="9"/>
    </row>
    <row r="885572" spans="15:15" x14ac:dyDescent="0.25">
      <c r="O885572" s="9"/>
    </row>
    <row r="885593" spans="15:15" x14ac:dyDescent="0.25">
      <c r="O885593" s="9"/>
    </row>
    <row r="885614" spans="15:15" x14ac:dyDescent="0.25">
      <c r="O885614" s="9"/>
    </row>
    <row r="885635" spans="15:15" x14ac:dyDescent="0.25">
      <c r="O885635" s="9"/>
    </row>
    <row r="885656" spans="15:15" x14ac:dyDescent="0.25">
      <c r="O885656" s="9"/>
    </row>
    <row r="885677" spans="15:15" x14ac:dyDescent="0.25">
      <c r="O885677" s="9"/>
    </row>
    <row r="885698" spans="15:15" x14ac:dyDescent="0.25">
      <c r="O885698" s="9"/>
    </row>
    <row r="885719" spans="15:15" x14ac:dyDescent="0.25">
      <c r="O885719" s="9"/>
    </row>
    <row r="885740" spans="15:15" x14ac:dyDescent="0.25">
      <c r="O885740" s="9"/>
    </row>
    <row r="885761" spans="15:15" x14ac:dyDescent="0.25">
      <c r="O885761" s="9"/>
    </row>
    <row r="885782" spans="15:15" x14ac:dyDescent="0.25">
      <c r="O885782" s="9"/>
    </row>
    <row r="885803" spans="15:15" x14ac:dyDescent="0.25">
      <c r="O885803" s="9"/>
    </row>
    <row r="885824" spans="15:15" x14ac:dyDescent="0.25">
      <c r="O885824" s="9"/>
    </row>
    <row r="885845" spans="15:15" x14ac:dyDescent="0.25">
      <c r="O885845" s="9"/>
    </row>
    <row r="885866" spans="15:15" x14ac:dyDescent="0.25">
      <c r="O885866" s="9"/>
    </row>
    <row r="885887" spans="15:15" x14ac:dyDescent="0.25">
      <c r="O885887" s="9"/>
    </row>
    <row r="885908" spans="15:15" x14ac:dyDescent="0.25">
      <c r="O885908" s="9"/>
    </row>
    <row r="885929" spans="15:15" x14ac:dyDescent="0.25">
      <c r="O885929" s="9"/>
    </row>
    <row r="885950" spans="15:15" x14ac:dyDescent="0.25">
      <c r="O885950" s="9"/>
    </row>
    <row r="885971" spans="15:15" x14ac:dyDescent="0.25">
      <c r="O885971" s="9"/>
    </row>
    <row r="885992" spans="15:15" x14ac:dyDescent="0.25">
      <c r="O885992" s="9"/>
    </row>
    <row r="886013" spans="15:15" x14ac:dyDescent="0.25">
      <c r="O886013" s="9"/>
    </row>
    <row r="886034" spans="15:15" x14ac:dyDescent="0.25">
      <c r="O886034" s="9"/>
    </row>
    <row r="886055" spans="15:15" x14ac:dyDescent="0.25">
      <c r="O886055" s="9"/>
    </row>
    <row r="886076" spans="15:15" x14ac:dyDescent="0.25">
      <c r="O886076" s="9"/>
    </row>
    <row r="886097" spans="15:15" x14ac:dyDescent="0.25">
      <c r="O886097" s="9"/>
    </row>
    <row r="886118" spans="15:15" x14ac:dyDescent="0.25">
      <c r="O886118" s="9"/>
    </row>
    <row r="886139" spans="15:15" x14ac:dyDescent="0.25">
      <c r="O886139" s="9"/>
    </row>
    <row r="886160" spans="15:15" x14ac:dyDescent="0.25">
      <c r="O886160" s="9"/>
    </row>
    <row r="886181" spans="15:15" x14ac:dyDescent="0.25">
      <c r="O886181" s="9"/>
    </row>
    <row r="886202" spans="15:15" x14ac:dyDescent="0.25">
      <c r="O886202" s="9"/>
    </row>
    <row r="886223" spans="15:15" x14ac:dyDescent="0.25">
      <c r="O886223" s="9"/>
    </row>
    <row r="886244" spans="15:15" x14ac:dyDescent="0.25">
      <c r="O886244" s="9"/>
    </row>
    <row r="886265" spans="15:15" x14ac:dyDescent="0.25">
      <c r="O886265" s="9"/>
    </row>
    <row r="886286" spans="15:15" x14ac:dyDescent="0.25">
      <c r="O886286" s="9"/>
    </row>
    <row r="886307" spans="15:15" x14ac:dyDescent="0.25">
      <c r="O886307" s="9"/>
    </row>
    <row r="886328" spans="15:15" x14ac:dyDescent="0.25">
      <c r="O886328" s="9"/>
    </row>
    <row r="886349" spans="15:15" x14ac:dyDescent="0.25">
      <c r="O886349" s="9"/>
    </row>
    <row r="886370" spans="15:15" x14ac:dyDescent="0.25">
      <c r="O886370" s="9"/>
    </row>
    <row r="886391" spans="15:15" x14ac:dyDescent="0.25">
      <c r="O886391" s="9"/>
    </row>
    <row r="886412" spans="15:15" x14ac:dyDescent="0.25">
      <c r="O886412" s="9"/>
    </row>
    <row r="886433" spans="15:15" x14ac:dyDescent="0.25">
      <c r="O886433" s="9"/>
    </row>
    <row r="886454" spans="15:15" x14ac:dyDescent="0.25">
      <c r="O886454" s="9"/>
    </row>
    <row r="886475" spans="15:15" x14ac:dyDescent="0.25">
      <c r="O886475" s="9"/>
    </row>
    <row r="886496" spans="15:15" x14ac:dyDescent="0.25">
      <c r="O886496" s="9"/>
    </row>
    <row r="886517" spans="15:15" x14ac:dyDescent="0.25">
      <c r="O886517" s="9"/>
    </row>
    <row r="886538" spans="15:15" x14ac:dyDescent="0.25">
      <c r="O886538" s="9"/>
    </row>
    <row r="886559" spans="15:15" x14ac:dyDescent="0.25">
      <c r="O886559" s="9"/>
    </row>
    <row r="886580" spans="15:15" x14ac:dyDescent="0.25">
      <c r="O886580" s="9"/>
    </row>
    <row r="886601" spans="15:15" x14ac:dyDescent="0.25">
      <c r="O886601" s="9"/>
    </row>
    <row r="886622" spans="15:15" x14ac:dyDescent="0.25">
      <c r="O886622" s="9"/>
    </row>
    <row r="886643" spans="15:15" x14ac:dyDescent="0.25">
      <c r="O886643" s="9"/>
    </row>
    <row r="886664" spans="15:15" x14ac:dyDescent="0.25">
      <c r="O886664" s="9"/>
    </row>
    <row r="886685" spans="15:15" x14ac:dyDescent="0.25">
      <c r="O886685" s="9"/>
    </row>
    <row r="886706" spans="15:15" x14ac:dyDescent="0.25">
      <c r="O886706" s="9"/>
    </row>
    <row r="886727" spans="15:15" x14ac:dyDescent="0.25">
      <c r="O886727" s="9"/>
    </row>
    <row r="886748" spans="15:15" x14ac:dyDescent="0.25">
      <c r="O886748" s="9"/>
    </row>
    <row r="886769" spans="15:15" x14ac:dyDescent="0.25">
      <c r="O886769" s="9"/>
    </row>
    <row r="886790" spans="15:15" x14ac:dyDescent="0.25">
      <c r="O886790" s="9"/>
    </row>
    <row r="886811" spans="15:15" x14ac:dyDescent="0.25">
      <c r="O886811" s="9"/>
    </row>
    <row r="886832" spans="15:15" x14ac:dyDescent="0.25">
      <c r="O886832" s="9"/>
    </row>
    <row r="886853" spans="15:15" x14ac:dyDescent="0.25">
      <c r="O886853" s="9"/>
    </row>
    <row r="886874" spans="15:15" x14ac:dyDescent="0.25">
      <c r="O886874" s="9"/>
    </row>
    <row r="886895" spans="15:15" x14ac:dyDescent="0.25">
      <c r="O886895" s="9"/>
    </row>
    <row r="886916" spans="15:15" x14ac:dyDescent="0.25">
      <c r="O886916" s="9"/>
    </row>
    <row r="886937" spans="15:15" x14ac:dyDescent="0.25">
      <c r="O886937" s="9"/>
    </row>
    <row r="886958" spans="15:15" x14ac:dyDescent="0.25">
      <c r="O886958" s="9"/>
    </row>
    <row r="886979" spans="15:15" x14ac:dyDescent="0.25">
      <c r="O886979" s="9"/>
    </row>
    <row r="887000" spans="15:15" x14ac:dyDescent="0.25">
      <c r="O887000" s="9"/>
    </row>
    <row r="887021" spans="15:15" x14ac:dyDescent="0.25">
      <c r="O887021" s="9"/>
    </row>
    <row r="887042" spans="15:15" x14ac:dyDescent="0.25">
      <c r="O887042" s="9"/>
    </row>
    <row r="887063" spans="15:15" x14ac:dyDescent="0.25">
      <c r="O887063" s="9"/>
    </row>
    <row r="887084" spans="15:15" x14ac:dyDescent="0.25">
      <c r="O887084" s="9"/>
    </row>
    <row r="887105" spans="15:15" x14ac:dyDescent="0.25">
      <c r="O887105" s="9"/>
    </row>
    <row r="887126" spans="15:15" x14ac:dyDescent="0.25">
      <c r="O887126" s="9"/>
    </row>
    <row r="887147" spans="15:15" x14ac:dyDescent="0.25">
      <c r="O887147" s="9"/>
    </row>
    <row r="887168" spans="15:15" x14ac:dyDescent="0.25">
      <c r="O887168" s="9"/>
    </row>
    <row r="887189" spans="15:15" x14ac:dyDescent="0.25">
      <c r="O887189" s="9"/>
    </row>
    <row r="887210" spans="15:15" x14ac:dyDescent="0.25">
      <c r="O887210" s="9"/>
    </row>
    <row r="887231" spans="15:15" x14ac:dyDescent="0.25">
      <c r="O887231" s="9"/>
    </row>
    <row r="887252" spans="15:15" x14ac:dyDescent="0.25">
      <c r="O887252" s="9"/>
    </row>
    <row r="887273" spans="15:15" x14ac:dyDescent="0.25">
      <c r="O887273" s="9"/>
    </row>
    <row r="887294" spans="15:15" x14ac:dyDescent="0.25">
      <c r="O887294" s="9"/>
    </row>
    <row r="887315" spans="15:15" x14ac:dyDescent="0.25">
      <c r="O887315" s="9"/>
    </row>
    <row r="887336" spans="15:15" x14ac:dyDescent="0.25">
      <c r="O887336" s="9"/>
    </row>
    <row r="887357" spans="15:15" x14ac:dyDescent="0.25">
      <c r="O887357" s="9"/>
    </row>
    <row r="887378" spans="15:15" x14ac:dyDescent="0.25">
      <c r="O887378" s="9"/>
    </row>
    <row r="887399" spans="15:15" x14ac:dyDescent="0.25">
      <c r="O887399" s="9"/>
    </row>
    <row r="887420" spans="15:15" x14ac:dyDescent="0.25">
      <c r="O887420" s="9"/>
    </row>
    <row r="887441" spans="15:15" x14ac:dyDescent="0.25">
      <c r="O887441" s="9"/>
    </row>
    <row r="887462" spans="15:15" x14ac:dyDescent="0.25">
      <c r="O887462" s="9"/>
    </row>
    <row r="887483" spans="15:15" x14ac:dyDescent="0.25">
      <c r="O887483" s="9"/>
    </row>
    <row r="887504" spans="15:15" x14ac:dyDescent="0.25">
      <c r="O887504" s="9"/>
    </row>
    <row r="887525" spans="15:15" x14ac:dyDescent="0.25">
      <c r="O887525" s="9"/>
    </row>
    <row r="887546" spans="15:15" x14ac:dyDescent="0.25">
      <c r="O887546" s="9"/>
    </row>
    <row r="887567" spans="15:15" x14ac:dyDescent="0.25">
      <c r="O887567" s="9"/>
    </row>
    <row r="887588" spans="15:15" x14ac:dyDescent="0.25">
      <c r="O887588" s="9"/>
    </row>
    <row r="887609" spans="15:15" x14ac:dyDescent="0.25">
      <c r="O887609" s="9"/>
    </row>
    <row r="887630" spans="15:15" x14ac:dyDescent="0.25">
      <c r="O887630" s="9"/>
    </row>
    <row r="887651" spans="15:15" x14ac:dyDescent="0.25">
      <c r="O887651" s="9"/>
    </row>
    <row r="887672" spans="15:15" x14ac:dyDescent="0.25">
      <c r="O887672" s="9"/>
    </row>
    <row r="887693" spans="15:15" x14ac:dyDescent="0.25">
      <c r="O887693" s="9"/>
    </row>
    <row r="887714" spans="15:15" x14ac:dyDescent="0.25">
      <c r="O887714" s="9"/>
    </row>
    <row r="887735" spans="15:15" x14ac:dyDescent="0.25">
      <c r="O887735" s="9"/>
    </row>
    <row r="887756" spans="15:15" x14ac:dyDescent="0.25">
      <c r="O887756" s="9"/>
    </row>
    <row r="887777" spans="15:15" x14ac:dyDescent="0.25">
      <c r="O887777" s="9"/>
    </row>
    <row r="887798" spans="15:15" x14ac:dyDescent="0.25">
      <c r="O887798" s="9"/>
    </row>
    <row r="887819" spans="15:15" x14ac:dyDescent="0.25">
      <c r="O887819" s="9"/>
    </row>
    <row r="887840" spans="15:15" x14ac:dyDescent="0.25">
      <c r="O887840" s="9"/>
    </row>
    <row r="887861" spans="15:15" x14ac:dyDescent="0.25">
      <c r="O887861" s="9"/>
    </row>
    <row r="887882" spans="15:15" x14ac:dyDescent="0.25">
      <c r="O887882" s="9"/>
    </row>
    <row r="887903" spans="15:15" x14ac:dyDescent="0.25">
      <c r="O887903" s="9"/>
    </row>
    <row r="887924" spans="15:15" x14ac:dyDescent="0.25">
      <c r="O887924" s="9"/>
    </row>
    <row r="887945" spans="15:15" x14ac:dyDescent="0.25">
      <c r="O887945" s="9"/>
    </row>
    <row r="887966" spans="15:15" x14ac:dyDescent="0.25">
      <c r="O887966" s="9"/>
    </row>
    <row r="887987" spans="15:15" x14ac:dyDescent="0.25">
      <c r="O887987" s="9"/>
    </row>
    <row r="888008" spans="15:15" x14ac:dyDescent="0.25">
      <c r="O888008" s="9"/>
    </row>
    <row r="888029" spans="15:15" x14ac:dyDescent="0.25">
      <c r="O888029" s="9"/>
    </row>
    <row r="888050" spans="15:15" x14ac:dyDescent="0.25">
      <c r="O888050" s="9"/>
    </row>
    <row r="888071" spans="15:15" x14ac:dyDescent="0.25">
      <c r="O888071" s="9"/>
    </row>
    <row r="888092" spans="15:15" x14ac:dyDescent="0.25">
      <c r="O888092" s="9"/>
    </row>
    <row r="888113" spans="15:15" x14ac:dyDescent="0.25">
      <c r="O888113" s="9"/>
    </row>
    <row r="888134" spans="15:15" x14ac:dyDescent="0.25">
      <c r="O888134" s="9"/>
    </row>
    <row r="888155" spans="15:15" x14ac:dyDescent="0.25">
      <c r="O888155" s="9"/>
    </row>
    <row r="888176" spans="15:15" x14ac:dyDescent="0.25">
      <c r="O888176" s="9"/>
    </row>
    <row r="888197" spans="15:15" x14ac:dyDescent="0.25">
      <c r="O888197" s="9"/>
    </row>
    <row r="888218" spans="15:15" x14ac:dyDescent="0.25">
      <c r="O888218" s="9"/>
    </row>
    <row r="888239" spans="15:15" x14ac:dyDescent="0.25">
      <c r="O888239" s="9"/>
    </row>
    <row r="888260" spans="15:15" x14ac:dyDescent="0.25">
      <c r="O888260" s="9"/>
    </row>
    <row r="888281" spans="15:15" x14ac:dyDescent="0.25">
      <c r="O888281" s="9"/>
    </row>
    <row r="888302" spans="15:15" x14ac:dyDescent="0.25">
      <c r="O888302" s="9"/>
    </row>
    <row r="888323" spans="15:15" x14ac:dyDescent="0.25">
      <c r="O888323" s="9"/>
    </row>
    <row r="888344" spans="15:15" x14ac:dyDescent="0.25">
      <c r="O888344" s="9"/>
    </row>
    <row r="888365" spans="15:15" x14ac:dyDescent="0.25">
      <c r="O888365" s="9"/>
    </row>
    <row r="888386" spans="15:15" x14ac:dyDescent="0.25">
      <c r="O888386" s="9"/>
    </row>
    <row r="888407" spans="15:15" x14ac:dyDescent="0.25">
      <c r="O888407" s="9"/>
    </row>
    <row r="888428" spans="15:15" x14ac:dyDescent="0.25">
      <c r="O888428" s="9"/>
    </row>
    <row r="888449" spans="15:15" x14ac:dyDescent="0.25">
      <c r="O888449" s="9"/>
    </row>
    <row r="888470" spans="15:15" x14ac:dyDescent="0.25">
      <c r="O888470" s="9"/>
    </row>
    <row r="888491" spans="15:15" x14ac:dyDescent="0.25">
      <c r="O888491" s="9"/>
    </row>
    <row r="888512" spans="15:15" x14ac:dyDescent="0.25">
      <c r="O888512" s="9"/>
    </row>
    <row r="888533" spans="15:15" x14ac:dyDescent="0.25">
      <c r="O888533" s="9"/>
    </row>
    <row r="888554" spans="15:15" x14ac:dyDescent="0.25">
      <c r="O888554" s="9"/>
    </row>
    <row r="888575" spans="15:15" x14ac:dyDescent="0.25">
      <c r="O888575" s="9"/>
    </row>
    <row r="888596" spans="15:15" x14ac:dyDescent="0.25">
      <c r="O888596" s="9"/>
    </row>
    <row r="888617" spans="15:15" x14ac:dyDescent="0.25">
      <c r="O888617" s="9"/>
    </row>
    <row r="888638" spans="15:15" x14ac:dyDescent="0.25">
      <c r="O888638" s="9"/>
    </row>
    <row r="888659" spans="15:15" x14ac:dyDescent="0.25">
      <c r="O888659" s="9"/>
    </row>
    <row r="888680" spans="15:15" x14ac:dyDescent="0.25">
      <c r="O888680" s="9"/>
    </row>
    <row r="888701" spans="15:15" x14ac:dyDescent="0.25">
      <c r="O888701" s="9"/>
    </row>
    <row r="888722" spans="15:15" x14ac:dyDescent="0.25">
      <c r="O888722" s="9"/>
    </row>
    <row r="888743" spans="15:15" x14ac:dyDescent="0.25">
      <c r="O888743" s="9"/>
    </row>
    <row r="888764" spans="15:15" x14ac:dyDescent="0.25">
      <c r="O888764" s="9"/>
    </row>
    <row r="888785" spans="15:15" x14ac:dyDescent="0.25">
      <c r="O888785" s="9"/>
    </row>
    <row r="888806" spans="15:15" x14ac:dyDescent="0.25">
      <c r="O888806" s="9"/>
    </row>
    <row r="888827" spans="15:15" x14ac:dyDescent="0.25">
      <c r="O888827" s="9"/>
    </row>
    <row r="888848" spans="15:15" x14ac:dyDescent="0.25">
      <c r="O888848" s="9"/>
    </row>
    <row r="888869" spans="15:15" x14ac:dyDescent="0.25">
      <c r="O888869" s="9"/>
    </row>
    <row r="888890" spans="15:15" x14ac:dyDescent="0.25">
      <c r="O888890" s="9"/>
    </row>
    <row r="888911" spans="15:15" x14ac:dyDescent="0.25">
      <c r="O888911" s="9"/>
    </row>
    <row r="888932" spans="15:15" x14ac:dyDescent="0.25">
      <c r="O888932" s="9"/>
    </row>
    <row r="888953" spans="15:15" x14ac:dyDescent="0.25">
      <c r="O888953" s="9"/>
    </row>
    <row r="888974" spans="15:15" x14ac:dyDescent="0.25">
      <c r="O888974" s="9"/>
    </row>
    <row r="888995" spans="15:15" x14ac:dyDescent="0.25">
      <c r="O888995" s="9"/>
    </row>
    <row r="889016" spans="15:15" x14ac:dyDescent="0.25">
      <c r="O889016" s="9"/>
    </row>
    <row r="889037" spans="15:15" x14ac:dyDescent="0.25">
      <c r="O889037" s="9"/>
    </row>
    <row r="889058" spans="15:15" x14ac:dyDescent="0.25">
      <c r="O889058" s="9"/>
    </row>
    <row r="889079" spans="15:15" x14ac:dyDescent="0.25">
      <c r="O889079" s="9"/>
    </row>
    <row r="889100" spans="15:15" x14ac:dyDescent="0.25">
      <c r="O889100" s="9"/>
    </row>
    <row r="889121" spans="15:15" x14ac:dyDescent="0.25">
      <c r="O889121" s="9"/>
    </row>
    <row r="889142" spans="15:15" x14ac:dyDescent="0.25">
      <c r="O889142" s="9"/>
    </row>
    <row r="889163" spans="15:15" x14ac:dyDescent="0.25">
      <c r="O889163" s="9"/>
    </row>
    <row r="889184" spans="15:15" x14ac:dyDescent="0.25">
      <c r="O889184" s="9"/>
    </row>
    <row r="889205" spans="15:15" x14ac:dyDescent="0.25">
      <c r="O889205" s="9"/>
    </row>
    <row r="889226" spans="15:15" x14ac:dyDescent="0.25">
      <c r="O889226" s="9"/>
    </row>
    <row r="889247" spans="15:15" x14ac:dyDescent="0.25">
      <c r="O889247" s="9"/>
    </row>
    <row r="889268" spans="15:15" x14ac:dyDescent="0.25">
      <c r="O889268" s="9"/>
    </row>
    <row r="889289" spans="15:15" x14ac:dyDescent="0.25">
      <c r="O889289" s="9"/>
    </row>
    <row r="889310" spans="15:15" x14ac:dyDescent="0.25">
      <c r="O889310" s="9"/>
    </row>
    <row r="889331" spans="15:15" x14ac:dyDescent="0.25">
      <c r="O889331" s="9"/>
    </row>
    <row r="889352" spans="15:15" x14ac:dyDescent="0.25">
      <c r="O889352" s="9"/>
    </row>
    <row r="889373" spans="15:15" x14ac:dyDescent="0.25">
      <c r="O889373" s="9"/>
    </row>
    <row r="889394" spans="15:15" x14ac:dyDescent="0.25">
      <c r="O889394" s="9"/>
    </row>
    <row r="889415" spans="15:15" x14ac:dyDescent="0.25">
      <c r="O889415" s="9"/>
    </row>
    <row r="889436" spans="15:15" x14ac:dyDescent="0.25">
      <c r="O889436" s="9"/>
    </row>
    <row r="889457" spans="15:15" x14ac:dyDescent="0.25">
      <c r="O889457" s="9"/>
    </row>
    <row r="889478" spans="15:15" x14ac:dyDescent="0.25">
      <c r="O889478" s="9"/>
    </row>
    <row r="889499" spans="15:15" x14ac:dyDescent="0.25">
      <c r="O889499" s="9"/>
    </row>
    <row r="889520" spans="15:15" x14ac:dyDescent="0.25">
      <c r="O889520" s="9"/>
    </row>
    <row r="889541" spans="15:15" x14ac:dyDescent="0.25">
      <c r="O889541" s="9"/>
    </row>
    <row r="889562" spans="15:15" x14ac:dyDescent="0.25">
      <c r="O889562" s="9"/>
    </row>
    <row r="889583" spans="15:15" x14ac:dyDescent="0.25">
      <c r="O889583" s="9"/>
    </row>
    <row r="889604" spans="15:15" x14ac:dyDescent="0.25">
      <c r="O889604" s="9"/>
    </row>
    <row r="889625" spans="15:15" x14ac:dyDescent="0.25">
      <c r="O889625" s="9"/>
    </row>
    <row r="889646" spans="15:15" x14ac:dyDescent="0.25">
      <c r="O889646" s="9"/>
    </row>
    <row r="889667" spans="15:15" x14ac:dyDescent="0.25">
      <c r="O889667" s="9"/>
    </row>
    <row r="889688" spans="15:15" x14ac:dyDescent="0.25">
      <c r="O889688" s="9"/>
    </row>
    <row r="889709" spans="15:15" x14ac:dyDescent="0.25">
      <c r="O889709" s="9"/>
    </row>
    <row r="889730" spans="15:15" x14ac:dyDescent="0.25">
      <c r="O889730" s="9"/>
    </row>
    <row r="889751" spans="15:15" x14ac:dyDescent="0.25">
      <c r="O889751" s="9"/>
    </row>
    <row r="889772" spans="15:15" x14ac:dyDescent="0.25">
      <c r="O889772" s="9"/>
    </row>
    <row r="889793" spans="15:15" x14ac:dyDescent="0.25">
      <c r="O889793" s="9"/>
    </row>
    <row r="889814" spans="15:15" x14ac:dyDescent="0.25">
      <c r="O889814" s="9"/>
    </row>
    <row r="889835" spans="15:15" x14ac:dyDescent="0.25">
      <c r="O889835" s="9"/>
    </row>
    <row r="889856" spans="15:15" x14ac:dyDescent="0.25">
      <c r="O889856" s="9"/>
    </row>
    <row r="889877" spans="15:15" x14ac:dyDescent="0.25">
      <c r="O889877" s="9"/>
    </row>
    <row r="889898" spans="15:15" x14ac:dyDescent="0.25">
      <c r="O889898" s="9"/>
    </row>
    <row r="889919" spans="15:15" x14ac:dyDescent="0.25">
      <c r="O889919" s="9"/>
    </row>
    <row r="889940" spans="15:15" x14ac:dyDescent="0.25">
      <c r="O889940" s="9"/>
    </row>
    <row r="889961" spans="15:15" x14ac:dyDescent="0.25">
      <c r="O889961" s="9"/>
    </row>
    <row r="889982" spans="15:15" x14ac:dyDescent="0.25">
      <c r="O889982" s="9"/>
    </row>
    <row r="890003" spans="15:15" x14ac:dyDescent="0.25">
      <c r="O890003" s="9"/>
    </row>
    <row r="890024" spans="15:15" x14ac:dyDescent="0.25">
      <c r="O890024" s="9"/>
    </row>
    <row r="890045" spans="15:15" x14ac:dyDescent="0.25">
      <c r="O890045" s="9"/>
    </row>
    <row r="890066" spans="15:15" x14ac:dyDescent="0.25">
      <c r="O890066" s="9"/>
    </row>
    <row r="890087" spans="15:15" x14ac:dyDescent="0.25">
      <c r="O890087" s="9"/>
    </row>
    <row r="890108" spans="15:15" x14ac:dyDescent="0.25">
      <c r="O890108" s="9"/>
    </row>
    <row r="890129" spans="15:15" x14ac:dyDescent="0.25">
      <c r="O890129" s="9"/>
    </row>
    <row r="890150" spans="15:15" x14ac:dyDescent="0.25">
      <c r="O890150" s="9"/>
    </row>
    <row r="890171" spans="15:15" x14ac:dyDescent="0.25">
      <c r="O890171" s="9"/>
    </row>
    <row r="890192" spans="15:15" x14ac:dyDescent="0.25">
      <c r="O890192" s="9"/>
    </row>
    <row r="890213" spans="15:15" x14ac:dyDescent="0.25">
      <c r="O890213" s="9"/>
    </row>
    <row r="890234" spans="15:15" x14ac:dyDescent="0.25">
      <c r="O890234" s="9"/>
    </row>
    <row r="890255" spans="15:15" x14ac:dyDescent="0.25">
      <c r="O890255" s="9"/>
    </row>
    <row r="890276" spans="15:15" x14ac:dyDescent="0.25">
      <c r="O890276" s="9"/>
    </row>
    <row r="890297" spans="15:15" x14ac:dyDescent="0.25">
      <c r="O890297" s="9"/>
    </row>
    <row r="890318" spans="15:15" x14ac:dyDescent="0.25">
      <c r="O890318" s="9"/>
    </row>
    <row r="890339" spans="15:15" x14ac:dyDescent="0.25">
      <c r="O890339" s="9"/>
    </row>
    <row r="890360" spans="15:15" x14ac:dyDescent="0.25">
      <c r="O890360" s="9"/>
    </row>
    <row r="890381" spans="15:15" x14ac:dyDescent="0.25">
      <c r="O890381" s="9"/>
    </row>
    <row r="890402" spans="15:15" x14ac:dyDescent="0.25">
      <c r="O890402" s="9"/>
    </row>
    <row r="890423" spans="15:15" x14ac:dyDescent="0.25">
      <c r="O890423" s="9"/>
    </row>
    <row r="890444" spans="15:15" x14ac:dyDescent="0.25">
      <c r="O890444" s="9"/>
    </row>
    <row r="890465" spans="15:15" x14ac:dyDescent="0.25">
      <c r="O890465" s="9"/>
    </row>
    <row r="890486" spans="15:15" x14ac:dyDescent="0.25">
      <c r="O890486" s="9"/>
    </row>
    <row r="890507" spans="15:15" x14ac:dyDescent="0.25">
      <c r="O890507" s="9"/>
    </row>
    <row r="890528" spans="15:15" x14ac:dyDescent="0.25">
      <c r="O890528" s="9"/>
    </row>
    <row r="890549" spans="15:15" x14ac:dyDescent="0.25">
      <c r="O890549" s="9"/>
    </row>
    <row r="890570" spans="15:15" x14ac:dyDescent="0.25">
      <c r="O890570" s="9"/>
    </row>
    <row r="890591" spans="15:15" x14ac:dyDescent="0.25">
      <c r="O890591" s="9"/>
    </row>
    <row r="890612" spans="15:15" x14ac:dyDescent="0.25">
      <c r="O890612" s="9"/>
    </row>
    <row r="890633" spans="15:15" x14ac:dyDescent="0.25">
      <c r="O890633" s="9"/>
    </row>
    <row r="890654" spans="15:15" x14ac:dyDescent="0.25">
      <c r="O890654" s="9"/>
    </row>
    <row r="890675" spans="15:15" x14ac:dyDescent="0.25">
      <c r="O890675" s="9"/>
    </row>
    <row r="890696" spans="15:15" x14ac:dyDescent="0.25">
      <c r="O890696" s="9"/>
    </row>
    <row r="890717" spans="15:15" x14ac:dyDescent="0.25">
      <c r="O890717" s="9"/>
    </row>
    <row r="890738" spans="15:15" x14ac:dyDescent="0.25">
      <c r="O890738" s="9"/>
    </row>
    <row r="890759" spans="15:15" x14ac:dyDescent="0.25">
      <c r="O890759" s="9"/>
    </row>
    <row r="890780" spans="15:15" x14ac:dyDescent="0.25">
      <c r="O890780" s="9"/>
    </row>
    <row r="890801" spans="15:15" x14ac:dyDescent="0.25">
      <c r="O890801" s="9"/>
    </row>
    <row r="890822" spans="15:15" x14ac:dyDescent="0.25">
      <c r="O890822" s="9"/>
    </row>
    <row r="890843" spans="15:15" x14ac:dyDescent="0.25">
      <c r="O890843" s="9"/>
    </row>
    <row r="890864" spans="15:15" x14ac:dyDescent="0.25">
      <c r="O890864" s="9"/>
    </row>
    <row r="890885" spans="15:15" x14ac:dyDescent="0.25">
      <c r="O890885" s="9"/>
    </row>
    <row r="890906" spans="15:15" x14ac:dyDescent="0.25">
      <c r="O890906" s="9"/>
    </row>
    <row r="890927" spans="15:15" x14ac:dyDescent="0.25">
      <c r="O890927" s="9"/>
    </row>
    <row r="890948" spans="15:15" x14ac:dyDescent="0.25">
      <c r="O890948" s="9"/>
    </row>
    <row r="890969" spans="15:15" x14ac:dyDescent="0.25">
      <c r="O890969" s="9"/>
    </row>
    <row r="890990" spans="15:15" x14ac:dyDescent="0.25">
      <c r="O890990" s="9"/>
    </row>
    <row r="891011" spans="15:15" x14ac:dyDescent="0.25">
      <c r="O891011" s="9"/>
    </row>
    <row r="891032" spans="15:15" x14ac:dyDescent="0.25">
      <c r="O891032" s="9"/>
    </row>
    <row r="891053" spans="15:15" x14ac:dyDescent="0.25">
      <c r="O891053" s="9"/>
    </row>
    <row r="891074" spans="15:15" x14ac:dyDescent="0.25">
      <c r="O891074" s="9"/>
    </row>
    <row r="891095" spans="15:15" x14ac:dyDescent="0.25">
      <c r="O891095" s="9"/>
    </row>
    <row r="891116" spans="15:15" x14ac:dyDescent="0.25">
      <c r="O891116" s="9"/>
    </row>
    <row r="891137" spans="15:15" x14ac:dyDescent="0.25">
      <c r="O891137" s="9"/>
    </row>
    <row r="891158" spans="15:15" x14ac:dyDescent="0.25">
      <c r="O891158" s="9"/>
    </row>
    <row r="891179" spans="15:15" x14ac:dyDescent="0.25">
      <c r="O891179" s="9"/>
    </row>
    <row r="891200" spans="15:15" x14ac:dyDescent="0.25">
      <c r="O891200" s="9"/>
    </row>
    <row r="891221" spans="15:15" x14ac:dyDescent="0.25">
      <c r="O891221" s="9"/>
    </row>
    <row r="891242" spans="15:15" x14ac:dyDescent="0.25">
      <c r="O891242" s="9"/>
    </row>
    <row r="891263" spans="15:15" x14ac:dyDescent="0.25">
      <c r="O891263" s="9"/>
    </row>
    <row r="891284" spans="15:15" x14ac:dyDescent="0.25">
      <c r="O891284" s="9"/>
    </row>
    <row r="891305" spans="15:15" x14ac:dyDescent="0.25">
      <c r="O891305" s="9"/>
    </row>
    <row r="891326" spans="15:15" x14ac:dyDescent="0.25">
      <c r="O891326" s="9"/>
    </row>
    <row r="891347" spans="15:15" x14ac:dyDescent="0.25">
      <c r="O891347" s="9"/>
    </row>
    <row r="891368" spans="15:15" x14ac:dyDescent="0.25">
      <c r="O891368" s="9"/>
    </row>
    <row r="891389" spans="15:15" x14ac:dyDescent="0.25">
      <c r="O891389" s="9"/>
    </row>
    <row r="891410" spans="15:15" x14ac:dyDescent="0.25">
      <c r="O891410" s="9"/>
    </row>
    <row r="891431" spans="15:15" x14ac:dyDescent="0.25">
      <c r="O891431" s="9"/>
    </row>
    <row r="891452" spans="15:15" x14ac:dyDescent="0.25">
      <c r="O891452" s="9"/>
    </row>
    <row r="891473" spans="15:15" x14ac:dyDescent="0.25">
      <c r="O891473" s="9"/>
    </row>
    <row r="891494" spans="15:15" x14ac:dyDescent="0.25">
      <c r="O891494" s="9"/>
    </row>
    <row r="891515" spans="15:15" x14ac:dyDescent="0.25">
      <c r="O891515" s="9"/>
    </row>
    <row r="891536" spans="15:15" x14ac:dyDescent="0.25">
      <c r="O891536" s="9"/>
    </row>
    <row r="891557" spans="15:15" x14ac:dyDescent="0.25">
      <c r="O891557" s="9"/>
    </row>
    <row r="891578" spans="15:15" x14ac:dyDescent="0.25">
      <c r="O891578" s="9"/>
    </row>
    <row r="891599" spans="15:15" x14ac:dyDescent="0.25">
      <c r="O891599" s="9"/>
    </row>
    <row r="891620" spans="15:15" x14ac:dyDescent="0.25">
      <c r="O891620" s="9"/>
    </row>
    <row r="891641" spans="15:15" x14ac:dyDescent="0.25">
      <c r="O891641" s="9"/>
    </row>
    <row r="891662" spans="15:15" x14ac:dyDescent="0.25">
      <c r="O891662" s="9"/>
    </row>
    <row r="891683" spans="15:15" x14ac:dyDescent="0.25">
      <c r="O891683" s="9"/>
    </row>
    <row r="891704" spans="15:15" x14ac:dyDescent="0.25">
      <c r="O891704" s="9"/>
    </row>
    <row r="891725" spans="15:15" x14ac:dyDescent="0.25">
      <c r="O891725" s="9"/>
    </row>
    <row r="891746" spans="15:15" x14ac:dyDescent="0.25">
      <c r="O891746" s="9"/>
    </row>
    <row r="891767" spans="15:15" x14ac:dyDescent="0.25">
      <c r="O891767" s="9"/>
    </row>
    <row r="891788" spans="15:15" x14ac:dyDescent="0.25">
      <c r="O891788" s="9"/>
    </row>
    <row r="891809" spans="15:15" x14ac:dyDescent="0.25">
      <c r="O891809" s="9"/>
    </row>
    <row r="891830" spans="15:15" x14ac:dyDescent="0.25">
      <c r="O891830" s="9"/>
    </row>
    <row r="891851" spans="15:15" x14ac:dyDescent="0.25">
      <c r="O891851" s="9"/>
    </row>
    <row r="891872" spans="15:15" x14ac:dyDescent="0.25">
      <c r="O891872" s="9"/>
    </row>
    <row r="891893" spans="15:15" x14ac:dyDescent="0.25">
      <c r="O891893" s="9"/>
    </row>
    <row r="891914" spans="15:15" x14ac:dyDescent="0.25">
      <c r="O891914" s="9"/>
    </row>
    <row r="891935" spans="15:15" x14ac:dyDescent="0.25">
      <c r="O891935" s="9"/>
    </row>
    <row r="891956" spans="15:15" x14ac:dyDescent="0.25">
      <c r="O891956" s="9"/>
    </row>
    <row r="891977" spans="15:15" x14ac:dyDescent="0.25">
      <c r="O891977" s="9"/>
    </row>
    <row r="891998" spans="15:15" x14ac:dyDescent="0.25">
      <c r="O891998" s="9"/>
    </row>
    <row r="892019" spans="15:15" x14ac:dyDescent="0.25">
      <c r="O892019" s="9"/>
    </row>
    <row r="892040" spans="15:15" x14ac:dyDescent="0.25">
      <c r="O892040" s="9"/>
    </row>
    <row r="892061" spans="15:15" x14ac:dyDescent="0.25">
      <c r="O892061" s="9"/>
    </row>
    <row r="892082" spans="15:15" x14ac:dyDescent="0.25">
      <c r="O892082" s="9"/>
    </row>
    <row r="892103" spans="15:15" x14ac:dyDescent="0.25">
      <c r="O892103" s="9"/>
    </row>
    <row r="892124" spans="15:15" x14ac:dyDescent="0.25">
      <c r="O892124" s="9"/>
    </row>
    <row r="892145" spans="15:15" x14ac:dyDescent="0.25">
      <c r="O892145" s="9"/>
    </row>
    <row r="892166" spans="15:15" x14ac:dyDescent="0.25">
      <c r="O892166" s="9"/>
    </row>
    <row r="892187" spans="15:15" x14ac:dyDescent="0.25">
      <c r="O892187" s="9"/>
    </row>
    <row r="892208" spans="15:15" x14ac:dyDescent="0.25">
      <c r="O892208" s="9"/>
    </row>
    <row r="892229" spans="15:15" x14ac:dyDescent="0.25">
      <c r="O892229" s="9"/>
    </row>
    <row r="892250" spans="15:15" x14ac:dyDescent="0.25">
      <c r="O892250" s="9"/>
    </row>
    <row r="892271" spans="15:15" x14ac:dyDescent="0.25">
      <c r="O892271" s="9"/>
    </row>
    <row r="892292" spans="15:15" x14ac:dyDescent="0.25">
      <c r="O892292" s="9"/>
    </row>
    <row r="892313" spans="15:15" x14ac:dyDescent="0.25">
      <c r="O892313" s="9"/>
    </row>
    <row r="892334" spans="15:15" x14ac:dyDescent="0.25">
      <c r="O892334" s="9"/>
    </row>
    <row r="892355" spans="15:15" x14ac:dyDescent="0.25">
      <c r="O892355" s="9"/>
    </row>
    <row r="892376" spans="15:15" x14ac:dyDescent="0.25">
      <c r="O892376" s="9"/>
    </row>
    <row r="892397" spans="15:15" x14ac:dyDescent="0.25">
      <c r="O892397" s="9"/>
    </row>
    <row r="892418" spans="15:15" x14ac:dyDescent="0.25">
      <c r="O892418" s="9"/>
    </row>
    <row r="892439" spans="15:15" x14ac:dyDescent="0.25">
      <c r="O892439" s="9"/>
    </row>
    <row r="892460" spans="15:15" x14ac:dyDescent="0.25">
      <c r="O892460" s="9"/>
    </row>
    <row r="892481" spans="15:15" x14ac:dyDescent="0.25">
      <c r="O892481" s="9"/>
    </row>
    <row r="892502" spans="15:15" x14ac:dyDescent="0.25">
      <c r="O892502" s="9"/>
    </row>
    <row r="892523" spans="15:15" x14ac:dyDescent="0.25">
      <c r="O892523" s="9"/>
    </row>
    <row r="892544" spans="15:15" x14ac:dyDescent="0.25">
      <c r="O892544" s="9"/>
    </row>
    <row r="892565" spans="15:15" x14ac:dyDescent="0.25">
      <c r="O892565" s="9"/>
    </row>
    <row r="892586" spans="15:15" x14ac:dyDescent="0.25">
      <c r="O892586" s="9"/>
    </row>
    <row r="892607" spans="15:15" x14ac:dyDescent="0.25">
      <c r="O892607" s="9"/>
    </row>
    <row r="892628" spans="15:15" x14ac:dyDescent="0.25">
      <c r="O892628" s="9"/>
    </row>
    <row r="892649" spans="15:15" x14ac:dyDescent="0.25">
      <c r="O892649" s="9"/>
    </row>
    <row r="892670" spans="15:15" x14ac:dyDescent="0.25">
      <c r="O892670" s="9"/>
    </row>
    <row r="892691" spans="15:15" x14ac:dyDescent="0.25">
      <c r="O892691" s="9"/>
    </row>
    <row r="892712" spans="15:15" x14ac:dyDescent="0.25">
      <c r="O892712" s="9"/>
    </row>
    <row r="892733" spans="15:15" x14ac:dyDescent="0.25">
      <c r="O892733" s="9"/>
    </row>
    <row r="892754" spans="15:15" x14ac:dyDescent="0.25">
      <c r="O892754" s="9"/>
    </row>
    <row r="892775" spans="15:15" x14ac:dyDescent="0.25">
      <c r="O892775" s="9"/>
    </row>
    <row r="892796" spans="15:15" x14ac:dyDescent="0.25">
      <c r="O892796" s="9"/>
    </row>
    <row r="892817" spans="15:15" x14ac:dyDescent="0.25">
      <c r="O892817" s="9"/>
    </row>
    <row r="892838" spans="15:15" x14ac:dyDescent="0.25">
      <c r="O892838" s="9"/>
    </row>
    <row r="892859" spans="15:15" x14ac:dyDescent="0.25">
      <c r="O892859" s="9"/>
    </row>
    <row r="892880" spans="15:15" x14ac:dyDescent="0.25">
      <c r="O892880" s="9"/>
    </row>
    <row r="892901" spans="15:15" x14ac:dyDescent="0.25">
      <c r="O892901" s="9"/>
    </row>
    <row r="892922" spans="15:15" x14ac:dyDescent="0.25">
      <c r="O892922" s="9"/>
    </row>
    <row r="892943" spans="15:15" x14ac:dyDescent="0.25">
      <c r="O892943" s="9"/>
    </row>
    <row r="892964" spans="15:15" x14ac:dyDescent="0.25">
      <c r="O892964" s="9"/>
    </row>
    <row r="892985" spans="15:15" x14ac:dyDescent="0.25">
      <c r="O892985" s="9"/>
    </row>
    <row r="893006" spans="15:15" x14ac:dyDescent="0.25">
      <c r="O893006" s="9"/>
    </row>
    <row r="893027" spans="15:15" x14ac:dyDescent="0.25">
      <c r="O893027" s="9"/>
    </row>
    <row r="893048" spans="15:15" x14ac:dyDescent="0.25">
      <c r="O893048" s="9"/>
    </row>
    <row r="893069" spans="15:15" x14ac:dyDescent="0.25">
      <c r="O893069" s="9"/>
    </row>
    <row r="893090" spans="15:15" x14ac:dyDescent="0.25">
      <c r="O893090" s="9"/>
    </row>
    <row r="893111" spans="15:15" x14ac:dyDescent="0.25">
      <c r="O893111" s="9"/>
    </row>
    <row r="893132" spans="15:15" x14ac:dyDescent="0.25">
      <c r="O893132" s="9"/>
    </row>
    <row r="893153" spans="15:15" x14ac:dyDescent="0.25">
      <c r="O893153" s="9"/>
    </row>
    <row r="893174" spans="15:15" x14ac:dyDescent="0.25">
      <c r="O893174" s="9"/>
    </row>
    <row r="893195" spans="15:15" x14ac:dyDescent="0.25">
      <c r="O893195" s="9"/>
    </row>
    <row r="893216" spans="15:15" x14ac:dyDescent="0.25">
      <c r="O893216" s="9"/>
    </row>
    <row r="893237" spans="15:15" x14ac:dyDescent="0.25">
      <c r="O893237" s="9"/>
    </row>
    <row r="893258" spans="15:15" x14ac:dyDescent="0.25">
      <c r="O893258" s="9"/>
    </row>
    <row r="893279" spans="15:15" x14ac:dyDescent="0.25">
      <c r="O893279" s="9"/>
    </row>
    <row r="893300" spans="15:15" x14ac:dyDescent="0.25">
      <c r="O893300" s="9"/>
    </row>
    <row r="893321" spans="15:15" x14ac:dyDescent="0.25">
      <c r="O893321" s="9"/>
    </row>
    <row r="893342" spans="15:15" x14ac:dyDescent="0.25">
      <c r="O893342" s="9"/>
    </row>
    <row r="893363" spans="15:15" x14ac:dyDescent="0.25">
      <c r="O893363" s="9"/>
    </row>
    <row r="893384" spans="15:15" x14ac:dyDescent="0.25">
      <c r="O893384" s="9"/>
    </row>
    <row r="893405" spans="15:15" x14ac:dyDescent="0.25">
      <c r="O893405" s="9"/>
    </row>
    <row r="893426" spans="15:15" x14ac:dyDescent="0.25">
      <c r="O893426" s="9"/>
    </row>
    <row r="893447" spans="15:15" x14ac:dyDescent="0.25">
      <c r="O893447" s="9"/>
    </row>
    <row r="893468" spans="15:15" x14ac:dyDescent="0.25">
      <c r="O893468" s="9"/>
    </row>
    <row r="893489" spans="15:15" x14ac:dyDescent="0.25">
      <c r="O893489" s="9"/>
    </row>
    <row r="893510" spans="15:15" x14ac:dyDescent="0.25">
      <c r="O893510" s="9"/>
    </row>
    <row r="893531" spans="15:15" x14ac:dyDescent="0.25">
      <c r="O893531" s="9"/>
    </row>
    <row r="893552" spans="15:15" x14ac:dyDescent="0.25">
      <c r="O893552" s="9"/>
    </row>
    <row r="893573" spans="15:15" x14ac:dyDescent="0.25">
      <c r="O893573" s="9"/>
    </row>
    <row r="893594" spans="15:15" x14ac:dyDescent="0.25">
      <c r="O893594" s="9"/>
    </row>
    <row r="893615" spans="15:15" x14ac:dyDescent="0.25">
      <c r="O893615" s="9"/>
    </row>
    <row r="893636" spans="15:15" x14ac:dyDescent="0.25">
      <c r="O893636" s="9"/>
    </row>
    <row r="893657" spans="15:15" x14ac:dyDescent="0.25">
      <c r="O893657" s="9"/>
    </row>
    <row r="893678" spans="15:15" x14ac:dyDescent="0.25">
      <c r="O893678" s="9"/>
    </row>
    <row r="893699" spans="15:15" x14ac:dyDescent="0.25">
      <c r="O893699" s="9"/>
    </row>
    <row r="893720" spans="15:15" x14ac:dyDescent="0.25">
      <c r="O893720" s="9"/>
    </row>
    <row r="893741" spans="15:15" x14ac:dyDescent="0.25">
      <c r="O893741" s="9"/>
    </row>
    <row r="893762" spans="15:15" x14ac:dyDescent="0.25">
      <c r="O893762" s="9"/>
    </row>
    <row r="893783" spans="15:15" x14ac:dyDescent="0.25">
      <c r="O893783" s="9"/>
    </row>
    <row r="893804" spans="15:15" x14ac:dyDescent="0.25">
      <c r="O893804" s="9"/>
    </row>
    <row r="893825" spans="15:15" x14ac:dyDescent="0.25">
      <c r="O893825" s="9"/>
    </row>
    <row r="893846" spans="15:15" x14ac:dyDescent="0.25">
      <c r="O893846" s="9"/>
    </row>
    <row r="893867" spans="15:15" x14ac:dyDescent="0.25">
      <c r="O893867" s="9"/>
    </row>
    <row r="893888" spans="15:15" x14ac:dyDescent="0.25">
      <c r="O893888" s="9"/>
    </row>
    <row r="893909" spans="15:15" x14ac:dyDescent="0.25">
      <c r="O893909" s="9"/>
    </row>
    <row r="893930" spans="15:15" x14ac:dyDescent="0.25">
      <c r="O893930" s="9"/>
    </row>
    <row r="893951" spans="15:15" x14ac:dyDescent="0.25">
      <c r="O893951" s="9"/>
    </row>
    <row r="893972" spans="15:15" x14ac:dyDescent="0.25">
      <c r="O893972" s="9"/>
    </row>
    <row r="893993" spans="15:15" x14ac:dyDescent="0.25">
      <c r="O893993" s="9"/>
    </row>
    <row r="894014" spans="15:15" x14ac:dyDescent="0.25">
      <c r="O894014" s="9"/>
    </row>
    <row r="894035" spans="15:15" x14ac:dyDescent="0.25">
      <c r="O894035" s="9"/>
    </row>
    <row r="894056" spans="15:15" x14ac:dyDescent="0.25">
      <c r="O894056" s="9"/>
    </row>
    <row r="894077" spans="15:15" x14ac:dyDescent="0.25">
      <c r="O894077" s="9"/>
    </row>
    <row r="894098" spans="15:15" x14ac:dyDescent="0.25">
      <c r="O894098" s="9"/>
    </row>
    <row r="894119" spans="15:15" x14ac:dyDescent="0.25">
      <c r="O894119" s="9"/>
    </row>
    <row r="894140" spans="15:15" x14ac:dyDescent="0.25">
      <c r="O894140" s="9"/>
    </row>
    <row r="894161" spans="15:15" x14ac:dyDescent="0.25">
      <c r="O894161" s="9"/>
    </row>
    <row r="894182" spans="15:15" x14ac:dyDescent="0.25">
      <c r="O894182" s="9"/>
    </row>
    <row r="894203" spans="15:15" x14ac:dyDescent="0.25">
      <c r="O894203" s="9"/>
    </row>
    <row r="894224" spans="15:15" x14ac:dyDescent="0.25">
      <c r="O894224" s="9"/>
    </row>
    <row r="894245" spans="15:15" x14ac:dyDescent="0.25">
      <c r="O894245" s="9"/>
    </row>
    <row r="894266" spans="15:15" x14ac:dyDescent="0.25">
      <c r="O894266" s="9"/>
    </row>
    <row r="894287" spans="15:15" x14ac:dyDescent="0.25">
      <c r="O894287" s="9"/>
    </row>
    <row r="894308" spans="15:15" x14ac:dyDescent="0.25">
      <c r="O894308" s="9"/>
    </row>
    <row r="894329" spans="15:15" x14ac:dyDescent="0.25">
      <c r="O894329" s="9"/>
    </row>
    <row r="894350" spans="15:15" x14ac:dyDescent="0.25">
      <c r="O894350" s="9"/>
    </row>
    <row r="894371" spans="15:15" x14ac:dyDescent="0.25">
      <c r="O894371" s="9"/>
    </row>
    <row r="894392" spans="15:15" x14ac:dyDescent="0.25">
      <c r="O894392" s="9"/>
    </row>
    <row r="894413" spans="15:15" x14ac:dyDescent="0.25">
      <c r="O894413" s="9"/>
    </row>
    <row r="894434" spans="15:15" x14ac:dyDescent="0.25">
      <c r="O894434" s="9"/>
    </row>
    <row r="894455" spans="15:15" x14ac:dyDescent="0.25">
      <c r="O894455" s="9"/>
    </row>
    <row r="894476" spans="15:15" x14ac:dyDescent="0.25">
      <c r="O894476" s="9"/>
    </row>
    <row r="894497" spans="15:15" x14ac:dyDescent="0.25">
      <c r="O894497" s="9"/>
    </row>
    <row r="894518" spans="15:15" x14ac:dyDescent="0.25">
      <c r="O894518" s="9"/>
    </row>
    <row r="894539" spans="15:15" x14ac:dyDescent="0.25">
      <c r="O894539" s="9"/>
    </row>
    <row r="894560" spans="15:15" x14ac:dyDescent="0.25">
      <c r="O894560" s="9"/>
    </row>
    <row r="894581" spans="15:15" x14ac:dyDescent="0.25">
      <c r="O894581" s="9"/>
    </row>
    <row r="894602" spans="15:15" x14ac:dyDescent="0.25">
      <c r="O894602" s="9"/>
    </row>
    <row r="894623" spans="15:15" x14ac:dyDescent="0.25">
      <c r="O894623" s="9"/>
    </row>
    <row r="894644" spans="15:15" x14ac:dyDescent="0.25">
      <c r="O894644" s="9"/>
    </row>
    <row r="894665" spans="15:15" x14ac:dyDescent="0.25">
      <c r="O894665" s="9"/>
    </row>
    <row r="894686" spans="15:15" x14ac:dyDescent="0.25">
      <c r="O894686" s="9"/>
    </row>
    <row r="894707" spans="15:15" x14ac:dyDescent="0.25">
      <c r="O894707" s="9"/>
    </row>
    <row r="894728" spans="15:15" x14ac:dyDescent="0.25">
      <c r="O894728" s="9"/>
    </row>
    <row r="894749" spans="15:15" x14ac:dyDescent="0.25">
      <c r="O894749" s="9"/>
    </row>
    <row r="894770" spans="15:15" x14ac:dyDescent="0.25">
      <c r="O894770" s="9"/>
    </row>
    <row r="894791" spans="15:15" x14ac:dyDescent="0.25">
      <c r="O894791" s="9"/>
    </row>
    <row r="894812" spans="15:15" x14ac:dyDescent="0.25">
      <c r="O894812" s="9"/>
    </row>
    <row r="894833" spans="15:15" x14ac:dyDescent="0.25">
      <c r="O894833" s="9"/>
    </row>
    <row r="894854" spans="15:15" x14ac:dyDescent="0.25">
      <c r="O894854" s="9"/>
    </row>
    <row r="894875" spans="15:15" x14ac:dyDescent="0.25">
      <c r="O894875" s="9"/>
    </row>
    <row r="894896" spans="15:15" x14ac:dyDescent="0.25">
      <c r="O894896" s="9"/>
    </row>
    <row r="894917" spans="15:15" x14ac:dyDescent="0.25">
      <c r="O894917" s="9"/>
    </row>
    <row r="894938" spans="15:15" x14ac:dyDescent="0.25">
      <c r="O894938" s="9"/>
    </row>
    <row r="894959" spans="15:15" x14ac:dyDescent="0.25">
      <c r="O894959" s="9"/>
    </row>
    <row r="894980" spans="15:15" x14ac:dyDescent="0.25">
      <c r="O894980" s="9"/>
    </row>
    <row r="895001" spans="15:15" x14ac:dyDescent="0.25">
      <c r="O895001" s="9"/>
    </row>
    <row r="895022" spans="15:15" x14ac:dyDescent="0.25">
      <c r="O895022" s="9"/>
    </row>
    <row r="895043" spans="15:15" x14ac:dyDescent="0.25">
      <c r="O895043" s="9"/>
    </row>
    <row r="895064" spans="15:15" x14ac:dyDescent="0.25">
      <c r="O895064" s="9"/>
    </row>
    <row r="895085" spans="15:15" x14ac:dyDescent="0.25">
      <c r="O895085" s="9"/>
    </row>
    <row r="895106" spans="15:15" x14ac:dyDescent="0.25">
      <c r="O895106" s="9"/>
    </row>
    <row r="895127" spans="15:15" x14ac:dyDescent="0.25">
      <c r="O895127" s="9"/>
    </row>
    <row r="895148" spans="15:15" x14ac:dyDescent="0.25">
      <c r="O895148" s="9"/>
    </row>
    <row r="895169" spans="15:15" x14ac:dyDescent="0.25">
      <c r="O895169" s="9"/>
    </row>
    <row r="895190" spans="15:15" x14ac:dyDescent="0.25">
      <c r="O895190" s="9"/>
    </row>
    <row r="895211" spans="15:15" x14ac:dyDescent="0.25">
      <c r="O895211" s="9"/>
    </row>
    <row r="895232" spans="15:15" x14ac:dyDescent="0.25">
      <c r="O895232" s="9"/>
    </row>
    <row r="895253" spans="15:15" x14ac:dyDescent="0.25">
      <c r="O895253" s="9"/>
    </row>
    <row r="895274" spans="15:15" x14ac:dyDescent="0.25">
      <c r="O895274" s="9"/>
    </row>
    <row r="895295" spans="15:15" x14ac:dyDescent="0.25">
      <c r="O895295" s="9"/>
    </row>
    <row r="895316" spans="15:15" x14ac:dyDescent="0.25">
      <c r="O895316" s="9"/>
    </row>
    <row r="895337" spans="15:15" x14ac:dyDescent="0.25">
      <c r="O895337" s="9"/>
    </row>
    <row r="895358" spans="15:15" x14ac:dyDescent="0.25">
      <c r="O895358" s="9"/>
    </row>
    <row r="895379" spans="15:15" x14ac:dyDescent="0.25">
      <c r="O895379" s="9"/>
    </row>
    <row r="895400" spans="15:15" x14ac:dyDescent="0.25">
      <c r="O895400" s="9"/>
    </row>
    <row r="895421" spans="15:15" x14ac:dyDescent="0.25">
      <c r="O895421" s="9"/>
    </row>
    <row r="895442" spans="15:15" x14ac:dyDescent="0.25">
      <c r="O895442" s="9"/>
    </row>
    <row r="895463" spans="15:15" x14ac:dyDescent="0.25">
      <c r="O895463" s="9"/>
    </row>
    <row r="895484" spans="15:15" x14ac:dyDescent="0.25">
      <c r="O895484" s="9"/>
    </row>
    <row r="895505" spans="15:15" x14ac:dyDescent="0.25">
      <c r="O895505" s="9"/>
    </row>
    <row r="895526" spans="15:15" x14ac:dyDescent="0.25">
      <c r="O895526" s="9"/>
    </row>
    <row r="895547" spans="15:15" x14ac:dyDescent="0.25">
      <c r="O895547" s="9"/>
    </row>
    <row r="895568" spans="15:15" x14ac:dyDescent="0.25">
      <c r="O895568" s="9"/>
    </row>
    <row r="895589" spans="15:15" x14ac:dyDescent="0.25">
      <c r="O895589" s="9"/>
    </row>
    <row r="895610" spans="15:15" x14ac:dyDescent="0.25">
      <c r="O895610" s="9"/>
    </row>
    <row r="895631" spans="15:15" x14ac:dyDescent="0.25">
      <c r="O895631" s="9"/>
    </row>
    <row r="895652" spans="15:15" x14ac:dyDescent="0.25">
      <c r="O895652" s="9"/>
    </row>
    <row r="895673" spans="15:15" x14ac:dyDescent="0.25">
      <c r="O895673" s="9"/>
    </row>
    <row r="895694" spans="15:15" x14ac:dyDescent="0.25">
      <c r="O895694" s="9"/>
    </row>
    <row r="895715" spans="15:15" x14ac:dyDescent="0.25">
      <c r="O895715" s="9"/>
    </row>
    <row r="895736" spans="15:15" x14ac:dyDescent="0.25">
      <c r="O895736" s="9"/>
    </row>
    <row r="895757" spans="15:15" x14ac:dyDescent="0.25">
      <c r="O895757" s="9"/>
    </row>
    <row r="895778" spans="15:15" x14ac:dyDescent="0.25">
      <c r="O895778" s="9"/>
    </row>
    <row r="895799" spans="15:15" x14ac:dyDescent="0.25">
      <c r="O895799" s="9"/>
    </row>
    <row r="895820" spans="15:15" x14ac:dyDescent="0.25">
      <c r="O895820" s="9"/>
    </row>
    <row r="895841" spans="15:15" x14ac:dyDescent="0.25">
      <c r="O895841" s="9"/>
    </row>
    <row r="895862" spans="15:15" x14ac:dyDescent="0.25">
      <c r="O895862" s="9"/>
    </row>
    <row r="895883" spans="15:15" x14ac:dyDescent="0.25">
      <c r="O895883" s="9"/>
    </row>
    <row r="895904" spans="15:15" x14ac:dyDescent="0.25">
      <c r="O895904" s="9"/>
    </row>
    <row r="895925" spans="15:15" x14ac:dyDescent="0.25">
      <c r="O895925" s="9"/>
    </row>
    <row r="895946" spans="15:15" x14ac:dyDescent="0.25">
      <c r="O895946" s="9"/>
    </row>
    <row r="895967" spans="15:15" x14ac:dyDescent="0.25">
      <c r="O895967" s="9"/>
    </row>
    <row r="895988" spans="15:15" x14ac:dyDescent="0.25">
      <c r="O895988" s="9"/>
    </row>
    <row r="896009" spans="15:15" x14ac:dyDescent="0.25">
      <c r="O896009" s="9"/>
    </row>
    <row r="896030" spans="15:15" x14ac:dyDescent="0.25">
      <c r="O896030" s="9"/>
    </row>
    <row r="896051" spans="15:15" x14ac:dyDescent="0.25">
      <c r="O896051" s="9"/>
    </row>
    <row r="896072" spans="15:15" x14ac:dyDescent="0.25">
      <c r="O896072" s="9"/>
    </row>
    <row r="896093" spans="15:15" x14ac:dyDescent="0.25">
      <c r="O896093" s="9"/>
    </row>
    <row r="896114" spans="15:15" x14ac:dyDescent="0.25">
      <c r="O896114" s="9"/>
    </row>
    <row r="896135" spans="15:15" x14ac:dyDescent="0.25">
      <c r="O896135" s="9"/>
    </row>
    <row r="896156" spans="15:15" x14ac:dyDescent="0.25">
      <c r="O896156" s="9"/>
    </row>
    <row r="896177" spans="15:15" x14ac:dyDescent="0.25">
      <c r="O896177" s="9"/>
    </row>
    <row r="896198" spans="15:15" x14ac:dyDescent="0.25">
      <c r="O896198" s="9"/>
    </row>
    <row r="896219" spans="15:15" x14ac:dyDescent="0.25">
      <c r="O896219" s="9"/>
    </row>
    <row r="896240" spans="15:15" x14ac:dyDescent="0.25">
      <c r="O896240" s="9"/>
    </row>
    <row r="896261" spans="15:15" x14ac:dyDescent="0.25">
      <c r="O896261" s="9"/>
    </row>
    <row r="896282" spans="15:15" x14ac:dyDescent="0.25">
      <c r="O896282" s="9"/>
    </row>
    <row r="896303" spans="15:15" x14ac:dyDescent="0.25">
      <c r="O896303" s="9"/>
    </row>
    <row r="896324" spans="15:15" x14ac:dyDescent="0.25">
      <c r="O896324" s="9"/>
    </row>
    <row r="896345" spans="15:15" x14ac:dyDescent="0.25">
      <c r="O896345" s="9"/>
    </row>
    <row r="896366" spans="15:15" x14ac:dyDescent="0.25">
      <c r="O896366" s="9"/>
    </row>
    <row r="896387" spans="15:15" x14ac:dyDescent="0.25">
      <c r="O896387" s="9"/>
    </row>
    <row r="896408" spans="15:15" x14ac:dyDescent="0.25">
      <c r="O896408" s="9"/>
    </row>
    <row r="896429" spans="15:15" x14ac:dyDescent="0.25">
      <c r="O896429" s="9"/>
    </row>
    <row r="896450" spans="15:15" x14ac:dyDescent="0.25">
      <c r="O896450" s="9"/>
    </row>
    <row r="896471" spans="15:15" x14ac:dyDescent="0.25">
      <c r="O896471" s="9"/>
    </row>
    <row r="896492" spans="15:15" x14ac:dyDescent="0.25">
      <c r="O896492" s="9"/>
    </row>
    <row r="896513" spans="15:15" x14ac:dyDescent="0.25">
      <c r="O896513" s="9"/>
    </row>
    <row r="896534" spans="15:15" x14ac:dyDescent="0.25">
      <c r="O896534" s="9"/>
    </row>
    <row r="896555" spans="15:15" x14ac:dyDescent="0.25">
      <c r="O896555" s="9"/>
    </row>
    <row r="896576" spans="15:15" x14ac:dyDescent="0.25">
      <c r="O896576" s="9"/>
    </row>
    <row r="896597" spans="15:15" x14ac:dyDescent="0.25">
      <c r="O896597" s="9"/>
    </row>
    <row r="896618" spans="15:15" x14ac:dyDescent="0.25">
      <c r="O896618" s="9"/>
    </row>
    <row r="896639" spans="15:15" x14ac:dyDescent="0.25">
      <c r="O896639" s="9"/>
    </row>
    <row r="896660" spans="15:15" x14ac:dyDescent="0.25">
      <c r="O896660" s="9"/>
    </row>
    <row r="896681" spans="15:15" x14ac:dyDescent="0.25">
      <c r="O896681" s="9"/>
    </row>
    <row r="896702" spans="15:15" x14ac:dyDescent="0.25">
      <c r="O896702" s="9"/>
    </row>
    <row r="896723" spans="15:15" x14ac:dyDescent="0.25">
      <c r="O896723" s="9"/>
    </row>
    <row r="896744" spans="15:15" x14ac:dyDescent="0.25">
      <c r="O896744" s="9"/>
    </row>
    <row r="896765" spans="15:15" x14ac:dyDescent="0.25">
      <c r="O896765" s="9"/>
    </row>
    <row r="896786" spans="15:15" x14ac:dyDescent="0.25">
      <c r="O896786" s="9"/>
    </row>
    <row r="896807" spans="15:15" x14ac:dyDescent="0.25">
      <c r="O896807" s="9"/>
    </row>
    <row r="896828" spans="15:15" x14ac:dyDescent="0.25">
      <c r="O896828" s="9"/>
    </row>
    <row r="896849" spans="15:15" x14ac:dyDescent="0.25">
      <c r="O896849" s="9"/>
    </row>
    <row r="896870" spans="15:15" x14ac:dyDescent="0.25">
      <c r="O896870" s="9"/>
    </row>
    <row r="896891" spans="15:15" x14ac:dyDescent="0.25">
      <c r="O896891" s="9"/>
    </row>
    <row r="896912" spans="15:15" x14ac:dyDescent="0.25">
      <c r="O896912" s="9"/>
    </row>
    <row r="896933" spans="15:15" x14ac:dyDescent="0.25">
      <c r="O896933" s="9"/>
    </row>
    <row r="896954" spans="15:15" x14ac:dyDescent="0.25">
      <c r="O896954" s="9"/>
    </row>
    <row r="896975" spans="15:15" x14ac:dyDescent="0.25">
      <c r="O896975" s="9"/>
    </row>
    <row r="896996" spans="15:15" x14ac:dyDescent="0.25">
      <c r="O896996" s="9"/>
    </row>
    <row r="897017" spans="15:15" x14ac:dyDescent="0.25">
      <c r="O897017" s="9"/>
    </row>
    <row r="897038" spans="15:15" x14ac:dyDescent="0.25">
      <c r="O897038" s="9"/>
    </row>
    <row r="897059" spans="15:15" x14ac:dyDescent="0.25">
      <c r="O897059" s="9"/>
    </row>
    <row r="897080" spans="15:15" x14ac:dyDescent="0.25">
      <c r="O897080" s="9"/>
    </row>
    <row r="897101" spans="15:15" x14ac:dyDescent="0.25">
      <c r="O897101" s="9"/>
    </row>
    <row r="897122" spans="15:15" x14ac:dyDescent="0.25">
      <c r="O897122" s="9"/>
    </row>
    <row r="897143" spans="15:15" x14ac:dyDescent="0.25">
      <c r="O897143" s="9"/>
    </row>
    <row r="897164" spans="15:15" x14ac:dyDescent="0.25">
      <c r="O897164" s="9"/>
    </row>
    <row r="897185" spans="15:15" x14ac:dyDescent="0.25">
      <c r="O897185" s="9"/>
    </row>
    <row r="897206" spans="15:15" x14ac:dyDescent="0.25">
      <c r="O897206" s="9"/>
    </row>
    <row r="897227" spans="15:15" x14ac:dyDescent="0.25">
      <c r="O897227" s="9"/>
    </row>
    <row r="897248" spans="15:15" x14ac:dyDescent="0.25">
      <c r="O897248" s="9"/>
    </row>
    <row r="897269" spans="15:15" x14ac:dyDescent="0.25">
      <c r="O897269" s="9"/>
    </row>
    <row r="897290" spans="15:15" x14ac:dyDescent="0.25">
      <c r="O897290" s="9"/>
    </row>
    <row r="897311" spans="15:15" x14ac:dyDescent="0.25">
      <c r="O897311" s="9"/>
    </row>
    <row r="897332" spans="15:15" x14ac:dyDescent="0.25">
      <c r="O897332" s="9"/>
    </row>
    <row r="897353" spans="15:15" x14ac:dyDescent="0.25">
      <c r="O897353" s="9"/>
    </row>
    <row r="897374" spans="15:15" x14ac:dyDescent="0.25">
      <c r="O897374" s="9"/>
    </row>
    <row r="897395" spans="15:15" x14ac:dyDescent="0.25">
      <c r="O897395" s="9"/>
    </row>
    <row r="897416" spans="15:15" x14ac:dyDescent="0.25">
      <c r="O897416" s="9"/>
    </row>
    <row r="897437" spans="15:15" x14ac:dyDescent="0.25">
      <c r="O897437" s="9"/>
    </row>
    <row r="897458" spans="15:15" x14ac:dyDescent="0.25">
      <c r="O897458" s="9"/>
    </row>
    <row r="897479" spans="15:15" x14ac:dyDescent="0.25">
      <c r="O897479" s="9"/>
    </row>
    <row r="897500" spans="15:15" x14ac:dyDescent="0.25">
      <c r="O897500" s="9"/>
    </row>
    <row r="897521" spans="15:15" x14ac:dyDescent="0.25">
      <c r="O897521" s="9"/>
    </row>
    <row r="897542" spans="15:15" x14ac:dyDescent="0.25">
      <c r="O897542" s="9"/>
    </row>
    <row r="897563" spans="15:15" x14ac:dyDescent="0.25">
      <c r="O897563" s="9"/>
    </row>
    <row r="897584" spans="15:15" x14ac:dyDescent="0.25">
      <c r="O897584" s="9"/>
    </row>
    <row r="897605" spans="15:15" x14ac:dyDescent="0.25">
      <c r="O897605" s="9"/>
    </row>
    <row r="897626" spans="15:15" x14ac:dyDescent="0.25">
      <c r="O897626" s="9"/>
    </row>
    <row r="897647" spans="15:15" x14ac:dyDescent="0.25">
      <c r="O897647" s="9"/>
    </row>
    <row r="897668" spans="15:15" x14ac:dyDescent="0.25">
      <c r="O897668" s="9"/>
    </row>
    <row r="897689" spans="15:15" x14ac:dyDescent="0.25">
      <c r="O897689" s="9"/>
    </row>
    <row r="897710" spans="15:15" x14ac:dyDescent="0.25">
      <c r="O897710" s="9"/>
    </row>
    <row r="897731" spans="15:15" x14ac:dyDescent="0.25">
      <c r="O897731" s="9"/>
    </row>
    <row r="897752" spans="15:15" x14ac:dyDescent="0.25">
      <c r="O897752" s="9"/>
    </row>
    <row r="897773" spans="15:15" x14ac:dyDescent="0.25">
      <c r="O897773" s="9"/>
    </row>
    <row r="897794" spans="15:15" x14ac:dyDescent="0.25">
      <c r="O897794" s="9"/>
    </row>
    <row r="897815" spans="15:15" x14ac:dyDescent="0.25">
      <c r="O897815" s="9"/>
    </row>
    <row r="897836" spans="15:15" x14ac:dyDescent="0.25">
      <c r="O897836" s="9"/>
    </row>
    <row r="897857" spans="15:15" x14ac:dyDescent="0.25">
      <c r="O897857" s="9"/>
    </row>
    <row r="897878" spans="15:15" x14ac:dyDescent="0.25">
      <c r="O897878" s="9"/>
    </row>
    <row r="897899" spans="15:15" x14ac:dyDescent="0.25">
      <c r="O897899" s="9"/>
    </row>
    <row r="897920" spans="15:15" x14ac:dyDescent="0.25">
      <c r="O897920" s="9"/>
    </row>
    <row r="897941" spans="15:15" x14ac:dyDescent="0.25">
      <c r="O897941" s="9"/>
    </row>
    <row r="897962" spans="15:15" x14ac:dyDescent="0.25">
      <c r="O897962" s="9"/>
    </row>
    <row r="897983" spans="15:15" x14ac:dyDescent="0.25">
      <c r="O897983" s="9"/>
    </row>
    <row r="898004" spans="15:15" x14ac:dyDescent="0.25">
      <c r="O898004" s="9"/>
    </row>
    <row r="898025" spans="15:15" x14ac:dyDescent="0.25">
      <c r="O898025" s="9"/>
    </row>
    <row r="898046" spans="15:15" x14ac:dyDescent="0.25">
      <c r="O898046" s="9"/>
    </row>
    <row r="898067" spans="15:15" x14ac:dyDescent="0.25">
      <c r="O898067" s="9"/>
    </row>
    <row r="898088" spans="15:15" x14ac:dyDescent="0.25">
      <c r="O898088" s="9"/>
    </row>
    <row r="898109" spans="15:15" x14ac:dyDescent="0.25">
      <c r="O898109" s="9"/>
    </row>
    <row r="898130" spans="15:15" x14ac:dyDescent="0.25">
      <c r="O898130" s="9"/>
    </row>
    <row r="898151" spans="15:15" x14ac:dyDescent="0.25">
      <c r="O898151" s="9"/>
    </row>
    <row r="898172" spans="15:15" x14ac:dyDescent="0.25">
      <c r="O898172" s="9"/>
    </row>
    <row r="898193" spans="15:15" x14ac:dyDescent="0.25">
      <c r="O898193" s="9"/>
    </row>
    <row r="898214" spans="15:15" x14ac:dyDescent="0.25">
      <c r="O898214" s="9"/>
    </row>
    <row r="898235" spans="15:15" x14ac:dyDescent="0.25">
      <c r="O898235" s="9"/>
    </row>
    <row r="898256" spans="15:15" x14ac:dyDescent="0.25">
      <c r="O898256" s="9"/>
    </row>
    <row r="898277" spans="15:15" x14ac:dyDescent="0.25">
      <c r="O898277" s="9"/>
    </row>
    <row r="898298" spans="15:15" x14ac:dyDescent="0.25">
      <c r="O898298" s="9"/>
    </row>
    <row r="898319" spans="15:15" x14ac:dyDescent="0.25">
      <c r="O898319" s="9"/>
    </row>
    <row r="898340" spans="15:15" x14ac:dyDescent="0.25">
      <c r="O898340" s="9"/>
    </row>
    <row r="898361" spans="15:15" x14ac:dyDescent="0.25">
      <c r="O898361" s="9"/>
    </row>
    <row r="898382" spans="15:15" x14ac:dyDescent="0.25">
      <c r="O898382" s="9"/>
    </row>
    <row r="898403" spans="15:15" x14ac:dyDescent="0.25">
      <c r="O898403" s="9"/>
    </row>
    <row r="898424" spans="15:15" x14ac:dyDescent="0.25">
      <c r="O898424" s="9"/>
    </row>
    <row r="898445" spans="15:15" x14ac:dyDescent="0.25">
      <c r="O898445" s="9"/>
    </row>
    <row r="898466" spans="15:15" x14ac:dyDescent="0.25">
      <c r="O898466" s="9"/>
    </row>
    <row r="898487" spans="15:15" x14ac:dyDescent="0.25">
      <c r="O898487" s="9"/>
    </row>
    <row r="898508" spans="15:15" x14ac:dyDescent="0.25">
      <c r="O898508" s="9"/>
    </row>
    <row r="898529" spans="15:15" x14ac:dyDescent="0.25">
      <c r="O898529" s="9"/>
    </row>
    <row r="898550" spans="15:15" x14ac:dyDescent="0.25">
      <c r="O898550" s="9"/>
    </row>
    <row r="898571" spans="15:15" x14ac:dyDescent="0.25">
      <c r="O898571" s="9"/>
    </row>
    <row r="898592" spans="15:15" x14ac:dyDescent="0.25">
      <c r="O898592" s="9"/>
    </row>
    <row r="898613" spans="15:15" x14ac:dyDescent="0.25">
      <c r="O898613" s="9"/>
    </row>
    <row r="898634" spans="15:15" x14ac:dyDescent="0.25">
      <c r="O898634" s="9"/>
    </row>
    <row r="898655" spans="15:15" x14ac:dyDescent="0.25">
      <c r="O898655" s="9"/>
    </row>
    <row r="898676" spans="15:15" x14ac:dyDescent="0.25">
      <c r="O898676" s="9"/>
    </row>
    <row r="898697" spans="15:15" x14ac:dyDescent="0.25">
      <c r="O898697" s="9"/>
    </row>
    <row r="898718" spans="15:15" x14ac:dyDescent="0.25">
      <c r="O898718" s="9"/>
    </row>
    <row r="898739" spans="15:15" x14ac:dyDescent="0.25">
      <c r="O898739" s="9"/>
    </row>
    <row r="898760" spans="15:15" x14ac:dyDescent="0.25">
      <c r="O898760" s="9"/>
    </row>
    <row r="898781" spans="15:15" x14ac:dyDescent="0.25">
      <c r="O898781" s="9"/>
    </row>
    <row r="898802" spans="15:15" x14ac:dyDescent="0.25">
      <c r="O898802" s="9"/>
    </row>
    <row r="898823" spans="15:15" x14ac:dyDescent="0.25">
      <c r="O898823" s="9"/>
    </row>
    <row r="898844" spans="15:15" x14ac:dyDescent="0.25">
      <c r="O898844" s="9"/>
    </row>
    <row r="898865" spans="15:15" x14ac:dyDescent="0.25">
      <c r="O898865" s="9"/>
    </row>
    <row r="898886" spans="15:15" x14ac:dyDescent="0.25">
      <c r="O898886" s="9"/>
    </row>
    <row r="898907" spans="15:15" x14ac:dyDescent="0.25">
      <c r="O898907" s="9"/>
    </row>
    <row r="898928" spans="15:15" x14ac:dyDescent="0.25">
      <c r="O898928" s="9"/>
    </row>
    <row r="898949" spans="15:15" x14ac:dyDescent="0.25">
      <c r="O898949" s="9"/>
    </row>
    <row r="898970" spans="15:15" x14ac:dyDescent="0.25">
      <c r="O898970" s="9"/>
    </row>
    <row r="898991" spans="15:15" x14ac:dyDescent="0.25">
      <c r="O898991" s="9"/>
    </row>
    <row r="899012" spans="15:15" x14ac:dyDescent="0.25">
      <c r="O899012" s="9"/>
    </row>
    <row r="899033" spans="15:15" x14ac:dyDescent="0.25">
      <c r="O899033" s="9"/>
    </row>
    <row r="899054" spans="15:15" x14ac:dyDescent="0.25">
      <c r="O899054" s="9"/>
    </row>
    <row r="899075" spans="15:15" x14ac:dyDescent="0.25">
      <c r="O899075" s="9"/>
    </row>
    <row r="899096" spans="15:15" x14ac:dyDescent="0.25">
      <c r="O899096" s="9"/>
    </row>
    <row r="899117" spans="15:15" x14ac:dyDescent="0.25">
      <c r="O899117" s="9"/>
    </row>
    <row r="899138" spans="15:15" x14ac:dyDescent="0.25">
      <c r="O899138" s="9"/>
    </row>
    <row r="899159" spans="15:15" x14ac:dyDescent="0.25">
      <c r="O899159" s="9"/>
    </row>
    <row r="899180" spans="15:15" x14ac:dyDescent="0.25">
      <c r="O899180" s="9"/>
    </row>
    <row r="899201" spans="15:15" x14ac:dyDescent="0.25">
      <c r="O899201" s="9"/>
    </row>
    <row r="899222" spans="15:15" x14ac:dyDescent="0.25">
      <c r="O899222" s="9"/>
    </row>
    <row r="899243" spans="15:15" x14ac:dyDescent="0.25">
      <c r="O899243" s="9"/>
    </row>
    <row r="899264" spans="15:15" x14ac:dyDescent="0.25">
      <c r="O899264" s="9"/>
    </row>
    <row r="899285" spans="15:15" x14ac:dyDescent="0.25">
      <c r="O899285" s="9"/>
    </row>
    <row r="899306" spans="15:15" x14ac:dyDescent="0.25">
      <c r="O899306" s="9"/>
    </row>
    <row r="899327" spans="15:15" x14ac:dyDescent="0.25">
      <c r="O899327" s="9"/>
    </row>
    <row r="899348" spans="15:15" x14ac:dyDescent="0.25">
      <c r="O899348" s="9"/>
    </row>
    <row r="899369" spans="15:15" x14ac:dyDescent="0.25">
      <c r="O899369" s="9"/>
    </row>
    <row r="899390" spans="15:15" x14ac:dyDescent="0.25">
      <c r="O899390" s="9"/>
    </row>
    <row r="899411" spans="15:15" x14ac:dyDescent="0.25">
      <c r="O899411" s="9"/>
    </row>
    <row r="899432" spans="15:15" x14ac:dyDescent="0.25">
      <c r="O899432" s="9"/>
    </row>
    <row r="899453" spans="15:15" x14ac:dyDescent="0.25">
      <c r="O899453" s="9"/>
    </row>
    <row r="899474" spans="15:15" x14ac:dyDescent="0.25">
      <c r="O899474" s="9"/>
    </row>
    <row r="899495" spans="15:15" x14ac:dyDescent="0.25">
      <c r="O899495" s="9"/>
    </row>
    <row r="899516" spans="15:15" x14ac:dyDescent="0.25">
      <c r="O899516" s="9"/>
    </row>
    <row r="899537" spans="15:15" x14ac:dyDescent="0.25">
      <c r="O899537" s="9"/>
    </row>
    <row r="899558" spans="15:15" x14ac:dyDescent="0.25">
      <c r="O899558" s="9"/>
    </row>
    <row r="899579" spans="15:15" x14ac:dyDescent="0.25">
      <c r="O899579" s="9"/>
    </row>
    <row r="899600" spans="15:15" x14ac:dyDescent="0.25">
      <c r="O899600" s="9"/>
    </row>
    <row r="899621" spans="15:15" x14ac:dyDescent="0.25">
      <c r="O899621" s="9"/>
    </row>
    <row r="899642" spans="15:15" x14ac:dyDescent="0.25">
      <c r="O899642" s="9"/>
    </row>
    <row r="899663" spans="15:15" x14ac:dyDescent="0.25">
      <c r="O899663" s="9"/>
    </row>
    <row r="899684" spans="15:15" x14ac:dyDescent="0.25">
      <c r="O899684" s="9"/>
    </row>
    <row r="899705" spans="15:15" x14ac:dyDescent="0.25">
      <c r="O899705" s="9"/>
    </row>
    <row r="899726" spans="15:15" x14ac:dyDescent="0.25">
      <c r="O899726" s="9"/>
    </row>
    <row r="899747" spans="15:15" x14ac:dyDescent="0.25">
      <c r="O899747" s="9"/>
    </row>
    <row r="899768" spans="15:15" x14ac:dyDescent="0.25">
      <c r="O899768" s="9"/>
    </row>
    <row r="899789" spans="15:15" x14ac:dyDescent="0.25">
      <c r="O899789" s="9"/>
    </row>
    <row r="899810" spans="15:15" x14ac:dyDescent="0.25">
      <c r="O899810" s="9"/>
    </row>
    <row r="899831" spans="15:15" x14ac:dyDescent="0.25">
      <c r="O899831" s="9"/>
    </row>
    <row r="899852" spans="15:15" x14ac:dyDescent="0.25">
      <c r="O899852" s="9"/>
    </row>
    <row r="899873" spans="15:15" x14ac:dyDescent="0.25">
      <c r="O899873" s="9"/>
    </row>
    <row r="899894" spans="15:15" x14ac:dyDescent="0.25">
      <c r="O899894" s="9"/>
    </row>
    <row r="899915" spans="15:15" x14ac:dyDescent="0.25">
      <c r="O899915" s="9"/>
    </row>
    <row r="899936" spans="15:15" x14ac:dyDescent="0.25">
      <c r="O899936" s="9"/>
    </row>
    <row r="899957" spans="15:15" x14ac:dyDescent="0.25">
      <c r="O899957" s="9"/>
    </row>
    <row r="899978" spans="15:15" x14ac:dyDescent="0.25">
      <c r="O899978" s="9"/>
    </row>
    <row r="899999" spans="15:15" x14ac:dyDescent="0.25">
      <c r="O899999" s="9"/>
    </row>
    <row r="900020" spans="15:15" x14ac:dyDescent="0.25">
      <c r="O900020" s="9"/>
    </row>
    <row r="900041" spans="15:15" x14ac:dyDescent="0.25">
      <c r="O900041" s="9"/>
    </row>
    <row r="900062" spans="15:15" x14ac:dyDescent="0.25">
      <c r="O900062" s="9"/>
    </row>
    <row r="900083" spans="15:15" x14ac:dyDescent="0.25">
      <c r="O900083" s="9"/>
    </row>
    <row r="900104" spans="15:15" x14ac:dyDescent="0.25">
      <c r="O900104" s="9"/>
    </row>
    <row r="900125" spans="15:15" x14ac:dyDescent="0.25">
      <c r="O900125" s="9"/>
    </row>
    <row r="900146" spans="15:15" x14ac:dyDescent="0.25">
      <c r="O900146" s="9"/>
    </row>
    <row r="900167" spans="15:15" x14ac:dyDescent="0.25">
      <c r="O900167" s="9"/>
    </row>
    <row r="900188" spans="15:15" x14ac:dyDescent="0.25">
      <c r="O900188" s="9"/>
    </row>
    <row r="900209" spans="15:15" x14ac:dyDescent="0.25">
      <c r="O900209" s="9"/>
    </row>
    <row r="900230" spans="15:15" x14ac:dyDescent="0.25">
      <c r="O900230" s="9"/>
    </row>
    <row r="900251" spans="15:15" x14ac:dyDescent="0.25">
      <c r="O900251" s="9"/>
    </row>
    <row r="900272" spans="15:15" x14ac:dyDescent="0.25">
      <c r="O900272" s="9"/>
    </row>
    <row r="900293" spans="15:15" x14ac:dyDescent="0.25">
      <c r="O900293" s="9"/>
    </row>
    <row r="900314" spans="15:15" x14ac:dyDescent="0.25">
      <c r="O900314" s="9"/>
    </row>
    <row r="900335" spans="15:15" x14ac:dyDescent="0.25">
      <c r="O900335" s="9"/>
    </row>
    <row r="900356" spans="15:15" x14ac:dyDescent="0.25">
      <c r="O900356" s="9"/>
    </row>
    <row r="900377" spans="15:15" x14ac:dyDescent="0.25">
      <c r="O900377" s="9"/>
    </row>
    <row r="900398" spans="15:15" x14ac:dyDescent="0.25">
      <c r="O900398" s="9"/>
    </row>
    <row r="900419" spans="15:15" x14ac:dyDescent="0.25">
      <c r="O900419" s="9"/>
    </row>
    <row r="900440" spans="15:15" x14ac:dyDescent="0.25">
      <c r="O900440" s="9"/>
    </row>
    <row r="900461" spans="15:15" x14ac:dyDescent="0.25">
      <c r="O900461" s="9"/>
    </row>
    <row r="900482" spans="15:15" x14ac:dyDescent="0.25">
      <c r="O900482" s="9"/>
    </row>
    <row r="900503" spans="15:15" x14ac:dyDescent="0.25">
      <c r="O900503" s="9"/>
    </row>
    <row r="900524" spans="15:15" x14ac:dyDescent="0.25">
      <c r="O900524" s="9"/>
    </row>
    <row r="900545" spans="15:15" x14ac:dyDescent="0.25">
      <c r="O900545" s="9"/>
    </row>
    <row r="900566" spans="15:15" x14ac:dyDescent="0.25">
      <c r="O900566" s="9"/>
    </row>
    <row r="900587" spans="15:15" x14ac:dyDescent="0.25">
      <c r="O900587" s="9"/>
    </row>
    <row r="900608" spans="15:15" x14ac:dyDescent="0.25">
      <c r="O900608" s="9"/>
    </row>
    <row r="900629" spans="15:15" x14ac:dyDescent="0.25">
      <c r="O900629" s="9"/>
    </row>
    <row r="900650" spans="15:15" x14ac:dyDescent="0.25">
      <c r="O900650" s="9"/>
    </row>
    <row r="900671" spans="15:15" x14ac:dyDescent="0.25">
      <c r="O900671" s="9"/>
    </row>
    <row r="900692" spans="15:15" x14ac:dyDescent="0.25">
      <c r="O900692" s="9"/>
    </row>
    <row r="900713" spans="15:15" x14ac:dyDescent="0.25">
      <c r="O900713" s="9"/>
    </row>
    <row r="900734" spans="15:15" x14ac:dyDescent="0.25">
      <c r="O900734" s="9"/>
    </row>
    <row r="900755" spans="15:15" x14ac:dyDescent="0.25">
      <c r="O900755" s="9"/>
    </row>
    <row r="900776" spans="15:15" x14ac:dyDescent="0.25">
      <c r="O900776" s="9"/>
    </row>
    <row r="900797" spans="15:15" x14ac:dyDescent="0.25">
      <c r="O900797" s="9"/>
    </row>
    <row r="900818" spans="15:15" x14ac:dyDescent="0.25">
      <c r="O900818" s="9"/>
    </row>
    <row r="900839" spans="15:15" x14ac:dyDescent="0.25">
      <c r="O900839" s="9"/>
    </row>
    <row r="900860" spans="15:15" x14ac:dyDescent="0.25">
      <c r="O900860" s="9"/>
    </row>
    <row r="900881" spans="15:15" x14ac:dyDescent="0.25">
      <c r="O900881" s="9"/>
    </row>
    <row r="900902" spans="15:15" x14ac:dyDescent="0.25">
      <c r="O900902" s="9"/>
    </row>
    <row r="900923" spans="15:15" x14ac:dyDescent="0.25">
      <c r="O900923" s="9"/>
    </row>
    <row r="900944" spans="15:15" x14ac:dyDescent="0.25">
      <c r="O900944" s="9"/>
    </row>
    <row r="900965" spans="15:15" x14ac:dyDescent="0.25">
      <c r="O900965" s="9"/>
    </row>
    <row r="900986" spans="15:15" x14ac:dyDescent="0.25">
      <c r="O900986" s="9"/>
    </row>
    <row r="901007" spans="15:15" x14ac:dyDescent="0.25">
      <c r="O901007" s="9"/>
    </row>
    <row r="901028" spans="15:15" x14ac:dyDescent="0.25">
      <c r="O901028" s="9"/>
    </row>
    <row r="901049" spans="15:15" x14ac:dyDescent="0.25">
      <c r="O901049" s="9"/>
    </row>
    <row r="901070" spans="15:15" x14ac:dyDescent="0.25">
      <c r="O901070" s="9"/>
    </row>
    <row r="901091" spans="15:15" x14ac:dyDescent="0.25">
      <c r="O901091" s="9"/>
    </row>
    <row r="901112" spans="15:15" x14ac:dyDescent="0.25">
      <c r="O901112" s="9"/>
    </row>
    <row r="901133" spans="15:15" x14ac:dyDescent="0.25">
      <c r="O901133" s="9"/>
    </row>
    <row r="901154" spans="15:15" x14ac:dyDescent="0.25">
      <c r="O901154" s="9"/>
    </row>
    <row r="901175" spans="15:15" x14ac:dyDescent="0.25">
      <c r="O901175" s="9"/>
    </row>
    <row r="901196" spans="15:15" x14ac:dyDescent="0.25">
      <c r="O901196" s="9"/>
    </row>
    <row r="901217" spans="15:15" x14ac:dyDescent="0.25">
      <c r="O901217" s="9"/>
    </row>
    <row r="901238" spans="15:15" x14ac:dyDescent="0.25">
      <c r="O901238" s="9"/>
    </row>
    <row r="901259" spans="15:15" x14ac:dyDescent="0.25">
      <c r="O901259" s="9"/>
    </row>
    <row r="901280" spans="15:15" x14ac:dyDescent="0.25">
      <c r="O901280" s="9"/>
    </row>
    <row r="901301" spans="15:15" x14ac:dyDescent="0.25">
      <c r="O901301" s="9"/>
    </row>
    <row r="901322" spans="15:15" x14ac:dyDescent="0.25">
      <c r="O901322" s="9"/>
    </row>
    <row r="901343" spans="15:15" x14ac:dyDescent="0.25">
      <c r="O901343" s="9"/>
    </row>
    <row r="901364" spans="15:15" x14ac:dyDescent="0.25">
      <c r="O901364" s="9"/>
    </row>
    <row r="901385" spans="15:15" x14ac:dyDescent="0.25">
      <c r="O901385" s="9"/>
    </row>
    <row r="901406" spans="15:15" x14ac:dyDescent="0.25">
      <c r="O901406" s="9"/>
    </row>
    <row r="901427" spans="15:15" x14ac:dyDescent="0.25">
      <c r="O901427" s="9"/>
    </row>
    <row r="901448" spans="15:15" x14ac:dyDescent="0.25">
      <c r="O901448" s="9"/>
    </row>
    <row r="901469" spans="15:15" x14ac:dyDescent="0.25">
      <c r="O901469" s="9"/>
    </row>
    <row r="901490" spans="15:15" x14ac:dyDescent="0.25">
      <c r="O901490" s="9"/>
    </row>
    <row r="901511" spans="15:15" x14ac:dyDescent="0.25">
      <c r="O901511" s="9"/>
    </row>
    <row r="901532" spans="15:15" x14ac:dyDescent="0.25">
      <c r="O901532" s="9"/>
    </row>
    <row r="901553" spans="15:15" x14ac:dyDescent="0.25">
      <c r="O901553" s="9"/>
    </row>
    <row r="901574" spans="15:15" x14ac:dyDescent="0.25">
      <c r="O901574" s="9"/>
    </row>
    <row r="901595" spans="15:15" x14ac:dyDescent="0.25">
      <c r="O901595" s="9"/>
    </row>
    <row r="901616" spans="15:15" x14ac:dyDescent="0.25">
      <c r="O901616" s="9"/>
    </row>
    <row r="901637" spans="15:15" x14ac:dyDescent="0.25">
      <c r="O901637" s="9"/>
    </row>
    <row r="901658" spans="15:15" x14ac:dyDescent="0.25">
      <c r="O901658" s="9"/>
    </row>
    <row r="901679" spans="15:15" x14ac:dyDescent="0.25">
      <c r="O901679" s="9"/>
    </row>
    <row r="901700" spans="15:15" x14ac:dyDescent="0.25">
      <c r="O901700" s="9"/>
    </row>
    <row r="901721" spans="15:15" x14ac:dyDescent="0.25">
      <c r="O901721" s="9"/>
    </row>
    <row r="901742" spans="15:15" x14ac:dyDescent="0.25">
      <c r="O901742" s="9"/>
    </row>
    <row r="901763" spans="15:15" x14ac:dyDescent="0.25">
      <c r="O901763" s="9"/>
    </row>
    <row r="901784" spans="15:15" x14ac:dyDescent="0.25">
      <c r="O901784" s="9"/>
    </row>
    <row r="901805" spans="15:15" x14ac:dyDescent="0.25">
      <c r="O901805" s="9"/>
    </row>
    <row r="901826" spans="15:15" x14ac:dyDescent="0.25">
      <c r="O901826" s="9"/>
    </row>
    <row r="901847" spans="15:15" x14ac:dyDescent="0.25">
      <c r="O901847" s="9"/>
    </row>
    <row r="901868" spans="15:15" x14ac:dyDescent="0.25">
      <c r="O901868" s="9"/>
    </row>
    <row r="901889" spans="15:15" x14ac:dyDescent="0.25">
      <c r="O901889" s="9"/>
    </row>
    <row r="901910" spans="15:15" x14ac:dyDescent="0.25">
      <c r="O901910" s="9"/>
    </row>
    <row r="901931" spans="15:15" x14ac:dyDescent="0.25">
      <c r="O901931" s="9"/>
    </row>
    <row r="901952" spans="15:15" x14ac:dyDescent="0.25">
      <c r="O901952" s="9"/>
    </row>
    <row r="901973" spans="15:15" x14ac:dyDescent="0.25">
      <c r="O901973" s="9"/>
    </row>
    <row r="901994" spans="15:15" x14ac:dyDescent="0.25">
      <c r="O901994" s="9"/>
    </row>
    <row r="902015" spans="15:15" x14ac:dyDescent="0.25">
      <c r="O902015" s="9"/>
    </row>
    <row r="902036" spans="15:15" x14ac:dyDescent="0.25">
      <c r="O902036" s="9"/>
    </row>
    <row r="902057" spans="15:15" x14ac:dyDescent="0.25">
      <c r="O902057" s="9"/>
    </row>
    <row r="902078" spans="15:15" x14ac:dyDescent="0.25">
      <c r="O902078" s="9"/>
    </row>
    <row r="902099" spans="15:15" x14ac:dyDescent="0.25">
      <c r="O902099" s="9"/>
    </row>
    <row r="902120" spans="15:15" x14ac:dyDescent="0.25">
      <c r="O902120" s="9"/>
    </row>
    <row r="902141" spans="15:15" x14ac:dyDescent="0.25">
      <c r="O902141" s="9"/>
    </row>
    <row r="902162" spans="15:15" x14ac:dyDescent="0.25">
      <c r="O902162" s="9"/>
    </row>
    <row r="902183" spans="15:15" x14ac:dyDescent="0.25">
      <c r="O902183" s="9"/>
    </row>
    <row r="902204" spans="15:15" x14ac:dyDescent="0.25">
      <c r="O902204" s="9"/>
    </row>
    <row r="902225" spans="15:15" x14ac:dyDescent="0.25">
      <c r="O902225" s="9"/>
    </row>
    <row r="902246" spans="15:15" x14ac:dyDescent="0.25">
      <c r="O902246" s="9"/>
    </row>
    <row r="902267" spans="15:15" x14ac:dyDescent="0.25">
      <c r="O902267" s="9"/>
    </row>
    <row r="902288" spans="15:15" x14ac:dyDescent="0.25">
      <c r="O902288" s="9"/>
    </row>
    <row r="902309" spans="15:15" x14ac:dyDescent="0.25">
      <c r="O902309" s="9"/>
    </row>
    <row r="902330" spans="15:15" x14ac:dyDescent="0.25">
      <c r="O902330" s="9"/>
    </row>
    <row r="902351" spans="15:15" x14ac:dyDescent="0.25">
      <c r="O902351" s="9"/>
    </row>
    <row r="902372" spans="15:15" x14ac:dyDescent="0.25">
      <c r="O902372" s="9"/>
    </row>
    <row r="902393" spans="15:15" x14ac:dyDescent="0.25">
      <c r="O902393" s="9"/>
    </row>
    <row r="902414" spans="15:15" x14ac:dyDescent="0.25">
      <c r="O902414" s="9"/>
    </row>
    <row r="902435" spans="15:15" x14ac:dyDescent="0.25">
      <c r="O902435" s="9"/>
    </row>
    <row r="902456" spans="15:15" x14ac:dyDescent="0.25">
      <c r="O902456" s="9"/>
    </row>
    <row r="902477" spans="15:15" x14ac:dyDescent="0.25">
      <c r="O902477" s="9"/>
    </row>
    <row r="902498" spans="15:15" x14ac:dyDescent="0.25">
      <c r="O902498" s="9"/>
    </row>
    <row r="902519" spans="15:15" x14ac:dyDescent="0.25">
      <c r="O902519" s="9"/>
    </row>
    <row r="902540" spans="15:15" x14ac:dyDescent="0.25">
      <c r="O902540" s="9"/>
    </row>
    <row r="902561" spans="15:15" x14ac:dyDescent="0.25">
      <c r="O902561" s="9"/>
    </row>
    <row r="902582" spans="15:15" x14ac:dyDescent="0.25">
      <c r="O902582" s="9"/>
    </row>
    <row r="902603" spans="15:15" x14ac:dyDescent="0.25">
      <c r="O902603" s="9"/>
    </row>
    <row r="902624" spans="15:15" x14ac:dyDescent="0.25">
      <c r="O902624" s="9"/>
    </row>
    <row r="902645" spans="15:15" x14ac:dyDescent="0.25">
      <c r="O902645" s="9"/>
    </row>
    <row r="902666" spans="15:15" x14ac:dyDescent="0.25">
      <c r="O902666" s="9"/>
    </row>
    <row r="902687" spans="15:15" x14ac:dyDescent="0.25">
      <c r="O902687" s="9"/>
    </row>
    <row r="902708" spans="15:15" x14ac:dyDescent="0.25">
      <c r="O902708" s="9"/>
    </row>
    <row r="902729" spans="15:15" x14ac:dyDescent="0.25">
      <c r="O902729" s="9"/>
    </row>
    <row r="902750" spans="15:15" x14ac:dyDescent="0.25">
      <c r="O902750" s="9"/>
    </row>
    <row r="902771" spans="15:15" x14ac:dyDescent="0.25">
      <c r="O902771" s="9"/>
    </row>
    <row r="902792" spans="15:15" x14ac:dyDescent="0.25">
      <c r="O902792" s="9"/>
    </row>
    <row r="902813" spans="15:15" x14ac:dyDescent="0.25">
      <c r="O902813" s="9"/>
    </row>
    <row r="902834" spans="15:15" x14ac:dyDescent="0.25">
      <c r="O902834" s="9"/>
    </row>
    <row r="902855" spans="15:15" x14ac:dyDescent="0.25">
      <c r="O902855" s="9"/>
    </row>
    <row r="902876" spans="15:15" x14ac:dyDescent="0.25">
      <c r="O902876" s="9"/>
    </row>
    <row r="902897" spans="15:15" x14ac:dyDescent="0.25">
      <c r="O902897" s="9"/>
    </row>
    <row r="902918" spans="15:15" x14ac:dyDescent="0.25">
      <c r="O902918" s="9"/>
    </row>
    <row r="902939" spans="15:15" x14ac:dyDescent="0.25">
      <c r="O902939" s="9"/>
    </row>
    <row r="902960" spans="15:15" x14ac:dyDescent="0.25">
      <c r="O902960" s="9"/>
    </row>
    <row r="902981" spans="15:15" x14ac:dyDescent="0.25">
      <c r="O902981" s="9"/>
    </row>
    <row r="903002" spans="15:15" x14ac:dyDescent="0.25">
      <c r="O903002" s="9"/>
    </row>
    <row r="903023" spans="15:15" x14ac:dyDescent="0.25">
      <c r="O903023" s="9"/>
    </row>
    <row r="903044" spans="15:15" x14ac:dyDescent="0.25">
      <c r="O903044" s="9"/>
    </row>
    <row r="903065" spans="15:15" x14ac:dyDescent="0.25">
      <c r="O903065" s="9"/>
    </row>
    <row r="903086" spans="15:15" x14ac:dyDescent="0.25">
      <c r="O903086" s="9"/>
    </row>
    <row r="903107" spans="15:15" x14ac:dyDescent="0.25">
      <c r="O903107" s="9"/>
    </row>
    <row r="903128" spans="15:15" x14ac:dyDescent="0.25">
      <c r="O903128" s="9"/>
    </row>
    <row r="903149" spans="15:15" x14ac:dyDescent="0.25">
      <c r="O903149" s="9"/>
    </row>
    <row r="903170" spans="15:15" x14ac:dyDescent="0.25">
      <c r="O903170" s="9"/>
    </row>
    <row r="903191" spans="15:15" x14ac:dyDescent="0.25">
      <c r="O903191" s="9"/>
    </row>
    <row r="903212" spans="15:15" x14ac:dyDescent="0.25">
      <c r="O903212" s="9"/>
    </row>
    <row r="903233" spans="15:15" x14ac:dyDescent="0.25">
      <c r="O903233" s="9"/>
    </row>
    <row r="903254" spans="15:15" x14ac:dyDescent="0.25">
      <c r="O903254" s="9"/>
    </row>
    <row r="903275" spans="15:15" x14ac:dyDescent="0.25">
      <c r="O903275" s="9"/>
    </row>
    <row r="903296" spans="15:15" x14ac:dyDescent="0.25">
      <c r="O903296" s="9"/>
    </row>
    <row r="903317" spans="15:15" x14ac:dyDescent="0.25">
      <c r="O903317" s="9"/>
    </row>
    <row r="903338" spans="15:15" x14ac:dyDescent="0.25">
      <c r="O903338" s="9"/>
    </row>
    <row r="903359" spans="15:15" x14ac:dyDescent="0.25">
      <c r="O903359" s="9"/>
    </row>
    <row r="903380" spans="15:15" x14ac:dyDescent="0.25">
      <c r="O903380" s="9"/>
    </row>
    <row r="903401" spans="15:15" x14ac:dyDescent="0.25">
      <c r="O903401" s="9"/>
    </row>
    <row r="903422" spans="15:15" x14ac:dyDescent="0.25">
      <c r="O903422" s="9"/>
    </row>
    <row r="903443" spans="15:15" x14ac:dyDescent="0.25">
      <c r="O903443" s="9"/>
    </row>
    <row r="903464" spans="15:15" x14ac:dyDescent="0.25">
      <c r="O903464" s="9"/>
    </row>
    <row r="903485" spans="15:15" x14ac:dyDescent="0.25">
      <c r="O903485" s="9"/>
    </row>
    <row r="903506" spans="15:15" x14ac:dyDescent="0.25">
      <c r="O903506" s="9"/>
    </row>
    <row r="903527" spans="15:15" x14ac:dyDescent="0.25">
      <c r="O903527" s="9"/>
    </row>
    <row r="903548" spans="15:15" x14ac:dyDescent="0.25">
      <c r="O903548" s="9"/>
    </row>
    <row r="903569" spans="15:15" x14ac:dyDescent="0.25">
      <c r="O903569" s="9"/>
    </row>
    <row r="903590" spans="15:15" x14ac:dyDescent="0.25">
      <c r="O903590" s="9"/>
    </row>
    <row r="903611" spans="15:15" x14ac:dyDescent="0.25">
      <c r="O903611" s="9"/>
    </row>
    <row r="903632" spans="15:15" x14ac:dyDescent="0.25">
      <c r="O903632" s="9"/>
    </row>
    <row r="903653" spans="15:15" x14ac:dyDescent="0.25">
      <c r="O903653" s="9"/>
    </row>
    <row r="903674" spans="15:15" x14ac:dyDescent="0.25">
      <c r="O903674" s="9"/>
    </row>
    <row r="903695" spans="15:15" x14ac:dyDescent="0.25">
      <c r="O903695" s="9"/>
    </row>
    <row r="903716" spans="15:15" x14ac:dyDescent="0.25">
      <c r="O903716" s="9"/>
    </row>
    <row r="903737" spans="15:15" x14ac:dyDescent="0.25">
      <c r="O903737" s="9"/>
    </row>
    <row r="903758" spans="15:15" x14ac:dyDescent="0.25">
      <c r="O903758" s="9"/>
    </row>
    <row r="903779" spans="15:15" x14ac:dyDescent="0.25">
      <c r="O903779" s="9"/>
    </row>
    <row r="903800" spans="15:15" x14ac:dyDescent="0.25">
      <c r="O903800" s="9"/>
    </row>
    <row r="903821" spans="15:15" x14ac:dyDescent="0.25">
      <c r="O903821" s="9"/>
    </row>
    <row r="903842" spans="15:15" x14ac:dyDescent="0.25">
      <c r="O903842" s="9"/>
    </row>
    <row r="903863" spans="15:15" x14ac:dyDescent="0.25">
      <c r="O903863" s="9"/>
    </row>
    <row r="903884" spans="15:15" x14ac:dyDescent="0.25">
      <c r="O903884" s="9"/>
    </row>
    <row r="903905" spans="15:15" x14ac:dyDescent="0.25">
      <c r="O903905" s="9"/>
    </row>
    <row r="903926" spans="15:15" x14ac:dyDescent="0.25">
      <c r="O903926" s="9"/>
    </row>
    <row r="903947" spans="15:15" x14ac:dyDescent="0.25">
      <c r="O903947" s="9"/>
    </row>
    <row r="903968" spans="15:15" x14ac:dyDescent="0.25">
      <c r="O903968" s="9"/>
    </row>
    <row r="903989" spans="15:15" x14ac:dyDescent="0.25">
      <c r="O903989" s="9"/>
    </row>
    <row r="904010" spans="15:15" x14ac:dyDescent="0.25">
      <c r="O904010" s="9"/>
    </row>
    <row r="904031" spans="15:15" x14ac:dyDescent="0.25">
      <c r="O904031" s="9"/>
    </row>
    <row r="904052" spans="15:15" x14ac:dyDescent="0.25">
      <c r="O904052" s="9"/>
    </row>
    <row r="904073" spans="15:15" x14ac:dyDescent="0.25">
      <c r="O904073" s="9"/>
    </row>
    <row r="904094" spans="15:15" x14ac:dyDescent="0.25">
      <c r="O904094" s="9"/>
    </row>
    <row r="904115" spans="15:15" x14ac:dyDescent="0.25">
      <c r="O904115" s="9"/>
    </row>
    <row r="904136" spans="15:15" x14ac:dyDescent="0.25">
      <c r="O904136" s="9"/>
    </row>
    <row r="904157" spans="15:15" x14ac:dyDescent="0.25">
      <c r="O904157" s="9"/>
    </row>
    <row r="904178" spans="15:15" x14ac:dyDescent="0.25">
      <c r="O904178" s="9"/>
    </row>
    <row r="904199" spans="15:15" x14ac:dyDescent="0.25">
      <c r="O904199" s="9"/>
    </row>
    <row r="904220" spans="15:15" x14ac:dyDescent="0.25">
      <c r="O904220" s="9"/>
    </row>
    <row r="904241" spans="15:15" x14ac:dyDescent="0.25">
      <c r="O904241" s="9"/>
    </row>
    <row r="904262" spans="15:15" x14ac:dyDescent="0.25">
      <c r="O904262" s="9"/>
    </row>
    <row r="904283" spans="15:15" x14ac:dyDescent="0.25">
      <c r="O904283" s="9"/>
    </row>
    <row r="904304" spans="15:15" x14ac:dyDescent="0.25">
      <c r="O904304" s="9"/>
    </row>
    <row r="904325" spans="15:15" x14ac:dyDescent="0.25">
      <c r="O904325" s="9"/>
    </row>
    <row r="904346" spans="15:15" x14ac:dyDescent="0.25">
      <c r="O904346" s="9"/>
    </row>
    <row r="904367" spans="15:15" x14ac:dyDescent="0.25">
      <c r="O904367" s="9"/>
    </row>
    <row r="904388" spans="15:15" x14ac:dyDescent="0.25">
      <c r="O904388" s="9"/>
    </row>
    <row r="904409" spans="15:15" x14ac:dyDescent="0.25">
      <c r="O904409" s="9"/>
    </row>
    <row r="904430" spans="15:15" x14ac:dyDescent="0.25">
      <c r="O904430" s="9"/>
    </row>
    <row r="904451" spans="15:15" x14ac:dyDescent="0.25">
      <c r="O904451" s="9"/>
    </row>
    <row r="904472" spans="15:15" x14ac:dyDescent="0.25">
      <c r="O904472" s="9"/>
    </row>
    <row r="904493" spans="15:15" x14ac:dyDescent="0.25">
      <c r="O904493" s="9"/>
    </row>
    <row r="904514" spans="15:15" x14ac:dyDescent="0.25">
      <c r="O904514" s="9"/>
    </row>
    <row r="904535" spans="15:15" x14ac:dyDescent="0.25">
      <c r="O904535" s="9"/>
    </row>
    <row r="904556" spans="15:15" x14ac:dyDescent="0.25">
      <c r="O904556" s="9"/>
    </row>
    <row r="904577" spans="15:15" x14ac:dyDescent="0.25">
      <c r="O904577" s="9"/>
    </row>
    <row r="904598" spans="15:15" x14ac:dyDescent="0.25">
      <c r="O904598" s="9"/>
    </row>
    <row r="904619" spans="15:15" x14ac:dyDescent="0.25">
      <c r="O904619" s="9"/>
    </row>
    <row r="904640" spans="15:15" x14ac:dyDescent="0.25">
      <c r="O904640" s="9"/>
    </row>
    <row r="904661" spans="15:15" x14ac:dyDescent="0.25">
      <c r="O904661" s="9"/>
    </row>
    <row r="904682" spans="15:15" x14ac:dyDescent="0.25">
      <c r="O904682" s="9"/>
    </row>
    <row r="904703" spans="15:15" x14ac:dyDescent="0.25">
      <c r="O904703" s="9"/>
    </row>
    <row r="904724" spans="15:15" x14ac:dyDescent="0.25">
      <c r="O904724" s="9"/>
    </row>
    <row r="904745" spans="15:15" x14ac:dyDescent="0.25">
      <c r="O904745" s="9"/>
    </row>
    <row r="904766" spans="15:15" x14ac:dyDescent="0.25">
      <c r="O904766" s="9"/>
    </row>
    <row r="904787" spans="15:15" x14ac:dyDescent="0.25">
      <c r="O904787" s="9"/>
    </row>
    <row r="904808" spans="15:15" x14ac:dyDescent="0.25">
      <c r="O904808" s="9"/>
    </row>
    <row r="904829" spans="15:15" x14ac:dyDescent="0.25">
      <c r="O904829" s="9"/>
    </row>
    <row r="904850" spans="15:15" x14ac:dyDescent="0.25">
      <c r="O904850" s="9"/>
    </row>
    <row r="904871" spans="15:15" x14ac:dyDescent="0.25">
      <c r="O904871" s="9"/>
    </row>
    <row r="904892" spans="15:15" x14ac:dyDescent="0.25">
      <c r="O904892" s="9"/>
    </row>
    <row r="904913" spans="15:15" x14ac:dyDescent="0.25">
      <c r="O904913" s="9"/>
    </row>
    <row r="904934" spans="15:15" x14ac:dyDescent="0.25">
      <c r="O904934" s="9"/>
    </row>
    <row r="904955" spans="15:15" x14ac:dyDescent="0.25">
      <c r="O904955" s="9"/>
    </row>
    <row r="904976" spans="15:15" x14ac:dyDescent="0.25">
      <c r="O904976" s="9"/>
    </row>
    <row r="904997" spans="15:15" x14ac:dyDescent="0.25">
      <c r="O904997" s="9"/>
    </row>
    <row r="905018" spans="15:15" x14ac:dyDescent="0.25">
      <c r="O905018" s="9"/>
    </row>
    <row r="905039" spans="15:15" x14ac:dyDescent="0.25">
      <c r="O905039" s="9"/>
    </row>
    <row r="905060" spans="15:15" x14ac:dyDescent="0.25">
      <c r="O905060" s="9"/>
    </row>
    <row r="905081" spans="15:15" x14ac:dyDescent="0.25">
      <c r="O905081" s="9"/>
    </row>
    <row r="905102" spans="15:15" x14ac:dyDescent="0.25">
      <c r="O905102" s="9"/>
    </row>
    <row r="905123" spans="15:15" x14ac:dyDescent="0.25">
      <c r="O905123" s="9"/>
    </row>
    <row r="905144" spans="15:15" x14ac:dyDescent="0.25">
      <c r="O905144" s="9"/>
    </row>
    <row r="905165" spans="15:15" x14ac:dyDescent="0.25">
      <c r="O905165" s="9"/>
    </row>
    <row r="905186" spans="15:15" x14ac:dyDescent="0.25">
      <c r="O905186" s="9"/>
    </row>
    <row r="905207" spans="15:15" x14ac:dyDescent="0.25">
      <c r="O905207" s="9"/>
    </row>
    <row r="905228" spans="15:15" x14ac:dyDescent="0.25">
      <c r="O905228" s="9"/>
    </row>
    <row r="905249" spans="15:15" x14ac:dyDescent="0.25">
      <c r="O905249" s="9"/>
    </row>
    <row r="905270" spans="15:15" x14ac:dyDescent="0.25">
      <c r="O905270" s="9"/>
    </row>
    <row r="905291" spans="15:15" x14ac:dyDescent="0.25">
      <c r="O905291" s="9"/>
    </row>
    <row r="905312" spans="15:15" x14ac:dyDescent="0.25">
      <c r="O905312" s="9"/>
    </row>
    <row r="905333" spans="15:15" x14ac:dyDescent="0.25">
      <c r="O905333" s="9"/>
    </row>
    <row r="905354" spans="15:15" x14ac:dyDescent="0.25">
      <c r="O905354" s="9"/>
    </row>
    <row r="905375" spans="15:15" x14ac:dyDescent="0.25">
      <c r="O905375" s="9"/>
    </row>
    <row r="905396" spans="15:15" x14ac:dyDescent="0.25">
      <c r="O905396" s="9"/>
    </row>
    <row r="905417" spans="15:15" x14ac:dyDescent="0.25">
      <c r="O905417" s="9"/>
    </row>
    <row r="905438" spans="15:15" x14ac:dyDescent="0.25">
      <c r="O905438" s="9"/>
    </row>
    <row r="905459" spans="15:15" x14ac:dyDescent="0.25">
      <c r="O905459" s="9"/>
    </row>
    <row r="905480" spans="15:15" x14ac:dyDescent="0.25">
      <c r="O905480" s="9"/>
    </row>
    <row r="905501" spans="15:15" x14ac:dyDescent="0.25">
      <c r="O905501" s="9"/>
    </row>
    <row r="905522" spans="15:15" x14ac:dyDescent="0.25">
      <c r="O905522" s="9"/>
    </row>
    <row r="905543" spans="15:15" x14ac:dyDescent="0.25">
      <c r="O905543" s="9"/>
    </row>
    <row r="905564" spans="15:15" x14ac:dyDescent="0.25">
      <c r="O905564" s="9"/>
    </row>
    <row r="905585" spans="15:15" x14ac:dyDescent="0.25">
      <c r="O905585" s="9"/>
    </row>
    <row r="905606" spans="15:15" x14ac:dyDescent="0.25">
      <c r="O905606" s="9"/>
    </row>
    <row r="905627" spans="15:15" x14ac:dyDescent="0.25">
      <c r="O905627" s="9"/>
    </row>
    <row r="905648" spans="15:15" x14ac:dyDescent="0.25">
      <c r="O905648" s="9"/>
    </row>
    <row r="905669" spans="15:15" x14ac:dyDescent="0.25">
      <c r="O905669" s="9"/>
    </row>
    <row r="905690" spans="15:15" x14ac:dyDescent="0.25">
      <c r="O905690" s="9"/>
    </row>
    <row r="905711" spans="15:15" x14ac:dyDescent="0.25">
      <c r="O905711" s="9"/>
    </row>
    <row r="905732" spans="15:15" x14ac:dyDescent="0.25">
      <c r="O905732" s="9"/>
    </row>
    <row r="905753" spans="15:15" x14ac:dyDescent="0.25">
      <c r="O905753" s="9"/>
    </row>
    <row r="905774" spans="15:15" x14ac:dyDescent="0.25">
      <c r="O905774" s="9"/>
    </row>
    <row r="905795" spans="15:15" x14ac:dyDescent="0.25">
      <c r="O905795" s="9"/>
    </row>
    <row r="905816" spans="15:15" x14ac:dyDescent="0.25">
      <c r="O905816" s="9"/>
    </row>
    <row r="905837" spans="15:15" x14ac:dyDescent="0.25">
      <c r="O905837" s="9"/>
    </row>
    <row r="905858" spans="15:15" x14ac:dyDescent="0.25">
      <c r="O905858" s="9"/>
    </row>
    <row r="905879" spans="15:15" x14ac:dyDescent="0.25">
      <c r="O905879" s="9"/>
    </row>
    <row r="905900" spans="15:15" x14ac:dyDescent="0.25">
      <c r="O905900" s="9"/>
    </row>
    <row r="905921" spans="15:15" x14ac:dyDescent="0.25">
      <c r="O905921" s="9"/>
    </row>
    <row r="905942" spans="15:15" x14ac:dyDescent="0.25">
      <c r="O905942" s="9"/>
    </row>
    <row r="905963" spans="15:15" x14ac:dyDescent="0.25">
      <c r="O905963" s="9"/>
    </row>
    <row r="905984" spans="15:15" x14ac:dyDescent="0.25">
      <c r="O905984" s="9"/>
    </row>
    <row r="906005" spans="15:15" x14ac:dyDescent="0.25">
      <c r="O906005" s="9"/>
    </row>
    <row r="906026" spans="15:15" x14ac:dyDescent="0.25">
      <c r="O906026" s="9"/>
    </row>
    <row r="906047" spans="15:15" x14ac:dyDescent="0.25">
      <c r="O906047" s="9"/>
    </row>
    <row r="906068" spans="15:15" x14ac:dyDescent="0.25">
      <c r="O906068" s="9"/>
    </row>
    <row r="906089" spans="15:15" x14ac:dyDescent="0.25">
      <c r="O906089" s="9"/>
    </row>
    <row r="906110" spans="15:15" x14ac:dyDescent="0.25">
      <c r="O906110" s="9"/>
    </row>
    <row r="906131" spans="15:15" x14ac:dyDescent="0.25">
      <c r="O906131" s="9"/>
    </row>
    <row r="906152" spans="15:15" x14ac:dyDescent="0.25">
      <c r="O906152" s="9"/>
    </row>
    <row r="906173" spans="15:15" x14ac:dyDescent="0.25">
      <c r="O906173" s="9"/>
    </row>
    <row r="906194" spans="15:15" x14ac:dyDescent="0.25">
      <c r="O906194" s="9"/>
    </row>
    <row r="906215" spans="15:15" x14ac:dyDescent="0.25">
      <c r="O906215" s="9"/>
    </row>
    <row r="906236" spans="15:15" x14ac:dyDescent="0.25">
      <c r="O906236" s="9"/>
    </row>
    <row r="906257" spans="15:15" x14ac:dyDescent="0.25">
      <c r="O906257" s="9"/>
    </row>
    <row r="906278" spans="15:15" x14ac:dyDescent="0.25">
      <c r="O906278" s="9"/>
    </row>
    <row r="906299" spans="15:15" x14ac:dyDescent="0.25">
      <c r="O906299" s="9"/>
    </row>
    <row r="906320" spans="15:15" x14ac:dyDescent="0.25">
      <c r="O906320" s="9"/>
    </row>
    <row r="906341" spans="15:15" x14ac:dyDescent="0.25">
      <c r="O906341" s="9"/>
    </row>
    <row r="906362" spans="15:15" x14ac:dyDescent="0.25">
      <c r="O906362" s="9"/>
    </row>
    <row r="906383" spans="15:15" x14ac:dyDescent="0.25">
      <c r="O906383" s="9"/>
    </row>
    <row r="906404" spans="15:15" x14ac:dyDescent="0.25">
      <c r="O906404" s="9"/>
    </row>
    <row r="906425" spans="15:15" x14ac:dyDescent="0.25">
      <c r="O906425" s="9"/>
    </row>
    <row r="906446" spans="15:15" x14ac:dyDescent="0.25">
      <c r="O906446" s="9"/>
    </row>
    <row r="906467" spans="15:15" x14ac:dyDescent="0.25">
      <c r="O906467" s="9"/>
    </row>
    <row r="906488" spans="15:15" x14ac:dyDescent="0.25">
      <c r="O906488" s="9"/>
    </row>
    <row r="906509" spans="15:15" x14ac:dyDescent="0.25">
      <c r="O906509" s="9"/>
    </row>
    <row r="906530" spans="15:15" x14ac:dyDescent="0.25">
      <c r="O906530" s="9"/>
    </row>
    <row r="906551" spans="15:15" x14ac:dyDescent="0.25">
      <c r="O906551" s="9"/>
    </row>
    <row r="906572" spans="15:15" x14ac:dyDescent="0.25">
      <c r="O906572" s="9"/>
    </row>
    <row r="906593" spans="15:15" x14ac:dyDescent="0.25">
      <c r="O906593" s="9"/>
    </row>
    <row r="906614" spans="15:15" x14ac:dyDescent="0.25">
      <c r="O906614" s="9"/>
    </row>
    <row r="906635" spans="15:15" x14ac:dyDescent="0.25">
      <c r="O906635" s="9"/>
    </row>
    <row r="906656" spans="15:15" x14ac:dyDescent="0.25">
      <c r="O906656" s="9"/>
    </row>
    <row r="906677" spans="15:15" x14ac:dyDescent="0.25">
      <c r="O906677" s="9"/>
    </row>
    <row r="906698" spans="15:15" x14ac:dyDescent="0.25">
      <c r="O906698" s="9"/>
    </row>
    <row r="906719" spans="15:15" x14ac:dyDescent="0.25">
      <c r="O906719" s="9"/>
    </row>
    <row r="906740" spans="15:15" x14ac:dyDescent="0.25">
      <c r="O906740" s="9"/>
    </row>
    <row r="906761" spans="15:15" x14ac:dyDescent="0.25">
      <c r="O906761" s="9"/>
    </row>
    <row r="906782" spans="15:15" x14ac:dyDescent="0.25">
      <c r="O906782" s="9"/>
    </row>
    <row r="906803" spans="15:15" x14ac:dyDescent="0.25">
      <c r="O906803" s="9"/>
    </row>
    <row r="906824" spans="15:15" x14ac:dyDescent="0.25">
      <c r="O906824" s="9"/>
    </row>
    <row r="906845" spans="15:15" x14ac:dyDescent="0.25">
      <c r="O906845" s="9"/>
    </row>
    <row r="906866" spans="15:15" x14ac:dyDescent="0.25">
      <c r="O906866" s="9"/>
    </row>
    <row r="906887" spans="15:15" x14ac:dyDescent="0.25">
      <c r="O906887" s="9"/>
    </row>
    <row r="906908" spans="15:15" x14ac:dyDescent="0.25">
      <c r="O906908" s="9"/>
    </row>
    <row r="906929" spans="15:15" x14ac:dyDescent="0.25">
      <c r="O906929" s="9"/>
    </row>
    <row r="906950" spans="15:15" x14ac:dyDescent="0.25">
      <c r="O906950" s="9"/>
    </row>
    <row r="906971" spans="15:15" x14ac:dyDescent="0.25">
      <c r="O906971" s="9"/>
    </row>
    <row r="906992" spans="15:15" x14ac:dyDescent="0.25">
      <c r="O906992" s="9"/>
    </row>
    <row r="907013" spans="15:15" x14ac:dyDescent="0.25">
      <c r="O907013" s="9"/>
    </row>
    <row r="907034" spans="15:15" x14ac:dyDescent="0.25">
      <c r="O907034" s="9"/>
    </row>
    <row r="907055" spans="15:15" x14ac:dyDescent="0.25">
      <c r="O907055" s="9"/>
    </row>
    <row r="907076" spans="15:15" x14ac:dyDescent="0.25">
      <c r="O907076" s="9"/>
    </row>
    <row r="907097" spans="15:15" x14ac:dyDescent="0.25">
      <c r="O907097" s="9"/>
    </row>
    <row r="907118" spans="15:15" x14ac:dyDescent="0.25">
      <c r="O907118" s="9"/>
    </row>
    <row r="907139" spans="15:15" x14ac:dyDescent="0.25">
      <c r="O907139" s="9"/>
    </row>
    <row r="907160" spans="15:15" x14ac:dyDescent="0.25">
      <c r="O907160" s="9"/>
    </row>
    <row r="907181" spans="15:15" x14ac:dyDescent="0.25">
      <c r="O907181" s="9"/>
    </row>
    <row r="907202" spans="15:15" x14ac:dyDescent="0.25">
      <c r="O907202" s="9"/>
    </row>
    <row r="907223" spans="15:15" x14ac:dyDescent="0.25">
      <c r="O907223" s="9"/>
    </row>
    <row r="907244" spans="15:15" x14ac:dyDescent="0.25">
      <c r="O907244" s="9"/>
    </row>
    <row r="907265" spans="15:15" x14ac:dyDescent="0.25">
      <c r="O907265" s="9"/>
    </row>
    <row r="907286" spans="15:15" x14ac:dyDescent="0.25">
      <c r="O907286" s="9"/>
    </row>
    <row r="907307" spans="15:15" x14ac:dyDescent="0.25">
      <c r="O907307" s="9"/>
    </row>
    <row r="907328" spans="15:15" x14ac:dyDescent="0.25">
      <c r="O907328" s="9"/>
    </row>
    <row r="907349" spans="15:15" x14ac:dyDescent="0.25">
      <c r="O907349" s="9"/>
    </row>
    <row r="907370" spans="15:15" x14ac:dyDescent="0.25">
      <c r="O907370" s="9"/>
    </row>
    <row r="907391" spans="15:15" x14ac:dyDescent="0.25">
      <c r="O907391" s="9"/>
    </row>
    <row r="907412" spans="15:15" x14ac:dyDescent="0.25">
      <c r="O907412" s="9"/>
    </row>
    <row r="907433" spans="15:15" x14ac:dyDescent="0.25">
      <c r="O907433" s="9"/>
    </row>
    <row r="907454" spans="15:15" x14ac:dyDescent="0.25">
      <c r="O907454" s="9"/>
    </row>
    <row r="907475" spans="15:15" x14ac:dyDescent="0.25">
      <c r="O907475" s="9"/>
    </row>
    <row r="907496" spans="15:15" x14ac:dyDescent="0.25">
      <c r="O907496" s="9"/>
    </row>
    <row r="907517" spans="15:15" x14ac:dyDescent="0.25">
      <c r="O907517" s="9"/>
    </row>
    <row r="907538" spans="15:15" x14ac:dyDescent="0.25">
      <c r="O907538" s="9"/>
    </row>
    <row r="907559" spans="15:15" x14ac:dyDescent="0.25">
      <c r="O907559" s="9"/>
    </row>
    <row r="907580" spans="15:15" x14ac:dyDescent="0.25">
      <c r="O907580" s="9"/>
    </row>
    <row r="907601" spans="15:15" x14ac:dyDescent="0.25">
      <c r="O907601" s="9"/>
    </row>
    <row r="907622" spans="15:15" x14ac:dyDescent="0.25">
      <c r="O907622" s="9"/>
    </row>
    <row r="907643" spans="15:15" x14ac:dyDescent="0.25">
      <c r="O907643" s="9"/>
    </row>
    <row r="907664" spans="15:15" x14ac:dyDescent="0.25">
      <c r="O907664" s="9"/>
    </row>
    <row r="907685" spans="15:15" x14ac:dyDescent="0.25">
      <c r="O907685" s="9"/>
    </row>
    <row r="907706" spans="15:15" x14ac:dyDescent="0.25">
      <c r="O907706" s="9"/>
    </row>
    <row r="907727" spans="15:15" x14ac:dyDescent="0.25">
      <c r="O907727" s="9"/>
    </row>
    <row r="907748" spans="15:15" x14ac:dyDescent="0.25">
      <c r="O907748" s="9"/>
    </row>
    <row r="907769" spans="15:15" x14ac:dyDescent="0.25">
      <c r="O907769" s="9"/>
    </row>
    <row r="907790" spans="15:15" x14ac:dyDescent="0.25">
      <c r="O907790" s="9"/>
    </row>
    <row r="907811" spans="15:15" x14ac:dyDescent="0.25">
      <c r="O907811" s="9"/>
    </row>
    <row r="907832" spans="15:15" x14ac:dyDescent="0.25">
      <c r="O907832" s="9"/>
    </row>
    <row r="907853" spans="15:15" x14ac:dyDescent="0.25">
      <c r="O907853" s="9"/>
    </row>
    <row r="907874" spans="15:15" x14ac:dyDescent="0.25">
      <c r="O907874" s="9"/>
    </row>
    <row r="907895" spans="15:15" x14ac:dyDescent="0.25">
      <c r="O907895" s="9"/>
    </row>
    <row r="907916" spans="15:15" x14ac:dyDescent="0.25">
      <c r="O907916" s="9"/>
    </row>
    <row r="907937" spans="15:15" x14ac:dyDescent="0.25">
      <c r="O907937" s="9"/>
    </row>
    <row r="907958" spans="15:15" x14ac:dyDescent="0.25">
      <c r="O907958" s="9"/>
    </row>
    <row r="907979" spans="15:15" x14ac:dyDescent="0.25">
      <c r="O907979" s="9"/>
    </row>
    <row r="908000" spans="15:15" x14ac:dyDescent="0.25">
      <c r="O908000" s="9"/>
    </row>
    <row r="908021" spans="15:15" x14ac:dyDescent="0.25">
      <c r="O908021" s="9"/>
    </row>
    <row r="908042" spans="15:15" x14ac:dyDescent="0.25">
      <c r="O908042" s="9"/>
    </row>
    <row r="908063" spans="15:15" x14ac:dyDescent="0.25">
      <c r="O908063" s="9"/>
    </row>
    <row r="908084" spans="15:15" x14ac:dyDescent="0.25">
      <c r="O908084" s="9"/>
    </row>
    <row r="908105" spans="15:15" x14ac:dyDescent="0.25">
      <c r="O908105" s="9"/>
    </row>
    <row r="908126" spans="15:15" x14ac:dyDescent="0.25">
      <c r="O908126" s="9"/>
    </row>
    <row r="908147" spans="15:15" x14ac:dyDescent="0.25">
      <c r="O908147" s="9"/>
    </row>
    <row r="908168" spans="15:15" x14ac:dyDescent="0.25">
      <c r="O908168" s="9"/>
    </row>
    <row r="908189" spans="15:15" x14ac:dyDescent="0.25">
      <c r="O908189" s="9"/>
    </row>
    <row r="908210" spans="15:15" x14ac:dyDescent="0.25">
      <c r="O908210" s="9"/>
    </row>
    <row r="908231" spans="15:15" x14ac:dyDescent="0.25">
      <c r="O908231" s="9"/>
    </row>
    <row r="908252" spans="15:15" x14ac:dyDescent="0.25">
      <c r="O908252" s="9"/>
    </row>
    <row r="908273" spans="15:15" x14ac:dyDescent="0.25">
      <c r="O908273" s="9"/>
    </row>
    <row r="908294" spans="15:15" x14ac:dyDescent="0.25">
      <c r="O908294" s="9"/>
    </row>
    <row r="908315" spans="15:15" x14ac:dyDescent="0.25">
      <c r="O908315" s="9"/>
    </row>
    <row r="908336" spans="15:15" x14ac:dyDescent="0.25">
      <c r="O908336" s="9"/>
    </row>
    <row r="908357" spans="15:15" x14ac:dyDescent="0.25">
      <c r="O908357" s="9"/>
    </row>
    <row r="908378" spans="15:15" x14ac:dyDescent="0.25">
      <c r="O908378" s="9"/>
    </row>
    <row r="908399" spans="15:15" x14ac:dyDescent="0.25">
      <c r="O908399" s="9"/>
    </row>
    <row r="908420" spans="15:15" x14ac:dyDescent="0.25">
      <c r="O908420" s="9"/>
    </row>
    <row r="908441" spans="15:15" x14ac:dyDescent="0.25">
      <c r="O908441" s="9"/>
    </row>
    <row r="908462" spans="15:15" x14ac:dyDescent="0.25">
      <c r="O908462" s="9"/>
    </row>
    <row r="908483" spans="15:15" x14ac:dyDescent="0.25">
      <c r="O908483" s="9"/>
    </row>
    <row r="908504" spans="15:15" x14ac:dyDescent="0.25">
      <c r="O908504" s="9"/>
    </row>
    <row r="908525" spans="15:15" x14ac:dyDescent="0.25">
      <c r="O908525" s="9"/>
    </row>
    <row r="908546" spans="15:15" x14ac:dyDescent="0.25">
      <c r="O908546" s="9"/>
    </row>
    <row r="908567" spans="15:15" x14ac:dyDescent="0.25">
      <c r="O908567" s="9"/>
    </row>
    <row r="908588" spans="15:15" x14ac:dyDescent="0.25">
      <c r="O908588" s="9"/>
    </row>
    <row r="908609" spans="15:15" x14ac:dyDescent="0.25">
      <c r="O908609" s="9"/>
    </row>
    <row r="908630" spans="15:15" x14ac:dyDescent="0.25">
      <c r="O908630" s="9"/>
    </row>
    <row r="908651" spans="15:15" x14ac:dyDescent="0.25">
      <c r="O908651" s="9"/>
    </row>
    <row r="908672" spans="15:15" x14ac:dyDescent="0.25">
      <c r="O908672" s="9"/>
    </row>
    <row r="908693" spans="15:15" x14ac:dyDescent="0.25">
      <c r="O908693" s="9"/>
    </row>
    <row r="908714" spans="15:15" x14ac:dyDescent="0.25">
      <c r="O908714" s="9"/>
    </row>
    <row r="908735" spans="15:15" x14ac:dyDescent="0.25">
      <c r="O908735" s="9"/>
    </row>
    <row r="908756" spans="15:15" x14ac:dyDescent="0.25">
      <c r="O908756" s="9"/>
    </row>
    <row r="908777" spans="15:15" x14ac:dyDescent="0.25">
      <c r="O908777" s="9"/>
    </row>
    <row r="908798" spans="15:15" x14ac:dyDescent="0.25">
      <c r="O908798" s="9"/>
    </row>
    <row r="908819" spans="15:15" x14ac:dyDescent="0.25">
      <c r="O908819" s="9"/>
    </row>
    <row r="908840" spans="15:15" x14ac:dyDescent="0.25">
      <c r="O908840" s="9"/>
    </row>
    <row r="908861" spans="15:15" x14ac:dyDescent="0.25">
      <c r="O908861" s="9"/>
    </row>
    <row r="908882" spans="15:15" x14ac:dyDescent="0.25">
      <c r="O908882" s="9"/>
    </row>
    <row r="908903" spans="15:15" x14ac:dyDescent="0.25">
      <c r="O908903" s="9"/>
    </row>
    <row r="908924" spans="15:15" x14ac:dyDescent="0.25">
      <c r="O908924" s="9"/>
    </row>
    <row r="908945" spans="15:15" x14ac:dyDescent="0.25">
      <c r="O908945" s="9"/>
    </row>
    <row r="908966" spans="15:15" x14ac:dyDescent="0.25">
      <c r="O908966" s="9"/>
    </row>
    <row r="908987" spans="15:15" x14ac:dyDescent="0.25">
      <c r="O908987" s="9"/>
    </row>
    <row r="909008" spans="15:15" x14ac:dyDescent="0.25">
      <c r="O909008" s="9"/>
    </row>
    <row r="909029" spans="15:15" x14ac:dyDescent="0.25">
      <c r="O909029" s="9"/>
    </row>
    <row r="909050" spans="15:15" x14ac:dyDescent="0.25">
      <c r="O909050" s="9"/>
    </row>
    <row r="909071" spans="15:15" x14ac:dyDescent="0.25">
      <c r="O909071" s="9"/>
    </row>
    <row r="909092" spans="15:15" x14ac:dyDescent="0.25">
      <c r="O909092" s="9"/>
    </row>
    <row r="909113" spans="15:15" x14ac:dyDescent="0.25">
      <c r="O909113" s="9"/>
    </row>
    <row r="909134" spans="15:15" x14ac:dyDescent="0.25">
      <c r="O909134" s="9"/>
    </row>
    <row r="909155" spans="15:15" x14ac:dyDescent="0.25">
      <c r="O909155" s="9"/>
    </row>
    <row r="909176" spans="15:15" x14ac:dyDescent="0.25">
      <c r="O909176" s="9"/>
    </row>
    <row r="909197" spans="15:15" x14ac:dyDescent="0.25">
      <c r="O909197" s="9"/>
    </row>
    <row r="909218" spans="15:15" x14ac:dyDescent="0.25">
      <c r="O909218" s="9"/>
    </row>
    <row r="909239" spans="15:15" x14ac:dyDescent="0.25">
      <c r="O909239" s="9"/>
    </row>
    <row r="909260" spans="15:15" x14ac:dyDescent="0.25">
      <c r="O909260" s="9"/>
    </row>
    <row r="909281" spans="15:15" x14ac:dyDescent="0.25">
      <c r="O909281" s="9"/>
    </row>
    <row r="909302" spans="15:15" x14ac:dyDescent="0.25">
      <c r="O909302" s="9"/>
    </row>
    <row r="909323" spans="15:15" x14ac:dyDescent="0.25">
      <c r="O909323" s="9"/>
    </row>
    <row r="909344" spans="15:15" x14ac:dyDescent="0.25">
      <c r="O909344" s="9"/>
    </row>
    <row r="909365" spans="15:15" x14ac:dyDescent="0.25">
      <c r="O909365" s="9"/>
    </row>
    <row r="909386" spans="15:15" x14ac:dyDescent="0.25">
      <c r="O909386" s="9"/>
    </row>
    <row r="909407" spans="15:15" x14ac:dyDescent="0.25">
      <c r="O909407" s="9"/>
    </row>
    <row r="909428" spans="15:15" x14ac:dyDescent="0.25">
      <c r="O909428" s="9"/>
    </row>
    <row r="909449" spans="15:15" x14ac:dyDescent="0.25">
      <c r="O909449" s="9"/>
    </row>
    <row r="909470" spans="15:15" x14ac:dyDescent="0.25">
      <c r="O909470" s="9"/>
    </row>
    <row r="909491" spans="15:15" x14ac:dyDescent="0.25">
      <c r="O909491" s="9"/>
    </row>
    <row r="909512" spans="15:15" x14ac:dyDescent="0.25">
      <c r="O909512" s="9"/>
    </row>
    <row r="909533" spans="15:15" x14ac:dyDescent="0.25">
      <c r="O909533" s="9"/>
    </row>
    <row r="909554" spans="15:15" x14ac:dyDescent="0.25">
      <c r="O909554" s="9"/>
    </row>
    <row r="909575" spans="15:15" x14ac:dyDescent="0.25">
      <c r="O909575" s="9"/>
    </row>
    <row r="909596" spans="15:15" x14ac:dyDescent="0.25">
      <c r="O909596" s="9"/>
    </row>
    <row r="909617" spans="15:15" x14ac:dyDescent="0.25">
      <c r="O909617" s="9"/>
    </row>
    <row r="909638" spans="15:15" x14ac:dyDescent="0.25">
      <c r="O909638" s="9"/>
    </row>
    <row r="909659" spans="15:15" x14ac:dyDescent="0.25">
      <c r="O909659" s="9"/>
    </row>
    <row r="909680" spans="15:15" x14ac:dyDescent="0.25">
      <c r="O909680" s="9"/>
    </row>
    <row r="909701" spans="15:15" x14ac:dyDescent="0.25">
      <c r="O909701" s="9"/>
    </row>
    <row r="909722" spans="15:15" x14ac:dyDescent="0.25">
      <c r="O909722" s="9"/>
    </row>
    <row r="909743" spans="15:15" x14ac:dyDescent="0.25">
      <c r="O909743" s="9"/>
    </row>
    <row r="909764" spans="15:15" x14ac:dyDescent="0.25">
      <c r="O909764" s="9"/>
    </row>
    <row r="909785" spans="15:15" x14ac:dyDescent="0.25">
      <c r="O909785" s="9"/>
    </row>
    <row r="909806" spans="15:15" x14ac:dyDescent="0.25">
      <c r="O909806" s="9"/>
    </row>
    <row r="909827" spans="15:15" x14ac:dyDescent="0.25">
      <c r="O909827" s="9"/>
    </row>
    <row r="909848" spans="15:15" x14ac:dyDescent="0.25">
      <c r="O909848" s="9"/>
    </row>
    <row r="909869" spans="15:15" x14ac:dyDescent="0.25">
      <c r="O909869" s="9"/>
    </row>
    <row r="909890" spans="15:15" x14ac:dyDescent="0.25">
      <c r="O909890" s="9"/>
    </row>
    <row r="909911" spans="15:15" x14ac:dyDescent="0.25">
      <c r="O909911" s="9"/>
    </row>
    <row r="909932" spans="15:15" x14ac:dyDescent="0.25">
      <c r="O909932" s="9"/>
    </row>
    <row r="909953" spans="15:15" x14ac:dyDescent="0.25">
      <c r="O909953" s="9"/>
    </row>
    <row r="909974" spans="15:15" x14ac:dyDescent="0.25">
      <c r="O909974" s="9"/>
    </row>
    <row r="909995" spans="15:15" x14ac:dyDescent="0.25">
      <c r="O909995" s="9"/>
    </row>
    <row r="910016" spans="15:15" x14ac:dyDescent="0.25">
      <c r="O910016" s="9"/>
    </row>
    <row r="910037" spans="15:15" x14ac:dyDescent="0.25">
      <c r="O910037" s="9"/>
    </row>
    <row r="910058" spans="15:15" x14ac:dyDescent="0.25">
      <c r="O910058" s="9"/>
    </row>
    <row r="910079" spans="15:15" x14ac:dyDescent="0.25">
      <c r="O910079" s="9"/>
    </row>
    <row r="910100" spans="15:15" x14ac:dyDescent="0.25">
      <c r="O910100" s="9"/>
    </row>
    <row r="910121" spans="15:15" x14ac:dyDescent="0.25">
      <c r="O910121" s="9"/>
    </row>
    <row r="910142" spans="15:15" x14ac:dyDescent="0.25">
      <c r="O910142" s="9"/>
    </row>
    <row r="910163" spans="15:15" x14ac:dyDescent="0.25">
      <c r="O910163" s="9"/>
    </row>
    <row r="910184" spans="15:15" x14ac:dyDescent="0.25">
      <c r="O910184" s="9"/>
    </row>
    <row r="910205" spans="15:15" x14ac:dyDescent="0.25">
      <c r="O910205" s="9"/>
    </row>
    <row r="910226" spans="15:15" x14ac:dyDescent="0.25">
      <c r="O910226" s="9"/>
    </row>
    <row r="910247" spans="15:15" x14ac:dyDescent="0.25">
      <c r="O910247" s="9"/>
    </row>
    <row r="910268" spans="15:15" x14ac:dyDescent="0.25">
      <c r="O910268" s="9"/>
    </row>
    <row r="910289" spans="15:15" x14ac:dyDescent="0.25">
      <c r="O910289" s="9"/>
    </row>
    <row r="910310" spans="15:15" x14ac:dyDescent="0.25">
      <c r="O910310" s="9"/>
    </row>
    <row r="910331" spans="15:15" x14ac:dyDescent="0.25">
      <c r="O910331" s="9"/>
    </row>
    <row r="910352" spans="15:15" x14ac:dyDescent="0.25">
      <c r="O910352" s="9"/>
    </row>
    <row r="910373" spans="15:15" x14ac:dyDescent="0.25">
      <c r="O910373" s="9"/>
    </row>
    <row r="910394" spans="15:15" x14ac:dyDescent="0.25">
      <c r="O910394" s="9"/>
    </row>
    <row r="910415" spans="15:15" x14ac:dyDescent="0.25">
      <c r="O910415" s="9"/>
    </row>
    <row r="910436" spans="15:15" x14ac:dyDescent="0.25">
      <c r="O910436" s="9"/>
    </row>
    <row r="910457" spans="15:15" x14ac:dyDescent="0.25">
      <c r="O910457" s="9"/>
    </row>
    <row r="910478" spans="15:15" x14ac:dyDescent="0.25">
      <c r="O910478" s="9"/>
    </row>
    <row r="910499" spans="15:15" x14ac:dyDescent="0.25">
      <c r="O910499" s="9"/>
    </row>
    <row r="910520" spans="15:15" x14ac:dyDescent="0.25">
      <c r="O910520" s="9"/>
    </row>
    <row r="910541" spans="15:15" x14ac:dyDescent="0.25">
      <c r="O910541" s="9"/>
    </row>
    <row r="910562" spans="15:15" x14ac:dyDescent="0.25">
      <c r="O910562" s="9"/>
    </row>
    <row r="910583" spans="15:15" x14ac:dyDescent="0.25">
      <c r="O910583" s="9"/>
    </row>
    <row r="910604" spans="15:15" x14ac:dyDescent="0.25">
      <c r="O910604" s="9"/>
    </row>
    <row r="910625" spans="15:15" x14ac:dyDescent="0.25">
      <c r="O910625" s="9"/>
    </row>
    <row r="910646" spans="15:15" x14ac:dyDescent="0.25">
      <c r="O910646" s="9"/>
    </row>
    <row r="910667" spans="15:15" x14ac:dyDescent="0.25">
      <c r="O910667" s="9"/>
    </row>
    <row r="910688" spans="15:15" x14ac:dyDescent="0.25">
      <c r="O910688" s="9"/>
    </row>
    <row r="910709" spans="15:15" x14ac:dyDescent="0.25">
      <c r="O910709" s="9"/>
    </row>
    <row r="910730" spans="15:15" x14ac:dyDescent="0.25">
      <c r="O910730" s="9"/>
    </row>
    <row r="910751" spans="15:15" x14ac:dyDescent="0.25">
      <c r="O910751" s="9"/>
    </row>
    <row r="910772" spans="15:15" x14ac:dyDescent="0.25">
      <c r="O910772" s="9"/>
    </row>
    <row r="910793" spans="15:15" x14ac:dyDescent="0.25">
      <c r="O910793" s="9"/>
    </row>
    <row r="910814" spans="15:15" x14ac:dyDescent="0.25">
      <c r="O910814" s="9"/>
    </row>
    <row r="910835" spans="15:15" x14ac:dyDescent="0.25">
      <c r="O910835" s="9"/>
    </row>
    <row r="910856" spans="15:15" x14ac:dyDescent="0.25">
      <c r="O910856" s="9"/>
    </row>
    <row r="910877" spans="15:15" x14ac:dyDescent="0.25">
      <c r="O910877" s="9"/>
    </row>
    <row r="910898" spans="15:15" x14ac:dyDescent="0.25">
      <c r="O910898" s="9"/>
    </row>
    <row r="910919" spans="15:15" x14ac:dyDescent="0.25">
      <c r="O910919" s="9"/>
    </row>
    <row r="910940" spans="15:15" x14ac:dyDescent="0.25">
      <c r="O910940" s="9"/>
    </row>
    <row r="910961" spans="15:15" x14ac:dyDescent="0.25">
      <c r="O910961" s="9"/>
    </row>
    <row r="910982" spans="15:15" x14ac:dyDescent="0.25">
      <c r="O910982" s="9"/>
    </row>
    <row r="911003" spans="15:15" x14ac:dyDescent="0.25">
      <c r="O911003" s="9"/>
    </row>
    <row r="911024" spans="15:15" x14ac:dyDescent="0.25">
      <c r="O911024" s="9"/>
    </row>
    <row r="911045" spans="15:15" x14ac:dyDescent="0.25">
      <c r="O911045" s="9"/>
    </row>
    <row r="911066" spans="15:15" x14ac:dyDescent="0.25">
      <c r="O911066" s="9"/>
    </row>
    <row r="911087" spans="15:15" x14ac:dyDescent="0.25">
      <c r="O911087" s="9"/>
    </row>
    <row r="911108" spans="15:15" x14ac:dyDescent="0.25">
      <c r="O911108" s="9"/>
    </row>
    <row r="911129" spans="15:15" x14ac:dyDescent="0.25">
      <c r="O911129" s="9"/>
    </row>
    <row r="911150" spans="15:15" x14ac:dyDescent="0.25">
      <c r="O911150" s="9"/>
    </row>
    <row r="911171" spans="15:15" x14ac:dyDescent="0.25">
      <c r="O911171" s="9"/>
    </row>
    <row r="911192" spans="15:15" x14ac:dyDescent="0.25">
      <c r="O911192" s="9"/>
    </row>
    <row r="911213" spans="15:15" x14ac:dyDescent="0.25">
      <c r="O911213" s="9"/>
    </row>
    <row r="911234" spans="15:15" x14ac:dyDescent="0.25">
      <c r="O911234" s="9"/>
    </row>
    <row r="911255" spans="15:15" x14ac:dyDescent="0.25">
      <c r="O911255" s="9"/>
    </row>
    <row r="911276" spans="15:15" x14ac:dyDescent="0.25">
      <c r="O911276" s="9"/>
    </row>
    <row r="911297" spans="15:15" x14ac:dyDescent="0.25">
      <c r="O911297" s="9"/>
    </row>
    <row r="911318" spans="15:15" x14ac:dyDescent="0.25">
      <c r="O911318" s="9"/>
    </row>
    <row r="911339" spans="15:15" x14ac:dyDescent="0.25">
      <c r="O911339" s="9"/>
    </row>
    <row r="911360" spans="15:15" x14ac:dyDescent="0.25">
      <c r="O911360" s="9"/>
    </row>
    <row r="911381" spans="15:15" x14ac:dyDescent="0.25">
      <c r="O911381" s="9"/>
    </row>
    <row r="911402" spans="15:15" x14ac:dyDescent="0.25">
      <c r="O911402" s="9"/>
    </row>
    <row r="911423" spans="15:15" x14ac:dyDescent="0.25">
      <c r="O911423" s="9"/>
    </row>
    <row r="911444" spans="15:15" x14ac:dyDescent="0.25">
      <c r="O911444" s="9"/>
    </row>
    <row r="911465" spans="15:15" x14ac:dyDescent="0.25">
      <c r="O911465" s="9"/>
    </row>
    <row r="911486" spans="15:15" x14ac:dyDescent="0.25">
      <c r="O911486" s="9"/>
    </row>
    <row r="911507" spans="15:15" x14ac:dyDescent="0.25">
      <c r="O911507" s="9"/>
    </row>
    <row r="911528" spans="15:15" x14ac:dyDescent="0.25">
      <c r="O911528" s="9"/>
    </row>
    <row r="911549" spans="15:15" x14ac:dyDescent="0.25">
      <c r="O911549" s="9"/>
    </row>
    <row r="911570" spans="15:15" x14ac:dyDescent="0.25">
      <c r="O911570" s="9"/>
    </row>
    <row r="911591" spans="15:15" x14ac:dyDescent="0.25">
      <c r="O911591" s="9"/>
    </row>
    <row r="911612" spans="15:15" x14ac:dyDescent="0.25">
      <c r="O911612" s="9"/>
    </row>
    <row r="911633" spans="15:15" x14ac:dyDescent="0.25">
      <c r="O911633" s="9"/>
    </row>
    <row r="911654" spans="15:15" x14ac:dyDescent="0.25">
      <c r="O911654" s="9"/>
    </row>
    <row r="911675" spans="15:15" x14ac:dyDescent="0.25">
      <c r="O911675" s="9"/>
    </row>
    <row r="911696" spans="15:15" x14ac:dyDescent="0.25">
      <c r="O911696" s="9"/>
    </row>
    <row r="911717" spans="15:15" x14ac:dyDescent="0.25">
      <c r="O911717" s="9"/>
    </row>
    <row r="911738" spans="15:15" x14ac:dyDescent="0.25">
      <c r="O911738" s="9"/>
    </row>
    <row r="911759" spans="15:15" x14ac:dyDescent="0.25">
      <c r="O911759" s="9"/>
    </row>
    <row r="911780" spans="15:15" x14ac:dyDescent="0.25">
      <c r="O911780" s="9"/>
    </row>
    <row r="911801" spans="15:15" x14ac:dyDescent="0.25">
      <c r="O911801" s="9"/>
    </row>
    <row r="911822" spans="15:15" x14ac:dyDescent="0.25">
      <c r="O911822" s="9"/>
    </row>
    <row r="911843" spans="15:15" x14ac:dyDescent="0.25">
      <c r="O911843" s="9"/>
    </row>
    <row r="911864" spans="15:15" x14ac:dyDescent="0.25">
      <c r="O911864" s="9"/>
    </row>
    <row r="911885" spans="15:15" x14ac:dyDescent="0.25">
      <c r="O911885" s="9"/>
    </row>
    <row r="911906" spans="15:15" x14ac:dyDescent="0.25">
      <c r="O911906" s="9"/>
    </row>
    <row r="911927" spans="15:15" x14ac:dyDescent="0.25">
      <c r="O911927" s="9"/>
    </row>
    <row r="911948" spans="15:15" x14ac:dyDescent="0.25">
      <c r="O911948" s="9"/>
    </row>
    <row r="911969" spans="15:15" x14ac:dyDescent="0.25">
      <c r="O911969" s="9"/>
    </row>
    <row r="911990" spans="15:15" x14ac:dyDescent="0.25">
      <c r="O911990" s="9"/>
    </row>
    <row r="912011" spans="15:15" x14ac:dyDescent="0.25">
      <c r="O912011" s="9"/>
    </row>
    <row r="912032" spans="15:15" x14ac:dyDescent="0.25">
      <c r="O912032" s="9"/>
    </row>
    <row r="912053" spans="15:15" x14ac:dyDescent="0.25">
      <c r="O912053" s="9"/>
    </row>
    <row r="912074" spans="15:15" x14ac:dyDescent="0.25">
      <c r="O912074" s="9"/>
    </row>
    <row r="912095" spans="15:15" x14ac:dyDescent="0.25">
      <c r="O912095" s="9"/>
    </row>
    <row r="912116" spans="15:15" x14ac:dyDescent="0.25">
      <c r="O912116" s="9"/>
    </row>
    <row r="912137" spans="15:15" x14ac:dyDescent="0.25">
      <c r="O912137" s="9"/>
    </row>
    <row r="912158" spans="15:15" x14ac:dyDescent="0.25">
      <c r="O912158" s="9"/>
    </row>
    <row r="912179" spans="15:15" x14ac:dyDescent="0.25">
      <c r="O912179" s="9"/>
    </row>
    <row r="912200" spans="15:15" x14ac:dyDescent="0.25">
      <c r="O912200" s="9"/>
    </row>
    <row r="912221" spans="15:15" x14ac:dyDescent="0.25">
      <c r="O912221" s="9"/>
    </row>
    <row r="912242" spans="15:15" x14ac:dyDescent="0.25">
      <c r="O912242" s="9"/>
    </row>
    <row r="912263" spans="15:15" x14ac:dyDescent="0.25">
      <c r="O912263" s="9"/>
    </row>
    <row r="912284" spans="15:15" x14ac:dyDescent="0.25">
      <c r="O912284" s="9"/>
    </row>
    <row r="912305" spans="15:15" x14ac:dyDescent="0.25">
      <c r="O912305" s="9"/>
    </row>
    <row r="912326" spans="15:15" x14ac:dyDescent="0.25">
      <c r="O912326" s="9"/>
    </row>
    <row r="912347" spans="15:15" x14ac:dyDescent="0.25">
      <c r="O912347" s="9"/>
    </row>
    <row r="912368" spans="15:15" x14ac:dyDescent="0.25">
      <c r="O912368" s="9"/>
    </row>
    <row r="912389" spans="15:15" x14ac:dyDescent="0.25">
      <c r="O912389" s="9"/>
    </row>
    <row r="912410" spans="15:15" x14ac:dyDescent="0.25">
      <c r="O912410" s="9"/>
    </row>
    <row r="912431" spans="15:15" x14ac:dyDescent="0.25">
      <c r="O912431" s="9"/>
    </row>
    <row r="912452" spans="15:15" x14ac:dyDescent="0.25">
      <c r="O912452" s="9"/>
    </row>
    <row r="912473" spans="15:15" x14ac:dyDescent="0.25">
      <c r="O912473" s="9"/>
    </row>
    <row r="912494" spans="15:15" x14ac:dyDescent="0.25">
      <c r="O912494" s="9"/>
    </row>
    <row r="912515" spans="15:15" x14ac:dyDescent="0.25">
      <c r="O912515" s="9"/>
    </row>
    <row r="912536" spans="15:15" x14ac:dyDescent="0.25">
      <c r="O912536" s="9"/>
    </row>
    <row r="912557" spans="15:15" x14ac:dyDescent="0.25">
      <c r="O912557" s="9"/>
    </row>
    <row r="912578" spans="15:15" x14ac:dyDescent="0.25">
      <c r="O912578" s="9"/>
    </row>
    <row r="912599" spans="15:15" x14ac:dyDescent="0.25">
      <c r="O912599" s="9"/>
    </row>
    <row r="912620" spans="15:15" x14ac:dyDescent="0.25">
      <c r="O912620" s="9"/>
    </row>
    <row r="912641" spans="15:15" x14ac:dyDescent="0.25">
      <c r="O912641" s="9"/>
    </row>
    <row r="912662" spans="15:15" x14ac:dyDescent="0.25">
      <c r="O912662" s="9"/>
    </row>
    <row r="912683" spans="15:15" x14ac:dyDescent="0.25">
      <c r="O912683" s="9"/>
    </row>
    <row r="912704" spans="15:15" x14ac:dyDescent="0.25">
      <c r="O912704" s="9"/>
    </row>
    <row r="912725" spans="15:15" x14ac:dyDescent="0.25">
      <c r="O912725" s="9"/>
    </row>
    <row r="912746" spans="15:15" x14ac:dyDescent="0.25">
      <c r="O912746" s="9"/>
    </row>
    <row r="912767" spans="15:15" x14ac:dyDescent="0.25">
      <c r="O912767" s="9"/>
    </row>
    <row r="912788" spans="15:15" x14ac:dyDescent="0.25">
      <c r="O912788" s="9"/>
    </row>
    <row r="912809" spans="15:15" x14ac:dyDescent="0.25">
      <c r="O912809" s="9"/>
    </row>
    <row r="912830" spans="15:15" x14ac:dyDescent="0.25">
      <c r="O912830" s="9"/>
    </row>
    <row r="912851" spans="15:15" x14ac:dyDescent="0.25">
      <c r="O912851" s="9"/>
    </row>
    <row r="912872" spans="15:15" x14ac:dyDescent="0.25">
      <c r="O912872" s="9"/>
    </row>
    <row r="912893" spans="15:15" x14ac:dyDescent="0.25">
      <c r="O912893" s="9"/>
    </row>
    <row r="912914" spans="15:15" x14ac:dyDescent="0.25">
      <c r="O912914" s="9"/>
    </row>
    <row r="912935" spans="15:15" x14ac:dyDescent="0.25">
      <c r="O912935" s="9"/>
    </row>
    <row r="912956" spans="15:15" x14ac:dyDescent="0.25">
      <c r="O912956" s="9"/>
    </row>
    <row r="912977" spans="15:15" x14ac:dyDescent="0.25">
      <c r="O912977" s="9"/>
    </row>
    <row r="912998" spans="15:15" x14ac:dyDescent="0.25">
      <c r="O912998" s="9"/>
    </row>
    <row r="913019" spans="15:15" x14ac:dyDescent="0.25">
      <c r="O913019" s="9"/>
    </row>
    <row r="913040" spans="15:15" x14ac:dyDescent="0.25">
      <c r="O913040" s="9"/>
    </row>
    <row r="913061" spans="15:15" x14ac:dyDescent="0.25">
      <c r="O913061" s="9"/>
    </row>
    <row r="913082" spans="15:15" x14ac:dyDescent="0.25">
      <c r="O913082" s="9"/>
    </row>
    <row r="913103" spans="15:15" x14ac:dyDescent="0.25">
      <c r="O913103" s="9"/>
    </row>
    <row r="913124" spans="15:15" x14ac:dyDescent="0.25">
      <c r="O913124" s="9"/>
    </row>
    <row r="913145" spans="15:15" x14ac:dyDescent="0.25">
      <c r="O913145" s="9"/>
    </row>
    <row r="913166" spans="15:15" x14ac:dyDescent="0.25">
      <c r="O913166" s="9"/>
    </row>
    <row r="913187" spans="15:15" x14ac:dyDescent="0.25">
      <c r="O913187" s="9"/>
    </row>
    <row r="913208" spans="15:15" x14ac:dyDescent="0.25">
      <c r="O913208" s="9"/>
    </row>
    <row r="913229" spans="15:15" x14ac:dyDescent="0.25">
      <c r="O913229" s="9"/>
    </row>
    <row r="913250" spans="15:15" x14ac:dyDescent="0.25">
      <c r="O913250" s="9"/>
    </row>
    <row r="913271" spans="15:15" x14ac:dyDescent="0.25">
      <c r="O913271" s="9"/>
    </row>
    <row r="913292" spans="15:15" x14ac:dyDescent="0.25">
      <c r="O913292" s="9"/>
    </row>
    <row r="913313" spans="15:15" x14ac:dyDescent="0.25">
      <c r="O913313" s="9"/>
    </row>
    <row r="913334" spans="15:15" x14ac:dyDescent="0.25">
      <c r="O913334" s="9"/>
    </row>
    <row r="913355" spans="15:15" x14ac:dyDescent="0.25">
      <c r="O913355" s="9"/>
    </row>
    <row r="913376" spans="15:15" x14ac:dyDescent="0.25">
      <c r="O913376" s="9"/>
    </row>
    <row r="913397" spans="15:15" x14ac:dyDescent="0.25">
      <c r="O913397" s="9"/>
    </row>
    <row r="913418" spans="15:15" x14ac:dyDescent="0.25">
      <c r="O913418" s="9"/>
    </row>
    <row r="913439" spans="15:15" x14ac:dyDescent="0.25">
      <c r="O913439" s="9"/>
    </row>
    <row r="913460" spans="15:15" x14ac:dyDescent="0.25">
      <c r="O913460" s="9"/>
    </row>
    <row r="913481" spans="15:15" x14ac:dyDescent="0.25">
      <c r="O913481" s="9"/>
    </row>
    <row r="913502" spans="15:15" x14ac:dyDescent="0.25">
      <c r="O913502" s="9"/>
    </row>
    <row r="913523" spans="15:15" x14ac:dyDescent="0.25">
      <c r="O913523" s="9"/>
    </row>
    <row r="913544" spans="15:15" x14ac:dyDescent="0.25">
      <c r="O913544" s="9"/>
    </row>
    <row r="913565" spans="15:15" x14ac:dyDescent="0.25">
      <c r="O913565" s="9"/>
    </row>
    <row r="913586" spans="15:15" x14ac:dyDescent="0.25">
      <c r="O913586" s="9"/>
    </row>
    <row r="913607" spans="15:15" x14ac:dyDescent="0.25">
      <c r="O913607" s="9"/>
    </row>
    <row r="913628" spans="15:15" x14ac:dyDescent="0.25">
      <c r="O913628" s="9"/>
    </row>
    <row r="913649" spans="15:15" x14ac:dyDescent="0.25">
      <c r="O913649" s="9"/>
    </row>
    <row r="913670" spans="15:15" x14ac:dyDescent="0.25">
      <c r="O913670" s="9"/>
    </row>
    <row r="913691" spans="15:15" x14ac:dyDescent="0.25">
      <c r="O913691" s="9"/>
    </row>
    <row r="913712" spans="15:15" x14ac:dyDescent="0.25">
      <c r="O913712" s="9"/>
    </row>
    <row r="913733" spans="15:15" x14ac:dyDescent="0.25">
      <c r="O913733" s="9"/>
    </row>
    <row r="913754" spans="15:15" x14ac:dyDescent="0.25">
      <c r="O913754" s="9"/>
    </row>
    <row r="913775" spans="15:15" x14ac:dyDescent="0.25">
      <c r="O913775" s="9"/>
    </row>
    <row r="913796" spans="15:15" x14ac:dyDescent="0.25">
      <c r="O913796" s="9"/>
    </row>
    <row r="913817" spans="15:15" x14ac:dyDescent="0.25">
      <c r="O913817" s="9"/>
    </row>
    <row r="913838" spans="15:15" x14ac:dyDescent="0.25">
      <c r="O913838" s="9"/>
    </row>
    <row r="913859" spans="15:15" x14ac:dyDescent="0.25">
      <c r="O913859" s="9"/>
    </row>
    <row r="913880" spans="15:15" x14ac:dyDescent="0.25">
      <c r="O913880" s="9"/>
    </row>
    <row r="913901" spans="15:15" x14ac:dyDescent="0.25">
      <c r="O913901" s="9"/>
    </row>
    <row r="913922" spans="15:15" x14ac:dyDescent="0.25">
      <c r="O913922" s="9"/>
    </row>
    <row r="913943" spans="15:15" x14ac:dyDescent="0.25">
      <c r="O913943" s="9"/>
    </row>
    <row r="913964" spans="15:15" x14ac:dyDescent="0.25">
      <c r="O913964" s="9"/>
    </row>
    <row r="913985" spans="15:15" x14ac:dyDescent="0.25">
      <c r="O913985" s="9"/>
    </row>
    <row r="914006" spans="15:15" x14ac:dyDescent="0.25">
      <c r="O914006" s="9"/>
    </row>
    <row r="914027" spans="15:15" x14ac:dyDescent="0.25">
      <c r="O914027" s="9"/>
    </row>
    <row r="914048" spans="15:15" x14ac:dyDescent="0.25">
      <c r="O914048" s="9"/>
    </row>
    <row r="914069" spans="15:15" x14ac:dyDescent="0.25">
      <c r="O914069" s="9"/>
    </row>
    <row r="914090" spans="15:15" x14ac:dyDescent="0.25">
      <c r="O914090" s="9"/>
    </row>
    <row r="914111" spans="15:15" x14ac:dyDescent="0.25">
      <c r="O914111" s="9"/>
    </row>
    <row r="914132" spans="15:15" x14ac:dyDescent="0.25">
      <c r="O914132" s="9"/>
    </row>
    <row r="914153" spans="15:15" x14ac:dyDescent="0.25">
      <c r="O914153" s="9"/>
    </row>
    <row r="914174" spans="15:15" x14ac:dyDescent="0.25">
      <c r="O914174" s="9"/>
    </row>
    <row r="914195" spans="15:15" x14ac:dyDescent="0.25">
      <c r="O914195" s="9"/>
    </row>
    <row r="914216" spans="15:15" x14ac:dyDescent="0.25">
      <c r="O914216" s="9"/>
    </row>
    <row r="914237" spans="15:15" x14ac:dyDescent="0.25">
      <c r="O914237" s="9"/>
    </row>
    <row r="914258" spans="15:15" x14ac:dyDescent="0.25">
      <c r="O914258" s="9"/>
    </row>
    <row r="914279" spans="15:15" x14ac:dyDescent="0.25">
      <c r="O914279" s="9"/>
    </row>
    <row r="914300" spans="15:15" x14ac:dyDescent="0.25">
      <c r="O914300" s="9"/>
    </row>
    <row r="914321" spans="15:15" x14ac:dyDescent="0.25">
      <c r="O914321" s="9"/>
    </row>
    <row r="914342" spans="15:15" x14ac:dyDescent="0.25">
      <c r="O914342" s="9"/>
    </row>
    <row r="914363" spans="15:15" x14ac:dyDescent="0.25">
      <c r="O914363" s="9"/>
    </row>
    <row r="914384" spans="15:15" x14ac:dyDescent="0.25">
      <c r="O914384" s="9"/>
    </row>
    <row r="914405" spans="15:15" x14ac:dyDescent="0.25">
      <c r="O914405" s="9"/>
    </row>
    <row r="914426" spans="15:15" x14ac:dyDescent="0.25">
      <c r="O914426" s="9"/>
    </row>
    <row r="914447" spans="15:15" x14ac:dyDescent="0.25">
      <c r="O914447" s="9"/>
    </row>
    <row r="914468" spans="15:15" x14ac:dyDescent="0.25">
      <c r="O914468" s="9"/>
    </row>
    <row r="914489" spans="15:15" x14ac:dyDescent="0.25">
      <c r="O914489" s="9"/>
    </row>
    <row r="914510" spans="15:15" x14ac:dyDescent="0.25">
      <c r="O914510" s="9"/>
    </row>
    <row r="914531" spans="15:15" x14ac:dyDescent="0.25">
      <c r="O914531" s="9"/>
    </row>
    <row r="914552" spans="15:15" x14ac:dyDescent="0.25">
      <c r="O914552" s="9"/>
    </row>
    <row r="914573" spans="15:15" x14ac:dyDescent="0.25">
      <c r="O914573" s="9"/>
    </row>
    <row r="914594" spans="15:15" x14ac:dyDescent="0.25">
      <c r="O914594" s="9"/>
    </row>
    <row r="914615" spans="15:15" x14ac:dyDescent="0.25">
      <c r="O914615" s="9"/>
    </row>
    <row r="914636" spans="15:15" x14ac:dyDescent="0.25">
      <c r="O914636" s="9"/>
    </row>
    <row r="914657" spans="15:15" x14ac:dyDescent="0.25">
      <c r="O914657" s="9"/>
    </row>
    <row r="914678" spans="15:15" x14ac:dyDescent="0.25">
      <c r="O914678" s="9"/>
    </row>
    <row r="914699" spans="15:15" x14ac:dyDescent="0.25">
      <c r="O914699" s="9"/>
    </row>
    <row r="914720" spans="15:15" x14ac:dyDescent="0.25">
      <c r="O914720" s="9"/>
    </row>
    <row r="914741" spans="15:15" x14ac:dyDescent="0.25">
      <c r="O914741" s="9"/>
    </row>
    <row r="914762" spans="15:15" x14ac:dyDescent="0.25">
      <c r="O914762" s="9"/>
    </row>
    <row r="914783" spans="15:15" x14ac:dyDescent="0.25">
      <c r="O914783" s="9"/>
    </row>
    <row r="914804" spans="15:15" x14ac:dyDescent="0.25">
      <c r="O914804" s="9"/>
    </row>
    <row r="914825" spans="15:15" x14ac:dyDescent="0.25">
      <c r="O914825" s="9"/>
    </row>
    <row r="914846" spans="15:15" x14ac:dyDescent="0.25">
      <c r="O914846" s="9"/>
    </row>
    <row r="914867" spans="15:15" x14ac:dyDescent="0.25">
      <c r="O914867" s="9"/>
    </row>
    <row r="914888" spans="15:15" x14ac:dyDescent="0.25">
      <c r="O914888" s="9"/>
    </row>
    <row r="914909" spans="15:15" x14ac:dyDescent="0.25">
      <c r="O914909" s="9"/>
    </row>
    <row r="914930" spans="15:15" x14ac:dyDescent="0.25">
      <c r="O914930" s="9"/>
    </row>
    <row r="914951" spans="15:15" x14ac:dyDescent="0.25">
      <c r="O914951" s="9"/>
    </row>
    <row r="914972" spans="15:15" x14ac:dyDescent="0.25">
      <c r="O914972" s="9"/>
    </row>
    <row r="914993" spans="15:15" x14ac:dyDescent="0.25">
      <c r="O914993" s="9"/>
    </row>
    <row r="915014" spans="15:15" x14ac:dyDescent="0.25">
      <c r="O915014" s="9"/>
    </row>
    <row r="915035" spans="15:15" x14ac:dyDescent="0.25">
      <c r="O915035" s="9"/>
    </row>
    <row r="915056" spans="15:15" x14ac:dyDescent="0.25">
      <c r="O915056" s="9"/>
    </row>
    <row r="915077" spans="15:15" x14ac:dyDescent="0.25">
      <c r="O915077" s="9"/>
    </row>
    <row r="915098" spans="15:15" x14ac:dyDescent="0.25">
      <c r="O915098" s="9"/>
    </row>
    <row r="915119" spans="15:15" x14ac:dyDescent="0.25">
      <c r="O915119" s="9"/>
    </row>
    <row r="915140" spans="15:15" x14ac:dyDescent="0.25">
      <c r="O915140" s="9"/>
    </row>
    <row r="915161" spans="15:15" x14ac:dyDescent="0.25">
      <c r="O915161" s="9"/>
    </row>
    <row r="915182" spans="15:15" x14ac:dyDescent="0.25">
      <c r="O915182" s="9"/>
    </row>
    <row r="915203" spans="15:15" x14ac:dyDescent="0.25">
      <c r="O915203" s="9"/>
    </row>
    <row r="915224" spans="15:15" x14ac:dyDescent="0.25">
      <c r="O915224" s="9"/>
    </row>
    <row r="915245" spans="15:15" x14ac:dyDescent="0.25">
      <c r="O915245" s="9"/>
    </row>
    <row r="915266" spans="15:15" x14ac:dyDescent="0.25">
      <c r="O915266" s="9"/>
    </row>
    <row r="915287" spans="15:15" x14ac:dyDescent="0.25">
      <c r="O915287" s="9"/>
    </row>
    <row r="915308" spans="15:15" x14ac:dyDescent="0.25">
      <c r="O915308" s="9"/>
    </row>
    <row r="915329" spans="15:15" x14ac:dyDescent="0.25">
      <c r="O915329" s="9"/>
    </row>
    <row r="915350" spans="15:15" x14ac:dyDescent="0.25">
      <c r="O915350" s="9"/>
    </row>
    <row r="915371" spans="15:15" x14ac:dyDescent="0.25">
      <c r="O915371" s="9"/>
    </row>
    <row r="915392" spans="15:15" x14ac:dyDescent="0.25">
      <c r="O915392" s="9"/>
    </row>
    <row r="915413" spans="15:15" x14ac:dyDescent="0.25">
      <c r="O915413" s="9"/>
    </row>
    <row r="915434" spans="15:15" x14ac:dyDescent="0.25">
      <c r="O915434" s="9"/>
    </row>
    <row r="915455" spans="15:15" x14ac:dyDescent="0.25">
      <c r="O915455" s="9"/>
    </row>
    <row r="915476" spans="15:15" x14ac:dyDescent="0.25">
      <c r="O915476" s="9"/>
    </row>
    <row r="915497" spans="15:15" x14ac:dyDescent="0.25">
      <c r="O915497" s="9"/>
    </row>
    <row r="915518" spans="15:15" x14ac:dyDescent="0.25">
      <c r="O915518" s="9"/>
    </row>
    <row r="915539" spans="15:15" x14ac:dyDescent="0.25">
      <c r="O915539" s="9"/>
    </row>
    <row r="915560" spans="15:15" x14ac:dyDescent="0.25">
      <c r="O915560" s="9"/>
    </row>
    <row r="915581" spans="15:15" x14ac:dyDescent="0.25">
      <c r="O915581" s="9"/>
    </row>
    <row r="915602" spans="15:15" x14ac:dyDescent="0.25">
      <c r="O915602" s="9"/>
    </row>
    <row r="915623" spans="15:15" x14ac:dyDescent="0.25">
      <c r="O915623" s="9"/>
    </row>
    <row r="915644" spans="15:15" x14ac:dyDescent="0.25">
      <c r="O915644" s="9"/>
    </row>
    <row r="915665" spans="15:15" x14ac:dyDescent="0.25">
      <c r="O915665" s="9"/>
    </row>
    <row r="915686" spans="15:15" x14ac:dyDescent="0.25">
      <c r="O915686" s="9"/>
    </row>
    <row r="915707" spans="15:15" x14ac:dyDescent="0.25">
      <c r="O915707" s="9"/>
    </row>
    <row r="915728" spans="15:15" x14ac:dyDescent="0.25">
      <c r="O915728" s="9"/>
    </row>
    <row r="915749" spans="15:15" x14ac:dyDescent="0.25">
      <c r="O915749" s="9"/>
    </row>
    <row r="915770" spans="15:15" x14ac:dyDescent="0.25">
      <c r="O915770" s="9"/>
    </row>
    <row r="915791" spans="15:15" x14ac:dyDescent="0.25">
      <c r="O915791" s="9"/>
    </row>
    <row r="915812" spans="15:15" x14ac:dyDescent="0.25">
      <c r="O915812" s="9"/>
    </row>
    <row r="915833" spans="15:15" x14ac:dyDescent="0.25">
      <c r="O915833" s="9"/>
    </row>
    <row r="915854" spans="15:15" x14ac:dyDescent="0.25">
      <c r="O915854" s="9"/>
    </row>
    <row r="915875" spans="15:15" x14ac:dyDescent="0.25">
      <c r="O915875" s="9"/>
    </row>
    <row r="915896" spans="15:15" x14ac:dyDescent="0.25">
      <c r="O915896" s="9"/>
    </row>
    <row r="915917" spans="15:15" x14ac:dyDescent="0.25">
      <c r="O915917" s="9"/>
    </row>
    <row r="915938" spans="15:15" x14ac:dyDescent="0.25">
      <c r="O915938" s="9"/>
    </row>
    <row r="915959" spans="15:15" x14ac:dyDescent="0.25">
      <c r="O915959" s="9"/>
    </row>
    <row r="915980" spans="15:15" x14ac:dyDescent="0.25">
      <c r="O915980" s="9"/>
    </row>
    <row r="916001" spans="15:15" x14ac:dyDescent="0.25">
      <c r="O916001" s="9"/>
    </row>
    <row r="916022" spans="15:15" x14ac:dyDescent="0.25">
      <c r="O916022" s="9"/>
    </row>
    <row r="916043" spans="15:15" x14ac:dyDescent="0.25">
      <c r="O916043" s="9"/>
    </row>
    <row r="916064" spans="15:15" x14ac:dyDescent="0.25">
      <c r="O916064" s="9"/>
    </row>
    <row r="916085" spans="15:15" x14ac:dyDescent="0.25">
      <c r="O916085" s="9"/>
    </row>
    <row r="916106" spans="15:15" x14ac:dyDescent="0.25">
      <c r="O916106" s="9"/>
    </row>
    <row r="916127" spans="15:15" x14ac:dyDescent="0.25">
      <c r="O916127" s="9"/>
    </row>
    <row r="916148" spans="15:15" x14ac:dyDescent="0.25">
      <c r="O916148" s="9"/>
    </row>
    <row r="916169" spans="15:15" x14ac:dyDescent="0.25">
      <c r="O916169" s="9"/>
    </row>
    <row r="916190" spans="15:15" x14ac:dyDescent="0.25">
      <c r="O916190" s="9"/>
    </row>
    <row r="916211" spans="15:15" x14ac:dyDescent="0.25">
      <c r="O916211" s="9"/>
    </row>
    <row r="916232" spans="15:15" x14ac:dyDescent="0.25">
      <c r="O916232" s="9"/>
    </row>
    <row r="916253" spans="15:15" x14ac:dyDescent="0.25">
      <c r="O916253" s="9"/>
    </row>
    <row r="916274" spans="15:15" x14ac:dyDescent="0.25">
      <c r="O916274" s="9"/>
    </row>
    <row r="916295" spans="15:15" x14ac:dyDescent="0.25">
      <c r="O916295" s="9"/>
    </row>
    <row r="916316" spans="15:15" x14ac:dyDescent="0.25">
      <c r="O916316" s="9"/>
    </row>
    <row r="916337" spans="15:15" x14ac:dyDescent="0.25">
      <c r="O916337" s="9"/>
    </row>
    <row r="916358" spans="15:15" x14ac:dyDescent="0.25">
      <c r="O916358" s="9"/>
    </row>
    <row r="916379" spans="15:15" x14ac:dyDescent="0.25">
      <c r="O916379" s="9"/>
    </row>
    <row r="916400" spans="15:15" x14ac:dyDescent="0.25">
      <c r="O916400" s="9"/>
    </row>
    <row r="916421" spans="15:15" x14ac:dyDescent="0.25">
      <c r="O916421" s="9"/>
    </row>
    <row r="916442" spans="15:15" x14ac:dyDescent="0.25">
      <c r="O916442" s="9"/>
    </row>
    <row r="916463" spans="15:15" x14ac:dyDescent="0.25">
      <c r="O916463" s="9"/>
    </row>
    <row r="916484" spans="15:15" x14ac:dyDescent="0.25">
      <c r="O916484" s="9"/>
    </row>
    <row r="916505" spans="15:15" x14ac:dyDescent="0.25">
      <c r="O916505" s="9"/>
    </row>
    <row r="916526" spans="15:15" x14ac:dyDescent="0.25">
      <c r="O916526" s="9"/>
    </row>
    <row r="916547" spans="15:15" x14ac:dyDescent="0.25">
      <c r="O916547" s="9"/>
    </row>
    <row r="916568" spans="15:15" x14ac:dyDescent="0.25">
      <c r="O916568" s="9"/>
    </row>
    <row r="916589" spans="15:15" x14ac:dyDescent="0.25">
      <c r="O916589" s="9"/>
    </row>
    <row r="916610" spans="15:15" x14ac:dyDescent="0.25">
      <c r="O916610" s="9"/>
    </row>
    <row r="916631" spans="15:15" x14ac:dyDescent="0.25">
      <c r="O916631" s="9"/>
    </row>
    <row r="916652" spans="15:15" x14ac:dyDescent="0.25">
      <c r="O916652" s="9"/>
    </row>
    <row r="916673" spans="15:15" x14ac:dyDescent="0.25">
      <c r="O916673" s="9"/>
    </row>
    <row r="916694" spans="15:15" x14ac:dyDescent="0.25">
      <c r="O916694" s="9"/>
    </row>
    <row r="916715" spans="15:15" x14ac:dyDescent="0.25">
      <c r="O916715" s="9"/>
    </row>
    <row r="916736" spans="15:15" x14ac:dyDescent="0.25">
      <c r="O916736" s="9"/>
    </row>
    <row r="916757" spans="15:15" x14ac:dyDescent="0.25">
      <c r="O916757" s="9"/>
    </row>
    <row r="916778" spans="15:15" x14ac:dyDescent="0.25">
      <c r="O916778" s="9"/>
    </row>
    <row r="916799" spans="15:15" x14ac:dyDescent="0.25">
      <c r="O916799" s="9"/>
    </row>
    <row r="916820" spans="15:15" x14ac:dyDescent="0.25">
      <c r="O916820" s="9"/>
    </row>
    <row r="916841" spans="15:15" x14ac:dyDescent="0.25">
      <c r="O916841" s="9"/>
    </row>
    <row r="916862" spans="15:15" x14ac:dyDescent="0.25">
      <c r="O916862" s="9"/>
    </row>
    <row r="916883" spans="15:15" x14ac:dyDescent="0.25">
      <c r="O916883" s="9"/>
    </row>
    <row r="916904" spans="15:15" x14ac:dyDescent="0.25">
      <c r="O916904" s="9"/>
    </row>
    <row r="916925" spans="15:15" x14ac:dyDescent="0.25">
      <c r="O916925" s="9"/>
    </row>
    <row r="916946" spans="15:15" x14ac:dyDescent="0.25">
      <c r="O916946" s="9"/>
    </row>
    <row r="916967" spans="15:15" x14ac:dyDescent="0.25">
      <c r="O916967" s="9"/>
    </row>
    <row r="916988" spans="15:15" x14ac:dyDescent="0.25">
      <c r="O916988" s="9"/>
    </row>
    <row r="917009" spans="15:15" x14ac:dyDescent="0.25">
      <c r="O917009" s="9"/>
    </row>
    <row r="917030" spans="15:15" x14ac:dyDescent="0.25">
      <c r="O917030" s="9"/>
    </row>
    <row r="917051" spans="15:15" x14ac:dyDescent="0.25">
      <c r="O917051" s="9"/>
    </row>
    <row r="917072" spans="15:15" x14ac:dyDescent="0.25">
      <c r="O917072" s="9"/>
    </row>
    <row r="917093" spans="15:15" x14ac:dyDescent="0.25">
      <c r="O917093" s="9"/>
    </row>
    <row r="917114" spans="15:15" x14ac:dyDescent="0.25">
      <c r="O917114" s="9"/>
    </row>
    <row r="917135" spans="15:15" x14ac:dyDescent="0.25">
      <c r="O917135" s="9"/>
    </row>
    <row r="917156" spans="15:15" x14ac:dyDescent="0.25">
      <c r="O917156" s="9"/>
    </row>
    <row r="917177" spans="15:15" x14ac:dyDescent="0.25">
      <c r="O917177" s="9"/>
    </row>
    <row r="917198" spans="15:15" x14ac:dyDescent="0.25">
      <c r="O917198" s="9"/>
    </row>
    <row r="917219" spans="15:15" x14ac:dyDescent="0.25">
      <c r="O917219" s="9"/>
    </row>
    <row r="917240" spans="15:15" x14ac:dyDescent="0.25">
      <c r="O917240" s="9"/>
    </row>
    <row r="917261" spans="15:15" x14ac:dyDescent="0.25">
      <c r="O917261" s="9"/>
    </row>
    <row r="917282" spans="15:15" x14ac:dyDescent="0.25">
      <c r="O917282" s="9"/>
    </row>
    <row r="917303" spans="15:15" x14ac:dyDescent="0.25">
      <c r="O917303" s="9"/>
    </row>
    <row r="917324" spans="15:15" x14ac:dyDescent="0.25">
      <c r="O917324" s="9"/>
    </row>
    <row r="917345" spans="15:15" x14ac:dyDescent="0.25">
      <c r="O917345" s="9"/>
    </row>
    <row r="917366" spans="15:15" x14ac:dyDescent="0.25">
      <c r="O917366" s="9"/>
    </row>
    <row r="917387" spans="15:15" x14ac:dyDescent="0.25">
      <c r="O917387" s="9"/>
    </row>
    <row r="917408" spans="15:15" x14ac:dyDescent="0.25">
      <c r="O917408" s="9"/>
    </row>
    <row r="917429" spans="15:15" x14ac:dyDescent="0.25">
      <c r="O917429" s="9"/>
    </row>
    <row r="917450" spans="15:15" x14ac:dyDescent="0.25">
      <c r="O917450" s="9"/>
    </row>
    <row r="917471" spans="15:15" x14ac:dyDescent="0.25">
      <c r="O917471" s="9"/>
    </row>
    <row r="917492" spans="15:15" x14ac:dyDescent="0.25">
      <c r="O917492" s="9"/>
    </row>
    <row r="917513" spans="15:15" x14ac:dyDescent="0.25">
      <c r="O917513" s="9"/>
    </row>
    <row r="917534" spans="15:15" x14ac:dyDescent="0.25">
      <c r="O917534" s="9"/>
    </row>
    <row r="917555" spans="15:15" x14ac:dyDescent="0.25">
      <c r="O917555" s="9"/>
    </row>
    <row r="917576" spans="15:15" x14ac:dyDescent="0.25">
      <c r="O917576" s="9"/>
    </row>
    <row r="917597" spans="15:15" x14ac:dyDescent="0.25">
      <c r="O917597" s="9"/>
    </row>
    <row r="917618" spans="15:15" x14ac:dyDescent="0.25">
      <c r="O917618" s="9"/>
    </row>
    <row r="917639" spans="15:15" x14ac:dyDescent="0.25">
      <c r="O917639" s="9"/>
    </row>
    <row r="917660" spans="15:15" x14ac:dyDescent="0.25">
      <c r="O917660" s="9"/>
    </row>
    <row r="917681" spans="15:15" x14ac:dyDescent="0.25">
      <c r="O917681" s="9"/>
    </row>
    <row r="917702" spans="15:15" x14ac:dyDescent="0.25">
      <c r="O917702" s="9"/>
    </row>
    <row r="917723" spans="15:15" x14ac:dyDescent="0.25">
      <c r="O917723" s="9"/>
    </row>
    <row r="917744" spans="15:15" x14ac:dyDescent="0.25">
      <c r="O917744" s="9"/>
    </row>
    <row r="917765" spans="15:15" x14ac:dyDescent="0.25">
      <c r="O917765" s="9"/>
    </row>
    <row r="917786" spans="15:15" x14ac:dyDescent="0.25">
      <c r="O917786" s="9"/>
    </row>
    <row r="917807" spans="15:15" x14ac:dyDescent="0.25">
      <c r="O917807" s="9"/>
    </row>
    <row r="917828" spans="15:15" x14ac:dyDescent="0.25">
      <c r="O917828" s="9"/>
    </row>
    <row r="917849" spans="15:15" x14ac:dyDescent="0.25">
      <c r="O917849" s="9"/>
    </row>
    <row r="917870" spans="15:15" x14ac:dyDescent="0.25">
      <c r="O917870" s="9"/>
    </row>
    <row r="917891" spans="15:15" x14ac:dyDescent="0.25">
      <c r="O917891" s="9"/>
    </row>
    <row r="917912" spans="15:15" x14ac:dyDescent="0.25">
      <c r="O917912" s="9"/>
    </row>
    <row r="917933" spans="15:15" x14ac:dyDescent="0.25">
      <c r="O917933" s="9"/>
    </row>
    <row r="917954" spans="15:15" x14ac:dyDescent="0.25">
      <c r="O917954" s="9"/>
    </row>
    <row r="917975" spans="15:15" x14ac:dyDescent="0.25">
      <c r="O917975" s="9"/>
    </row>
    <row r="917996" spans="15:15" x14ac:dyDescent="0.25">
      <c r="O917996" s="9"/>
    </row>
    <row r="918017" spans="15:15" x14ac:dyDescent="0.25">
      <c r="O918017" s="9"/>
    </row>
    <row r="918038" spans="15:15" x14ac:dyDescent="0.25">
      <c r="O918038" s="9"/>
    </row>
    <row r="918059" spans="15:15" x14ac:dyDescent="0.25">
      <c r="O918059" s="9"/>
    </row>
    <row r="918080" spans="15:15" x14ac:dyDescent="0.25">
      <c r="O918080" s="9"/>
    </row>
    <row r="918101" spans="15:15" x14ac:dyDescent="0.25">
      <c r="O918101" s="9"/>
    </row>
    <row r="918122" spans="15:15" x14ac:dyDescent="0.25">
      <c r="O918122" s="9"/>
    </row>
    <row r="918143" spans="15:15" x14ac:dyDescent="0.25">
      <c r="O918143" s="9"/>
    </row>
    <row r="918164" spans="15:15" x14ac:dyDescent="0.25">
      <c r="O918164" s="9"/>
    </row>
    <row r="918185" spans="15:15" x14ac:dyDescent="0.25">
      <c r="O918185" s="9"/>
    </row>
    <row r="918206" spans="15:15" x14ac:dyDescent="0.25">
      <c r="O918206" s="9"/>
    </row>
    <row r="918227" spans="15:15" x14ac:dyDescent="0.25">
      <c r="O918227" s="9"/>
    </row>
    <row r="918248" spans="15:15" x14ac:dyDescent="0.25">
      <c r="O918248" s="9"/>
    </row>
    <row r="918269" spans="15:15" x14ac:dyDescent="0.25">
      <c r="O918269" s="9"/>
    </row>
    <row r="918290" spans="15:15" x14ac:dyDescent="0.25">
      <c r="O918290" s="9"/>
    </row>
    <row r="918311" spans="15:15" x14ac:dyDescent="0.25">
      <c r="O918311" s="9"/>
    </row>
    <row r="918332" spans="15:15" x14ac:dyDescent="0.25">
      <c r="O918332" s="9"/>
    </row>
    <row r="918353" spans="15:15" x14ac:dyDescent="0.25">
      <c r="O918353" s="9"/>
    </row>
    <row r="918374" spans="15:15" x14ac:dyDescent="0.25">
      <c r="O918374" s="9"/>
    </row>
    <row r="918395" spans="15:15" x14ac:dyDescent="0.25">
      <c r="O918395" s="9"/>
    </row>
    <row r="918416" spans="15:15" x14ac:dyDescent="0.25">
      <c r="O918416" s="9"/>
    </row>
    <row r="918437" spans="15:15" x14ac:dyDescent="0.25">
      <c r="O918437" s="9"/>
    </row>
    <row r="918458" spans="15:15" x14ac:dyDescent="0.25">
      <c r="O918458" s="9"/>
    </row>
    <row r="918479" spans="15:15" x14ac:dyDescent="0.25">
      <c r="O918479" s="9"/>
    </row>
    <row r="918500" spans="15:15" x14ac:dyDescent="0.25">
      <c r="O918500" s="9"/>
    </row>
    <row r="918521" spans="15:15" x14ac:dyDescent="0.25">
      <c r="O918521" s="9"/>
    </row>
    <row r="918542" spans="15:15" x14ac:dyDescent="0.25">
      <c r="O918542" s="9"/>
    </row>
    <row r="918563" spans="15:15" x14ac:dyDescent="0.25">
      <c r="O918563" s="9"/>
    </row>
    <row r="918584" spans="15:15" x14ac:dyDescent="0.25">
      <c r="O918584" s="9"/>
    </row>
    <row r="918605" spans="15:15" x14ac:dyDescent="0.25">
      <c r="O918605" s="9"/>
    </row>
    <row r="918626" spans="15:15" x14ac:dyDescent="0.25">
      <c r="O918626" s="9"/>
    </row>
    <row r="918647" spans="15:15" x14ac:dyDescent="0.25">
      <c r="O918647" s="9"/>
    </row>
    <row r="918668" spans="15:15" x14ac:dyDescent="0.25">
      <c r="O918668" s="9"/>
    </row>
    <row r="918689" spans="15:15" x14ac:dyDescent="0.25">
      <c r="O918689" s="9"/>
    </row>
    <row r="918710" spans="15:15" x14ac:dyDescent="0.25">
      <c r="O918710" s="9"/>
    </row>
    <row r="918731" spans="15:15" x14ac:dyDescent="0.25">
      <c r="O918731" s="9"/>
    </row>
    <row r="918752" spans="15:15" x14ac:dyDescent="0.25">
      <c r="O918752" s="9"/>
    </row>
    <row r="918773" spans="15:15" x14ac:dyDescent="0.25">
      <c r="O918773" s="9"/>
    </row>
    <row r="918794" spans="15:15" x14ac:dyDescent="0.25">
      <c r="O918794" s="9"/>
    </row>
    <row r="918815" spans="15:15" x14ac:dyDescent="0.25">
      <c r="O918815" s="9"/>
    </row>
    <row r="918836" spans="15:15" x14ac:dyDescent="0.25">
      <c r="O918836" s="9"/>
    </row>
    <row r="918857" spans="15:15" x14ac:dyDescent="0.25">
      <c r="O918857" s="9"/>
    </row>
    <row r="918878" spans="15:15" x14ac:dyDescent="0.25">
      <c r="O918878" s="9"/>
    </row>
    <row r="918899" spans="15:15" x14ac:dyDescent="0.25">
      <c r="O918899" s="9"/>
    </row>
    <row r="918920" spans="15:15" x14ac:dyDescent="0.25">
      <c r="O918920" s="9"/>
    </row>
    <row r="918941" spans="15:15" x14ac:dyDescent="0.25">
      <c r="O918941" s="9"/>
    </row>
    <row r="918962" spans="15:15" x14ac:dyDescent="0.25">
      <c r="O918962" s="9"/>
    </row>
    <row r="918983" spans="15:15" x14ac:dyDescent="0.25">
      <c r="O918983" s="9"/>
    </row>
    <row r="919004" spans="15:15" x14ac:dyDescent="0.25">
      <c r="O919004" s="9"/>
    </row>
    <row r="919025" spans="15:15" x14ac:dyDescent="0.25">
      <c r="O919025" s="9"/>
    </row>
    <row r="919046" spans="15:15" x14ac:dyDescent="0.25">
      <c r="O919046" s="9"/>
    </row>
    <row r="919067" spans="15:15" x14ac:dyDescent="0.25">
      <c r="O919067" s="9"/>
    </row>
    <row r="919088" spans="15:15" x14ac:dyDescent="0.25">
      <c r="O919088" s="9"/>
    </row>
    <row r="919109" spans="15:15" x14ac:dyDescent="0.25">
      <c r="O919109" s="9"/>
    </row>
    <row r="919130" spans="15:15" x14ac:dyDescent="0.25">
      <c r="O919130" s="9"/>
    </row>
    <row r="919151" spans="15:15" x14ac:dyDescent="0.25">
      <c r="O919151" s="9"/>
    </row>
    <row r="919172" spans="15:15" x14ac:dyDescent="0.25">
      <c r="O919172" s="9"/>
    </row>
    <row r="919193" spans="15:15" x14ac:dyDescent="0.25">
      <c r="O919193" s="9"/>
    </row>
    <row r="919214" spans="15:15" x14ac:dyDescent="0.25">
      <c r="O919214" s="9"/>
    </row>
    <row r="919235" spans="15:15" x14ac:dyDescent="0.25">
      <c r="O919235" s="9"/>
    </row>
    <row r="919256" spans="15:15" x14ac:dyDescent="0.25">
      <c r="O919256" s="9"/>
    </row>
    <row r="919277" spans="15:15" x14ac:dyDescent="0.25">
      <c r="O919277" s="9"/>
    </row>
    <row r="919298" spans="15:15" x14ac:dyDescent="0.25">
      <c r="O919298" s="9"/>
    </row>
    <row r="919319" spans="15:15" x14ac:dyDescent="0.25">
      <c r="O919319" s="9"/>
    </row>
    <row r="919340" spans="15:15" x14ac:dyDescent="0.25">
      <c r="O919340" s="9"/>
    </row>
    <row r="919361" spans="15:15" x14ac:dyDescent="0.25">
      <c r="O919361" s="9"/>
    </row>
    <row r="919382" spans="15:15" x14ac:dyDescent="0.25">
      <c r="O919382" s="9"/>
    </row>
    <row r="919403" spans="15:15" x14ac:dyDescent="0.25">
      <c r="O919403" s="9"/>
    </row>
    <row r="919424" spans="15:15" x14ac:dyDescent="0.25">
      <c r="O919424" s="9"/>
    </row>
    <row r="919445" spans="15:15" x14ac:dyDescent="0.25">
      <c r="O919445" s="9"/>
    </row>
    <row r="919466" spans="15:15" x14ac:dyDescent="0.25">
      <c r="O919466" s="9"/>
    </row>
    <row r="919487" spans="15:15" x14ac:dyDescent="0.25">
      <c r="O919487" s="9"/>
    </row>
    <row r="919508" spans="15:15" x14ac:dyDescent="0.25">
      <c r="O919508" s="9"/>
    </row>
    <row r="919529" spans="15:15" x14ac:dyDescent="0.25">
      <c r="O919529" s="9"/>
    </row>
    <row r="919550" spans="15:15" x14ac:dyDescent="0.25">
      <c r="O919550" s="9"/>
    </row>
    <row r="919571" spans="15:15" x14ac:dyDescent="0.25">
      <c r="O919571" s="9"/>
    </row>
    <row r="919592" spans="15:15" x14ac:dyDescent="0.25">
      <c r="O919592" s="9"/>
    </row>
    <row r="919613" spans="15:15" x14ac:dyDescent="0.25">
      <c r="O919613" s="9"/>
    </row>
    <row r="919634" spans="15:15" x14ac:dyDescent="0.25">
      <c r="O919634" s="9"/>
    </row>
    <row r="919655" spans="15:15" x14ac:dyDescent="0.25">
      <c r="O919655" s="9"/>
    </row>
    <row r="919676" spans="15:15" x14ac:dyDescent="0.25">
      <c r="O919676" s="9"/>
    </row>
    <row r="919697" spans="15:15" x14ac:dyDescent="0.25">
      <c r="O919697" s="9"/>
    </row>
    <row r="919718" spans="15:15" x14ac:dyDescent="0.25">
      <c r="O919718" s="9"/>
    </row>
    <row r="919739" spans="15:15" x14ac:dyDescent="0.25">
      <c r="O919739" s="9"/>
    </row>
    <row r="919760" spans="15:15" x14ac:dyDescent="0.25">
      <c r="O919760" s="9"/>
    </row>
    <row r="919781" spans="15:15" x14ac:dyDescent="0.25">
      <c r="O919781" s="9"/>
    </row>
    <row r="919802" spans="15:15" x14ac:dyDescent="0.25">
      <c r="O919802" s="9"/>
    </row>
    <row r="919823" spans="15:15" x14ac:dyDescent="0.25">
      <c r="O919823" s="9"/>
    </row>
    <row r="919844" spans="15:15" x14ac:dyDescent="0.25">
      <c r="O919844" s="9"/>
    </row>
    <row r="919865" spans="15:15" x14ac:dyDescent="0.25">
      <c r="O919865" s="9"/>
    </row>
    <row r="919886" spans="15:15" x14ac:dyDescent="0.25">
      <c r="O919886" s="9"/>
    </row>
    <row r="919907" spans="15:15" x14ac:dyDescent="0.25">
      <c r="O919907" s="9"/>
    </row>
    <row r="919928" spans="15:15" x14ac:dyDescent="0.25">
      <c r="O919928" s="9"/>
    </row>
    <row r="919949" spans="15:15" x14ac:dyDescent="0.25">
      <c r="O919949" s="9"/>
    </row>
    <row r="919970" spans="15:15" x14ac:dyDescent="0.25">
      <c r="O919970" s="9"/>
    </row>
    <row r="919991" spans="15:15" x14ac:dyDescent="0.25">
      <c r="O919991" s="9"/>
    </row>
    <row r="920012" spans="15:15" x14ac:dyDescent="0.25">
      <c r="O920012" s="9"/>
    </row>
    <row r="920033" spans="15:15" x14ac:dyDescent="0.25">
      <c r="O920033" s="9"/>
    </row>
    <row r="920054" spans="15:15" x14ac:dyDescent="0.25">
      <c r="O920054" s="9"/>
    </row>
    <row r="920075" spans="15:15" x14ac:dyDescent="0.25">
      <c r="O920075" s="9"/>
    </row>
    <row r="920096" spans="15:15" x14ac:dyDescent="0.25">
      <c r="O920096" s="9"/>
    </row>
    <row r="920117" spans="15:15" x14ac:dyDescent="0.25">
      <c r="O920117" s="9"/>
    </row>
    <row r="920138" spans="15:15" x14ac:dyDescent="0.25">
      <c r="O920138" s="9"/>
    </row>
    <row r="920159" spans="15:15" x14ac:dyDescent="0.25">
      <c r="O920159" s="9"/>
    </row>
    <row r="920180" spans="15:15" x14ac:dyDescent="0.25">
      <c r="O920180" s="9"/>
    </row>
    <row r="920201" spans="15:15" x14ac:dyDescent="0.25">
      <c r="O920201" s="9"/>
    </row>
    <row r="920222" spans="15:15" x14ac:dyDescent="0.25">
      <c r="O920222" s="9"/>
    </row>
    <row r="920243" spans="15:15" x14ac:dyDescent="0.25">
      <c r="O920243" s="9"/>
    </row>
    <row r="920264" spans="15:15" x14ac:dyDescent="0.25">
      <c r="O920264" s="9"/>
    </row>
    <row r="920285" spans="15:15" x14ac:dyDescent="0.25">
      <c r="O920285" s="9"/>
    </row>
    <row r="920306" spans="15:15" x14ac:dyDescent="0.25">
      <c r="O920306" s="9"/>
    </row>
    <row r="920327" spans="15:15" x14ac:dyDescent="0.25">
      <c r="O920327" s="9"/>
    </row>
    <row r="920348" spans="15:15" x14ac:dyDescent="0.25">
      <c r="O920348" s="9"/>
    </row>
    <row r="920369" spans="15:15" x14ac:dyDescent="0.25">
      <c r="O920369" s="9"/>
    </row>
    <row r="920390" spans="15:15" x14ac:dyDescent="0.25">
      <c r="O920390" s="9"/>
    </row>
    <row r="920411" spans="15:15" x14ac:dyDescent="0.25">
      <c r="O920411" s="9"/>
    </row>
    <row r="920432" spans="15:15" x14ac:dyDescent="0.25">
      <c r="O920432" s="9"/>
    </row>
    <row r="920453" spans="15:15" x14ac:dyDescent="0.25">
      <c r="O920453" s="9"/>
    </row>
    <row r="920474" spans="15:15" x14ac:dyDescent="0.25">
      <c r="O920474" s="9"/>
    </row>
    <row r="920495" spans="15:15" x14ac:dyDescent="0.25">
      <c r="O920495" s="9"/>
    </row>
    <row r="920516" spans="15:15" x14ac:dyDescent="0.25">
      <c r="O920516" s="9"/>
    </row>
    <row r="920537" spans="15:15" x14ac:dyDescent="0.25">
      <c r="O920537" s="9"/>
    </row>
    <row r="920558" spans="15:15" x14ac:dyDescent="0.25">
      <c r="O920558" s="9"/>
    </row>
    <row r="920579" spans="15:15" x14ac:dyDescent="0.25">
      <c r="O920579" s="9"/>
    </row>
    <row r="920600" spans="15:15" x14ac:dyDescent="0.25">
      <c r="O920600" s="9"/>
    </row>
    <row r="920621" spans="15:15" x14ac:dyDescent="0.25">
      <c r="O920621" s="9"/>
    </row>
    <row r="920642" spans="15:15" x14ac:dyDescent="0.25">
      <c r="O920642" s="9"/>
    </row>
    <row r="920663" spans="15:15" x14ac:dyDescent="0.25">
      <c r="O920663" s="9"/>
    </row>
    <row r="920684" spans="15:15" x14ac:dyDescent="0.25">
      <c r="O920684" s="9"/>
    </row>
    <row r="920705" spans="15:15" x14ac:dyDescent="0.25">
      <c r="O920705" s="9"/>
    </row>
    <row r="920726" spans="15:15" x14ac:dyDescent="0.25">
      <c r="O920726" s="9"/>
    </row>
    <row r="920747" spans="15:15" x14ac:dyDescent="0.25">
      <c r="O920747" s="9"/>
    </row>
    <row r="920768" spans="15:15" x14ac:dyDescent="0.25">
      <c r="O920768" s="9"/>
    </row>
    <row r="920789" spans="15:15" x14ac:dyDescent="0.25">
      <c r="O920789" s="9"/>
    </row>
    <row r="920810" spans="15:15" x14ac:dyDescent="0.25">
      <c r="O920810" s="9"/>
    </row>
    <row r="920831" spans="15:15" x14ac:dyDescent="0.25">
      <c r="O920831" s="9"/>
    </row>
    <row r="920852" spans="15:15" x14ac:dyDescent="0.25">
      <c r="O920852" s="9"/>
    </row>
    <row r="920873" spans="15:15" x14ac:dyDescent="0.25">
      <c r="O920873" s="9"/>
    </row>
    <row r="920894" spans="15:15" x14ac:dyDescent="0.25">
      <c r="O920894" s="9"/>
    </row>
    <row r="920915" spans="15:15" x14ac:dyDescent="0.25">
      <c r="O920915" s="9"/>
    </row>
    <row r="920936" spans="15:15" x14ac:dyDescent="0.25">
      <c r="O920936" s="9"/>
    </row>
    <row r="920957" spans="15:15" x14ac:dyDescent="0.25">
      <c r="O920957" s="9"/>
    </row>
    <row r="920978" spans="15:15" x14ac:dyDescent="0.25">
      <c r="O920978" s="9"/>
    </row>
    <row r="920999" spans="15:15" x14ac:dyDescent="0.25">
      <c r="O920999" s="9"/>
    </row>
    <row r="921020" spans="15:15" x14ac:dyDescent="0.25">
      <c r="O921020" s="9"/>
    </row>
    <row r="921041" spans="15:15" x14ac:dyDescent="0.25">
      <c r="O921041" s="9"/>
    </row>
    <row r="921062" spans="15:15" x14ac:dyDescent="0.25">
      <c r="O921062" s="9"/>
    </row>
    <row r="921083" spans="15:15" x14ac:dyDescent="0.25">
      <c r="O921083" s="9"/>
    </row>
    <row r="921104" spans="15:15" x14ac:dyDescent="0.25">
      <c r="O921104" s="9"/>
    </row>
    <row r="921125" spans="15:15" x14ac:dyDescent="0.25">
      <c r="O921125" s="9"/>
    </row>
    <row r="921146" spans="15:15" x14ac:dyDescent="0.25">
      <c r="O921146" s="9"/>
    </row>
    <row r="921167" spans="15:15" x14ac:dyDescent="0.25">
      <c r="O921167" s="9"/>
    </row>
    <row r="921188" spans="15:15" x14ac:dyDescent="0.25">
      <c r="O921188" s="9"/>
    </row>
    <row r="921209" spans="15:15" x14ac:dyDescent="0.25">
      <c r="O921209" s="9"/>
    </row>
    <row r="921230" spans="15:15" x14ac:dyDescent="0.25">
      <c r="O921230" s="9"/>
    </row>
    <row r="921251" spans="15:15" x14ac:dyDescent="0.25">
      <c r="O921251" s="9"/>
    </row>
    <row r="921272" spans="15:15" x14ac:dyDescent="0.25">
      <c r="O921272" s="9"/>
    </row>
    <row r="921293" spans="15:15" x14ac:dyDescent="0.25">
      <c r="O921293" s="9"/>
    </row>
    <row r="921314" spans="15:15" x14ac:dyDescent="0.25">
      <c r="O921314" s="9"/>
    </row>
    <row r="921335" spans="15:15" x14ac:dyDescent="0.25">
      <c r="O921335" s="9"/>
    </row>
    <row r="921356" spans="15:15" x14ac:dyDescent="0.25">
      <c r="O921356" s="9"/>
    </row>
    <row r="921377" spans="15:15" x14ac:dyDescent="0.25">
      <c r="O921377" s="9"/>
    </row>
    <row r="921398" spans="15:15" x14ac:dyDescent="0.25">
      <c r="O921398" s="9"/>
    </row>
    <row r="921419" spans="15:15" x14ac:dyDescent="0.25">
      <c r="O921419" s="9"/>
    </row>
    <row r="921440" spans="15:15" x14ac:dyDescent="0.25">
      <c r="O921440" s="9"/>
    </row>
    <row r="921461" spans="15:15" x14ac:dyDescent="0.25">
      <c r="O921461" s="9"/>
    </row>
    <row r="921482" spans="15:15" x14ac:dyDescent="0.25">
      <c r="O921482" s="9"/>
    </row>
    <row r="921503" spans="15:15" x14ac:dyDescent="0.25">
      <c r="O921503" s="9"/>
    </row>
    <row r="921524" spans="15:15" x14ac:dyDescent="0.25">
      <c r="O921524" s="9"/>
    </row>
    <row r="921545" spans="15:15" x14ac:dyDescent="0.25">
      <c r="O921545" s="9"/>
    </row>
    <row r="921566" spans="15:15" x14ac:dyDescent="0.25">
      <c r="O921566" s="9"/>
    </row>
    <row r="921587" spans="15:15" x14ac:dyDescent="0.25">
      <c r="O921587" s="9"/>
    </row>
    <row r="921608" spans="15:15" x14ac:dyDescent="0.25">
      <c r="O921608" s="9"/>
    </row>
    <row r="921629" spans="15:15" x14ac:dyDescent="0.25">
      <c r="O921629" s="9"/>
    </row>
    <row r="921650" spans="15:15" x14ac:dyDescent="0.25">
      <c r="O921650" s="9"/>
    </row>
    <row r="921671" spans="15:15" x14ac:dyDescent="0.25">
      <c r="O921671" s="9"/>
    </row>
    <row r="921692" spans="15:15" x14ac:dyDescent="0.25">
      <c r="O921692" s="9"/>
    </row>
    <row r="921713" spans="15:15" x14ac:dyDescent="0.25">
      <c r="O921713" s="9"/>
    </row>
    <row r="921734" spans="15:15" x14ac:dyDescent="0.25">
      <c r="O921734" s="9"/>
    </row>
    <row r="921755" spans="15:15" x14ac:dyDescent="0.25">
      <c r="O921755" s="9"/>
    </row>
    <row r="921776" spans="15:15" x14ac:dyDescent="0.25">
      <c r="O921776" s="9"/>
    </row>
    <row r="921797" spans="15:15" x14ac:dyDescent="0.25">
      <c r="O921797" s="9"/>
    </row>
    <row r="921818" spans="15:15" x14ac:dyDescent="0.25">
      <c r="O921818" s="9"/>
    </row>
    <row r="921839" spans="15:15" x14ac:dyDescent="0.25">
      <c r="O921839" s="9"/>
    </row>
    <row r="921860" spans="15:15" x14ac:dyDescent="0.25">
      <c r="O921860" s="9"/>
    </row>
    <row r="921881" spans="15:15" x14ac:dyDescent="0.25">
      <c r="O921881" s="9"/>
    </row>
    <row r="921902" spans="15:15" x14ac:dyDescent="0.25">
      <c r="O921902" s="9"/>
    </row>
    <row r="921923" spans="15:15" x14ac:dyDescent="0.25">
      <c r="O921923" s="9"/>
    </row>
    <row r="921944" spans="15:15" x14ac:dyDescent="0.25">
      <c r="O921944" s="9"/>
    </row>
    <row r="921965" spans="15:15" x14ac:dyDescent="0.25">
      <c r="O921965" s="9"/>
    </row>
    <row r="921986" spans="15:15" x14ac:dyDescent="0.25">
      <c r="O921986" s="9"/>
    </row>
    <row r="922007" spans="15:15" x14ac:dyDescent="0.25">
      <c r="O922007" s="9"/>
    </row>
    <row r="922028" spans="15:15" x14ac:dyDescent="0.25">
      <c r="O922028" s="9"/>
    </row>
    <row r="922049" spans="15:15" x14ac:dyDescent="0.25">
      <c r="O922049" s="9"/>
    </row>
    <row r="922070" spans="15:15" x14ac:dyDescent="0.25">
      <c r="O922070" s="9"/>
    </row>
    <row r="922091" spans="15:15" x14ac:dyDescent="0.25">
      <c r="O922091" s="9"/>
    </row>
    <row r="922112" spans="15:15" x14ac:dyDescent="0.25">
      <c r="O922112" s="9"/>
    </row>
    <row r="922133" spans="15:15" x14ac:dyDescent="0.25">
      <c r="O922133" s="9"/>
    </row>
    <row r="922154" spans="15:15" x14ac:dyDescent="0.25">
      <c r="O922154" s="9"/>
    </row>
    <row r="922175" spans="15:15" x14ac:dyDescent="0.25">
      <c r="O922175" s="9"/>
    </row>
    <row r="922196" spans="15:15" x14ac:dyDescent="0.25">
      <c r="O922196" s="9"/>
    </row>
    <row r="922217" spans="15:15" x14ac:dyDescent="0.25">
      <c r="O922217" s="9"/>
    </row>
    <row r="922238" spans="15:15" x14ac:dyDescent="0.25">
      <c r="O922238" s="9"/>
    </row>
    <row r="922259" spans="15:15" x14ac:dyDescent="0.25">
      <c r="O922259" s="9"/>
    </row>
    <row r="922280" spans="15:15" x14ac:dyDescent="0.25">
      <c r="O922280" s="9"/>
    </row>
    <row r="922301" spans="15:15" x14ac:dyDescent="0.25">
      <c r="O922301" s="9"/>
    </row>
    <row r="922322" spans="15:15" x14ac:dyDescent="0.25">
      <c r="O922322" s="9"/>
    </row>
    <row r="922343" spans="15:15" x14ac:dyDescent="0.25">
      <c r="O922343" s="9"/>
    </row>
    <row r="922364" spans="15:15" x14ac:dyDescent="0.25">
      <c r="O922364" s="9"/>
    </row>
    <row r="922385" spans="15:15" x14ac:dyDescent="0.25">
      <c r="O922385" s="9"/>
    </row>
    <row r="922406" spans="15:15" x14ac:dyDescent="0.25">
      <c r="O922406" s="9"/>
    </row>
    <row r="922427" spans="15:15" x14ac:dyDescent="0.25">
      <c r="O922427" s="9"/>
    </row>
    <row r="922448" spans="15:15" x14ac:dyDescent="0.25">
      <c r="O922448" s="9"/>
    </row>
    <row r="922469" spans="15:15" x14ac:dyDescent="0.25">
      <c r="O922469" s="9"/>
    </row>
    <row r="922490" spans="15:15" x14ac:dyDescent="0.25">
      <c r="O922490" s="9"/>
    </row>
    <row r="922511" spans="15:15" x14ac:dyDescent="0.25">
      <c r="O922511" s="9"/>
    </row>
    <row r="922532" spans="15:15" x14ac:dyDescent="0.25">
      <c r="O922532" s="9"/>
    </row>
    <row r="922553" spans="15:15" x14ac:dyDescent="0.25">
      <c r="O922553" s="9"/>
    </row>
    <row r="922574" spans="15:15" x14ac:dyDescent="0.25">
      <c r="O922574" s="9"/>
    </row>
    <row r="922595" spans="15:15" x14ac:dyDescent="0.25">
      <c r="O922595" s="9"/>
    </row>
    <row r="922616" spans="15:15" x14ac:dyDescent="0.25">
      <c r="O922616" s="9"/>
    </row>
    <row r="922637" spans="15:15" x14ac:dyDescent="0.25">
      <c r="O922637" s="9"/>
    </row>
    <row r="922658" spans="15:15" x14ac:dyDescent="0.25">
      <c r="O922658" s="9"/>
    </row>
    <row r="922679" spans="15:15" x14ac:dyDescent="0.25">
      <c r="O922679" s="9"/>
    </row>
    <row r="922700" spans="15:15" x14ac:dyDescent="0.25">
      <c r="O922700" s="9"/>
    </row>
    <row r="922721" spans="15:15" x14ac:dyDescent="0.25">
      <c r="O922721" s="9"/>
    </row>
    <row r="922742" spans="15:15" x14ac:dyDescent="0.25">
      <c r="O922742" s="9"/>
    </row>
    <row r="922763" spans="15:15" x14ac:dyDescent="0.25">
      <c r="O922763" s="9"/>
    </row>
    <row r="922784" spans="15:15" x14ac:dyDescent="0.25">
      <c r="O922784" s="9"/>
    </row>
    <row r="922805" spans="15:15" x14ac:dyDescent="0.25">
      <c r="O922805" s="9"/>
    </row>
    <row r="922826" spans="15:15" x14ac:dyDescent="0.25">
      <c r="O922826" s="9"/>
    </row>
    <row r="922847" spans="15:15" x14ac:dyDescent="0.25">
      <c r="O922847" s="9"/>
    </row>
    <row r="922868" spans="15:15" x14ac:dyDescent="0.25">
      <c r="O922868" s="9"/>
    </row>
    <row r="922889" spans="15:15" x14ac:dyDescent="0.25">
      <c r="O922889" s="9"/>
    </row>
    <row r="922910" spans="15:15" x14ac:dyDescent="0.25">
      <c r="O922910" s="9"/>
    </row>
    <row r="922931" spans="15:15" x14ac:dyDescent="0.25">
      <c r="O922931" s="9"/>
    </row>
    <row r="922952" spans="15:15" x14ac:dyDescent="0.25">
      <c r="O922952" s="9"/>
    </row>
    <row r="922973" spans="15:15" x14ac:dyDescent="0.25">
      <c r="O922973" s="9"/>
    </row>
    <row r="922994" spans="15:15" x14ac:dyDescent="0.25">
      <c r="O922994" s="9"/>
    </row>
    <row r="923015" spans="15:15" x14ac:dyDescent="0.25">
      <c r="O923015" s="9"/>
    </row>
    <row r="923036" spans="15:15" x14ac:dyDescent="0.25">
      <c r="O923036" s="9"/>
    </row>
    <row r="923057" spans="15:15" x14ac:dyDescent="0.25">
      <c r="O923057" s="9"/>
    </row>
    <row r="923078" spans="15:15" x14ac:dyDescent="0.25">
      <c r="O923078" s="9"/>
    </row>
    <row r="923099" spans="15:15" x14ac:dyDescent="0.25">
      <c r="O923099" s="9"/>
    </row>
    <row r="923120" spans="15:15" x14ac:dyDescent="0.25">
      <c r="O923120" s="9"/>
    </row>
    <row r="923141" spans="15:15" x14ac:dyDescent="0.25">
      <c r="O923141" s="9"/>
    </row>
    <row r="923162" spans="15:15" x14ac:dyDescent="0.25">
      <c r="O923162" s="9"/>
    </row>
    <row r="923183" spans="15:15" x14ac:dyDescent="0.25">
      <c r="O923183" s="9"/>
    </row>
    <row r="923204" spans="15:15" x14ac:dyDescent="0.25">
      <c r="O923204" s="9"/>
    </row>
    <row r="923225" spans="15:15" x14ac:dyDescent="0.25">
      <c r="O923225" s="9"/>
    </row>
    <row r="923246" spans="15:15" x14ac:dyDescent="0.25">
      <c r="O923246" s="9"/>
    </row>
    <row r="923267" spans="15:15" x14ac:dyDescent="0.25">
      <c r="O923267" s="9"/>
    </row>
    <row r="923288" spans="15:15" x14ac:dyDescent="0.25">
      <c r="O923288" s="9"/>
    </row>
    <row r="923309" spans="15:15" x14ac:dyDescent="0.25">
      <c r="O923309" s="9"/>
    </row>
    <row r="923330" spans="15:15" x14ac:dyDescent="0.25">
      <c r="O923330" s="9"/>
    </row>
    <row r="923351" spans="15:15" x14ac:dyDescent="0.25">
      <c r="O923351" s="9"/>
    </row>
    <row r="923372" spans="15:15" x14ac:dyDescent="0.25">
      <c r="O923372" s="9"/>
    </row>
    <row r="923393" spans="15:15" x14ac:dyDescent="0.25">
      <c r="O923393" s="9"/>
    </row>
    <row r="923414" spans="15:15" x14ac:dyDescent="0.25">
      <c r="O923414" s="9"/>
    </row>
    <row r="923435" spans="15:15" x14ac:dyDescent="0.25">
      <c r="O923435" s="9"/>
    </row>
    <row r="923456" spans="15:15" x14ac:dyDescent="0.25">
      <c r="O923456" s="9"/>
    </row>
    <row r="923477" spans="15:15" x14ac:dyDescent="0.25">
      <c r="O923477" s="9"/>
    </row>
    <row r="923498" spans="15:15" x14ac:dyDescent="0.25">
      <c r="O923498" s="9"/>
    </row>
    <row r="923519" spans="15:15" x14ac:dyDescent="0.25">
      <c r="O923519" s="9"/>
    </row>
    <row r="923540" spans="15:15" x14ac:dyDescent="0.25">
      <c r="O923540" s="9"/>
    </row>
    <row r="923561" spans="15:15" x14ac:dyDescent="0.25">
      <c r="O923561" s="9"/>
    </row>
    <row r="923582" spans="15:15" x14ac:dyDescent="0.25">
      <c r="O923582" s="9"/>
    </row>
    <row r="923603" spans="15:15" x14ac:dyDescent="0.25">
      <c r="O923603" s="9"/>
    </row>
    <row r="923624" spans="15:15" x14ac:dyDescent="0.25">
      <c r="O923624" s="9"/>
    </row>
    <row r="923645" spans="15:15" x14ac:dyDescent="0.25">
      <c r="O923645" s="9"/>
    </row>
    <row r="923666" spans="15:15" x14ac:dyDescent="0.25">
      <c r="O923666" s="9"/>
    </row>
    <row r="923687" spans="15:15" x14ac:dyDescent="0.25">
      <c r="O923687" s="9"/>
    </row>
    <row r="923708" spans="15:15" x14ac:dyDescent="0.25">
      <c r="O923708" s="9"/>
    </row>
    <row r="923729" spans="15:15" x14ac:dyDescent="0.25">
      <c r="O923729" s="9"/>
    </row>
    <row r="923750" spans="15:15" x14ac:dyDescent="0.25">
      <c r="O923750" s="9"/>
    </row>
    <row r="923771" spans="15:15" x14ac:dyDescent="0.25">
      <c r="O923771" s="9"/>
    </row>
    <row r="923792" spans="15:15" x14ac:dyDescent="0.25">
      <c r="O923792" s="9"/>
    </row>
    <row r="923813" spans="15:15" x14ac:dyDescent="0.25">
      <c r="O923813" s="9"/>
    </row>
    <row r="923834" spans="15:15" x14ac:dyDescent="0.25">
      <c r="O923834" s="9"/>
    </row>
    <row r="923855" spans="15:15" x14ac:dyDescent="0.25">
      <c r="O923855" s="9"/>
    </row>
    <row r="923876" spans="15:15" x14ac:dyDescent="0.25">
      <c r="O923876" s="9"/>
    </row>
    <row r="923897" spans="15:15" x14ac:dyDescent="0.25">
      <c r="O923897" s="9"/>
    </row>
    <row r="923918" spans="15:15" x14ac:dyDescent="0.25">
      <c r="O923918" s="9"/>
    </row>
    <row r="923939" spans="15:15" x14ac:dyDescent="0.25">
      <c r="O923939" s="9"/>
    </row>
    <row r="923960" spans="15:15" x14ac:dyDescent="0.25">
      <c r="O923960" s="9"/>
    </row>
    <row r="923981" spans="15:15" x14ac:dyDescent="0.25">
      <c r="O923981" s="9"/>
    </row>
    <row r="924002" spans="15:15" x14ac:dyDescent="0.25">
      <c r="O924002" s="9"/>
    </row>
    <row r="924023" spans="15:15" x14ac:dyDescent="0.25">
      <c r="O924023" s="9"/>
    </row>
    <row r="924044" spans="15:15" x14ac:dyDescent="0.25">
      <c r="O924044" s="9"/>
    </row>
    <row r="924065" spans="15:15" x14ac:dyDescent="0.25">
      <c r="O924065" s="9"/>
    </row>
    <row r="924086" spans="15:15" x14ac:dyDescent="0.25">
      <c r="O924086" s="9"/>
    </row>
    <row r="924107" spans="15:15" x14ac:dyDescent="0.25">
      <c r="O924107" s="9"/>
    </row>
    <row r="924128" spans="15:15" x14ac:dyDescent="0.25">
      <c r="O924128" s="9"/>
    </row>
    <row r="924149" spans="15:15" x14ac:dyDescent="0.25">
      <c r="O924149" s="9"/>
    </row>
    <row r="924170" spans="15:15" x14ac:dyDescent="0.25">
      <c r="O924170" s="9"/>
    </row>
    <row r="924191" spans="15:15" x14ac:dyDescent="0.25">
      <c r="O924191" s="9"/>
    </row>
    <row r="924212" spans="15:15" x14ac:dyDescent="0.25">
      <c r="O924212" s="9"/>
    </row>
    <row r="924233" spans="15:15" x14ac:dyDescent="0.25">
      <c r="O924233" s="9"/>
    </row>
    <row r="924254" spans="15:15" x14ac:dyDescent="0.25">
      <c r="O924254" s="9"/>
    </row>
    <row r="924275" spans="15:15" x14ac:dyDescent="0.25">
      <c r="O924275" s="9"/>
    </row>
    <row r="924296" spans="15:15" x14ac:dyDescent="0.25">
      <c r="O924296" s="9"/>
    </row>
    <row r="924317" spans="15:15" x14ac:dyDescent="0.25">
      <c r="O924317" s="9"/>
    </row>
    <row r="924338" spans="15:15" x14ac:dyDescent="0.25">
      <c r="O924338" s="9"/>
    </row>
    <row r="924359" spans="15:15" x14ac:dyDescent="0.25">
      <c r="O924359" s="9"/>
    </row>
    <row r="924380" spans="15:15" x14ac:dyDescent="0.25">
      <c r="O924380" s="9"/>
    </row>
    <row r="924401" spans="15:15" x14ac:dyDescent="0.25">
      <c r="O924401" s="9"/>
    </row>
    <row r="924422" spans="15:15" x14ac:dyDescent="0.25">
      <c r="O924422" s="9"/>
    </row>
    <row r="924443" spans="15:15" x14ac:dyDescent="0.25">
      <c r="O924443" s="9"/>
    </row>
    <row r="924464" spans="15:15" x14ac:dyDescent="0.25">
      <c r="O924464" s="9"/>
    </row>
    <row r="924485" spans="15:15" x14ac:dyDescent="0.25">
      <c r="O924485" s="9"/>
    </row>
    <row r="924506" spans="15:15" x14ac:dyDescent="0.25">
      <c r="O924506" s="9"/>
    </row>
    <row r="924527" spans="15:15" x14ac:dyDescent="0.25">
      <c r="O924527" s="9"/>
    </row>
    <row r="924548" spans="15:15" x14ac:dyDescent="0.25">
      <c r="O924548" s="9"/>
    </row>
    <row r="924569" spans="15:15" x14ac:dyDescent="0.25">
      <c r="O924569" s="9"/>
    </row>
    <row r="924590" spans="15:15" x14ac:dyDescent="0.25">
      <c r="O924590" s="9"/>
    </row>
    <row r="924611" spans="15:15" x14ac:dyDescent="0.25">
      <c r="O924611" s="9"/>
    </row>
    <row r="924632" spans="15:15" x14ac:dyDescent="0.25">
      <c r="O924632" s="9"/>
    </row>
    <row r="924653" spans="15:15" x14ac:dyDescent="0.25">
      <c r="O924653" s="9"/>
    </row>
    <row r="924674" spans="15:15" x14ac:dyDescent="0.25">
      <c r="O924674" s="9"/>
    </row>
    <row r="924695" spans="15:15" x14ac:dyDescent="0.25">
      <c r="O924695" s="9"/>
    </row>
    <row r="924716" spans="15:15" x14ac:dyDescent="0.25">
      <c r="O924716" s="9"/>
    </row>
    <row r="924737" spans="15:15" x14ac:dyDescent="0.25">
      <c r="O924737" s="9"/>
    </row>
    <row r="924758" spans="15:15" x14ac:dyDescent="0.25">
      <c r="O924758" s="9"/>
    </row>
    <row r="924779" spans="15:15" x14ac:dyDescent="0.25">
      <c r="O924779" s="9"/>
    </row>
    <row r="924800" spans="15:15" x14ac:dyDescent="0.25">
      <c r="O924800" s="9"/>
    </row>
    <row r="924821" spans="15:15" x14ac:dyDescent="0.25">
      <c r="O924821" s="9"/>
    </row>
    <row r="924842" spans="15:15" x14ac:dyDescent="0.25">
      <c r="O924842" s="9"/>
    </row>
    <row r="924863" spans="15:15" x14ac:dyDescent="0.25">
      <c r="O924863" s="9"/>
    </row>
    <row r="924884" spans="15:15" x14ac:dyDescent="0.25">
      <c r="O924884" s="9"/>
    </row>
    <row r="924905" spans="15:15" x14ac:dyDescent="0.25">
      <c r="O924905" s="9"/>
    </row>
    <row r="924926" spans="15:15" x14ac:dyDescent="0.25">
      <c r="O924926" s="9"/>
    </row>
    <row r="924947" spans="15:15" x14ac:dyDescent="0.25">
      <c r="O924947" s="9"/>
    </row>
    <row r="924968" spans="15:15" x14ac:dyDescent="0.25">
      <c r="O924968" s="9"/>
    </row>
    <row r="924989" spans="15:15" x14ac:dyDescent="0.25">
      <c r="O924989" s="9"/>
    </row>
    <row r="925010" spans="15:15" x14ac:dyDescent="0.25">
      <c r="O925010" s="9"/>
    </row>
    <row r="925031" spans="15:15" x14ac:dyDescent="0.25">
      <c r="O925031" s="9"/>
    </row>
    <row r="925052" spans="15:15" x14ac:dyDescent="0.25">
      <c r="O925052" s="9"/>
    </row>
    <row r="925073" spans="15:15" x14ac:dyDescent="0.25">
      <c r="O925073" s="9"/>
    </row>
    <row r="925094" spans="15:15" x14ac:dyDescent="0.25">
      <c r="O925094" s="9"/>
    </row>
    <row r="925115" spans="15:15" x14ac:dyDescent="0.25">
      <c r="O925115" s="9"/>
    </row>
    <row r="925136" spans="15:15" x14ac:dyDescent="0.25">
      <c r="O925136" s="9"/>
    </row>
    <row r="925157" spans="15:15" x14ac:dyDescent="0.25">
      <c r="O925157" s="9"/>
    </row>
    <row r="925178" spans="15:15" x14ac:dyDescent="0.25">
      <c r="O925178" s="9"/>
    </row>
    <row r="925199" spans="15:15" x14ac:dyDescent="0.25">
      <c r="O925199" s="9"/>
    </row>
    <row r="925220" spans="15:15" x14ac:dyDescent="0.25">
      <c r="O925220" s="9"/>
    </row>
    <row r="925241" spans="15:15" x14ac:dyDescent="0.25">
      <c r="O925241" s="9"/>
    </row>
    <row r="925262" spans="15:15" x14ac:dyDescent="0.25">
      <c r="O925262" s="9"/>
    </row>
    <row r="925283" spans="15:15" x14ac:dyDescent="0.25">
      <c r="O925283" s="9"/>
    </row>
    <row r="925304" spans="15:15" x14ac:dyDescent="0.25">
      <c r="O925304" s="9"/>
    </row>
    <row r="925325" spans="15:15" x14ac:dyDescent="0.25">
      <c r="O925325" s="9"/>
    </row>
    <row r="925346" spans="15:15" x14ac:dyDescent="0.25">
      <c r="O925346" s="9"/>
    </row>
    <row r="925367" spans="15:15" x14ac:dyDescent="0.25">
      <c r="O925367" s="9"/>
    </row>
    <row r="925388" spans="15:15" x14ac:dyDescent="0.25">
      <c r="O925388" s="9"/>
    </row>
    <row r="925409" spans="15:15" x14ac:dyDescent="0.25">
      <c r="O925409" s="9"/>
    </row>
    <row r="925430" spans="15:15" x14ac:dyDescent="0.25">
      <c r="O925430" s="9"/>
    </row>
    <row r="925451" spans="15:15" x14ac:dyDescent="0.25">
      <c r="O925451" s="9"/>
    </row>
    <row r="925472" spans="15:15" x14ac:dyDescent="0.25">
      <c r="O925472" s="9"/>
    </row>
    <row r="925493" spans="15:15" x14ac:dyDescent="0.25">
      <c r="O925493" s="9"/>
    </row>
    <row r="925514" spans="15:15" x14ac:dyDescent="0.25">
      <c r="O925514" s="9"/>
    </row>
    <row r="925535" spans="15:15" x14ac:dyDescent="0.25">
      <c r="O925535" s="9"/>
    </row>
    <row r="925556" spans="15:15" x14ac:dyDescent="0.25">
      <c r="O925556" s="9"/>
    </row>
    <row r="925577" spans="15:15" x14ac:dyDescent="0.25">
      <c r="O925577" s="9"/>
    </row>
    <row r="925598" spans="15:15" x14ac:dyDescent="0.25">
      <c r="O925598" s="9"/>
    </row>
    <row r="925619" spans="15:15" x14ac:dyDescent="0.25">
      <c r="O925619" s="9"/>
    </row>
    <row r="925640" spans="15:15" x14ac:dyDescent="0.25">
      <c r="O925640" s="9"/>
    </row>
    <row r="925661" spans="15:15" x14ac:dyDescent="0.25">
      <c r="O925661" s="9"/>
    </row>
    <row r="925682" spans="15:15" x14ac:dyDescent="0.25">
      <c r="O925682" s="9"/>
    </row>
    <row r="925703" spans="15:15" x14ac:dyDescent="0.25">
      <c r="O925703" s="9"/>
    </row>
    <row r="925724" spans="15:15" x14ac:dyDescent="0.25">
      <c r="O925724" s="9"/>
    </row>
    <row r="925745" spans="15:15" x14ac:dyDescent="0.25">
      <c r="O925745" s="9"/>
    </row>
    <row r="925766" spans="15:15" x14ac:dyDescent="0.25">
      <c r="O925766" s="9"/>
    </row>
    <row r="925787" spans="15:15" x14ac:dyDescent="0.25">
      <c r="O925787" s="9"/>
    </row>
    <row r="925808" spans="15:15" x14ac:dyDescent="0.25">
      <c r="O925808" s="9"/>
    </row>
    <row r="925829" spans="15:15" x14ac:dyDescent="0.25">
      <c r="O925829" s="9"/>
    </row>
    <row r="925850" spans="15:15" x14ac:dyDescent="0.25">
      <c r="O925850" s="9"/>
    </row>
    <row r="925871" spans="15:15" x14ac:dyDescent="0.25">
      <c r="O925871" s="9"/>
    </row>
    <row r="925892" spans="15:15" x14ac:dyDescent="0.25">
      <c r="O925892" s="9"/>
    </row>
    <row r="925913" spans="15:15" x14ac:dyDescent="0.25">
      <c r="O925913" s="9"/>
    </row>
    <row r="925934" spans="15:15" x14ac:dyDescent="0.25">
      <c r="O925934" s="9"/>
    </row>
    <row r="925955" spans="15:15" x14ac:dyDescent="0.25">
      <c r="O925955" s="9"/>
    </row>
    <row r="925976" spans="15:15" x14ac:dyDescent="0.25">
      <c r="O925976" s="9"/>
    </row>
    <row r="925997" spans="15:15" x14ac:dyDescent="0.25">
      <c r="O925997" s="9"/>
    </row>
    <row r="926018" spans="15:15" x14ac:dyDescent="0.25">
      <c r="O926018" s="9"/>
    </row>
    <row r="926039" spans="15:15" x14ac:dyDescent="0.25">
      <c r="O926039" s="9"/>
    </row>
    <row r="926060" spans="15:15" x14ac:dyDescent="0.25">
      <c r="O926060" s="9"/>
    </row>
    <row r="926081" spans="15:15" x14ac:dyDescent="0.25">
      <c r="O926081" s="9"/>
    </row>
    <row r="926102" spans="15:15" x14ac:dyDescent="0.25">
      <c r="O926102" s="9"/>
    </row>
    <row r="926123" spans="15:15" x14ac:dyDescent="0.25">
      <c r="O926123" s="9"/>
    </row>
    <row r="926144" spans="15:15" x14ac:dyDescent="0.25">
      <c r="O926144" s="9"/>
    </row>
    <row r="926165" spans="15:15" x14ac:dyDescent="0.25">
      <c r="O926165" s="9"/>
    </row>
    <row r="926186" spans="15:15" x14ac:dyDescent="0.25">
      <c r="O926186" s="9"/>
    </row>
    <row r="926207" spans="15:15" x14ac:dyDescent="0.25">
      <c r="O926207" s="9"/>
    </row>
    <row r="926228" spans="15:15" x14ac:dyDescent="0.25">
      <c r="O926228" s="9"/>
    </row>
    <row r="926249" spans="15:15" x14ac:dyDescent="0.25">
      <c r="O926249" s="9"/>
    </row>
    <row r="926270" spans="15:15" x14ac:dyDescent="0.25">
      <c r="O926270" s="9"/>
    </row>
    <row r="926291" spans="15:15" x14ac:dyDescent="0.25">
      <c r="O926291" s="9"/>
    </row>
    <row r="926312" spans="15:15" x14ac:dyDescent="0.25">
      <c r="O926312" s="9"/>
    </row>
    <row r="926333" spans="15:15" x14ac:dyDescent="0.25">
      <c r="O926333" s="9"/>
    </row>
    <row r="926354" spans="15:15" x14ac:dyDescent="0.25">
      <c r="O926354" s="9"/>
    </row>
    <row r="926375" spans="15:15" x14ac:dyDescent="0.25">
      <c r="O926375" s="9"/>
    </row>
    <row r="926396" spans="15:15" x14ac:dyDescent="0.25">
      <c r="O926396" s="9"/>
    </row>
    <row r="926417" spans="15:15" x14ac:dyDescent="0.25">
      <c r="O926417" s="9"/>
    </row>
    <row r="926438" spans="15:15" x14ac:dyDescent="0.25">
      <c r="O926438" s="9"/>
    </row>
    <row r="926459" spans="15:15" x14ac:dyDescent="0.25">
      <c r="O926459" s="9"/>
    </row>
    <row r="926480" spans="15:15" x14ac:dyDescent="0.25">
      <c r="O926480" s="9"/>
    </row>
    <row r="926501" spans="15:15" x14ac:dyDescent="0.25">
      <c r="O926501" s="9"/>
    </row>
    <row r="926522" spans="15:15" x14ac:dyDescent="0.25">
      <c r="O926522" s="9"/>
    </row>
    <row r="926543" spans="15:15" x14ac:dyDescent="0.25">
      <c r="O926543" s="9"/>
    </row>
    <row r="926564" spans="15:15" x14ac:dyDescent="0.25">
      <c r="O926564" s="9"/>
    </row>
    <row r="926585" spans="15:15" x14ac:dyDescent="0.25">
      <c r="O926585" s="9"/>
    </row>
    <row r="926606" spans="15:15" x14ac:dyDescent="0.25">
      <c r="O926606" s="9"/>
    </row>
    <row r="926627" spans="15:15" x14ac:dyDescent="0.25">
      <c r="O926627" s="9"/>
    </row>
    <row r="926648" spans="15:15" x14ac:dyDescent="0.25">
      <c r="O926648" s="9"/>
    </row>
    <row r="926669" spans="15:15" x14ac:dyDescent="0.25">
      <c r="O926669" s="9"/>
    </row>
    <row r="926690" spans="15:15" x14ac:dyDescent="0.25">
      <c r="O926690" s="9"/>
    </row>
    <row r="926711" spans="15:15" x14ac:dyDescent="0.25">
      <c r="O926711" s="9"/>
    </row>
    <row r="926732" spans="15:15" x14ac:dyDescent="0.25">
      <c r="O926732" s="9"/>
    </row>
    <row r="926753" spans="15:15" x14ac:dyDescent="0.25">
      <c r="O926753" s="9"/>
    </row>
    <row r="926774" spans="15:15" x14ac:dyDescent="0.25">
      <c r="O926774" s="9"/>
    </row>
    <row r="926795" spans="15:15" x14ac:dyDescent="0.25">
      <c r="O926795" s="9"/>
    </row>
    <row r="926816" spans="15:15" x14ac:dyDescent="0.25">
      <c r="O926816" s="9"/>
    </row>
    <row r="926837" spans="15:15" x14ac:dyDescent="0.25">
      <c r="O926837" s="9"/>
    </row>
    <row r="926858" spans="15:15" x14ac:dyDescent="0.25">
      <c r="O926858" s="9"/>
    </row>
    <row r="926879" spans="15:15" x14ac:dyDescent="0.25">
      <c r="O926879" s="9"/>
    </row>
    <row r="926900" spans="15:15" x14ac:dyDescent="0.25">
      <c r="O926900" s="9"/>
    </row>
    <row r="926921" spans="15:15" x14ac:dyDescent="0.25">
      <c r="O926921" s="9"/>
    </row>
    <row r="926942" spans="15:15" x14ac:dyDescent="0.25">
      <c r="O926942" s="9"/>
    </row>
    <row r="926963" spans="15:15" x14ac:dyDescent="0.25">
      <c r="O926963" s="9"/>
    </row>
    <row r="926984" spans="15:15" x14ac:dyDescent="0.25">
      <c r="O926984" s="9"/>
    </row>
    <row r="927005" spans="15:15" x14ac:dyDescent="0.25">
      <c r="O927005" s="9"/>
    </row>
    <row r="927026" spans="15:15" x14ac:dyDescent="0.25">
      <c r="O927026" s="9"/>
    </row>
    <row r="927047" spans="15:15" x14ac:dyDescent="0.25">
      <c r="O927047" s="9"/>
    </row>
    <row r="927068" spans="15:15" x14ac:dyDescent="0.25">
      <c r="O927068" s="9"/>
    </row>
    <row r="927089" spans="15:15" x14ac:dyDescent="0.25">
      <c r="O927089" s="9"/>
    </row>
    <row r="927110" spans="15:15" x14ac:dyDescent="0.25">
      <c r="O927110" s="9"/>
    </row>
    <row r="927131" spans="15:15" x14ac:dyDescent="0.25">
      <c r="O927131" s="9"/>
    </row>
    <row r="927152" spans="15:15" x14ac:dyDescent="0.25">
      <c r="O927152" s="9"/>
    </row>
    <row r="927173" spans="15:15" x14ac:dyDescent="0.25">
      <c r="O927173" s="9"/>
    </row>
    <row r="927194" spans="15:15" x14ac:dyDescent="0.25">
      <c r="O927194" s="9"/>
    </row>
    <row r="927215" spans="15:15" x14ac:dyDescent="0.25">
      <c r="O927215" s="9"/>
    </row>
    <row r="927236" spans="15:15" x14ac:dyDescent="0.25">
      <c r="O927236" s="9"/>
    </row>
    <row r="927257" spans="15:15" x14ac:dyDescent="0.25">
      <c r="O927257" s="9"/>
    </row>
    <row r="927278" spans="15:15" x14ac:dyDescent="0.25">
      <c r="O927278" s="9"/>
    </row>
    <row r="927299" spans="15:15" x14ac:dyDescent="0.25">
      <c r="O927299" s="9"/>
    </row>
    <row r="927320" spans="15:15" x14ac:dyDescent="0.25">
      <c r="O927320" s="9"/>
    </row>
    <row r="927341" spans="15:15" x14ac:dyDescent="0.25">
      <c r="O927341" s="9"/>
    </row>
    <row r="927362" spans="15:15" x14ac:dyDescent="0.25">
      <c r="O927362" s="9"/>
    </row>
    <row r="927383" spans="15:15" x14ac:dyDescent="0.25">
      <c r="O927383" s="9"/>
    </row>
    <row r="927404" spans="15:15" x14ac:dyDescent="0.25">
      <c r="O927404" s="9"/>
    </row>
    <row r="927425" spans="15:15" x14ac:dyDescent="0.25">
      <c r="O927425" s="9"/>
    </row>
    <row r="927446" spans="15:15" x14ac:dyDescent="0.25">
      <c r="O927446" s="9"/>
    </row>
    <row r="927467" spans="15:15" x14ac:dyDescent="0.25">
      <c r="O927467" s="9"/>
    </row>
    <row r="927488" spans="15:15" x14ac:dyDescent="0.25">
      <c r="O927488" s="9"/>
    </row>
    <row r="927509" spans="15:15" x14ac:dyDescent="0.25">
      <c r="O927509" s="9"/>
    </row>
    <row r="927530" spans="15:15" x14ac:dyDescent="0.25">
      <c r="O927530" s="9"/>
    </row>
    <row r="927551" spans="15:15" x14ac:dyDescent="0.25">
      <c r="O927551" s="9"/>
    </row>
    <row r="927572" spans="15:15" x14ac:dyDescent="0.25">
      <c r="O927572" s="9"/>
    </row>
    <row r="927593" spans="15:15" x14ac:dyDescent="0.25">
      <c r="O927593" s="9"/>
    </row>
    <row r="927614" spans="15:15" x14ac:dyDescent="0.25">
      <c r="O927614" s="9"/>
    </row>
    <row r="927635" spans="15:15" x14ac:dyDescent="0.25">
      <c r="O927635" s="9"/>
    </row>
    <row r="927656" spans="15:15" x14ac:dyDescent="0.25">
      <c r="O927656" s="9"/>
    </row>
    <row r="927677" spans="15:15" x14ac:dyDescent="0.25">
      <c r="O927677" s="9"/>
    </row>
    <row r="927698" spans="15:15" x14ac:dyDescent="0.25">
      <c r="O927698" s="9"/>
    </row>
    <row r="927719" spans="15:15" x14ac:dyDescent="0.25">
      <c r="O927719" s="9"/>
    </row>
    <row r="927740" spans="15:15" x14ac:dyDescent="0.25">
      <c r="O927740" s="9"/>
    </row>
    <row r="927761" spans="15:15" x14ac:dyDescent="0.25">
      <c r="O927761" s="9"/>
    </row>
    <row r="927782" spans="15:15" x14ac:dyDescent="0.25">
      <c r="O927782" s="9"/>
    </row>
    <row r="927803" spans="15:15" x14ac:dyDescent="0.25">
      <c r="O927803" s="9"/>
    </row>
    <row r="927824" spans="15:15" x14ac:dyDescent="0.25">
      <c r="O927824" s="9"/>
    </row>
    <row r="927845" spans="15:15" x14ac:dyDescent="0.25">
      <c r="O927845" s="9"/>
    </row>
    <row r="927866" spans="15:15" x14ac:dyDescent="0.25">
      <c r="O927866" s="9"/>
    </row>
    <row r="927887" spans="15:15" x14ac:dyDescent="0.25">
      <c r="O927887" s="9"/>
    </row>
    <row r="927908" spans="15:15" x14ac:dyDescent="0.25">
      <c r="O927908" s="9"/>
    </row>
    <row r="927929" spans="15:15" x14ac:dyDescent="0.25">
      <c r="O927929" s="9"/>
    </row>
    <row r="927950" spans="15:15" x14ac:dyDescent="0.25">
      <c r="O927950" s="9"/>
    </row>
    <row r="927971" spans="15:15" x14ac:dyDescent="0.25">
      <c r="O927971" s="9"/>
    </row>
    <row r="927992" spans="15:15" x14ac:dyDescent="0.25">
      <c r="O927992" s="9"/>
    </row>
    <row r="928013" spans="15:15" x14ac:dyDescent="0.25">
      <c r="O928013" s="9"/>
    </row>
    <row r="928034" spans="15:15" x14ac:dyDescent="0.25">
      <c r="O928034" s="9"/>
    </row>
    <row r="928055" spans="15:15" x14ac:dyDescent="0.25">
      <c r="O928055" s="9"/>
    </row>
    <row r="928076" spans="15:15" x14ac:dyDescent="0.25">
      <c r="O928076" s="9"/>
    </row>
    <row r="928097" spans="15:15" x14ac:dyDescent="0.25">
      <c r="O928097" s="9"/>
    </row>
    <row r="928118" spans="15:15" x14ac:dyDescent="0.25">
      <c r="O928118" s="9"/>
    </row>
    <row r="928139" spans="15:15" x14ac:dyDescent="0.25">
      <c r="O928139" s="9"/>
    </row>
    <row r="928160" spans="15:15" x14ac:dyDescent="0.25">
      <c r="O928160" s="9"/>
    </row>
    <row r="928181" spans="15:15" x14ac:dyDescent="0.25">
      <c r="O928181" s="9"/>
    </row>
    <row r="928202" spans="15:15" x14ac:dyDescent="0.25">
      <c r="O928202" s="9"/>
    </row>
    <row r="928223" spans="15:15" x14ac:dyDescent="0.25">
      <c r="O928223" s="9"/>
    </row>
    <row r="928244" spans="15:15" x14ac:dyDescent="0.25">
      <c r="O928244" s="9"/>
    </row>
    <row r="928265" spans="15:15" x14ac:dyDescent="0.25">
      <c r="O928265" s="9"/>
    </row>
    <row r="928286" spans="15:15" x14ac:dyDescent="0.25">
      <c r="O928286" s="9"/>
    </row>
    <row r="928307" spans="15:15" x14ac:dyDescent="0.25">
      <c r="O928307" s="9"/>
    </row>
    <row r="928328" spans="15:15" x14ac:dyDescent="0.25">
      <c r="O928328" s="9"/>
    </row>
    <row r="928349" spans="15:15" x14ac:dyDescent="0.25">
      <c r="O928349" s="9"/>
    </row>
    <row r="928370" spans="15:15" x14ac:dyDescent="0.25">
      <c r="O928370" s="9"/>
    </row>
    <row r="928391" spans="15:15" x14ac:dyDescent="0.25">
      <c r="O928391" s="9"/>
    </row>
    <row r="928412" spans="15:15" x14ac:dyDescent="0.25">
      <c r="O928412" s="9"/>
    </row>
    <row r="928433" spans="15:15" x14ac:dyDescent="0.25">
      <c r="O928433" s="9"/>
    </row>
    <row r="928454" spans="15:15" x14ac:dyDescent="0.25">
      <c r="O928454" s="9"/>
    </row>
    <row r="928475" spans="15:15" x14ac:dyDescent="0.25">
      <c r="O928475" s="9"/>
    </row>
    <row r="928496" spans="15:15" x14ac:dyDescent="0.25">
      <c r="O928496" s="9"/>
    </row>
    <row r="928517" spans="15:15" x14ac:dyDescent="0.25">
      <c r="O928517" s="9"/>
    </row>
    <row r="928538" spans="15:15" x14ac:dyDescent="0.25">
      <c r="O928538" s="9"/>
    </row>
    <row r="928559" spans="15:15" x14ac:dyDescent="0.25">
      <c r="O928559" s="9"/>
    </row>
    <row r="928580" spans="15:15" x14ac:dyDescent="0.25">
      <c r="O928580" s="9"/>
    </row>
    <row r="928601" spans="15:15" x14ac:dyDescent="0.25">
      <c r="O928601" s="9"/>
    </row>
    <row r="928622" spans="15:15" x14ac:dyDescent="0.25">
      <c r="O928622" s="9"/>
    </row>
    <row r="928643" spans="15:15" x14ac:dyDescent="0.25">
      <c r="O928643" s="9"/>
    </row>
    <row r="928664" spans="15:15" x14ac:dyDescent="0.25">
      <c r="O928664" s="9"/>
    </row>
    <row r="928685" spans="15:15" x14ac:dyDescent="0.25">
      <c r="O928685" s="9"/>
    </row>
    <row r="928706" spans="15:15" x14ac:dyDescent="0.25">
      <c r="O928706" s="9"/>
    </row>
    <row r="928727" spans="15:15" x14ac:dyDescent="0.25">
      <c r="O928727" s="9"/>
    </row>
    <row r="928748" spans="15:15" x14ac:dyDescent="0.25">
      <c r="O928748" s="9"/>
    </row>
    <row r="928769" spans="15:15" x14ac:dyDescent="0.25">
      <c r="O928769" s="9"/>
    </row>
    <row r="928790" spans="15:15" x14ac:dyDescent="0.25">
      <c r="O928790" s="9"/>
    </row>
    <row r="928811" spans="15:15" x14ac:dyDescent="0.25">
      <c r="O928811" s="9"/>
    </row>
    <row r="928832" spans="15:15" x14ac:dyDescent="0.25">
      <c r="O928832" s="9"/>
    </row>
    <row r="928853" spans="15:15" x14ac:dyDescent="0.25">
      <c r="O928853" s="9"/>
    </row>
    <row r="928874" spans="15:15" x14ac:dyDescent="0.25">
      <c r="O928874" s="9"/>
    </row>
    <row r="928895" spans="15:15" x14ac:dyDescent="0.25">
      <c r="O928895" s="9"/>
    </row>
    <row r="928916" spans="15:15" x14ac:dyDescent="0.25">
      <c r="O928916" s="9"/>
    </row>
    <row r="928937" spans="15:15" x14ac:dyDescent="0.25">
      <c r="O928937" s="9"/>
    </row>
    <row r="928958" spans="15:15" x14ac:dyDescent="0.25">
      <c r="O928958" s="9"/>
    </row>
    <row r="928979" spans="15:15" x14ac:dyDescent="0.25">
      <c r="O928979" s="9"/>
    </row>
    <row r="929000" spans="15:15" x14ac:dyDescent="0.25">
      <c r="O929000" s="9"/>
    </row>
    <row r="929021" spans="15:15" x14ac:dyDescent="0.25">
      <c r="O929021" s="9"/>
    </row>
    <row r="929042" spans="15:15" x14ac:dyDescent="0.25">
      <c r="O929042" s="9"/>
    </row>
    <row r="929063" spans="15:15" x14ac:dyDescent="0.25">
      <c r="O929063" s="9"/>
    </row>
    <row r="929084" spans="15:15" x14ac:dyDescent="0.25">
      <c r="O929084" s="9"/>
    </row>
    <row r="929105" spans="15:15" x14ac:dyDescent="0.25">
      <c r="O929105" s="9"/>
    </row>
    <row r="929126" spans="15:15" x14ac:dyDescent="0.25">
      <c r="O929126" s="9"/>
    </row>
    <row r="929147" spans="15:15" x14ac:dyDescent="0.25">
      <c r="O929147" s="9"/>
    </row>
    <row r="929168" spans="15:15" x14ac:dyDescent="0.25">
      <c r="O929168" s="9"/>
    </row>
    <row r="929189" spans="15:15" x14ac:dyDescent="0.25">
      <c r="O929189" s="9"/>
    </row>
    <row r="929210" spans="15:15" x14ac:dyDescent="0.25">
      <c r="O929210" s="9"/>
    </row>
    <row r="929231" spans="15:15" x14ac:dyDescent="0.25">
      <c r="O929231" s="9"/>
    </row>
    <row r="929252" spans="15:15" x14ac:dyDescent="0.25">
      <c r="O929252" s="9"/>
    </row>
    <row r="929273" spans="15:15" x14ac:dyDescent="0.25">
      <c r="O929273" s="9"/>
    </row>
    <row r="929294" spans="15:15" x14ac:dyDescent="0.25">
      <c r="O929294" s="9"/>
    </row>
    <row r="929315" spans="15:15" x14ac:dyDescent="0.25">
      <c r="O929315" s="9"/>
    </row>
    <row r="929336" spans="15:15" x14ac:dyDescent="0.25">
      <c r="O929336" s="9"/>
    </row>
    <row r="929357" spans="15:15" x14ac:dyDescent="0.25">
      <c r="O929357" s="9"/>
    </row>
    <row r="929378" spans="15:15" x14ac:dyDescent="0.25">
      <c r="O929378" s="9"/>
    </row>
    <row r="929399" spans="15:15" x14ac:dyDescent="0.25">
      <c r="O929399" s="9"/>
    </row>
    <row r="929420" spans="15:15" x14ac:dyDescent="0.25">
      <c r="O929420" s="9"/>
    </row>
    <row r="929441" spans="15:15" x14ac:dyDescent="0.25">
      <c r="O929441" s="9"/>
    </row>
    <row r="929462" spans="15:15" x14ac:dyDescent="0.25">
      <c r="O929462" s="9"/>
    </row>
    <row r="929483" spans="15:15" x14ac:dyDescent="0.25">
      <c r="O929483" s="9"/>
    </row>
    <row r="929504" spans="15:15" x14ac:dyDescent="0.25">
      <c r="O929504" s="9"/>
    </row>
    <row r="929525" spans="15:15" x14ac:dyDescent="0.25">
      <c r="O929525" s="9"/>
    </row>
    <row r="929546" spans="15:15" x14ac:dyDescent="0.25">
      <c r="O929546" s="9"/>
    </row>
    <row r="929567" spans="15:15" x14ac:dyDescent="0.25">
      <c r="O929567" s="9"/>
    </row>
    <row r="929588" spans="15:15" x14ac:dyDescent="0.25">
      <c r="O929588" s="9"/>
    </row>
    <row r="929609" spans="15:15" x14ac:dyDescent="0.25">
      <c r="O929609" s="9"/>
    </row>
    <row r="929630" spans="15:15" x14ac:dyDescent="0.25">
      <c r="O929630" s="9"/>
    </row>
    <row r="929651" spans="15:15" x14ac:dyDescent="0.25">
      <c r="O929651" s="9"/>
    </row>
    <row r="929672" spans="15:15" x14ac:dyDescent="0.25">
      <c r="O929672" s="9"/>
    </row>
    <row r="929693" spans="15:15" x14ac:dyDescent="0.25">
      <c r="O929693" s="9"/>
    </row>
    <row r="929714" spans="15:15" x14ac:dyDescent="0.25">
      <c r="O929714" s="9"/>
    </row>
    <row r="929735" spans="15:15" x14ac:dyDescent="0.25">
      <c r="O929735" s="9"/>
    </row>
    <row r="929756" spans="15:15" x14ac:dyDescent="0.25">
      <c r="O929756" s="9"/>
    </row>
    <row r="929777" spans="15:15" x14ac:dyDescent="0.25">
      <c r="O929777" s="9"/>
    </row>
    <row r="929798" spans="15:15" x14ac:dyDescent="0.25">
      <c r="O929798" s="9"/>
    </row>
    <row r="929819" spans="15:15" x14ac:dyDescent="0.25">
      <c r="O929819" s="9"/>
    </row>
    <row r="929840" spans="15:15" x14ac:dyDescent="0.25">
      <c r="O929840" s="9"/>
    </row>
    <row r="929861" spans="15:15" x14ac:dyDescent="0.25">
      <c r="O929861" s="9"/>
    </row>
    <row r="929882" spans="15:15" x14ac:dyDescent="0.25">
      <c r="O929882" s="9"/>
    </row>
    <row r="929903" spans="15:15" x14ac:dyDescent="0.25">
      <c r="O929903" s="9"/>
    </row>
    <row r="929924" spans="15:15" x14ac:dyDescent="0.25">
      <c r="O929924" s="9"/>
    </row>
    <row r="929945" spans="15:15" x14ac:dyDescent="0.25">
      <c r="O929945" s="9"/>
    </row>
    <row r="929966" spans="15:15" x14ac:dyDescent="0.25">
      <c r="O929966" s="9"/>
    </row>
    <row r="929987" spans="15:15" x14ac:dyDescent="0.25">
      <c r="O929987" s="9"/>
    </row>
    <row r="930008" spans="15:15" x14ac:dyDescent="0.25">
      <c r="O930008" s="9"/>
    </row>
    <row r="930029" spans="15:15" x14ac:dyDescent="0.25">
      <c r="O930029" s="9"/>
    </row>
    <row r="930050" spans="15:15" x14ac:dyDescent="0.25">
      <c r="O930050" s="9"/>
    </row>
    <row r="930071" spans="15:15" x14ac:dyDescent="0.25">
      <c r="O930071" s="9"/>
    </row>
    <row r="930092" spans="15:15" x14ac:dyDescent="0.25">
      <c r="O930092" s="9"/>
    </row>
    <row r="930113" spans="15:15" x14ac:dyDescent="0.25">
      <c r="O930113" s="9"/>
    </row>
    <row r="930134" spans="15:15" x14ac:dyDescent="0.25">
      <c r="O930134" s="9"/>
    </row>
    <row r="930155" spans="15:15" x14ac:dyDescent="0.25">
      <c r="O930155" s="9"/>
    </row>
    <row r="930176" spans="15:15" x14ac:dyDescent="0.25">
      <c r="O930176" s="9"/>
    </row>
    <row r="930197" spans="15:15" x14ac:dyDescent="0.25">
      <c r="O930197" s="9"/>
    </row>
    <row r="930218" spans="15:15" x14ac:dyDescent="0.25">
      <c r="O930218" s="9"/>
    </row>
    <row r="930239" spans="15:15" x14ac:dyDescent="0.25">
      <c r="O930239" s="9"/>
    </row>
    <row r="930260" spans="15:15" x14ac:dyDescent="0.25">
      <c r="O930260" s="9"/>
    </row>
    <row r="930281" spans="15:15" x14ac:dyDescent="0.25">
      <c r="O930281" s="9"/>
    </row>
    <row r="930302" spans="15:15" x14ac:dyDescent="0.25">
      <c r="O930302" s="9"/>
    </row>
    <row r="930323" spans="15:15" x14ac:dyDescent="0.25">
      <c r="O930323" s="9"/>
    </row>
    <row r="930344" spans="15:15" x14ac:dyDescent="0.25">
      <c r="O930344" s="9"/>
    </row>
    <row r="930365" spans="15:15" x14ac:dyDescent="0.25">
      <c r="O930365" s="9"/>
    </row>
    <row r="930386" spans="15:15" x14ac:dyDescent="0.25">
      <c r="O930386" s="9"/>
    </row>
    <row r="930407" spans="15:15" x14ac:dyDescent="0.25">
      <c r="O930407" s="9"/>
    </row>
    <row r="930428" spans="15:15" x14ac:dyDescent="0.25">
      <c r="O930428" s="9"/>
    </row>
    <row r="930449" spans="15:15" x14ac:dyDescent="0.25">
      <c r="O930449" s="9"/>
    </row>
    <row r="930470" spans="15:15" x14ac:dyDescent="0.25">
      <c r="O930470" s="9"/>
    </row>
    <row r="930491" spans="15:15" x14ac:dyDescent="0.25">
      <c r="O930491" s="9"/>
    </row>
    <row r="930512" spans="15:15" x14ac:dyDescent="0.25">
      <c r="O930512" s="9"/>
    </row>
    <row r="930533" spans="15:15" x14ac:dyDescent="0.25">
      <c r="O930533" s="9"/>
    </row>
    <row r="930554" spans="15:15" x14ac:dyDescent="0.25">
      <c r="O930554" s="9"/>
    </row>
    <row r="930575" spans="15:15" x14ac:dyDescent="0.25">
      <c r="O930575" s="9"/>
    </row>
    <row r="930596" spans="15:15" x14ac:dyDescent="0.25">
      <c r="O930596" s="9"/>
    </row>
    <row r="930617" spans="15:15" x14ac:dyDescent="0.25">
      <c r="O930617" s="9"/>
    </row>
    <row r="930638" spans="15:15" x14ac:dyDescent="0.25">
      <c r="O930638" s="9"/>
    </row>
    <row r="930659" spans="15:15" x14ac:dyDescent="0.25">
      <c r="O930659" s="9"/>
    </row>
    <row r="930680" spans="15:15" x14ac:dyDescent="0.25">
      <c r="O930680" s="9"/>
    </row>
    <row r="930701" spans="15:15" x14ac:dyDescent="0.25">
      <c r="O930701" s="9"/>
    </row>
    <row r="930722" spans="15:15" x14ac:dyDescent="0.25">
      <c r="O930722" s="9"/>
    </row>
    <row r="930743" spans="15:15" x14ac:dyDescent="0.25">
      <c r="O930743" s="9"/>
    </row>
    <row r="930764" spans="15:15" x14ac:dyDescent="0.25">
      <c r="O930764" s="9"/>
    </row>
    <row r="930785" spans="15:15" x14ac:dyDescent="0.25">
      <c r="O930785" s="9"/>
    </row>
    <row r="930806" spans="15:15" x14ac:dyDescent="0.25">
      <c r="O930806" s="9"/>
    </row>
    <row r="930827" spans="15:15" x14ac:dyDescent="0.25">
      <c r="O930827" s="9"/>
    </row>
    <row r="930848" spans="15:15" x14ac:dyDescent="0.25">
      <c r="O930848" s="9"/>
    </row>
    <row r="930869" spans="15:15" x14ac:dyDescent="0.25">
      <c r="O930869" s="9"/>
    </row>
    <row r="930890" spans="15:15" x14ac:dyDescent="0.25">
      <c r="O930890" s="9"/>
    </row>
    <row r="930911" spans="15:15" x14ac:dyDescent="0.25">
      <c r="O930911" s="9"/>
    </row>
    <row r="930932" spans="15:15" x14ac:dyDescent="0.25">
      <c r="O930932" s="9"/>
    </row>
    <row r="930953" spans="15:15" x14ac:dyDescent="0.25">
      <c r="O930953" s="9"/>
    </row>
    <row r="930974" spans="15:15" x14ac:dyDescent="0.25">
      <c r="O930974" s="9"/>
    </row>
    <row r="930995" spans="15:15" x14ac:dyDescent="0.25">
      <c r="O930995" s="9"/>
    </row>
    <row r="931016" spans="15:15" x14ac:dyDescent="0.25">
      <c r="O931016" s="9"/>
    </row>
    <row r="931037" spans="15:15" x14ac:dyDescent="0.25">
      <c r="O931037" s="9"/>
    </row>
    <row r="931058" spans="15:15" x14ac:dyDescent="0.25">
      <c r="O931058" s="9"/>
    </row>
    <row r="931079" spans="15:15" x14ac:dyDescent="0.25">
      <c r="O931079" s="9"/>
    </row>
    <row r="931100" spans="15:15" x14ac:dyDescent="0.25">
      <c r="O931100" s="9"/>
    </row>
    <row r="931121" spans="15:15" x14ac:dyDescent="0.25">
      <c r="O931121" s="9"/>
    </row>
    <row r="931142" spans="15:15" x14ac:dyDescent="0.25">
      <c r="O931142" s="9"/>
    </row>
    <row r="931163" spans="15:15" x14ac:dyDescent="0.25">
      <c r="O931163" s="9"/>
    </row>
    <row r="931184" spans="15:15" x14ac:dyDescent="0.25">
      <c r="O931184" s="9"/>
    </row>
    <row r="931205" spans="15:15" x14ac:dyDescent="0.25">
      <c r="O931205" s="9"/>
    </row>
    <row r="931226" spans="15:15" x14ac:dyDescent="0.25">
      <c r="O931226" s="9"/>
    </row>
    <row r="931247" spans="15:15" x14ac:dyDescent="0.25">
      <c r="O931247" s="9"/>
    </row>
    <row r="931268" spans="15:15" x14ac:dyDescent="0.25">
      <c r="O931268" s="9"/>
    </row>
    <row r="931289" spans="15:15" x14ac:dyDescent="0.25">
      <c r="O931289" s="9"/>
    </row>
    <row r="931310" spans="15:15" x14ac:dyDescent="0.25">
      <c r="O931310" s="9"/>
    </row>
    <row r="931331" spans="15:15" x14ac:dyDescent="0.25">
      <c r="O931331" s="9"/>
    </row>
    <row r="931352" spans="15:15" x14ac:dyDescent="0.25">
      <c r="O931352" s="9"/>
    </row>
    <row r="931373" spans="15:15" x14ac:dyDescent="0.25">
      <c r="O931373" s="9"/>
    </row>
    <row r="931394" spans="15:15" x14ac:dyDescent="0.25">
      <c r="O931394" s="9"/>
    </row>
    <row r="931415" spans="15:15" x14ac:dyDescent="0.25">
      <c r="O931415" s="9"/>
    </row>
    <row r="931436" spans="15:15" x14ac:dyDescent="0.25">
      <c r="O931436" s="9"/>
    </row>
    <row r="931457" spans="15:15" x14ac:dyDescent="0.25">
      <c r="O931457" s="9"/>
    </row>
    <row r="931478" spans="15:15" x14ac:dyDescent="0.25">
      <c r="O931478" s="9"/>
    </row>
    <row r="931499" spans="15:15" x14ac:dyDescent="0.25">
      <c r="O931499" s="9"/>
    </row>
    <row r="931520" spans="15:15" x14ac:dyDescent="0.25">
      <c r="O931520" s="9"/>
    </row>
    <row r="931541" spans="15:15" x14ac:dyDescent="0.25">
      <c r="O931541" s="9"/>
    </row>
    <row r="931562" spans="15:15" x14ac:dyDescent="0.25">
      <c r="O931562" s="9"/>
    </row>
    <row r="931583" spans="15:15" x14ac:dyDescent="0.25">
      <c r="O931583" s="9"/>
    </row>
    <row r="931604" spans="15:15" x14ac:dyDescent="0.25">
      <c r="O931604" s="9"/>
    </row>
    <row r="931625" spans="15:15" x14ac:dyDescent="0.25">
      <c r="O931625" s="9"/>
    </row>
    <row r="931646" spans="15:15" x14ac:dyDescent="0.25">
      <c r="O931646" s="9"/>
    </row>
    <row r="931667" spans="15:15" x14ac:dyDescent="0.25">
      <c r="O931667" s="9"/>
    </row>
    <row r="931688" spans="15:15" x14ac:dyDescent="0.25">
      <c r="O931688" s="9"/>
    </row>
    <row r="931709" spans="15:15" x14ac:dyDescent="0.25">
      <c r="O931709" s="9"/>
    </row>
    <row r="931730" spans="15:15" x14ac:dyDescent="0.25">
      <c r="O931730" s="9"/>
    </row>
    <row r="931751" spans="15:15" x14ac:dyDescent="0.25">
      <c r="O931751" s="9"/>
    </row>
    <row r="931772" spans="15:15" x14ac:dyDescent="0.25">
      <c r="O931772" s="9"/>
    </row>
    <row r="931793" spans="15:15" x14ac:dyDescent="0.25">
      <c r="O931793" s="9"/>
    </row>
    <row r="931814" spans="15:15" x14ac:dyDescent="0.25">
      <c r="O931814" s="9"/>
    </row>
    <row r="931835" spans="15:15" x14ac:dyDescent="0.25">
      <c r="O931835" s="9"/>
    </row>
    <row r="931856" spans="15:15" x14ac:dyDescent="0.25">
      <c r="O931856" s="9"/>
    </row>
    <row r="931877" spans="15:15" x14ac:dyDescent="0.25">
      <c r="O931877" s="9"/>
    </row>
    <row r="931898" spans="15:15" x14ac:dyDescent="0.25">
      <c r="O931898" s="9"/>
    </row>
    <row r="931919" spans="15:15" x14ac:dyDescent="0.25">
      <c r="O931919" s="9"/>
    </row>
    <row r="931940" spans="15:15" x14ac:dyDescent="0.25">
      <c r="O931940" s="9"/>
    </row>
    <row r="931961" spans="15:15" x14ac:dyDescent="0.25">
      <c r="O931961" s="9"/>
    </row>
    <row r="931982" spans="15:15" x14ac:dyDescent="0.25">
      <c r="O931982" s="9"/>
    </row>
    <row r="932003" spans="15:15" x14ac:dyDescent="0.25">
      <c r="O932003" s="9"/>
    </row>
    <row r="932024" spans="15:15" x14ac:dyDescent="0.25">
      <c r="O932024" s="9"/>
    </row>
    <row r="932045" spans="15:15" x14ac:dyDescent="0.25">
      <c r="O932045" s="9"/>
    </row>
    <row r="932066" spans="15:15" x14ac:dyDescent="0.25">
      <c r="O932066" s="9"/>
    </row>
    <row r="932087" spans="15:15" x14ac:dyDescent="0.25">
      <c r="O932087" s="9"/>
    </row>
    <row r="932108" spans="15:15" x14ac:dyDescent="0.25">
      <c r="O932108" s="9"/>
    </row>
    <row r="932129" spans="15:15" x14ac:dyDescent="0.25">
      <c r="O932129" s="9"/>
    </row>
    <row r="932150" spans="15:15" x14ac:dyDescent="0.25">
      <c r="O932150" s="9"/>
    </row>
    <row r="932171" spans="15:15" x14ac:dyDescent="0.25">
      <c r="O932171" s="9"/>
    </row>
    <row r="932192" spans="15:15" x14ac:dyDescent="0.25">
      <c r="O932192" s="9"/>
    </row>
    <row r="932213" spans="15:15" x14ac:dyDescent="0.25">
      <c r="O932213" s="9"/>
    </row>
    <row r="932234" spans="15:15" x14ac:dyDescent="0.25">
      <c r="O932234" s="9"/>
    </row>
    <row r="932255" spans="15:15" x14ac:dyDescent="0.25">
      <c r="O932255" s="9"/>
    </row>
    <row r="932276" spans="15:15" x14ac:dyDescent="0.25">
      <c r="O932276" s="9"/>
    </row>
    <row r="932297" spans="15:15" x14ac:dyDescent="0.25">
      <c r="O932297" s="9"/>
    </row>
    <row r="932318" spans="15:15" x14ac:dyDescent="0.25">
      <c r="O932318" s="9"/>
    </row>
    <row r="932339" spans="15:15" x14ac:dyDescent="0.25">
      <c r="O932339" s="9"/>
    </row>
    <row r="932360" spans="15:15" x14ac:dyDescent="0.25">
      <c r="O932360" s="9"/>
    </row>
    <row r="932381" spans="15:15" x14ac:dyDescent="0.25">
      <c r="O932381" s="9"/>
    </row>
    <row r="932402" spans="15:15" x14ac:dyDescent="0.25">
      <c r="O932402" s="9"/>
    </row>
    <row r="932423" spans="15:15" x14ac:dyDescent="0.25">
      <c r="O932423" s="9"/>
    </row>
    <row r="932444" spans="15:15" x14ac:dyDescent="0.25">
      <c r="O932444" s="9"/>
    </row>
    <row r="932465" spans="15:15" x14ac:dyDescent="0.25">
      <c r="O932465" s="9"/>
    </row>
    <row r="932486" spans="15:15" x14ac:dyDescent="0.25">
      <c r="O932486" s="9"/>
    </row>
    <row r="932507" spans="15:15" x14ac:dyDescent="0.25">
      <c r="O932507" s="9"/>
    </row>
    <row r="932528" spans="15:15" x14ac:dyDescent="0.25">
      <c r="O932528" s="9"/>
    </row>
    <row r="932549" spans="15:15" x14ac:dyDescent="0.25">
      <c r="O932549" s="9"/>
    </row>
    <row r="932570" spans="15:15" x14ac:dyDescent="0.25">
      <c r="O932570" s="9"/>
    </row>
    <row r="932591" spans="15:15" x14ac:dyDescent="0.25">
      <c r="O932591" s="9"/>
    </row>
    <row r="932612" spans="15:15" x14ac:dyDescent="0.25">
      <c r="O932612" s="9"/>
    </row>
    <row r="932633" spans="15:15" x14ac:dyDescent="0.25">
      <c r="O932633" s="9"/>
    </row>
    <row r="932654" spans="15:15" x14ac:dyDescent="0.25">
      <c r="O932654" s="9"/>
    </row>
    <row r="932675" spans="15:15" x14ac:dyDescent="0.25">
      <c r="O932675" s="9"/>
    </row>
    <row r="932696" spans="15:15" x14ac:dyDescent="0.25">
      <c r="O932696" s="9"/>
    </row>
    <row r="932717" spans="15:15" x14ac:dyDescent="0.25">
      <c r="O932717" s="9"/>
    </row>
    <row r="932738" spans="15:15" x14ac:dyDescent="0.25">
      <c r="O932738" s="9"/>
    </row>
    <row r="932759" spans="15:15" x14ac:dyDescent="0.25">
      <c r="O932759" s="9"/>
    </row>
    <row r="932780" spans="15:15" x14ac:dyDescent="0.25">
      <c r="O932780" s="9"/>
    </row>
    <row r="932801" spans="15:15" x14ac:dyDescent="0.25">
      <c r="O932801" s="9"/>
    </row>
    <row r="932822" spans="15:15" x14ac:dyDescent="0.25">
      <c r="O932822" s="9"/>
    </row>
    <row r="932843" spans="15:15" x14ac:dyDescent="0.25">
      <c r="O932843" s="9"/>
    </row>
    <row r="932864" spans="15:15" x14ac:dyDescent="0.25">
      <c r="O932864" s="9"/>
    </row>
    <row r="932885" spans="15:15" x14ac:dyDescent="0.25">
      <c r="O932885" s="9"/>
    </row>
    <row r="932906" spans="15:15" x14ac:dyDescent="0.25">
      <c r="O932906" s="9"/>
    </row>
    <row r="932927" spans="15:15" x14ac:dyDescent="0.25">
      <c r="O932927" s="9"/>
    </row>
    <row r="932948" spans="15:15" x14ac:dyDescent="0.25">
      <c r="O932948" s="9"/>
    </row>
    <row r="932969" spans="15:15" x14ac:dyDescent="0.25">
      <c r="O932969" s="9"/>
    </row>
    <row r="932990" spans="15:15" x14ac:dyDescent="0.25">
      <c r="O932990" s="9"/>
    </row>
    <row r="933011" spans="15:15" x14ac:dyDescent="0.25">
      <c r="O933011" s="9"/>
    </row>
    <row r="933032" spans="15:15" x14ac:dyDescent="0.25">
      <c r="O933032" s="9"/>
    </row>
    <row r="933053" spans="15:15" x14ac:dyDescent="0.25">
      <c r="O933053" s="9"/>
    </row>
    <row r="933074" spans="15:15" x14ac:dyDescent="0.25">
      <c r="O933074" s="9"/>
    </row>
    <row r="933095" spans="15:15" x14ac:dyDescent="0.25">
      <c r="O933095" s="9"/>
    </row>
    <row r="933116" spans="15:15" x14ac:dyDescent="0.25">
      <c r="O933116" s="9"/>
    </row>
    <row r="933137" spans="15:15" x14ac:dyDescent="0.25">
      <c r="O933137" s="9"/>
    </row>
    <row r="933158" spans="15:15" x14ac:dyDescent="0.25">
      <c r="O933158" s="9"/>
    </row>
    <row r="933179" spans="15:15" x14ac:dyDescent="0.25">
      <c r="O933179" s="9"/>
    </row>
    <row r="933200" spans="15:15" x14ac:dyDescent="0.25">
      <c r="O933200" s="9"/>
    </row>
    <row r="933221" spans="15:15" x14ac:dyDescent="0.25">
      <c r="O933221" s="9"/>
    </row>
    <row r="933242" spans="15:15" x14ac:dyDescent="0.25">
      <c r="O933242" s="9"/>
    </row>
    <row r="933263" spans="15:15" x14ac:dyDescent="0.25">
      <c r="O933263" s="9"/>
    </row>
    <row r="933284" spans="15:15" x14ac:dyDescent="0.25">
      <c r="O933284" s="9"/>
    </row>
    <row r="933305" spans="15:15" x14ac:dyDescent="0.25">
      <c r="O933305" s="9"/>
    </row>
    <row r="933326" spans="15:15" x14ac:dyDescent="0.25">
      <c r="O933326" s="9"/>
    </row>
    <row r="933347" spans="15:15" x14ac:dyDescent="0.25">
      <c r="O933347" s="9"/>
    </row>
    <row r="933368" spans="15:15" x14ac:dyDescent="0.25">
      <c r="O933368" s="9"/>
    </row>
    <row r="933389" spans="15:15" x14ac:dyDescent="0.25">
      <c r="O933389" s="9"/>
    </row>
    <row r="933410" spans="15:15" x14ac:dyDescent="0.25">
      <c r="O933410" s="9"/>
    </row>
    <row r="933431" spans="15:15" x14ac:dyDescent="0.25">
      <c r="O933431" s="9"/>
    </row>
    <row r="933452" spans="15:15" x14ac:dyDescent="0.25">
      <c r="O933452" s="9"/>
    </row>
    <row r="933473" spans="15:15" x14ac:dyDescent="0.25">
      <c r="O933473" s="9"/>
    </row>
    <row r="933494" spans="15:15" x14ac:dyDescent="0.25">
      <c r="O933494" s="9"/>
    </row>
    <row r="933515" spans="15:15" x14ac:dyDescent="0.25">
      <c r="O933515" s="9"/>
    </row>
    <row r="933536" spans="15:15" x14ac:dyDescent="0.25">
      <c r="O933536" s="9"/>
    </row>
    <row r="933557" spans="15:15" x14ac:dyDescent="0.25">
      <c r="O933557" s="9"/>
    </row>
    <row r="933578" spans="15:15" x14ac:dyDescent="0.25">
      <c r="O933578" s="9"/>
    </row>
    <row r="933599" spans="15:15" x14ac:dyDescent="0.25">
      <c r="O933599" s="9"/>
    </row>
    <row r="933620" spans="15:15" x14ac:dyDescent="0.25">
      <c r="O933620" s="9"/>
    </row>
    <row r="933641" spans="15:15" x14ac:dyDescent="0.25">
      <c r="O933641" s="9"/>
    </row>
    <row r="933662" spans="15:15" x14ac:dyDescent="0.25">
      <c r="O933662" s="9"/>
    </row>
    <row r="933683" spans="15:15" x14ac:dyDescent="0.25">
      <c r="O933683" s="9"/>
    </row>
    <row r="933704" spans="15:15" x14ac:dyDescent="0.25">
      <c r="O933704" s="9"/>
    </row>
    <row r="933725" spans="15:15" x14ac:dyDescent="0.25">
      <c r="O933725" s="9"/>
    </row>
    <row r="933746" spans="15:15" x14ac:dyDescent="0.25">
      <c r="O933746" s="9"/>
    </row>
    <row r="933767" spans="15:15" x14ac:dyDescent="0.25">
      <c r="O933767" s="9"/>
    </row>
    <row r="933788" spans="15:15" x14ac:dyDescent="0.25">
      <c r="O933788" s="9"/>
    </row>
    <row r="933809" spans="15:15" x14ac:dyDescent="0.25">
      <c r="O933809" s="9"/>
    </row>
    <row r="933830" spans="15:15" x14ac:dyDescent="0.25">
      <c r="O933830" s="9"/>
    </row>
    <row r="933851" spans="15:15" x14ac:dyDescent="0.25">
      <c r="O933851" s="9"/>
    </row>
    <row r="933872" spans="15:15" x14ac:dyDescent="0.25">
      <c r="O933872" s="9"/>
    </row>
    <row r="933893" spans="15:15" x14ac:dyDescent="0.25">
      <c r="O933893" s="9"/>
    </row>
    <row r="933914" spans="15:15" x14ac:dyDescent="0.25">
      <c r="O933914" s="9"/>
    </row>
    <row r="933935" spans="15:15" x14ac:dyDescent="0.25">
      <c r="O933935" s="9"/>
    </row>
    <row r="933956" spans="15:15" x14ac:dyDescent="0.25">
      <c r="O933956" s="9"/>
    </row>
    <row r="933977" spans="15:15" x14ac:dyDescent="0.25">
      <c r="O933977" s="9"/>
    </row>
    <row r="933998" spans="15:15" x14ac:dyDescent="0.25">
      <c r="O933998" s="9"/>
    </row>
    <row r="934019" spans="15:15" x14ac:dyDescent="0.25">
      <c r="O934019" s="9"/>
    </row>
    <row r="934040" spans="15:15" x14ac:dyDescent="0.25">
      <c r="O934040" s="9"/>
    </row>
    <row r="934061" spans="15:15" x14ac:dyDescent="0.25">
      <c r="O934061" s="9"/>
    </row>
    <row r="934082" spans="15:15" x14ac:dyDescent="0.25">
      <c r="O934082" s="9"/>
    </row>
    <row r="934103" spans="15:15" x14ac:dyDescent="0.25">
      <c r="O934103" s="9"/>
    </row>
    <row r="934124" spans="15:15" x14ac:dyDescent="0.25">
      <c r="O934124" s="9"/>
    </row>
    <row r="934145" spans="15:15" x14ac:dyDescent="0.25">
      <c r="O934145" s="9"/>
    </row>
    <row r="934166" spans="15:15" x14ac:dyDescent="0.25">
      <c r="O934166" s="9"/>
    </row>
    <row r="934187" spans="15:15" x14ac:dyDescent="0.25">
      <c r="O934187" s="9"/>
    </row>
    <row r="934208" spans="15:15" x14ac:dyDescent="0.25">
      <c r="O934208" s="9"/>
    </row>
    <row r="934229" spans="15:15" x14ac:dyDescent="0.25">
      <c r="O934229" s="9"/>
    </row>
    <row r="934250" spans="15:15" x14ac:dyDescent="0.25">
      <c r="O934250" s="9"/>
    </row>
    <row r="934271" spans="15:15" x14ac:dyDescent="0.25">
      <c r="O934271" s="9"/>
    </row>
    <row r="934292" spans="15:15" x14ac:dyDescent="0.25">
      <c r="O934292" s="9"/>
    </row>
    <row r="934313" spans="15:15" x14ac:dyDescent="0.25">
      <c r="O934313" s="9"/>
    </row>
    <row r="934334" spans="15:15" x14ac:dyDescent="0.25">
      <c r="O934334" s="9"/>
    </row>
    <row r="934355" spans="15:15" x14ac:dyDescent="0.25">
      <c r="O934355" s="9"/>
    </row>
    <row r="934376" spans="15:15" x14ac:dyDescent="0.25">
      <c r="O934376" s="9"/>
    </row>
    <row r="934397" spans="15:15" x14ac:dyDescent="0.25">
      <c r="O934397" s="9"/>
    </row>
    <row r="934418" spans="15:15" x14ac:dyDescent="0.25">
      <c r="O934418" s="9"/>
    </row>
    <row r="934439" spans="15:15" x14ac:dyDescent="0.25">
      <c r="O934439" s="9"/>
    </row>
    <row r="934460" spans="15:15" x14ac:dyDescent="0.25">
      <c r="O934460" s="9"/>
    </row>
    <row r="934481" spans="15:15" x14ac:dyDescent="0.25">
      <c r="O934481" s="9"/>
    </row>
    <row r="934502" spans="15:15" x14ac:dyDescent="0.25">
      <c r="O934502" s="9"/>
    </row>
    <row r="934523" spans="15:15" x14ac:dyDescent="0.25">
      <c r="O934523" s="9"/>
    </row>
    <row r="934544" spans="15:15" x14ac:dyDescent="0.25">
      <c r="O934544" s="9"/>
    </row>
    <row r="934565" spans="15:15" x14ac:dyDescent="0.25">
      <c r="O934565" s="9"/>
    </row>
    <row r="934586" spans="15:15" x14ac:dyDescent="0.25">
      <c r="O934586" s="9"/>
    </row>
    <row r="934607" spans="15:15" x14ac:dyDescent="0.25">
      <c r="O934607" s="9"/>
    </row>
    <row r="934628" spans="15:15" x14ac:dyDescent="0.25">
      <c r="O934628" s="9"/>
    </row>
    <row r="934649" spans="15:15" x14ac:dyDescent="0.25">
      <c r="O934649" s="9"/>
    </row>
    <row r="934670" spans="15:15" x14ac:dyDescent="0.25">
      <c r="O934670" s="9"/>
    </row>
    <row r="934691" spans="15:15" x14ac:dyDescent="0.25">
      <c r="O934691" s="9"/>
    </row>
    <row r="934712" spans="15:15" x14ac:dyDescent="0.25">
      <c r="O934712" s="9"/>
    </row>
    <row r="934733" spans="15:15" x14ac:dyDescent="0.25">
      <c r="O934733" s="9"/>
    </row>
    <row r="934754" spans="15:15" x14ac:dyDescent="0.25">
      <c r="O934754" s="9"/>
    </row>
    <row r="934775" spans="15:15" x14ac:dyDescent="0.25">
      <c r="O934775" s="9"/>
    </row>
    <row r="934796" spans="15:15" x14ac:dyDescent="0.25">
      <c r="O934796" s="9"/>
    </row>
    <row r="934817" spans="15:15" x14ac:dyDescent="0.25">
      <c r="O934817" s="9"/>
    </row>
    <row r="934838" spans="15:15" x14ac:dyDescent="0.25">
      <c r="O934838" s="9"/>
    </row>
    <row r="934859" spans="15:15" x14ac:dyDescent="0.25">
      <c r="O934859" s="9"/>
    </row>
    <row r="934880" spans="15:15" x14ac:dyDescent="0.25">
      <c r="O934880" s="9"/>
    </row>
    <row r="934901" spans="15:15" x14ac:dyDescent="0.25">
      <c r="O934901" s="9"/>
    </row>
    <row r="934922" spans="15:15" x14ac:dyDescent="0.25">
      <c r="O934922" s="9"/>
    </row>
    <row r="934943" spans="15:15" x14ac:dyDescent="0.25">
      <c r="O934943" s="9"/>
    </row>
    <row r="934964" spans="15:15" x14ac:dyDescent="0.25">
      <c r="O934964" s="9"/>
    </row>
    <row r="934985" spans="15:15" x14ac:dyDescent="0.25">
      <c r="O934985" s="9"/>
    </row>
    <row r="935006" spans="15:15" x14ac:dyDescent="0.25">
      <c r="O935006" s="9"/>
    </row>
    <row r="935027" spans="15:15" x14ac:dyDescent="0.25">
      <c r="O935027" s="9"/>
    </row>
    <row r="935048" spans="15:15" x14ac:dyDescent="0.25">
      <c r="O935048" s="9"/>
    </row>
    <row r="935069" spans="15:15" x14ac:dyDescent="0.25">
      <c r="O935069" s="9"/>
    </row>
    <row r="935090" spans="15:15" x14ac:dyDescent="0.25">
      <c r="O935090" s="9"/>
    </row>
    <row r="935111" spans="15:15" x14ac:dyDescent="0.25">
      <c r="O935111" s="9"/>
    </row>
    <row r="935132" spans="15:15" x14ac:dyDescent="0.25">
      <c r="O935132" s="9"/>
    </row>
    <row r="935153" spans="15:15" x14ac:dyDescent="0.25">
      <c r="O935153" s="9"/>
    </row>
    <row r="935174" spans="15:15" x14ac:dyDescent="0.25">
      <c r="O935174" s="9"/>
    </row>
    <row r="935195" spans="15:15" x14ac:dyDescent="0.25">
      <c r="O935195" s="9"/>
    </row>
    <row r="935216" spans="15:15" x14ac:dyDescent="0.25">
      <c r="O935216" s="9"/>
    </row>
    <row r="935237" spans="15:15" x14ac:dyDescent="0.25">
      <c r="O935237" s="9"/>
    </row>
    <row r="935258" spans="15:15" x14ac:dyDescent="0.25">
      <c r="O935258" s="9"/>
    </row>
    <row r="935279" spans="15:15" x14ac:dyDescent="0.25">
      <c r="O935279" s="9"/>
    </row>
    <row r="935300" spans="15:15" x14ac:dyDescent="0.25">
      <c r="O935300" s="9"/>
    </row>
    <row r="935321" spans="15:15" x14ac:dyDescent="0.25">
      <c r="O935321" s="9"/>
    </row>
    <row r="935342" spans="15:15" x14ac:dyDescent="0.25">
      <c r="O935342" s="9"/>
    </row>
    <row r="935363" spans="15:15" x14ac:dyDescent="0.25">
      <c r="O935363" s="9"/>
    </row>
    <row r="935384" spans="15:15" x14ac:dyDescent="0.25">
      <c r="O935384" s="9"/>
    </row>
    <row r="935405" spans="15:15" x14ac:dyDescent="0.25">
      <c r="O935405" s="9"/>
    </row>
    <row r="935426" spans="15:15" x14ac:dyDescent="0.25">
      <c r="O935426" s="9"/>
    </row>
    <row r="935447" spans="15:15" x14ac:dyDescent="0.25">
      <c r="O935447" s="9"/>
    </row>
    <row r="935468" spans="15:15" x14ac:dyDescent="0.25">
      <c r="O935468" s="9"/>
    </row>
    <row r="935489" spans="15:15" x14ac:dyDescent="0.25">
      <c r="O935489" s="9"/>
    </row>
    <row r="935510" spans="15:15" x14ac:dyDescent="0.25">
      <c r="O935510" s="9"/>
    </row>
    <row r="935531" spans="15:15" x14ac:dyDescent="0.25">
      <c r="O935531" s="9"/>
    </row>
    <row r="935552" spans="15:15" x14ac:dyDescent="0.25">
      <c r="O935552" s="9"/>
    </row>
    <row r="935573" spans="15:15" x14ac:dyDescent="0.25">
      <c r="O935573" s="9"/>
    </row>
    <row r="935594" spans="15:15" x14ac:dyDescent="0.25">
      <c r="O935594" s="9"/>
    </row>
    <row r="935615" spans="15:15" x14ac:dyDescent="0.25">
      <c r="O935615" s="9"/>
    </row>
    <row r="935636" spans="15:15" x14ac:dyDescent="0.25">
      <c r="O935636" s="9"/>
    </row>
    <row r="935657" spans="15:15" x14ac:dyDescent="0.25">
      <c r="O935657" s="9"/>
    </row>
    <row r="935678" spans="15:15" x14ac:dyDescent="0.25">
      <c r="O935678" s="9"/>
    </row>
    <row r="935699" spans="15:15" x14ac:dyDescent="0.25">
      <c r="O935699" s="9"/>
    </row>
    <row r="935720" spans="15:15" x14ac:dyDescent="0.25">
      <c r="O935720" s="9"/>
    </row>
    <row r="935741" spans="15:15" x14ac:dyDescent="0.25">
      <c r="O935741" s="9"/>
    </row>
    <row r="935762" spans="15:15" x14ac:dyDescent="0.25">
      <c r="O935762" s="9"/>
    </row>
    <row r="935783" spans="15:15" x14ac:dyDescent="0.25">
      <c r="O935783" s="9"/>
    </row>
    <row r="935804" spans="15:15" x14ac:dyDescent="0.25">
      <c r="O935804" s="9"/>
    </row>
    <row r="935825" spans="15:15" x14ac:dyDescent="0.25">
      <c r="O935825" s="9"/>
    </row>
    <row r="935846" spans="15:15" x14ac:dyDescent="0.25">
      <c r="O935846" s="9"/>
    </row>
    <row r="935867" spans="15:15" x14ac:dyDescent="0.25">
      <c r="O935867" s="9"/>
    </row>
    <row r="935888" spans="15:15" x14ac:dyDescent="0.25">
      <c r="O935888" s="9"/>
    </row>
    <row r="935909" spans="15:15" x14ac:dyDescent="0.25">
      <c r="O935909" s="9"/>
    </row>
    <row r="935930" spans="15:15" x14ac:dyDescent="0.25">
      <c r="O935930" s="9"/>
    </row>
    <row r="935951" spans="15:15" x14ac:dyDescent="0.25">
      <c r="O935951" s="9"/>
    </row>
    <row r="935972" spans="15:15" x14ac:dyDescent="0.25">
      <c r="O935972" s="9"/>
    </row>
    <row r="935993" spans="15:15" x14ac:dyDescent="0.25">
      <c r="O935993" s="9"/>
    </row>
    <row r="936014" spans="15:15" x14ac:dyDescent="0.25">
      <c r="O936014" s="9"/>
    </row>
    <row r="936035" spans="15:15" x14ac:dyDescent="0.25">
      <c r="O936035" s="9"/>
    </row>
    <row r="936056" spans="15:15" x14ac:dyDescent="0.25">
      <c r="O936056" s="9"/>
    </row>
    <row r="936077" spans="15:15" x14ac:dyDescent="0.25">
      <c r="O936077" s="9"/>
    </row>
    <row r="936098" spans="15:15" x14ac:dyDescent="0.25">
      <c r="O936098" s="9"/>
    </row>
    <row r="936119" spans="15:15" x14ac:dyDescent="0.25">
      <c r="O936119" s="9"/>
    </row>
    <row r="936140" spans="15:15" x14ac:dyDescent="0.25">
      <c r="O936140" s="9"/>
    </row>
    <row r="936161" spans="15:15" x14ac:dyDescent="0.25">
      <c r="O936161" s="9"/>
    </row>
    <row r="936182" spans="15:15" x14ac:dyDescent="0.25">
      <c r="O936182" s="9"/>
    </row>
    <row r="936203" spans="15:15" x14ac:dyDescent="0.25">
      <c r="O936203" s="9"/>
    </row>
    <row r="936224" spans="15:15" x14ac:dyDescent="0.25">
      <c r="O936224" s="9"/>
    </row>
    <row r="936245" spans="15:15" x14ac:dyDescent="0.25">
      <c r="O936245" s="9"/>
    </row>
    <row r="936266" spans="15:15" x14ac:dyDescent="0.25">
      <c r="O936266" s="9"/>
    </row>
    <row r="936287" spans="15:15" x14ac:dyDescent="0.25">
      <c r="O936287" s="9"/>
    </row>
    <row r="936308" spans="15:15" x14ac:dyDescent="0.25">
      <c r="O936308" s="9"/>
    </row>
    <row r="936329" spans="15:15" x14ac:dyDescent="0.25">
      <c r="O936329" s="9"/>
    </row>
    <row r="936350" spans="15:15" x14ac:dyDescent="0.25">
      <c r="O936350" s="9"/>
    </row>
    <row r="936371" spans="15:15" x14ac:dyDescent="0.25">
      <c r="O936371" s="9"/>
    </row>
    <row r="936392" spans="15:15" x14ac:dyDescent="0.25">
      <c r="O936392" s="9"/>
    </row>
    <row r="936413" spans="15:15" x14ac:dyDescent="0.25">
      <c r="O936413" s="9"/>
    </row>
    <row r="936434" spans="15:15" x14ac:dyDescent="0.25">
      <c r="O936434" s="9"/>
    </row>
    <row r="936455" spans="15:15" x14ac:dyDescent="0.25">
      <c r="O936455" s="9"/>
    </row>
    <row r="936476" spans="15:15" x14ac:dyDescent="0.25">
      <c r="O936476" s="9"/>
    </row>
    <row r="936497" spans="15:15" x14ac:dyDescent="0.25">
      <c r="O936497" s="9"/>
    </row>
    <row r="936518" spans="15:15" x14ac:dyDescent="0.25">
      <c r="O936518" s="9"/>
    </row>
    <row r="936539" spans="15:15" x14ac:dyDescent="0.25">
      <c r="O936539" s="9"/>
    </row>
    <row r="936560" spans="15:15" x14ac:dyDescent="0.25">
      <c r="O936560" s="9"/>
    </row>
    <row r="936581" spans="15:15" x14ac:dyDescent="0.25">
      <c r="O936581" s="9"/>
    </row>
    <row r="936602" spans="15:15" x14ac:dyDescent="0.25">
      <c r="O936602" s="9"/>
    </row>
    <row r="936623" spans="15:15" x14ac:dyDescent="0.25">
      <c r="O936623" s="9"/>
    </row>
    <row r="936644" spans="15:15" x14ac:dyDescent="0.25">
      <c r="O936644" s="9"/>
    </row>
    <row r="936665" spans="15:15" x14ac:dyDescent="0.25">
      <c r="O936665" s="9"/>
    </row>
    <row r="936686" spans="15:15" x14ac:dyDescent="0.25">
      <c r="O936686" s="9"/>
    </row>
    <row r="936707" spans="15:15" x14ac:dyDescent="0.25">
      <c r="O936707" s="9"/>
    </row>
    <row r="936728" spans="15:15" x14ac:dyDescent="0.25">
      <c r="O936728" s="9"/>
    </row>
    <row r="936749" spans="15:15" x14ac:dyDescent="0.25">
      <c r="O936749" s="9"/>
    </row>
    <row r="936770" spans="15:15" x14ac:dyDescent="0.25">
      <c r="O936770" s="9"/>
    </row>
    <row r="936791" spans="15:15" x14ac:dyDescent="0.25">
      <c r="O936791" s="9"/>
    </row>
    <row r="936812" spans="15:15" x14ac:dyDescent="0.25">
      <c r="O936812" s="9"/>
    </row>
    <row r="936833" spans="15:15" x14ac:dyDescent="0.25">
      <c r="O936833" s="9"/>
    </row>
    <row r="936854" spans="15:15" x14ac:dyDescent="0.25">
      <c r="O936854" s="9"/>
    </row>
    <row r="936875" spans="15:15" x14ac:dyDescent="0.25">
      <c r="O936875" s="9"/>
    </row>
    <row r="936896" spans="15:15" x14ac:dyDescent="0.25">
      <c r="O936896" s="9"/>
    </row>
    <row r="936917" spans="15:15" x14ac:dyDescent="0.25">
      <c r="O936917" s="9"/>
    </row>
    <row r="936938" spans="15:15" x14ac:dyDescent="0.25">
      <c r="O936938" s="9"/>
    </row>
    <row r="936959" spans="15:15" x14ac:dyDescent="0.25">
      <c r="O936959" s="9"/>
    </row>
    <row r="936980" spans="15:15" x14ac:dyDescent="0.25">
      <c r="O936980" s="9"/>
    </row>
    <row r="937001" spans="15:15" x14ac:dyDescent="0.25">
      <c r="O937001" s="9"/>
    </row>
    <row r="937022" spans="15:15" x14ac:dyDescent="0.25">
      <c r="O937022" s="9"/>
    </row>
    <row r="937043" spans="15:15" x14ac:dyDescent="0.25">
      <c r="O937043" s="9"/>
    </row>
    <row r="937064" spans="15:15" x14ac:dyDescent="0.25">
      <c r="O937064" s="9"/>
    </row>
    <row r="937085" spans="15:15" x14ac:dyDescent="0.25">
      <c r="O937085" s="9"/>
    </row>
    <row r="937106" spans="15:15" x14ac:dyDescent="0.25">
      <c r="O937106" s="9"/>
    </row>
    <row r="937127" spans="15:15" x14ac:dyDescent="0.25">
      <c r="O937127" s="9"/>
    </row>
    <row r="937148" spans="15:15" x14ac:dyDescent="0.25">
      <c r="O937148" s="9"/>
    </row>
    <row r="937169" spans="15:15" x14ac:dyDescent="0.25">
      <c r="O937169" s="9"/>
    </row>
    <row r="937190" spans="15:15" x14ac:dyDescent="0.25">
      <c r="O937190" s="9"/>
    </row>
    <row r="937211" spans="15:15" x14ac:dyDescent="0.25">
      <c r="O937211" s="9"/>
    </row>
    <row r="937232" spans="15:15" x14ac:dyDescent="0.25">
      <c r="O937232" s="9"/>
    </row>
    <row r="937253" spans="15:15" x14ac:dyDescent="0.25">
      <c r="O937253" s="9"/>
    </row>
    <row r="937274" spans="15:15" x14ac:dyDescent="0.25">
      <c r="O937274" s="9"/>
    </row>
    <row r="937295" spans="15:15" x14ac:dyDescent="0.25">
      <c r="O937295" s="9"/>
    </row>
    <row r="937316" spans="15:15" x14ac:dyDescent="0.25">
      <c r="O937316" s="9"/>
    </row>
    <row r="937337" spans="15:15" x14ac:dyDescent="0.25">
      <c r="O937337" s="9"/>
    </row>
    <row r="937358" spans="15:15" x14ac:dyDescent="0.25">
      <c r="O937358" s="9"/>
    </row>
    <row r="937379" spans="15:15" x14ac:dyDescent="0.25">
      <c r="O937379" s="9"/>
    </row>
    <row r="937400" spans="15:15" x14ac:dyDescent="0.25">
      <c r="O937400" s="9"/>
    </row>
    <row r="937421" spans="15:15" x14ac:dyDescent="0.25">
      <c r="O937421" s="9"/>
    </row>
    <row r="937442" spans="15:15" x14ac:dyDescent="0.25">
      <c r="O937442" s="9"/>
    </row>
    <row r="937463" spans="15:15" x14ac:dyDescent="0.25">
      <c r="O937463" s="9"/>
    </row>
    <row r="937484" spans="15:15" x14ac:dyDescent="0.25">
      <c r="O937484" s="9"/>
    </row>
    <row r="937505" spans="15:15" x14ac:dyDescent="0.25">
      <c r="O937505" s="9"/>
    </row>
    <row r="937526" spans="15:15" x14ac:dyDescent="0.25">
      <c r="O937526" s="9"/>
    </row>
    <row r="937547" spans="15:15" x14ac:dyDescent="0.25">
      <c r="O937547" s="9"/>
    </row>
    <row r="937568" spans="15:15" x14ac:dyDescent="0.25">
      <c r="O937568" s="9"/>
    </row>
    <row r="937589" spans="15:15" x14ac:dyDescent="0.25">
      <c r="O937589" s="9"/>
    </row>
    <row r="937610" spans="15:15" x14ac:dyDescent="0.25">
      <c r="O937610" s="9"/>
    </row>
    <row r="937631" spans="15:15" x14ac:dyDescent="0.25">
      <c r="O937631" s="9"/>
    </row>
    <row r="937652" spans="15:15" x14ac:dyDescent="0.25">
      <c r="O937652" s="9"/>
    </row>
    <row r="937673" spans="15:15" x14ac:dyDescent="0.25">
      <c r="O937673" s="9"/>
    </row>
    <row r="937694" spans="15:15" x14ac:dyDescent="0.25">
      <c r="O937694" s="9"/>
    </row>
    <row r="937715" spans="15:15" x14ac:dyDescent="0.25">
      <c r="O937715" s="9"/>
    </row>
    <row r="937736" spans="15:15" x14ac:dyDescent="0.25">
      <c r="O937736" s="9"/>
    </row>
    <row r="937757" spans="15:15" x14ac:dyDescent="0.25">
      <c r="O937757" s="9"/>
    </row>
    <row r="937778" spans="15:15" x14ac:dyDescent="0.25">
      <c r="O937778" s="9"/>
    </row>
    <row r="937799" spans="15:15" x14ac:dyDescent="0.25">
      <c r="O937799" s="9"/>
    </row>
    <row r="937820" spans="15:15" x14ac:dyDescent="0.25">
      <c r="O937820" s="9"/>
    </row>
    <row r="937841" spans="15:15" x14ac:dyDescent="0.25">
      <c r="O937841" s="9"/>
    </row>
    <row r="937862" spans="15:15" x14ac:dyDescent="0.25">
      <c r="O937862" s="9"/>
    </row>
    <row r="937883" spans="15:15" x14ac:dyDescent="0.25">
      <c r="O937883" s="9"/>
    </row>
    <row r="937904" spans="15:15" x14ac:dyDescent="0.25">
      <c r="O937904" s="9"/>
    </row>
    <row r="937925" spans="15:15" x14ac:dyDescent="0.25">
      <c r="O937925" s="9"/>
    </row>
    <row r="937946" spans="15:15" x14ac:dyDescent="0.25">
      <c r="O937946" s="9"/>
    </row>
    <row r="937967" spans="15:15" x14ac:dyDescent="0.25">
      <c r="O937967" s="9"/>
    </row>
    <row r="937988" spans="15:15" x14ac:dyDescent="0.25">
      <c r="O937988" s="9"/>
    </row>
    <row r="938009" spans="15:15" x14ac:dyDescent="0.25">
      <c r="O938009" s="9"/>
    </row>
    <row r="938030" spans="15:15" x14ac:dyDescent="0.25">
      <c r="O938030" s="9"/>
    </row>
    <row r="938051" spans="15:15" x14ac:dyDescent="0.25">
      <c r="O938051" s="9"/>
    </row>
    <row r="938072" spans="15:15" x14ac:dyDescent="0.25">
      <c r="O938072" s="9"/>
    </row>
    <row r="938093" spans="15:15" x14ac:dyDescent="0.25">
      <c r="O938093" s="9"/>
    </row>
    <row r="938114" spans="15:15" x14ac:dyDescent="0.25">
      <c r="O938114" s="9"/>
    </row>
    <row r="938135" spans="15:15" x14ac:dyDescent="0.25">
      <c r="O938135" s="9"/>
    </row>
    <row r="938156" spans="15:15" x14ac:dyDescent="0.25">
      <c r="O938156" s="9"/>
    </row>
    <row r="938177" spans="15:15" x14ac:dyDescent="0.25">
      <c r="O938177" s="9"/>
    </row>
    <row r="938198" spans="15:15" x14ac:dyDescent="0.25">
      <c r="O938198" s="9"/>
    </row>
    <row r="938219" spans="15:15" x14ac:dyDescent="0.25">
      <c r="O938219" s="9"/>
    </row>
    <row r="938240" spans="15:15" x14ac:dyDescent="0.25">
      <c r="O938240" s="9"/>
    </row>
    <row r="938261" spans="15:15" x14ac:dyDescent="0.25">
      <c r="O938261" s="9"/>
    </row>
    <row r="938282" spans="15:15" x14ac:dyDescent="0.25">
      <c r="O938282" s="9"/>
    </row>
    <row r="938303" spans="15:15" x14ac:dyDescent="0.25">
      <c r="O938303" s="9"/>
    </row>
    <row r="938324" spans="15:15" x14ac:dyDescent="0.25">
      <c r="O938324" s="9"/>
    </row>
    <row r="938345" spans="15:15" x14ac:dyDescent="0.25">
      <c r="O938345" s="9"/>
    </row>
    <row r="938366" spans="15:15" x14ac:dyDescent="0.25">
      <c r="O938366" s="9"/>
    </row>
    <row r="938387" spans="15:15" x14ac:dyDescent="0.25">
      <c r="O938387" s="9"/>
    </row>
    <row r="938408" spans="15:15" x14ac:dyDescent="0.25">
      <c r="O938408" s="9"/>
    </row>
    <row r="938429" spans="15:15" x14ac:dyDescent="0.25">
      <c r="O938429" s="9"/>
    </row>
    <row r="938450" spans="15:15" x14ac:dyDescent="0.25">
      <c r="O938450" s="9"/>
    </row>
    <row r="938471" spans="15:15" x14ac:dyDescent="0.25">
      <c r="O938471" s="9"/>
    </row>
    <row r="938492" spans="15:15" x14ac:dyDescent="0.25">
      <c r="O938492" s="9"/>
    </row>
    <row r="938513" spans="15:15" x14ac:dyDescent="0.25">
      <c r="O938513" s="9"/>
    </row>
    <row r="938534" spans="15:15" x14ac:dyDescent="0.25">
      <c r="O938534" s="9"/>
    </row>
    <row r="938555" spans="15:15" x14ac:dyDescent="0.25">
      <c r="O938555" s="9"/>
    </row>
    <row r="938576" spans="15:15" x14ac:dyDescent="0.25">
      <c r="O938576" s="9"/>
    </row>
    <row r="938597" spans="15:15" x14ac:dyDescent="0.25">
      <c r="O938597" s="9"/>
    </row>
    <row r="938618" spans="15:15" x14ac:dyDescent="0.25">
      <c r="O938618" s="9"/>
    </row>
    <row r="938639" spans="15:15" x14ac:dyDescent="0.25">
      <c r="O938639" s="9"/>
    </row>
    <row r="938660" spans="15:15" x14ac:dyDescent="0.25">
      <c r="O938660" s="9"/>
    </row>
    <row r="938681" spans="15:15" x14ac:dyDescent="0.25">
      <c r="O938681" s="9"/>
    </row>
    <row r="938702" spans="15:15" x14ac:dyDescent="0.25">
      <c r="O938702" s="9"/>
    </row>
    <row r="938723" spans="15:15" x14ac:dyDescent="0.25">
      <c r="O938723" s="9"/>
    </row>
    <row r="938744" spans="15:15" x14ac:dyDescent="0.25">
      <c r="O938744" s="9"/>
    </row>
    <row r="938765" spans="15:15" x14ac:dyDescent="0.25">
      <c r="O938765" s="9"/>
    </row>
    <row r="938786" spans="15:15" x14ac:dyDescent="0.25">
      <c r="O938786" s="9"/>
    </row>
    <row r="938807" spans="15:15" x14ac:dyDescent="0.25">
      <c r="O938807" s="9"/>
    </row>
    <row r="938828" spans="15:15" x14ac:dyDescent="0.25">
      <c r="O938828" s="9"/>
    </row>
    <row r="938849" spans="15:15" x14ac:dyDescent="0.25">
      <c r="O938849" s="9"/>
    </row>
    <row r="938870" spans="15:15" x14ac:dyDescent="0.25">
      <c r="O938870" s="9"/>
    </row>
    <row r="938891" spans="15:15" x14ac:dyDescent="0.25">
      <c r="O938891" s="9"/>
    </row>
    <row r="938912" spans="15:15" x14ac:dyDescent="0.25">
      <c r="O938912" s="9"/>
    </row>
    <row r="938933" spans="15:15" x14ac:dyDescent="0.25">
      <c r="O938933" s="9"/>
    </row>
    <row r="938954" spans="15:15" x14ac:dyDescent="0.25">
      <c r="O938954" s="9"/>
    </row>
    <row r="938975" spans="15:15" x14ac:dyDescent="0.25">
      <c r="O938975" s="9"/>
    </row>
    <row r="938996" spans="15:15" x14ac:dyDescent="0.25">
      <c r="O938996" s="9"/>
    </row>
    <row r="939017" spans="15:15" x14ac:dyDescent="0.25">
      <c r="O939017" s="9"/>
    </row>
    <row r="939038" spans="15:15" x14ac:dyDescent="0.25">
      <c r="O939038" s="9"/>
    </row>
    <row r="939059" spans="15:15" x14ac:dyDescent="0.25">
      <c r="O939059" s="9"/>
    </row>
    <row r="939080" spans="15:15" x14ac:dyDescent="0.25">
      <c r="O939080" s="9"/>
    </row>
    <row r="939101" spans="15:15" x14ac:dyDescent="0.25">
      <c r="O939101" s="9"/>
    </row>
    <row r="939122" spans="15:15" x14ac:dyDescent="0.25">
      <c r="O939122" s="9"/>
    </row>
    <row r="939143" spans="15:15" x14ac:dyDescent="0.25">
      <c r="O939143" s="9"/>
    </row>
    <row r="939164" spans="15:15" x14ac:dyDescent="0.25">
      <c r="O939164" s="9"/>
    </row>
    <row r="939185" spans="15:15" x14ac:dyDescent="0.25">
      <c r="O939185" s="9"/>
    </row>
    <row r="939206" spans="15:15" x14ac:dyDescent="0.25">
      <c r="O939206" s="9"/>
    </row>
    <row r="939227" spans="15:15" x14ac:dyDescent="0.25">
      <c r="O939227" s="9"/>
    </row>
    <row r="939248" spans="15:15" x14ac:dyDescent="0.25">
      <c r="O939248" s="9"/>
    </row>
    <row r="939269" spans="15:15" x14ac:dyDescent="0.25">
      <c r="O939269" s="9"/>
    </row>
    <row r="939290" spans="15:15" x14ac:dyDescent="0.25">
      <c r="O939290" s="9"/>
    </row>
    <row r="939311" spans="15:15" x14ac:dyDescent="0.25">
      <c r="O939311" s="9"/>
    </row>
    <row r="939332" spans="15:15" x14ac:dyDescent="0.25">
      <c r="O939332" s="9"/>
    </row>
    <row r="939353" spans="15:15" x14ac:dyDescent="0.25">
      <c r="O939353" s="9"/>
    </row>
    <row r="939374" spans="15:15" x14ac:dyDescent="0.25">
      <c r="O939374" s="9"/>
    </row>
    <row r="939395" spans="15:15" x14ac:dyDescent="0.25">
      <c r="O939395" s="9"/>
    </row>
    <row r="939416" spans="15:15" x14ac:dyDescent="0.25">
      <c r="O939416" s="9"/>
    </row>
    <row r="939437" spans="15:15" x14ac:dyDescent="0.25">
      <c r="O939437" s="9"/>
    </row>
    <row r="939458" spans="15:15" x14ac:dyDescent="0.25">
      <c r="O939458" s="9"/>
    </row>
    <row r="939479" spans="15:15" x14ac:dyDescent="0.25">
      <c r="O939479" s="9"/>
    </row>
    <row r="939500" spans="15:15" x14ac:dyDescent="0.25">
      <c r="O939500" s="9"/>
    </row>
    <row r="939521" spans="15:15" x14ac:dyDescent="0.25">
      <c r="O939521" s="9"/>
    </row>
    <row r="939542" spans="15:15" x14ac:dyDescent="0.25">
      <c r="O939542" s="9"/>
    </row>
    <row r="939563" spans="15:15" x14ac:dyDescent="0.25">
      <c r="O939563" s="9"/>
    </row>
    <row r="939584" spans="15:15" x14ac:dyDescent="0.25">
      <c r="O939584" s="9"/>
    </row>
    <row r="939605" spans="15:15" x14ac:dyDescent="0.25">
      <c r="O939605" s="9"/>
    </row>
    <row r="939626" spans="15:15" x14ac:dyDescent="0.25">
      <c r="O939626" s="9"/>
    </row>
    <row r="939647" spans="15:15" x14ac:dyDescent="0.25">
      <c r="O939647" s="9"/>
    </row>
    <row r="939668" spans="15:15" x14ac:dyDescent="0.25">
      <c r="O939668" s="9"/>
    </row>
    <row r="939689" spans="15:15" x14ac:dyDescent="0.25">
      <c r="O939689" s="9"/>
    </row>
    <row r="939710" spans="15:15" x14ac:dyDescent="0.25">
      <c r="O939710" s="9"/>
    </row>
    <row r="939731" spans="15:15" x14ac:dyDescent="0.25">
      <c r="O939731" s="9"/>
    </row>
    <row r="939752" spans="15:15" x14ac:dyDescent="0.25">
      <c r="O939752" s="9"/>
    </row>
    <row r="939773" spans="15:15" x14ac:dyDescent="0.25">
      <c r="O939773" s="9"/>
    </row>
    <row r="939794" spans="15:15" x14ac:dyDescent="0.25">
      <c r="O939794" s="9"/>
    </row>
    <row r="939815" spans="15:15" x14ac:dyDescent="0.25">
      <c r="O939815" s="9"/>
    </row>
    <row r="939836" spans="15:15" x14ac:dyDescent="0.25">
      <c r="O939836" s="9"/>
    </row>
    <row r="939857" spans="15:15" x14ac:dyDescent="0.25">
      <c r="O939857" s="9"/>
    </row>
    <row r="939878" spans="15:15" x14ac:dyDescent="0.25">
      <c r="O939878" s="9"/>
    </row>
    <row r="939899" spans="15:15" x14ac:dyDescent="0.25">
      <c r="O939899" s="9"/>
    </row>
    <row r="939920" spans="15:15" x14ac:dyDescent="0.25">
      <c r="O939920" s="9"/>
    </row>
    <row r="939941" spans="15:15" x14ac:dyDescent="0.25">
      <c r="O939941" s="9"/>
    </row>
    <row r="939962" spans="15:15" x14ac:dyDescent="0.25">
      <c r="O939962" s="9"/>
    </row>
    <row r="939983" spans="15:15" x14ac:dyDescent="0.25">
      <c r="O939983" s="9"/>
    </row>
    <row r="940004" spans="15:15" x14ac:dyDescent="0.25">
      <c r="O940004" s="9"/>
    </row>
    <row r="940025" spans="15:15" x14ac:dyDescent="0.25">
      <c r="O940025" s="9"/>
    </row>
    <row r="940046" spans="15:15" x14ac:dyDescent="0.25">
      <c r="O940046" s="9"/>
    </row>
    <row r="940067" spans="15:15" x14ac:dyDescent="0.25">
      <c r="O940067" s="9"/>
    </row>
    <row r="940088" spans="15:15" x14ac:dyDescent="0.25">
      <c r="O940088" s="9"/>
    </row>
    <row r="940109" spans="15:15" x14ac:dyDescent="0.25">
      <c r="O940109" s="9"/>
    </row>
    <row r="940130" spans="15:15" x14ac:dyDescent="0.25">
      <c r="O940130" s="9"/>
    </row>
    <row r="940151" spans="15:15" x14ac:dyDescent="0.25">
      <c r="O940151" s="9"/>
    </row>
    <row r="940172" spans="15:15" x14ac:dyDescent="0.25">
      <c r="O940172" s="9"/>
    </row>
    <row r="940193" spans="15:15" x14ac:dyDescent="0.25">
      <c r="O940193" s="9"/>
    </row>
    <row r="940214" spans="15:15" x14ac:dyDescent="0.25">
      <c r="O940214" s="9"/>
    </row>
    <row r="940235" spans="15:15" x14ac:dyDescent="0.25">
      <c r="O940235" s="9"/>
    </row>
    <row r="940256" spans="15:15" x14ac:dyDescent="0.25">
      <c r="O940256" s="9"/>
    </row>
    <row r="940277" spans="15:15" x14ac:dyDescent="0.25">
      <c r="O940277" s="9"/>
    </row>
    <row r="940298" spans="15:15" x14ac:dyDescent="0.25">
      <c r="O940298" s="9"/>
    </row>
    <row r="940319" spans="15:15" x14ac:dyDescent="0.25">
      <c r="O940319" s="9"/>
    </row>
    <row r="940340" spans="15:15" x14ac:dyDescent="0.25">
      <c r="O940340" s="9"/>
    </row>
    <row r="940361" spans="15:15" x14ac:dyDescent="0.25">
      <c r="O940361" s="9"/>
    </row>
    <row r="940382" spans="15:15" x14ac:dyDescent="0.25">
      <c r="O940382" s="9"/>
    </row>
    <row r="940403" spans="15:15" x14ac:dyDescent="0.25">
      <c r="O940403" s="9"/>
    </row>
    <row r="940424" spans="15:15" x14ac:dyDescent="0.25">
      <c r="O940424" s="9"/>
    </row>
    <row r="940445" spans="15:15" x14ac:dyDescent="0.25">
      <c r="O940445" s="9"/>
    </row>
    <row r="940466" spans="15:15" x14ac:dyDescent="0.25">
      <c r="O940466" s="9"/>
    </row>
    <row r="940487" spans="15:15" x14ac:dyDescent="0.25">
      <c r="O940487" s="9"/>
    </row>
    <row r="940508" spans="15:15" x14ac:dyDescent="0.25">
      <c r="O940508" s="9"/>
    </row>
    <row r="940529" spans="15:15" x14ac:dyDescent="0.25">
      <c r="O940529" s="9"/>
    </row>
    <row r="940550" spans="15:15" x14ac:dyDescent="0.25">
      <c r="O940550" s="9"/>
    </row>
    <row r="940571" spans="15:15" x14ac:dyDescent="0.25">
      <c r="O940571" s="9"/>
    </row>
    <row r="940592" spans="15:15" x14ac:dyDescent="0.25">
      <c r="O940592" s="9"/>
    </row>
    <row r="940613" spans="15:15" x14ac:dyDescent="0.25">
      <c r="O940613" s="9"/>
    </row>
    <row r="940634" spans="15:15" x14ac:dyDescent="0.25">
      <c r="O940634" s="9"/>
    </row>
    <row r="940655" spans="15:15" x14ac:dyDescent="0.25">
      <c r="O940655" s="9"/>
    </row>
    <row r="940676" spans="15:15" x14ac:dyDescent="0.25">
      <c r="O940676" s="9"/>
    </row>
    <row r="940697" spans="15:15" x14ac:dyDescent="0.25">
      <c r="O940697" s="9"/>
    </row>
    <row r="940718" spans="15:15" x14ac:dyDescent="0.25">
      <c r="O940718" s="9"/>
    </row>
    <row r="940739" spans="15:15" x14ac:dyDescent="0.25">
      <c r="O940739" s="9"/>
    </row>
    <row r="940760" spans="15:15" x14ac:dyDescent="0.25">
      <c r="O940760" s="9"/>
    </row>
    <row r="940781" spans="15:15" x14ac:dyDescent="0.25">
      <c r="O940781" s="9"/>
    </row>
    <row r="940802" spans="15:15" x14ac:dyDescent="0.25">
      <c r="O940802" s="9"/>
    </row>
    <row r="940823" spans="15:15" x14ac:dyDescent="0.25">
      <c r="O940823" s="9"/>
    </row>
    <row r="940844" spans="15:15" x14ac:dyDescent="0.25">
      <c r="O940844" s="9"/>
    </row>
    <row r="940865" spans="15:15" x14ac:dyDescent="0.25">
      <c r="O940865" s="9"/>
    </row>
    <row r="940886" spans="15:15" x14ac:dyDescent="0.25">
      <c r="O940886" s="9"/>
    </row>
    <row r="940907" spans="15:15" x14ac:dyDescent="0.25">
      <c r="O940907" s="9"/>
    </row>
    <row r="940928" spans="15:15" x14ac:dyDescent="0.25">
      <c r="O940928" s="9"/>
    </row>
    <row r="940949" spans="15:15" x14ac:dyDescent="0.25">
      <c r="O940949" s="9"/>
    </row>
    <row r="940970" spans="15:15" x14ac:dyDescent="0.25">
      <c r="O940970" s="9"/>
    </row>
    <row r="940991" spans="15:15" x14ac:dyDescent="0.25">
      <c r="O940991" s="9"/>
    </row>
    <row r="941012" spans="15:15" x14ac:dyDescent="0.25">
      <c r="O941012" s="9"/>
    </row>
    <row r="941033" spans="15:15" x14ac:dyDescent="0.25">
      <c r="O941033" s="9"/>
    </row>
    <row r="941054" spans="15:15" x14ac:dyDescent="0.25">
      <c r="O941054" s="9"/>
    </row>
    <row r="941075" spans="15:15" x14ac:dyDescent="0.25">
      <c r="O941075" s="9"/>
    </row>
    <row r="941096" spans="15:15" x14ac:dyDescent="0.25">
      <c r="O941096" s="9"/>
    </row>
    <row r="941117" spans="15:15" x14ac:dyDescent="0.25">
      <c r="O941117" s="9"/>
    </row>
    <row r="941138" spans="15:15" x14ac:dyDescent="0.25">
      <c r="O941138" s="9"/>
    </row>
    <row r="941159" spans="15:15" x14ac:dyDescent="0.25">
      <c r="O941159" s="9"/>
    </row>
    <row r="941180" spans="15:15" x14ac:dyDescent="0.25">
      <c r="O941180" s="9"/>
    </row>
    <row r="941201" spans="15:15" x14ac:dyDescent="0.25">
      <c r="O941201" s="9"/>
    </row>
    <row r="941222" spans="15:15" x14ac:dyDescent="0.25">
      <c r="O941222" s="9"/>
    </row>
    <row r="941243" spans="15:15" x14ac:dyDescent="0.25">
      <c r="O941243" s="9"/>
    </row>
    <row r="941264" spans="15:15" x14ac:dyDescent="0.25">
      <c r="O941264" s="9"/>
    </row>
    <row r="941285" spans="15:15" x14ac:dyDescent="0.25">
      <c r="O941285" s="9"/>
    </row>
    <row r="941306" spans="15:15" x14ac:dyDescent="0.25">
      <c r="O941306" s="9"/>
    </row>
    <row r="941327" spans="15:15" x14ac:dyDescent="0.25">
      <c r="O941327" s="9"/>
    </row>
    <row r="941348" spans="15:15" x14ac:dyDescent="0.25">
      <c r="O941348" s="9"/>
    </row>
    <row r="941369" spans="15:15" x14ac:dyDescent="0.25">
      <c r="O941369" s="9"/>
    </row>
    <row r="941390" spans="15:15" x14ac:dyDescent="0.25">
      <c r="O941390" s="9"/>
    </row>
    <row r="941411" spans="15:15" x14ac:dyDescent="0.25">
      <c r="O941411" s="9"/>
    </row>
    <row r="941432" spans="15:15" x14ac:dyDescent="0.25">
      <c r="O941432" s="9"/>
    </row>
    <row r="941453" spans="15:15" x14ac:dyDescent="0.25">
      <c r="O941453" s="9"/>
    </row>
    <row r="941474" spans="15:15" x14ac:dyDescent="0.25">
      <c r="O941474" s="9"/>
    </row>
    <row r="941495" spans="15:15" x14ac:dyDescent="0.25">
      <c r="O941495" s="9"/>
    </row>
    <row r="941516" spans="15:15" x14ac:dyDescent="0.25">
      <c r="O941516" s="9"/>
    </row>
    <row r="941537" spans="15:15" x14ac:dyDescent="0.25">
      <c r="O941537" s="9"/>
    </row>
    <row r="941558" spans="15:15" x14ac:dyDescent="0.25">
      <c r="O941558" s="9"/>
    </row>
    <row r="941579" spans="15:15" x14ac:dyDescent="0.25">
      <c r="O941579" s="9"/>
    </row>
    <row r="941600" spans="15:15" x14ac:dyDescent="0.25">
      <c r="O941600" s="9"/>
    </row>
    <row r="941621" spans="15:15" x14ac:dyDescent="0.25">
      <c r="O941621" s="9"/>
    </row>
    <row r="941642" spans="15:15" x14ac:dyDescent="0.25">
      <c r="O941642" s="9"/>
    </row>
    <row r="941663" spans="15:15" x14ac:dyDescent="0.25">
      <c r="O941663" s="9"/>
    </row>
    <row r="941684" spans="15:15" x14ac:dyDescent="0.25">
      <c r="O941684" s="9"/>
    </row>
    <row r="941705" spans="15:15" x14ac:dyDescent="0.25">
      <c r="O941705" s="9"/>
    </row>
    <row r="941726" spans="15:15" x14ac:dyDescent="0.25">
      <c r="O941726" s="9"/>
    </row>
    <row r="941747" spans="15:15" x14ac:dyDescent="0.25">
      <c r="O941747" s="9"/>
    </row>
    <row r="941768" spans="15:15" x14ac:dyDescent="0.25">
      <c r="O941768" s="9"/>
    </row>
    <row r="941789" spans="15:15" x14ac:dyDescent="0.25">
      <c r="O941789" s="9"/>
    </row>
    <row r="941810" spans="15:15" x14ac:dyDescent="0.25">
      <c r="O941810" s="9"/>
    </row>
    <row r="941831" spans="15:15" x14ac:dyDescent="0.25">
      <c r="O941831" s="9"/>
    </row>
    <row r="941852" spans="15:15" x14ac:dyDescent="0.25">
      <c r="O941852" s="9"/>
    </row>
    <row r="941873" spans="15:15" x14ac:dyDescent="0.25">
      <c r="O941873" s="9"/>
    </row>
    <row r="941894" spans="15:15" x14ac:dyDescent="0.25">
      <c r="O941894" s="9"/>
    </row>
    <row r="941915" spans="15:15" x14ac:dyDescent="0.25">
      <c r="O941915" s="9"/>
    </row>
    <row r="941936" spans="15:15" x14ac:dyDescent="0.25">
      <c r="O941936" s="9"/>
    </row>
    <row r="941957" spans="15:15" x14ac:dyDescent="0.25">
      <c r="O941957" s="9"/>
    </row>
    <row r="941978" spans="15:15" x14ac:dyDescent="0.25">
      <c r="O941978" s="9"/>
    </row>
    <row r="941999" spans="15:15" x14ac:dyDescent="0.25">
      <c r="O941999" s="9"/>
    </row>
    <row r="942020" spans="15:15" x14ac:dyDescent="0.25">
      <c r="O942020" s="9"/>
    </row>
    <row r="942041" spans="15:15" x14ac:dyDescent="0.25">
      <c r="O942041" s="9"/>
    </row>
    <row r="942062" spans="15:15" x14ac:dyDescent="0.25">
      <c r="O942062" s="9"/>
    </row>
    <row r="942083" spans="15:15" x14ac:dyDescent="0.25">
      <c r="O942083" s="9"/>
    </row>
    <row r="942104" spans="15:15" x14ac:dyDescent="0.25">
      <c r="O942104" s="9"/>
    </row>
    <row r="942125" spans="15:15" x14ac:dyDescent="0.25">
      <c r="O942125" s="9"/>
    </row>
    <row r="942146" spans="15:15" x14ac:dyDescent="0.25">
      <c r="O942146" s="9"/>
    </row>
    <row r="942167" spans="15:15" x14ac:dyDescent="0.25">
      <c r="O942167" s="9"/>
    </row>
    <row r="942188" spans="15:15" x14ac:dyDescent="0.25">
      <c r="O942188" s="9"/>
    </row>
    <row r="942209" spans="15:15" x14ac:dyDescent="0.25">
      <c r="O942209" s="9"/>
    </row>
    <row r="942230" spans="15:15" x14ac:dyDescent="0.25">
      <c r="O942230" s="9"/>
    </row>
    <row r="942251" spans="15:15" x14ac:dyDescent="0.25">
      <c r="O942251" s="9"/>
    </row>
    <row r="942272" spans="15:15" x14ac:dyDescent="0.25">
      <c r="O942272" s="9"/>
    </row>
    <row r="942293" spans="15:15" x14ac:dyDescent="0.25">
      <c r="O942293" s="9"/>
    </row>
    <row r="942314" spans="15:15" x14ac:dyDescent="0.25">
      <c r="O942314" s="9"/>
    </row>
    <row r="942335" spans="15:15" x14ac:dyDescent="0.25">
      <c r="O942335" s="9"/>
    </row>
    <row r="942356" spans="15:15" x14ac:dyDescent="0.25">
      <c r="O942356" s="9"/>
    </row>
    <row r="942377" spans="15:15" x14ac:dyDescent="0.25">
      <c r="O942377" s="9"/>
    </row>
    <row r="942398" spans="15:15" x14ac:dyDescent="0.25">
      <c r="O942398" s="9"/>
    </row>
    <row r="942419" spans="15:15" x14ac:dyDescent="0.25">
      <c r="O942419" s="9"/>
    </row>
    <row r="942440" spans="15:15" x14ac:dyDescent="0.25">
      <c r="O942440" s="9"/>
    </row>
    <row r="942461" spans="15:15" x14ac:dyDescent="0.25">
      <c r="O942461" s="9"/>
    </row>
    <row r="942482" spans="15:15" x14ac:dyDescent="0.25">
      <c r="O942482" s="9"/>
    </row>
    <row r="942503" spans="15:15" x14ac:dyDescent="0.25">
      <c r="O942503" s="9"/>
    </row>
    <row r="942524" spans="15:15" x14ac:dyDescent="0.25">
      <c r="O942524" s="9"/>
    </row>
    <row r="942545" spans="15:15" x14ac:dyDescent="0.25">
      <c r="O942545" s="9"/>
    </row>
    <row r="942566" spans="15:15" x14ac:dyDescent="0.25">
      <c r="O942566" s="9"/>
    </row>
    <row r="942587" spans="15:15" x14ac:dyDescent="0.25">
      <c r="O942587" s="9"/>
    </row>
    <row r="942608" spans="15:15" x14ac:dyDescent="0.25">
      <c r="O942608" s="9"/>
    </row>
    <row r="942629" spans="15:15" x14ac:dyDescent="0.25">
      <c r="O942629" s="9"/>
    </row>
    <row r="942650" spans="15:15" x14ac:dyDescent="0.25">
      <c r="O942650" s="9"/>
    </row>
    <row r="942671" spans="15:15" x14ac:dyDescent="0.25">
      <c r="O942671" s="9"/>
    </row>
    <row r="942692" spans="15:15" x14ac:dyDescent="0.25">
      <c r="O942692" s="9"/>
    </row>
    <row r="942713" spans="15:15" x14ac:dyDescent="0.25">
      <c r="O942713" s="9"/>
    </row>
    <row r="942734" spans="15:15" x14ac:dyDescent="0.25">
      <c r="O942734" s="9"/>
    </row>
    <row r="942755" spans="15:15" x14ac:dyDescent="0.25">
      <c r="O942755" s="9"/>
    </row>
    <row r="942776" spans="15:15" x14ac:dyDescent="0.25">
      <c r="O942776" s="9"/>
    </row>
    <row r="942797" spans="15:15" x14ac:dyDescent="0.25">
      <c r="O942797" s="9"/>
    </row>
    <row r="942818" spans="15:15" x14ac:dyDescent="0.25">
      <c r="O942818" s="9"/>
    </row>
    <row r="942839" spans="15:15" x14ac:dyDescent="0.25">
      <c r="O942839" s="9"/>
    </row>
    <row r="942860" spans="15:15" x14ac:dyDescent="0.25">
      <c r="O942860" s="9"/>
    </row>
    <row r="942881" spans="15:15" x14ac:dyDescent="0.25">
      <c r="O942881" s="9"/>
    </row>
    <row r="942902" spans="15:15" x14ac:dyDescent="0.25">
      <c r="O942902" s="9"/>
    </row>
    <row r="942923" spans="15:15" x14ac:dyDescent="0.25">
      <c r="O942923" s="9"/>
    </row>
    <row r="942944" spans="15:15" x14ac:dyDescent="0.25">
      <c r="O942944" s="9"/>
    </row>
    <row r="942965" spans="15:15" x14ac:dyDescent="0.25">
      <c r="O942965" s="9"/>
    </row>
    <row r="942986" spans="15:15" x14ac:dyDescent="0.25">
      <c r="O942986" s="9"/>
    </row>
    <row r="943007" spans="15:15" x14ac:dyDescent="0.25">
      <c r="O943007" s="9"/>
    </row>
    <row r="943028" spans="15:15" x14ac:dyDescent="0.25">
      <c r="O943028" s="9"/>
    </row>
    <row r="943049" spans="15:15" x14ac:dyDescent="0.25">
      <c r="O943049" s="9"/>
    </row>
    <row r="943070" spans="15:15" x14ac:dyDescent="0.25">
      <c r="O943070" s="9"/>
    </row>
    <row r="943091" spans="15:15" x14ac:dyDescent="0.25">
      <c r="O943091" s="9"/>
    </row>
    <row r="943112" spans="15:15" x14ac:dyDescent="0.25">
      <c r="O943112" s="9"/>
    </row>
    <row r="943133" spans="15:15" x14ac:dyDescent="0.25">
      <c r="O943133" s="9"/>
    </row>
    <row r="943154" spans="15:15" x14ac:dyDescent="0.25">
      <c r="O943154" s="9"/>
    </row>
    <row r="943175" spans="15:15" x14ac:dyDescent="0.25">
      <c r="O943175" s="9"/>
    </row>
    <row r="943196" spans="15:15" x14ac:dyDescent="0.25">
      <c r="O943196" s="9"/>
    </row>
    <row r="943217" spans="15:15" x14ac:dyDescent="0.25">
      <c r="O943217" s="9"/>
    </row>
    <row r="943238" spans="15:15" x14ac:dyDescent="0.25">
      <c r="O943238" s="9"/>
    </row>
    <row r="943259" spans="15:15" x14ac:dyDescent="0.25">
      <c r="O943259" s="9"/>
    </row>
    <row r="943280" spans="15:15" x14ac:dyDescent="0.25">
      <c r="O943280" s="9"/>
    </row>
    <row r="943301" spans="15:15" x14ac:dyDescent="0.25">
      <c r="O943301" s="9"/>
    </row>
    <row r="943322" spans="15:15" x14ac:dyDescent="0.25">
      <c r="O943322" s="9"/>
    </row>
    <row r="943343" spans="15:15" x14ac:dyDescent="0.25">
      <c r="O943343" s="9"/>
    </row>
    <row r="943364" spans="15:15" x14ac:dyDescent="0.25">
      <c r="O943364" s="9"/>
    </row>
    <row r="943385" spans="15:15" x14ac:dyDescent="0.25">
      <c r="O943385" s="9"/>
    </row>
    <row r="943406" spans="15:15" x14ac:dyDescent="0.25">
      <c r="O943406" s="9"/>
    </row>
    <row r="943427" spans="15:15" x14ac:dyDescent="0.25">
      <c r="O943427" s="9"/>
    </row>
    <row r="943448" spans="15:15" x14ac:dyDescent="0.25">
      <c r="O943448" s="9"/>
    </row>
    <row r="943469" spans="15:15" x14ac:dyDescent="0.25">
      <c r="O943469" s="9"/>
    </row>
    <row r="943490" spans="15:15" x14ac:dyDescent="0.25">
      <c r="O943490" s="9"/>
    </row>
    <row r="943511" spans="15:15" x14ac:dyDescent="0.25">
      <c r="O943511" s="9"/>
    </row>
    <row r="943532" spans="15:15" x14ac:dyDescent="0.25">
      <c r="O943532" s="9"/>
    </row>
    <row r="943553" spans="15:15" x14ac:dyDescent="0.25">
      <c r="O943553" s="9"/>
    </row>
    <row r="943574" spans="15:15" x14ac:dyDescent="0.25">
      <c r="O943574" s="9"/>
    </row>
    <row r="943595" spans="15:15" x14ac:dyDescent="0.25">
      <c r="O943595" s="9"/>
    </row>
    <row r="943616" spans="15:15" x14ac:dyDescent="0.25">
      <c r="O943616" s="9"/>
    </row>
    <row r="943637" spans="15:15" x14ac:dyDescent="0.25">
      <c r="O943637" s="9"/>
    </row>
    <row r="943658" spans="15:15" x14ac:dyDescent="0.25">
      <c r="O943658" s="9"/>
    </row>
    <row r="943679" spans="15:15" x14ac:dyDescent="0.25">
      <c r="O943679" s="9"/>
    </row>
    <row r="943700" spans="15:15" x14ac:dyDescent="0.25">
      <c r="O943700" s="9"/>
    </row>
    <row r="943721" spans="15:15" x14ac:dyDescent="0.25">
      <c r="O943721" s="9"/>
    </row>
    <row r="943742" spans="15:15" x14ac:dyDescent="0.25">
      <c r="O943742" s="9"/>
    </row>
    <row r="943763" spans="15:15" x14ac:dyDescent="0.25">
      <c r="O943763" s="9"/>
    </row>
    <row r="943784" spans="15:15" x14ac:dyDescent="0.25">
      <c r="O943784" s="9"/>
    </row>
    <row r="943805" spans="15:15" x14ac:dyDescent="0.25">
      <c r="O943805" s="9"/>
    </row>
    <row r="943826" spans="15:15" x14ac:dyDescent="0.25">
      <c r="O943826" s="9"/>
    </row>
    <row r="943847" spans="15:15" x14ac:dyDescent="0.25">
      <c r="O943847" s="9"/>
    </row>
    <row r="943868" spans="15:15" x14ac:dyDescent="0.25">
      <c r="O943868" s="9"/>
    </row>
    <row r="943889" spans="15:15" x14ac:dyDescent="0.25">
      <c r="O943889" s="9"/>
    </row>
    <row r="943910" spans="15:15" x14ac:dyDescent="0.25">
      <c r="O943910" s="9"/>
    </row>
    <row r="943931" spans="15:15" x14ac:dyDescent="0.25">
      <c r="O943931" s="9"/>
    </row>
    <row r="943952" spans="15:15" x14ac:dyDescent="0.25">
      <c r="O943952" s="9"/>
    </row>
    <row r="943973" spans="15:15" x14ac:dyDescent="0.25">
      <c r="O943973" s="9"/>
    </row>
    <row r="943994" spans="15:15" x14ac:dyDescent="0.25">
      <c r="O943994" s="9"/>
    </row>
    <row r="944015" spans="15:15" x14ac:dyDescent="0.25">
      <c r="O944015" s="9"/>
    </row>
    <row r="944036" spans="15:15" x14ac:dyDescent="0.25">
      <c r="O944036" s="9"/>
    </row>
    <row r="944057" spans="15:15" x14ac:dyDescent="0.25">
      <c r="O944057" s="9"/>
    </row>
    <row r="944078" spans="15:15" x14ac:dyDescent="0.25">
      <c r="O944078" s="9"/>
    </row>
    <row r="944099" spans="15:15" x14ac:dyDescent="0.25">
      <c r="O944099" s="9"/>
    </row>
    <row r="944120" spans="15:15" x14ac:dyDescent="0.25">
      <c r="O944120" s="9"/>
    </row>
    <row r="944141" spans="15:15" x14ac:dyDescent="0.25">
      <c r="O944141" s="9"/>
    </row>
    <row r="944162" spans="15:15" x14ac:dyDescent="0.25">
      <c r="O944162" s="9"/>
    </row>
    <row r="944183" spans="15:15" x14ac:dyDescent="0.25">
      <c r="O944183" s="9"/>
    </row>
    <row r="944204" spans="15:15" x14ac:dyDescent="0.25">
      <c r="O944204" s="9"/>
    </row>
    <row r="944225" spans="15:15" x14ac:dyDescent="0.25">
      <c r="O944225" s="9"/>
    </row>
    <row r="944246" spans="15:15" x14ac:dyDescent="0.25">
      <c r="O944246" s="9"/>
    </row>
    <row r="944267" spans="15:15" x14ac:dyDescent="0.25">
      <c r="O944267" s="9"/>
    </row>
    <row r="944288" spans="15:15" x14ac:dyDescent="0.25">
      <c r="O944288" s="9"/>
    </row>
    <row r="944309" spans="15:15" x14ac:dyDescent="0.25">
      <c r="O944309" s="9"/>
    </row>
    <row r="944330" spans="15:15" x14ac:dyDescent="0.25">
      <c r="O944330" s="9"/>
    </row>
    <row r="944351" spans="15:15" x14ac:dyDescent="0.25">
      <c r="O944351" s="9"/>
    </row>
    <row r="944372" spans="15:15" x14ac:dyDescent="0.25">
      <c r="O944372" s="9"/>
    </row>
    <row r="944393" spans="15:15" x14ac:dyDescent="0.25">
      <c r="O944393" s="9"/>
    </row>
    <row r="944414" spans="15:15" x14ac:dyDescent="0.25">
      <c r="O944414" s="9"/>
    </row>
    <row r="944435" spans="15:15" x14ac:dyDescent="0.25">
      <c r="O944435" s="9"/>
    </row>
    <row r="944456" spans="15:15" x14ac:dyDescent="0.25">
      <c r="O944456" s="9"/>
    </row>
    <row r="944477" spans="15:15" x14ac:dyDescent="0.25">
      <c r="O944477" s="9"/>
    </row>
    <row r="944498" spans="15:15" x14ac:dyDescent="0.25">
      <c r="O944498" s="9"/>
    </row>
    <row r="944519" spans="15:15" x14ac:dyDescent="0.25">
      <c r="O944519" s="9"/>
    </row>
    <row r="944540" spans="15:15" x14ac:dyDescent="0.25">
      <c r="O944540" s="9"/>
    </row>
    <row r="944561" spans="15:15" x14ac:dyDescent="0.25">
      <c r="O944561" s="9"/>
    </row>
    <row r="944582" spans="15:15" x14ac:dyDescent="0.25">
      <c r="O944582" s="9"/>
    </row>
    <row r="944603" spans="15:15" x14ac:dyDescent="0.25">
      <c r="O944603" s="9"/>
    </row>
    <row r="944624" spans="15:15" x14ac:dyDescent="0.25">
      <c r="O944624" s="9"/>
    </row>
    <row r="944645" spans="15:15" x14ac:dyDescent="0.25">
      <c r="O944645" s="9"/>
    </row>
    <row r="944666" spans="15:15" x14ac:dyDescent="0.25">
      <c r="O944666" s="9"/>
    </row>
    <row r="944687" spans="15:15" x14ac:dyDescent="0.25">
      <c r="O944687" s="9"/>
    </row>
    <row r="944708" spans="15:15" x14ac:dyDescent="0.25">
      <c r="O944708" s="9"/>
    </row>
    <row r="944729" spans="15:15" x14ac:dyDescent="0.25">
      <c r="O944729" s="9"/>
    </row>
    <row r="944750" spans="15:15" x14ac:dyDescent="0.25">
      <c r="O944750" s="9"/>
    </row>
    <row r="944771" spans="15:15" x14ac:dyDescent="0.25">
      <c r="O944771" s="9"/>
    </row>
    <row r="944792" spans="15:15" x14ac:dyDescent="0.25">
      <c r="O944792" s="9"/>
    </row>
    <row r="944813" spans="15:15" x14ac:dyDescent="0.25">
      <c r="O944813" s="9"/>
    </row>
    <row r="944834" spans="15:15" x14ac:dyDescent="0.25">
      <c r="O944834" s="9"/>
    </row>
    <row r="944855" spans="15:15" x14ac:dyDescent="0.25">
      <c r="O944855" s="9"/>
    </row>
    <row r="944876" spans="15:15" x14ac:dyDescent="0.25">
      <c r="O944876" s="9"/>
    </row>
    <row r="944897" spans="15:15" x14ac:dyDescent="0.25">
      <c r="O944897" s="9"/>
    </row>
    <row r="944918" spans="15:15" x14ac:dyDescent="0.25">
      <c r="O944918" s="9"/>
    </row>
    <row r="944939" spans="15:15" x14ac:dyDescent="0.25">
      <c r="O944939" s="9"/>
    </row>
    <row r="944960" spans="15:15" x14ac:dyDescent="0.25">
      <c r="O944960" s="9"/>
    </row>
    <row r="944981" spans="15:15" x14ac:dyDescent="0.25">
      <c r="O944981" s="9"/>
    </row>
    <row r="945002" spans="15:15" x14ac:dyDescent="0.25">
      <c r="O945002" s="9"/>
    </row>
    <row r="945023" spans="15:15" x14ac:dyDescent="0.25">
      <c r="O945023" s="9"/>
    </row>
    <row r="945044" spans="15:15" x14ac:dyDescent="0.25">
      <c r="O945044" s="9"/>
    </row>
    <row r="945065" spans="15:15" x14ac:dyDescent="0.25">
      <c r="O945065" s="9"/>
    </row>
    <row r="945086" spans="15:15" x14ac:dyDescent="0.25">
      <c r="O945086" s="9"/>
    </row>
    <row r="945107" spans="15:15" x14ac:dyDescent="0.25">
      <c r="O945107" s="9"/>
    </row>
    <row r="945128" spans="15:15" x14ac:dyDescent="0.25">
      <c r="O945128" s="9"/>
    </row>
    <row r="945149" spans="15:15" x14ac:dyDescent="0.25">
      <c r="O945149" s="9"/>
    </row>
    <row r="945170" spans="15:15" x14ac:dyDescent="0.25">
      <c r="O945170" s="9"/>
    </row>
    <row r="945191" spans="15:15" x14ac:dyDescent="0.25">
      <c r="O945191" s="9"/>
    </row>
    <row r="945212" spans="15:15" x14ac:dyDescent="0.25">
      <c r="O945212" s="9"/>
    </row>
    <row r="945233" spans="15:15" x14ac:dyDescent="0.25">
      <c r="O945233" s="9"/>
    </row>
    <row r="945254" spans="15:15" x14ac:dyDescent="0.25">
      <c r="O945254" s="9"/>
    </row>
    <row r="945275" spans="15:15" x14ac:dyDescent="0.25">
      <c r="O945275" s="9"/>
    </row>
    <row r="945296" spans="15:15" x14ac:dyDescent="0.25">
      <c r="O945296" s="9"/>
    </row>
    <row r="945317" spans="15:15" x14ac:dyDescent="0.25">
      <c r="O945317" s="9"/>
    </row>
    <row r="945338" spans="15:15" x14ac:dyDescent="0.25">
      <c r="O945338" s="9"/>
    </row>
    <row r="945359" spans="15:15" x14ac:dyDescent="0.25">
      <c r="O945359" s="9"/>
    </row>
    <row r="945380" spans="15:15" x14ac:dyDescent="0.25">
      <c r="O945380" s="9"/>
    </row>
    <row r="945401" spans="15:15" x14ac:dyDescent="0.25">
      <c r="O945401" s="9"/>
    </row>
    <row r="945422" spans="15:15" x14ac:dyDescent="0.25">
      <c r="O945422" s="9"/>
    </row>
    <row r="945443" spans="15:15" x14ac:dyDescent="0.25">
      <c r="O945443" s="9"/>
    </row>
    <row r="945464" spans="15:15" x14ac:dyDescent="0.25">
      <c r="O945464" s="9"/>
    </row>
    <row r="945485" spans="15:15" x14ac:dyDescent="0.25">
      <c r="O945485" s="9"/>
    </row>
    <row r="945506" spans="15:15" x14ac:dyDescent="0.25">
      <c r="O945506" s="9"/>
    </row>
    <row r="945527" spans="15:15" x14ac:dyDescent="0.25">
      <c r="O945527" s="9"/>
    </row>
    <row r="945548" spans="15:15" x14ac:dyDescent="0.25">
      <c r="O945548" s="9"/>
    </row>
    <row r="945569" spans="15:15" x14ac:dyDescent="0.25">
      <c r="O945569" s="9"/>
    </row>
    <row r="945590" spans="15:15" x14ac:dyDescent="0.25">
      <c r="O945590" s="9"/>
    </row>
    <row r="945611" spans="15:15" x14ac:dyDescent="0.25">
      <c r="O945611" s="9"/>
    </row>
    <row r="945632" spans="15:15" x14ac:dyDescent="0.25">
      <c r="O945632" s="9"/>
    </row>
    <row r="945653" spans="15:15" x14ac:dyDescent="0.25">
      <c r="O945653" s="9"/>
    </row>
    <row r="945674" spans="15:15" x14ac:dyDescent="0.25">
      <c r="O945674" s="9"/>
    </row>
    <row r="945695" spans="15:15" x14ac:dyDescent="0.25">
      <c r="O945695" s="9"/>
    </row>
    <row r="945716" spans="15:15" x14ac:dyDescent="0.25">
      <c r="O945716" s="9"/>
    </row>
    <row r="945737" spans="15:15" x14ac:dyDescent="0.25">
      <c r="O945737" s="9"/>
    </row>
    <row r="945758" spans="15:15" x14ac:dyDescent="0.25">
      <c r="O945758" s="9"/>
    </row>
    <row r="945779" spans="15:15" x14ac:dyDescent="0.25">
      <c r="O945779" s="9"/>
    </row>
    <row r="945800" spans="15:15" x14ac:dyDescent="0.25">
      <c r="O945800" s="9"/>
    </row>
    <row r="945821" spans="15:15" x14ac:dyDescent="0.25">
      <c r="O945821" s="9"/>
    </row>
    <row r="945842" spans="15:15" x14ac:dyDescent="0.25">
      <c r="O945842" s="9"/>
    </row>
    <row r="945863" spans="15:15" x14ac:dyDescent="0.25">
      <c r="O945863" s="9"/>
    </row>
    <row r="945884" spans="15:15" x14ac:dyDescent="0.25">
      <c r="O945884" s="9"/>
    </row>
    <row r="945905" spans="15:15" x14ac:dyDescent="0.25">
      <c r="O945905" s="9"/>
    </row>
    <row r="945926" spans="15:15" x14ac:dyDescent="0.25">
      <c r="O945926" s="9"/>
    </row>
    <row r="945947" spans="15:15" x14ac:dyDescent="0.25">
      <c r="O945947" s="9"/>
    </row>
    <row r="945968" spans="15:15" x14ac:dyDescent="0.25">
      <c r="O945968" s="9"/>
    </row>
    <row r="945989" spans="15:15" x14ac:dyDescent="0.25">
      <c r="O945989" s="9"/>
    </row>
    <row r="946010" spans="15:15" x14ac:dyDescent="0.25">
      <c r="O946010" s="9"/>
    </row>
    <row r="946031" spans="15:15" x14ac:dyDescent="0.25">
      <c r="O946031" s="9"/>
    </row>
    <row r="946052" spans="15:15" x14ac:dyDescent="0.25">
      <c r="O946052" s="9"/>
    </row>
    <row r="946073" spans="15:15" x14ac:dyDescent="0.25">
      <c r="O946073" s="9"/>
    </row>
    <row r="946094" spans="15:15" x14ac:dyDescent="0.25">
      <c r="O946094" s="9"/>
    </row>
    <row r="946115" spans="15:15" x14ac:dyDescent="0.25">
      <c r="O946115" s="9"/>
    </row>
    <row r="946136" spans="15:15" x14ac:dyDescent="0.25">
      <c r="O946136" s="9"/>
    </row>
    <row r="946157" spans="15:15" x14ac:dyDescent="0.25">
      <c r="O946157" s="9"/>
    </row>
    <row r="946178" spans="15:15" x14ac:dyDescent="0.25">
      <c r="O946178" s="9"/>
    </row>
    <row r="946199" spans="15:15" x14ac:dyDescent="0.25">
      <c r="O946199" s="9"/>
    </row>
    <row r="946220" spans="15:15" x14ac:dyDescent="0.25">
      <c r="O946220" s="9"/>
    </row>
    <row r="946241" spans="15:15" x14ac:dyDescent="0.25">
      <c r="O946241" s="9"/>
    </row>
    <row r="946262" spans="15:15" x14ac:dyDescent="0.25">
      <c r="O946262" s="9"/>
    </row>
    <row r="946283" spans="15:15" x14ac:dyDescent="0.25">
      <c r="O946283" s="9"/>
    </row>
    <row r="946304" spans="15:15" x14ac:dyDescent="0.25">
      <c r="O946304" s="9"/>
    </row>
    <row r="946325" spans="15:15" x14ac:dyDescent="0.25">
      <c r="O946325" s="9"/>
    </row>
    <row r="946346" spans="15:15" x14ac:dyDescent="0.25">
      <c r="O946346" s="9"/>
    </row>
    <row r="946367" spans="15:15" x14ac:dyDescent="0.25">
      <c r="O946367" s="9"/>
    </row>
    <row r="946388" spans="15:15" x14ac:dyDescent="0.25">
      <c r="O946388" s="9"/>
    </row>
    <row r="946409" spans="15:15" x14ac:dyDescent="0.25">
      <c r="O946409" s="9"/>
    </row>
    <row r="946430" spans="15:15" x14ac:dyDescent="0.25">
      <c r="O946430" s="9"/>
    </row>
    <row r="946451" spans="15:15" x14ac:dyDescent="0.25">
      <c r="O946451" s="9"/>
    </row>
    <row r="946472" spans="15:15" x14ac:dyDescent="0.25">
      <c r="O946472" s="9"/>
    </row>
    <row r="946493" spans="15:15" x14ac:dyDescent="0.25">
      <c r="O946493" s="9"/>
    </row>
    <row r="946514" spans="15:15" x14ac:dyDescent="0.25">
      <c r="O946514" s="9"/>
    </row>
    <row r="946535" spans="15:15" x14ac:dyDescent="0.25">
      <c r="O946535" s="9"/>
    </row>
    <row r="946556" spans="15:15" x14ac:dyDescent="0.25">
      <c r="O946556" s="9"/>
    </row>
    <row r="946577" spans="15:15" x14ac:dyDescent="0.25">
      <c r="O946577" s="9"/>
    </row>
    <row r="946598" spans="15:15" x14ac:dyDescent="0.25">
      <c r="O946598" s="9"/>
    </row>
    <row r="946619" spans="15:15" x14ac:dyDescent="0.25">
      <c r="O946619" s="9"/>
    </row>
    <row r="946640" spans="15:15" x14ac:dyDescent="0.25">
      <c r="O946640" s="9"/>
    </row>
    <row r="946661" spans="15:15" x14ac:dyDescent="0.25">
      <c r="O946661" s="9"/>
    </row>
    <row r="946682" spans="15:15" x14ac:dyDescent="0.25">
      <c r="O946682" s="9"/>
    </row>
    <row r="946703" spans="15:15" x14ac:dyDescent="0.25">
      <c r="O946703" s="9"/>
    </row>
    <row r="946724" spans="15:15" x14ac:dyDescent="0.25">
      <c r="O946724" s="9"/>
    </row>
    <row r="946745" spans="15:15" x14ac:dyDescent="0.25">
      <c r="O946745" s="9"/>
    </row>
    <row r="946766" spans="15:15" x14ac:dyDescent="0.25">
      <c r="O946766" s="9"/>
    </row>
    <row r="946787" spans="15:15" x14ac:dyDescent="0.25">
      <c r="O946787" s="9"/>
    </row>
    <row r="946808" spans="15:15" x14ac:dyDescent="0.25">
      <c r="O946808" s="9"/>
    </row>
    <row r="946829" spans="15:15" x14ac:dyDescent="0.25">
      <c r="O946829" s="9"/>
    </row>
    <row r="946850" spans="15:15" x14ac:dyDescent="0.25">
      <c r="O946850" s="9"/>
    </row>
    <row r="946871" spans="15:15" x14ac:dyDescent="0.25">
      <c r="O946871" s="9"/>
    </row>
    <row r="946892" spans="15:15" x14ac:dyDescent="0.25">
      <c r="O946892" s="9"/>
    </row>
    <row r="946913" spans="15:15" x14ac:dyDescent="0.25">
      <c r="O946913" s="9"/>
    </row>
    <row r="946934" spans="15:15" x14ac:dyDescent="0.25">
      <c r="O946934" s="9"/>
    </row>
    <row r="946955" spans="15:15" x14ac:dyDescent="0.25">
      <c r="O946955" s="9"/>
    </row>
    <row r="946976" spans="15:15" x14ac:dyDescent="0.25">
      <c r="O946976" s="9"/>
    </row>
    <row r="946997" spans="15:15" x14ac:dyDescent="0.25">
      <c r="O946997" s="9"/>
    </row>
    <row r="947018" spans="15:15" x14ac:dyDescent="0.25">
      <c r="O947018" s="9"/>
    </row>
    <row r="947039" spans="15:15" x14ac:dyDescent="0.25">
      <c r="O947039" s="9"/>
    </row>
    <row r="947060" spans="15:15" x14ac:dyDescent="0.25">
      <c r="O947060" s="9"/>
    </row>
    <row r="947081" spans="15:15" x14ac:dyDescent="0.25">
      <c r="O947081" s="9"/>
    </row>
    <row r="947102" spans="15:15" x14ac:dyDescent="0.25">
      <c r="O947102" s="9"/>
    </row>
    <row r="947123" spans="15:15" x14ac:dyDescent="0.25">
      <c r="O947123" s="9"/>
    </row>
    <row r="947144" spans="15:15" x14ac:dyDescent="0.25">
      <c r="O947144" s="9"/>
    </row>
    <row r="947165" spans="15:15" x14ac:dyDescent="0.25">
      <c r="O947165" s="9"/>
    </row>
    <row r="947186" spans="15:15" x14ac:dyDescent="0.25">
      <c r="O947186" s="9"/>
    </row>
    <row r="947207" spans="15:15" x14ac:dyDescent="0.25">
      <c r="O947207" s="9"/>
    </row>
    <row r="947228" spans="15:15" x14ac:dyDescent="0.25">
      <c r="O947228" s="9"/>
    </row>
    <row r="947249" spans="15:15" x14ac:dyDescent="0.25">
      <c r="O947249" s="9"/>
    </row>
    <row r="947270" spans="15:15" x14ac:dyDescent="0.25">
      <c r="O947270" s="9"/>
    </row>
    <row r="947291" spans="15:15" x14ac:dyDescent="0.25">
      <c r="O947291" s="9"/>
    </row>
    <row r="947312" spans="15:15" x14ac:dyDescent="0.25">
      <c r="O947312" s="9"/>
    </row>
    <row r="947333" spans="15:15" x14ac:dyDescent="0.25">
      <c r="O947333" s="9"/>
    </row>
    <row r="947354" spans="15:15" x14ac:dyDescent="0.25">
      <c r="O947354" s="9"/>
    </row>
    <row r="947375" spans="15:15" x14ac:dyDescent="0.25">
      <c r="O947375" s="9"/>
    </row>
    <row r="947396" spans="15:15" x14ac:dyDescent="0.25">
      <c r="O947396" s="9"/>
    </row>
    <row r="947417" spans="15:15" x14ac:dyDescent="0.25">
      <c r="O947417" s="9"/>
    </row>
    <row r="947438" spans="15:15" x14ac:dyDescent="0.25">
      <c r="O947438" s="9"/>
    </row>
    <row r="947459" spans="15:15" x14ac:dyDescent="0.25">
      <c r="O947459" s="9"/>
    </row>
    <row r="947480" spans="15:15" x14ac:dyDescent="0.25">
      <c r="O947480" s="9"/>
    </row>
    <row r="947501" spans="15:15" x14ac:dyDescent="0.25">
      <c r="O947501" s="9"/>
    </row>
    <row r="947522" spans="15:15" x14ac:dyDescent="0.25">
      <c r="O947522" s="9"/>
    </row>
    <row r="947543" spans="15:15" x14ac:dyDescent="0.25">
      <c r="O947543" s="9"/>
    </row>
    <row r="947564" spans="15:15" x14ac:dyDescent="0.25">
      <c r="O947564" s="9"/>
    </row>
    <row r="947585" spans="15:15" x14ac:dyDescent="0.25">
      <c r="O947585" s="9"/>
    </row>
    <row r="947606" spans="15:15" x14ac:dyDescent="0.25">
      <c r="O947606" s="9"/>
    </row>
    <row r="947627" spans="15:15" x14ac:dyDescent="0.25">
      <c r="O947627" s="9"/>
    </row>
    <row r="947648" spans="15:15" x14ac:dyDescent="0.25">
      <c r="O947648" s="9"/>
    </row>
    <row r="947669" spans="15:15" x14ac:dyDescent="0.25">
      <c r="O947669" s="9"/>
    </row>
    <row r="947690" spans="15:15" x14ac:dyDescent="0.25">
      <c r="O947690" s="9"/>
    </row>
    <row r="947711" spans="15:15" x14ac:dyDescent="0.25">
      <c r="O947711" s="9"/>
    </row>
    <row r="947732" spans="15:15" x14ac:dyDescent="0.25">
      <c r="O947732" s="9"/>
    </row>
    <row r="947753" spans="15:15" x14ac:dyDescent="0.25">
      <c r="O947753" s="9"/>
    </row>
    <row r="947774" spans="15:15" x14ac:dyDescent="0.25">
      <c r="O947774" s="9"/>
    </row>
    <row r="947795" spans="15:15" x14ac:dyDescent="0.25">
      <c r="O947795" s="9"/>
    </row>
    <row r="947816" spans="15:15" x14ac:dyDescent="0.25">
      <c r="O947816" s="9"/>
    </row>
    <row r="947837" spans="15:15" x14ac:dyDescent="0.25">
      <c r="O947837" s="9"/>
    </row>
    <row r="947858" spans="15:15" x14ac:dyDescent="0.25">
      <c r="O947858" s="9"/>
    </row>
    <row r="947879" spans="15:15" x14ac:dyDescent="0.25">
      <c r="O947879" s="9"/>
    </row>
    <row r="947900" spans="15:15" x14ac:dyDescent="0.25">
      <c r="O947900" s="9"/>
    </row>
    <row r="947921" spans="15:15" x14ac:dyDescent="0.25">
      <c r="O947921" s="9"/>
    </row>
    <row r="947942" spans="15:15" x14ac:dyDescent="0.25">
      <c r="O947942" s="9"/>
    </row>
    <row r="947963" spans="15:15" x14ac:dyDescent="0.25">
      <c r="O947963" s="9"/>
    </row>
    <row r="947984" spans="15:15" x14ac:dyDescent="0.25">
      <c r="O947984" s="9"/>
    </row>
    <row r="948005" spans="15:15" x14ac:dyDescent="0.25">
      <c r="O948005" s="9"/>
    </row>
    <row r="948026" spans="15:15" x14ac:dyDescent="0.25">
      <c r="O948026" s="9"/>
    </row>
    <row r="948047" spans="15:15" x14ac:dyDescent="0.25">
      <c r="O948047" s="9"/>
    </row>
    <row r="948068" spans="15:15" x14ac:dyDescent="0.25">
      <c r="O948068" s="9"/>
    </row>
    <row r="948089" spans="15:15" x14ac:dyDescent="0.25">
      <c r="O948089" s="9"/>
    </row>
    <row r="948110" spans="15:15" x14ac:dyDescent="0.25">
      <c r="O948110" s="9"/>
    </row>
    <row r="948131" spans="15:15" x14ac:dyDescent="0.25">
      <c r="O948131" s="9"/>
    </row>
    <row r="948152" spans="15:15" x14ac:dyDescent="0.25">
      <c r="O948152" s="9"/>
    </row>
    <row r="948173" spans="15:15" x14ac:dyDescent="0.25">
      <c r="O948173" s="9"/>
    </row>
    <row r="948194" spans="15:15" x14ac:dyDescent="0.25">
      <c r="O948194" s="9"/>
    </row>
    <row r="948215" spans="15:15" x14ac:dyDescent="0.25">
      <c r="O948215" s="9"/>
    </row>
    <row r="948236" spans="15:15" x14ac:dyDescent="0.25">
      <c r="O948236" s="9"/>
    </row>
    <row r="948257" spans="15:15" x14ac:dyDescent="0.25">
      <c r="O948257" s="9"/>
    </row>
    <row r="948278" spans="15:15" x14ac:dyDescent="0.25">
      <c r="O948278" s="9"/>
    </row>
    <row r="948299" spans="15:15" x14ac:dyDescent="0.25">
      <c r="O948299" s="9"/>
    </row>
    <row r="948320" spans="15:15" x14ac:dyDescent="0.25">
      <c r="O948320" s="9"/>
    </row>
    <row r="948341" spans="15:15" x14ac:dyDescent="0.25">
      <c r="O948341" s="9"/>
    </row>
    <row r="948362" spans="15:15" x14ac:dyDescent="0.25">
      <c r="O948362" s="9"/>
    </row>
    <row r="948383" spans="15:15" x14ac:dyDescent="0.25">
      <c r="O948383" s="9"/>
    </row>
    <row r="948404" spans="15:15" x14ac:dyDescent="0.25">
      <c r="O948404" s="9"/>
    </row>
    <row r="948425" spans="15:15" x14ac:dyDescent="0.25">
      <c r="O948425" s="9"/>
    </row>
    <row r="948446" spans="15:15" x14ac:dyDescent="0.25">
      <c r="O948446" s="9"/>
    </row>
    <row r="948467" spans="15:15" x14ac:dyDescent="0.25">
      <c r="O948467" s="9"/>
    </row>
    <row r="948488" spans="15:15" x14ac:dyDescent="0.25">
      <c r="O948488" s="9"/>
    </row>
    <row r="948509" spans="15:15" x14ac:dyDescent="0.25">
      <c r="O948509" s="9"/>
    </row>
    <row r="948530" spans="15:15" x14ac:dyDescent="0.25">
      <c r="O948530" s="9"/>
    </row>
    <row r="948551" spans="15:15" x14ac:dyDescent="0.25">
      <c r="O948551" s="9"/>
    </row>
    <row r="948572" spans="15:15" x14ac:dyDescent="0.25">
      <c r="O948572" s="9"/>
    </row>
    <row r="948593" spans="15:15" x14ac:dyDescent="0.25">
      <c r="O948593" s="9"/>
    </row>
    <row r="948614" spans="15:15" x14ac:dyDescent="0.25">
      <c r="O948614" s="9"/>
    </row>
    <row r="948635" spans="15:15" x14ac:dyDescent="0.25">
      <c r="O948635" s="9"/>
    </row>
    <row r="948656" spans="15:15" x14ac:dyDescent="0.25">
      <c r="O948656" s="9"/>
    </row>
    <row r="948677" spans="15:15" x14ac:dyDescent="0.25">
      <c r="O948677" s="9"/>
    </row>
    <row r="948698" spans="15:15" x14ac:dyDescent="0.25">
      <c r="O948698" s="9"/>
    </row>
    <row r="948719" spans="15:15" x14ac:dyDescent="0.25">
      <c r="O948719" s="9"/>
    </row>
    <row r="948740" spans="15:15" x14ac:dyDescent="0.25">
      <c r="O948740" s="9"/>
    </row>
    <row r="948761" spans="15:15" x14ac:dyDescent="0.25">
      <c r="O948761" s="9"/>
    </row>
    <row r="948782" spans="15:15" x14ac:dyDescent="0.25">
      <c r="O948782" s="9"/>
    </row>
    <row r="948803" spans="15:15" x14ac:dyDescent="0.25">
      <c r="O948803" s="9"/>
    </row>
    <row r="948824" spans="15:15" x14ac:dyDescent="0.25">
      <c r="O948824" s="9"/>
    </row>
    <row r="948845" spans="15:15" x14ac:dyDescent="0.25">
      <c r="O948845" s="9"/>
    </row>
    <row r="948866" spans="15:15" x14ac:dyDescent="0.25">
      <c r="O948866" s="9"/>
    </row>
    <row r="948887" spans="15:15" x14ac:dyDescent="0.25">
      <c r="O948887" s="9"/>
    </row>
    <row r="948908" spans="15:15" x14ac:dyDescent="0.25">
      <c r="O948908" s="9"/>
    </row>
    <row r="948929" spans="15:15" x14ac:dyDescent="0.25">
      <c r="O948929" s="9"/>
    </row>
    <row r="948950" spans="15:15" x14ac:dyDescent="0.25">
      <c r="O948950" s="9"/>
    </row>
    <row r="948971" spans="15:15" x14ac:dyDescent="0.25">
      <c r="O948971" s="9"/>
    </row>
    <row r="948992" spans="15:15" x14ac:dyDescent="0.25">
      <c r="O948992" s="9"/>
    </row>
    <row r="949013" spans="15:15" x14ac:dyDescent="0.25">
      <c r="O949013" s="9"/>
    </row>
    <row r="949034" spans="15:15" x14ac:dyDescent="0.25">
      <c r="O949034" s="9"/>
    </row>
    <row r="949055" spans="15:15" x14ac:dyDescent="0.25">
      <c r="O949055" s="9"/>
    </row>
    <row r="949076" spans="15:15" x14ac:dyDescent="0.25">
      <c r="O949076" s="9"/>
    </row>
    <row r="949097" spans="15:15" x14ac:dyDescent="0.25">
      <c r="O949097" s="9"/>
    </row>
    <row r="949118" spans="15:15" x14ac:dyDescent="0.25">
      <c r="O949118" s="9"/>
    </row>
    <row r="949139" spans="15:15" x14ac:dyDescent="0.25">
      <c r="O949139" s="9"/>
    </row>
    <row r="949160" spans="15:15" x14ac:dyDescent="0.25">
      <c r="O949160" s="9"/>
    </row>
    <row r="949181" spans="15:15" x14ac:dyDescent="0.25">
      <c r="O949181" s="9"/>
    </row>
    <row r="949202" spans="15:15" x14ac:dyDescent="0.25">
      <c r="O949202" s="9"/>
    </row>
    <row r="949223" spans="15:15" x14ac:dyDescent="0.25">
      <c r="O949223" s="9"/>
    </row>
    <row r="949244" spans="15:15" x14ac:dyDescent="0.25">
      <c r="O949244" s="9"/>
    </row>
    <row r="949265" spans="15:15" x14ac:dyDescent="0.25">
      <c r="O949265" s="9"/>
    </row>
    <row r="949286" spans="15:15" x14ac:dyDescent="0.25">
      <c r="O949286" s="9"/>
    </row>
    <row r="949307" spans="15:15" x14ac:dyDescent="0.25">
      <c r="O949307" s="9"/>
    </row>
    <row r="949328" spans="15:15" x14ac:dyDescent="0.25">
      <c r="O949328" s="9"/>
    </row>
    <row r="949349" spans="15:15" x14ac:dyDescent="0.25">
      <c r="O949349" s="9"/>
    </row>
    <row r="949370" spans="15:15" x14ac:dyDescent="0.25">
      <c r="O949370" s="9"/>
    </row>
    <row r="949391" spans="15:15" x14ac:dyDescent="0.25">
      <c r="O949391" s="9"/>
    </row>
    <row r="949412" spans="15:15" x14ac:dyDescent="0.25">
      <c r="O949412" s="9"/>
    </row>
    <row r="949433" spans="15:15" x14ac:dyDescent="0.25">
      <c r="O949433" s="9"/>
    </row>
    <row r="949454" spans="15:15" x14ac:dyDescent="0.25">
      <c r="O949454" s="9"/>
    </row>
    <row r="949475" spans="15:15" x14ac:dyDescent="0.25">
      <c r="O949475" s="9"/>
    </row>
    <row r="949496" spans="15:15" x14ac:dyDescent="0.25">
      <c r="O949496" s="9"/>
    </row>
    <row r="949517" spans="15:15" x14ac:dyDescent="0.25">
      <c r="O949517" s="9"/>
    </row>
    <row r="949538" spans="15:15" x14ac:dyDescent="0.25">
      <c r="O949538" s="9"/>
    </row>
    <row r="949559" spans="15:15" x14ac:dyDescent="0.25">
      <c r="O949559" s="9"/>
    </row>
    <row r="949580" spans="15:15" x14ac:dyDescent="0.25">
      <c r="O949580" s="9"/>
    </row>
    <row r="949601" spans="15:15" x14ac:dyDescent="0.25">
      <c r="O949601" s="9"/>
    </row>
    <row r="949622" spans="15:15" x14ac:dyDescent="0.25">
      <c r="O949622" s="9"/>
    </row>
    <row r="949643" spans="15:15" x14ac:dyDescent="0.25">
      <c r="O949643" s="9"/>
    </row>
    <row r="949664" spans="15:15" x14ac:dyDescent="0.25">
      <c r="O949664" s="9"/>
    </row>
    <row r="949685" spans="15:15" x14ac:dyDescent="0.25">
      <c r="O949685" s="9"/>
    </row>
    <row r="949706" spans="15:15" x14ac:dyDescent="0.25">
      <c r="O949706" s="9"/>
    </row>
    <row r="949727" spans="15:15" x14ac:dyDescent="0.25">
      <c r="O949727" s="9"/>
    </row>
    <row r="949748" spans="15:15" x14ac:dyDescent="0.25">
      <c r="O949748" s="9"/>
    </row>
    <row r="949769" spans="15:15" x14ac:dyDescent="0.25">
      <c r="O949769" s="9"/>
    </row>
    <row r="949790" spans="15:15" x14ac:dyDescent="0.25">
      <c r="O949790" s="9"/>
    </row>
    <row r="949811" spans="15:15" x14ac:dyDescent="0.25">
      <c r="O949811" s="9"/>
    </row>
    <row r="949832" spans="15:15" x14ac:dyDescent="0.25">
      <c r="O949832" s="9"/>
    </row>
    <row r="949853" spans="15:15" x14ac:dyDescent="0.25">
      <c r="O949853" s="9"/>
    </row>
    <row r="949874" spans="15:15" x14ac:dyDescent="0.25">
      <c r="O949874" s="9"/>
    </row>
    <row r="949895" spans="15:15" x14ac:dyDescent="0.25">
      <c r="O949895" s="9"/>
    </row>
    <row r="949916" spans="15:15" x14ac:dyDescent="0.25">
      <c r="O949916" s="9"/>
    </row>
    <row r="949937" spans="15:15" x14ac:dyDescent="0.25">
      <c r="O949937" s="9"/>
    </row>
    <row r="949958" spans="15:15" x14ac:dyDescent="0.25">
      <c r="O949958" s="9"/>
    </row>
    <row r="949979" spans="15:15" x14ac:dyDescent="0.25">
      <c r="O949979" s="9"/>
    </row>
    <row r="950000" spans="15:15" x14ac:dyDescent="0.25">
      <c r="O950000" s="9"/>
    </row>
    <row r="950021" spans="15:15" x14ac:dyDescent="0.25">
      <c r="O950021" s="9"/>
    </row>
    <row r="950042" spans="15:15" x14ac:dyDescent="0.25">
      <c r="O950042" s="9"/>
    </row>
    <row r="950063" spans="15:15" x14ac:dyDescent="0.25">
      <c r="O950063" s="9"/>
    </row>
    <row r="950084" spans="15:15" x14ac:dyDescent="0.25">
      <c r="O950084" s="9"/>
    </row>
    <row r="950105" spans="15:15" x14ac:dyDescent="0.25">
      <c r="O950105" s="9"/>
    </row>
    <row r="950126" spans="15:15" x14ac:dyDescent="0.25">
      <c r="O950126" s="9"/>
    </row>
    <row r="950147" spans="15:15" x14ac:dyDescent="0.25">
      <c r="O950147" s="9"/>
    </row>
    <row r="950168" spans="15:15" x14ac:dyDescent="0.25">
      <c r="O950168" s="9"/>
    </row>
    <row r="950189" spans="15:15" x14ac:dyDescent="0.25">
      <c r="O950189" s="9"/>
    </row>
    <row r="950210" spans="15:15" x14ac:dyDescent="0.25">
      <c r="O950210" s="9"/>
    </row>
    <row r="950231" spans="15:15" x14ac:dyDescent="0.25">
      <c r="O950231" s="9"/>
    </row>
    <row r="950252" spans="15:15" x14ac:dyDescent="0.25">
      <c r="O950252" s="9"/>
    </row>
    <row r="950273" spans="15:15" x14ac:dyDescent="0.25">
      <c r="O950273" s="9"/>
    </row>
    <row r="950294" spans="15:15" x14ac:dyDescent="0.25">
      <c r="O950294" s="9"/>
    </row>
    <row r="950315" spans="15:15" x14ac:dyDescent="0.25">
      <c r="O950315" s="9"/>
    </row>
    <row r="950336" spans="15:15" x14ac:dyDescent="0.25">
      <c r="O950336" s="9"/>
    </row>
    <row r="950357" spans="15:15" x14ac:dyDescent="0.25">
      <c r="O950357" s="9"/>
    </row>
    <row r="950378" spans="15:15" x14ac:dyDescent="0.25">
      <c r="O950378" s="9"/>
    </row>
    <row r="950399" spans="15:15" x14ac:dyDescent="0.25">
      <c r="O950399" s="9"/>
    </row>
    <row r="950420" spans="15:15" x14ac:dyDescent="0.25">
      <c r="O950420" s="9"/>
    </row>
    <row r="950441" spans="15:15" x14ac:dyDescent="0.25">
      <c r="O950441" s="9"/>
    </row>
    <row r="950462" spans="15:15" x14ac:dyDescent="0.25">
      <c r="O950462" s="9"/>
    </row>
    <row r="950483" spans="15:15" x14ac:dyDescent="0.25">
      <c r="O950483" s="9"/>
    </row>
    <row r="950504" spans="15:15" x14ac:dyDescent="0.25">
      <c r="O950504" s="9"/>
    </row>
    <row r="950525" spans="15:15" x14ac:dyDescent="0.25">
      <c r="O950525" s="9"/>
    </row>
    <row r="950546" spans="15:15" x14ac:dyDescent="0.25">
      <c r="O950546" s="9"/>
    </row>
    <row r="950567" spans="15:15" x14ac:dyDescent="0.25">
      <c r="O950567" s="9"/>
    </row>
    <row r="950588" spans="15:15" x14ac:dyDescent="0.25">
      <c r="O950588" s="9"/>
    </row>
    <row r="950609" spans="15:15" x14ac:dyDescent="0.25">
      <c r="O950609" s="9"/>
    </row>
    <row r="950630" spans="15:15" x14ac:dyDescent="0.25">
      <c r="O950630" s="9"/>
    </row>
    <row r="950651" spans="15:15" x14ac:dyDescent="0.25">
      <c r="O950651" s="9"/>
    </row>
    <row r="950672" spans="15:15" x14ac:dyDescent="0.25">
      <c r="O950672" s="9"/>
    </row>
    <row r="950693" spans="15:15" x14ac:dyDescent="0.25">
      <c r="O950693" s="9"/>
    </row>
    <row r="950714" spans="15:15" x14ac:dyDescent="0.25">
      <c r="O950714" s="9"/>
    </row>
    <row r="950735" spans="15:15" x14ac:dyDescent="0.25">
      <c r="O950735" s="9"/>
    </row>
    <row r="950756" spans="15:15" x14ac:dyDescent="0.25">
      <c r="O950756" s="9"/>
    </row>
    <row r="950777" spans="15:15" x14ac:dyDescent="0.25">
      <c r="O950777" s="9"/>
    </row>
    <row r="950798" spans="15:15" x14ac:dyDescent="0.25">
      <c r="O950798" s="9"/>
    </row>
    <row r="950819" spans="15:15" x14ac:dyDescent="0.25">
      <c r="O950819" s="9"/>
    </row>
    <row r="950840" spans="15:15" x14ac:dyDescent="0.25">
      <c r="O950840" s="9"/>
    </row>
    <row r="950861" spans="15:15" x14ac:dyDescent="0.25">
      <c r="O950861" s="9"/>
    </row>
    <row r="950882" spans="15:15" x14ac:dyDescent="0.25">
      <c r="O950882" s="9"/>
    </row>
    <row r="950903" spans="15:15" x14ac:dyDescent="0.25">
      <c r="O950903" s="9"/>
    </row>
    <row r="950924" spans="15:15" x14ac:dyDescent="0.25">
      <c r="O950924" s="9"/>
    </row>
    <row r="950945" spans="15:15" x14ac:dyDescent="0.25">
      <c r="O950945" s="9"/>
    </row>
    <row r="950966" spans="15:15" x14ac:dyDescent="0.25">
      <c r="O950966" s="9"/>
    </row>
    <row r="950987" spans="15:15" x14ac:dyDescent="0.25">
      <c r="O950987" s="9"/>
    </row>
    <row r="951008" spans="15:15" x14ac:dyDescent="0.25">
      <c r="O951008" s="9"/>
    </row>
    <row r="951029" spans="15:15" x14ac:dyDescent="0.25">
      <c r="O951029" s="9"/>
    </row>
    <row r="951050" spans="15:15" x14ac:dyDescent="0.25">
      <c r="O951050" s="9"/>
    </row>
    <row r="951071" spans="15:15" x14ac:dyDescent="0.25">
      <c r="O951071" s="9"/>
    </row>
    <row r="951092" spans="15:15" x14ac:dyDescent="0.25">
      <c r="O951092" s="9"/>
    </row>
    <row r="951113" spans="15:15" x14ac:dyDescent="0.25">
      <c r="O951113" s="9"/>
    </row>
    <row r="951134" spans="15:15" x14ac:dyDescent="0.25">
      <c r="O951134" s="9"/>
    </row>
    <row r="951155" spans="15:15" x14ac:dyDescent="0.25">
      <c r="O951155" s="9"/>
    </row>
    <row r="951176" spans="15:15" x14ac:dyDescent="0.25">
      <c r="O951176" s="9"/>
    </row>
    <row r="951197" spans="15:15" x14ac:dyDescent="0.25">
      <c r="O951197" s="9"/>
    </row>
    <row r="951218" spans="15:15" x14ac:dyDescent="0.25">
      <c r="O951218" s="9"/>
    </row>
    <row r="951239" spans="15:15" x14ac:dyDescent="0.25">
      <c r="O951239" s="9"/>
    </row>
    <row r="951260" spans="15:15" x14ac:dyDescent="0.25">
      <c r="O951260" s="9"/>
    </row>
    <row r="951281" spans="15:15" x14ac:dyDescent="0.25">
      <c r="O951281" s="9"/>
    </row>
    <row r="951302" spans="15:15" x14ac:dyDescent="0.25">
      <c r="O951302" s="9"/>
    </row>
    <row r="951323" spans="15:15" x14ac:dyDescent="0.25">
      <c r="O951323" s="9"/>
    </row>
    <row r="951344" spans="15:15" x14ac:dyDescent="0.25">
      <c r="O951344" s="9"/>
    </row>
    <row r="951365" spans="15:15" x14ac:dyDescent="0.25">
      <c r="O951365" s="9"/>
    </row>
    <row r="951386" spans="15:15" x14ac:dyDescent="0.25">
      <c r="O951386" s="9"/>
    </row>
    <row r="951407" spans="15:15" x14ac:dyDescent="0.25">
      <c r="O951407" s="9"/>
    </row>
    <row r="951428" spans="15:15" x14ac:dyDescent="0.25">
      <c r="O951428" s="9"/>
    </row>
    <row r="951449" spans="15:15" x14ac:dyDescent="0.25">
      <c r="O951449" s="9"/>
    </row>
    <row r="951470" spans="15:15" x14ac:dyDescent="0.25">
      <c r="O951470" s="9"/>
    </row>
    <row r="951491" spans="15:15" x14ac:dyDescent="0.25">
      <c r="O951491" s="9"/>
    </row>
    <row r="951512" spans="15:15" x14ac:dyDescent="0.25">
      <c r="O951512" s="9"/>
    </row>
    <row r="951533" spans="15:15" x14ac:dyDescent="0.25">
      <c r="O951533" s="9"/>
    </row>
    <row r="951554" spans="15:15" x14ac:dyDescent="0.25">
      <c r="O951554" s="9"/>
    </row>
    <row r="951575" spans="15:15" x14ac:dyDescent="0.25">
      <c r="O951575" s="9"/>
    </row>
    <row r="951596" spans="15:15" x14ac:dyDescent="0.25">
      <c r="O951596" s="9"/>
    </row>
    <row r="951617" spans="15:15" x14ac:dyDescent="0.25">
      <c r="O951617" s="9"/>
    </row>
    <row r="951638" spans="15:15" x14ac:dyDescent="0.25">
      <c r="O951638" s="9"/>
    </row>
    <row r="951659" spans="15:15" x14ac:dyDescent="0.25">
      <c r="O951659" s="9"/>
    </row>
    <row r="951680" spans="15:15" x14ac:dyDescent="0.25">
      <c r="O951680" s="9"/>
    </row>
    <row r="951701" spans="15:15" x14ac:dyDescent="0.25">
      <c r="O951701" s="9"/>
    </row>
    <row r="951722" spans="15:15" x14ac:dyDescent="0.25">
      <c r="O951722" s="9"/>
    </row>
    <row r="951743" spans="15:15" x14ac:dyDescent="0.25">
      <c r="O951743" s="9"/>
    </row>
    <row r="951764" spans="15:15" x14ac:dyDescent="0.25">
      <c r="O951764" s="9"/>
    </row>
    <row r="951785" spans="15:15" x14ac:dyDescent="0.25">
      <c r="O951785" s="9"/>
    </row>
    <row r="951806" spans="15:15" x14ac:dyDescent="0.25">
      <c r="O951806" s="9"/>
    </row>
    <row r="951827" spans="15:15" x14ac:dyDescent="0.25">
      <c r="O951827" s="9"/>
    </row>
    <row r="951848" spans="15:15" x14ac:dyDescent="0.25">
      <c r="O951848" s="9"/>
    </row>
    <row r="951869" spans="15:15" x14ac:dyDescent="0.25">
      <c r="O951869" s="9"/>
    </row>
    <row r="951890" spans="15:15" x14ac:dyDescent="0.25">
      <c r="O951890" s="9"/>
    </row>
    <row r="951911" spans="15:15" x14ac:dyDescent="0.25">
      <c r="O951911" s="9"/>
    </row>
    <row r="951932" spans="15:15" x14ac:dyDescent="0.25">
      <c r="O951932" s="9"/>
    </row>
    <row r="951953" spans="15:15" x14ac:dyDescent="0.25">
      <c r="O951953" s="9"/>
    </row>
    <row r="951974" spans="15:15" x14ac:dyDescent="0.25">
      <c r="O951974" s="9"/>
    </row>
    <row r="951995" spans="15:15" x14ac:dyDescent="0.25">
      <c r="O951995" s="9"/>
    </row>
    <row r="952016" spans="15:15" x14ac:dyDescent="0.25">
      <c r="O952016" s="9"/>
    </row>
    <row r="952037" spans="15:15" x14ac:dyDescent="0.25">
      <c r="O952037" s="9"/>
    </row>
    <row r="952058" spans="15:15" x14ac:dyDescent="0.25">
      <c r="O952058" s="9"/>
    </row>
    <row r="952079" spans="15:15" x14ac:dyDescent="0.25">
      <c r="O952079" s="9"/>
    </row>
    <row r="952100" spans="15:15" x14ac:dyDescent="0.25">
      <c r="O952100" s="9"/>
    </row>
    <row r="952121" spans="15:15" x14ac:dyDescent="0.25">
      <c r="O952121" s="9"/>
    </row>
    <row r="952142" spans="15:15" x14ac:dyDescent="0.25">
      <c r="O952142" s="9"/>
    </row>
    <row r="952163" spans="15:15" x14ac:dyDescent="0.25">
      <c r="O952163" s="9"/>
    </row>
    <row r="952184" spans="15:15" x14ac:dyDescent="0.25">
      <c r="O952184" s="9"/>
    </row>
    <row r="952205" spans="15:15" x14ac:dyDescent="0.25">
      <c r="O952205" s="9"/>
    </row>
    <row r="952226" spans="15:15" x14ac:dyDescent="0.25">
      <c r="O952226" s="9"/>
    </row>
    <row r="952247" spans="15:15" x14ac:dyDescent="0.25">
      <c r="O952247" s="9"/>
    </row>
    <row r="952268" spans="15:15" x14ac:dyDescent="0.25">
      <c r="O952268" s="9"/>
    </row>
    <row r="952289" spans="15:15" x14ac:dyDescent="0.25">
      <c r="O952289" s="9"/>
    </row>
    <row r="952310" spans="15:15" x14ac:dyDescent="0.25">
      <c r="O952310" s="9"/>
    </row>
    <row r="952331" spans="15:15" x14ac:dyDescent="0.25">
      <c r="O952331" s="9"/>
    </row>
    <row r="952352" spans="15:15" x14ac:dyDescent="0.25">
      <c r="O952352" s="9"/>
    </row>
    <row r="952373" spans="15:15" x14ac:dyDescent="0.25">
      <c r="O952373" s="9"/>
    </row>
    <row r="952394" spans="15:15" x14ac:dyDescent="0.25">
      <c r="O952394" s="9"/>
    </row>
    <row r="952415" spans="15:15" x14ac:dyDescent="0.25">
      <c r="O952415" s="9"/>
    </row>
    <row r="952436" spans="15:15" x14ac:dyDescent="0.25">
      <c r="O952436" s="9"/>
    </row>
    <row r="952457" spans="15:15" x14ac:dyDescent="0.25">
      <c r="O952457" s="9"/>
    </row>
    <row r="952478" spans="15:15" x14ac:dyDescent="0.25">
      <c r="O952478" s="9"/>
    </row>
    <row r="952499" spans="15:15" x14ac:dyDescent="0.25">
      <c r="O952499" s="9"/>
    </row>
    <row r="952520" spans="15:15" x14ac:dyDescent="0.25">
      <c r="O952520" s="9"/>
    </row>
    <row r="952541" spans="15:15" x14ac:dyDescent="0.25">
      <c r="O952541" s="9"/>
    </row>
    <row r="952562" spans="15:15" x14ac:dyDescent="0.25">
      <c r="O952562" s="9"/>
    </row>
    <row r="952583" spans="15:15" x14ac:dyDescent="0.25">
      <c r="O952583" s="9"/>
    </row>
    <row r="952604" spans="15:15" x14ac:dyDescent="0.25">
      <c r="O952604" s="9"/>
    </row>
    <row r="952625" spans="15:15" x14ac:dyDescent="0.25">
      <c r="O952625" s="9"/>
    </row>
    <row r="952646" spans="15:15" x14ac:dyDescent="0.25">
      <c r="O952646" s="9"/>
    </row>
    <row r="952667" spans="15:15" x14ac:dyDescent="0.25">
      <c r="O952667" s="9"/>
    </row>
    <row r="952688" spans="15:15" x14ac:dyDescent="0.25">
      <c r="O952688" s="9"/>
    </row>
    <row r="952709" spans="15:15" x14ac:dyDescent="0.25">
      <c r="O952709" s="9"/>
    </row>
    <row r="952730" spans="15:15" x14ac:dyDescent="0.25">
      <c r="O952730" s="9"/>
    </row>
    <row r="952751" spans="15:15" x14ac:dyDescent="0.25">
      <c r="O952751" s="9"/>
    </row>
    <row r="952772" spans="15:15" x14ac:dyDescent="0.25">
      <c r="O952772" s="9"/>
    </row>
    <row r="952793" spans="15:15" x14ac:dyDescent="0.25">
      <c r="O952793" s="9"/>
    </row>
    <row r="952814" spans="15:15" x14ac:dyDescent="0.25">
      <c r="O952814" s="9"/>
    </row>
    <row r="952835" spans="15:15" x14ac:dyDescent="0.25">
      <c r="O952835" s="9"/>
    </row>
    <row r="952856" spans="15:15" x14ac:dyDescent="0.25">
      <c r="O952856" s="9"/>
    </row>
    <row r="952877" spans="15:15" x14ac:dyDescent="0.25">
      <c r="O952877" s="9"/>
    </row>
    <row r="952898" spans="15:15" x14ac:dyDescent="0.25">
      <c r="O952898" s="9"/>
    </row>
    <row r="952919" spans="15:15" x14ac:dyDescent="0.25">
      <c r="O952919" s="9"/>
    </row>
    <row r="952940" spans="15:15" x14ac:dyDescent="0.25">
      <c r="O952940" s="9"/>
    </row>
    <row r="952961" spans="15:15" x14ac:dyDescent="0.25">
      <c r="O952961" s="9"/>
    </row>
    <row r="952982" spans="15:15" x14ac:dyDescent="0.25">
      <c r="O952982" s="9"/>
    </row>
    <row r="953003" spans="15:15" x14ac:dyDescent="0.25">
      <c r="O953003" s="9"/>
    </row>
    <row r="953024" spans="15:15" x14ac:dyDescent="0.25">
      <c r="O953024" s="9"/>
    </row>
    <row r="953045" spans="15:15" x14ac:dyDescent="0.25">
      <c r="O953045" s="9"/>
    </row>
    <row r="953066" spans="15:15" x14ac:dyDescent="0.25">
      <c r="O953066" s="9"/>
    </row>
    <row r="953087" spans="15:15" x14ac:dyDescent="0.25">
      <c r="O953087" s="9"/>
    </row>
    <row r="953108" spans="15:15" x14ac:dyDescent="0.25">
      <c r="O953108" s="9"/>
    </row>
    <row r="953129" spans="15:15" x14ac:dyDescent="0.25">
      <c r="O953129" s="9"/>
    </row>
    <row r="953150" spans="15:15" x14ac:dyDescent="0.25">
      <c r="O953150" s="9"/>
    </row>
    <row r="953171" spans="15:15" x14ac:dyDescent="0.25">
      <c r="O953171" s="9"/>
    </row>
    <row r="953192" spans="15:15" x14ac:dyDescent="0.25">
      <c r="O953192" s="9"/>
    </row>
    <row r="953213" spans="15:15" x14ac:dyDescent="0.25">
      <c r="O953213" s="9"/>
    </row>
    <row r="953234" spans="15:15" x14ac:dyDescent="0.25">
      <c r="O953234" s="9"/>
    </row>
    <row r="953255" spans="15:15" x14ac:dyDescent="0.25">
      <c r="O953255" s="9"/>
    </row>
    <row r="953276" spans="15:15" x14ac:dyDescent="0.25">
      <c r="O953276" s="9"/>
    </row>
    <row r="953297" spans="15:15" x14ac:dyDescent="0.25">
      <c r="O953297" s="9"/>
    </row>
    <row r="953318" spans="15:15" x14ac:dyDescent="0.25">
      <c r="O953318" s="9"/>
    </row>
    <row r="953339" spans="15:15" x14ac:dyDescent="0.25">
      <c r="O953339" s="9"/>
    </row>
    <row r="953360" spans="15:15" x14ac:dyDescent="0.25">
      <c r="O953360" s="9"/>
    </row>
    <row r="953381" spans="15:15" x14ac:dyDescent="0.25">
      <c r="O953381" s="9"/>
    </row>
    <row r="953402" spans="15:15" x14ac:dyDescent="0.25">
      <c r="O953402" s="9"/>
    </row>
    <row r="953423" spans="15:15" x14ac:dyDescent="0.25">
      <c r="O953423" s="9"/>
    </row>
    <row r="953444" spans="15:15" x14ac:dyDescent="0.25">
      <c r="O953444" s="9"/>
    </row>
    <row r="953465" spans="15:15" x14ac:dyDescent="0.25">
      <c r="O953465" s="9"/>
    </row>
    <row r="953486" spans="15:15" x14ac:dyDescent="0.25">
      <c r="O953486" s="9"/>
    </row>
    <row r="953507" spans="15:15" x14ac:dyDescent="0.25">
      <c r="O953507" s="9"/>
    </row>
    <row r="953528" spans="15:15" x14ac:dyDescent="0.25">
      <c r="O953528" s="9"/>
    </row>
    <row r="953549" spans="15:15" x14ac:dyDescent="0.25">
      <c r="O953549" s="9"/>
    </row>
    <row r="953570" spans="15:15" x14ac:dyDescent="0.25">
      <c r="O953570" s="9"/>
    </row>
    <row r="953591" spans="15:15" x14ac:dyDescent="0.25">
      <c r="O953591" s="9"/>
    </row>
    <row r="953612" spans="15:15" x14ac:dyDescent="0.25">
      <c r="O953612" s="9"/>
    </row>
    <row r="953633" spans="15:15" x14ac:dyDescent="0.25">
      <c r="O953633" s="9"/>
    </row>
    <row r="953654" spans="15:15" x14ac:dyDescent="0.25">
      <c r="O953654" s="9"/>
    </row>
    <row r="953675" spans="15:15" x14ac:dyDescent="0.25">
      <c r="O953675" s="9"/>
    </row>
    <row r="953696" spans="15:15" x14ac:dyDescent="0.25">
      <c r="O953696" s="9"/>
    </row>
    <row r="953717" spans="15:15" x14ac:dyDescent="0.25">
      <c r="O953717" s="9"/>
    </row>
    <row r="953738" spans="15:15" x14ac:dyDescent="0.25">
      <c r="O953738" s="9"/>
    </row>
    <row r="953759" spans="15:15" x14ac:dyDescent="0.25">
      <c r="O953759" s="9"/>
    </row>
    <row r="953780" spans="15:15" x14ac:dyDescent="0.25">
      <c r="O953780" s="9"/>
    </row>
    <row r="953801" spans="15:15" x14ac:dyDescent="0.25">
      <c r="O953801" s="9"/>
    </row>
    <row r="953822" spans="15:15" x14ac:dyDescent="0.25">
      <c r="O953822" s="9"/>
    </row>
    <row r="953843" spans="15:15" x14ac:dyDescent="0.25">
      <c r="O953843" s="9"/>
    </row>
    <row r="953864" spans="15:15" x14ac:dyDescent="0.25">
      <c r="O953864" s="9"/>
    </row>
    <row r="953885" spans="15:15" x14ac:dyDescent="0.25">
      <c r="O953885" s="9"/>
    </row>
    <row r="953906" spans="15:15" x14ac:dyDescent="0.25">
      <c r="O953906" s="9"/>
    </row>
    <row r="953927" spans="15:15" x14ac:dyDescent="0.25">
      <c r="O953927" s="9"/>
    </row>
    <row r="953948" spans="15:15" x14ac:dyDescent="0.25">
      <c r="O953948" s="9"/>
    </row>
    <row r="953969" spans="15:15" x14ac:dyDescent="0.25">
      <c r="O953969" s="9"/>
    </row>
    <row r="953990" spans="15:15" x14ac:dyDescent="0.25">
      <c r="O953990" s="9"/>
    </row>
    <row r="954011" spans="15:15" x14ac:dyDescent="0.25">
      <c r="O954011" s="9"/>
    </row>
    <row r="954032" spans="15:15" x14ac:dyDescent="0.25">
      <c r="O954032" s="9"/>
    </row>
    <row r="954053" spans="15:15" x14ac:dyDescent="0.25">
      <c r="O954053" s="9"/>
    </row>
    <row r="954074" spans="15:15" x14ac:dyDescent="0.25">
      <c r="O954074" s="9"/>
    </row>
    <row r="954095" spans="15:15" x14ac:dyDescent="0.25">
      <c r="O954095" s="9"/>
    </row>
    <row r="954116" spans="15:15" x14ac:dyDescent="0.25">
      <c r="O954116" s="9"/>
    </row>
    <row r="954137" spans="15:15" x14ac:dyDescent="0.25">
      <c r="O954137" s="9"/>
    </row>
    <row r="954158" spans="15:15" x14ac:dyDescent="0.25">
      <c r="O954158" s="9"/>
    </row>
    <row r="954179" spans="15:15" x14ac:dyDescent="0.25">
      <c r="O954179" s="9"/>
    </row>
    <row r="954200" spans="15:15" x14ac:dyDescent="0.25">
      <c r="O954200" s="9"/>
    </row>
    <row r="954221" spans="15:15" x14ac:dyDescent="0.25">
      <c r="O954221" s="9"/>
    </row>
    <row r="954242" spans="15:15" x14ac:dyDescent="0.25">
      <c r="O954242" s="9"/>
    </row>
    <row r="954263" spans="15:15" x14ac:dyDescent="0.25">
      <c r="O954263" s="9"/>
    </row>
    <row r="954284" spans="15:15" x14ac:dyDescent="0.25">
      <c r="O954284" s="9"/>
    </row>
    <row r="954305" spans="15:15" x14ac:dyDescent="0.25">
      <c r="O954305" s="9"/>
    </row>
    <row r="954326" spans="15:15" x14ac:dyDescent="0.25">
      <c r="O954326" s="9"/>
    </row>
    <row r="954347" spans="15:15" x14ac:dyDescent="0.25">
      <c r="O954347" s="9"/>
    </row>
    <row r="954368" spans="15:15" x14ac:dyDescent="0.25">
      <c r="O954368" s="9"/>
    </row>
    <row r="954389" spans="15:15" x14ac:dyDescent="0.25">
      <c r="O954389" s="9"/>
    </row>
    <row r="954410" spans="15:15" x14ac:dyDescent="0.25">
      <c r="O954410" s="9"/>
    </row>
    <row r="954431" spans="15:15" x14ac:dyDescent="0.25">
      <c r="O954431" s="9"/>
    </row>
    <row r="954452" spans="15:15" x14ac:dyDescent="0.25">
      <c r="O954452" s="9"/>
    </row>
    <row r="954473" spans="15:15" x14ac:dyDescent="0.25">
      <c r="O954473" s="9"/>
    </row>
    <row r="954494" spans="15:15" x14ac:dyDescent="0.25">
      <c r="O954494" s="9"/>
    </row>
    <row r="954515" spans="15:15" x14ac:dyDescent="0.25">
      <c r="O954515" s="9"/>
    </row>
    <row r="954536" spans="15:15" x14ac:dyDescent="0.25">
      <c r="O954536" s="9"/>
    </row>
    <row r="954557" spans="15:15" x14ac:dyDescent="0.25">
      <c r="O954557" s="9"/>
    </row>
    <row r="954578" spans="15:15" x14ac:dyDescent="0.25">
      <c r="O954578" s="9"/>
    </row>
    <row r="954599" spans="15:15" x14ac:dyDescent="0.25">
      <c r="O954599" s="9"/>
    </row>
    <row r="954620" spans="15:15" x14ac:dyDescent="0.25">
      <c r="O954620" s="9"/>
    </row>
    <row r="954641" spans="15:15" x14ac:dyDescent="0.25">
      <c r="O954641" s="9"/>
    </row>
    <row r="954662" spans="15:15" x14ac:dyDescent="0.25">
      <c r="O954662" s="9"/>
    </row>
    <row r="954683" spans="15:15" x14ac:dyDescent="0.25">
      <c r="O954683" s="9"/>
    </row>
    <row r="954704" spans="15:15" x14ac:dyDescent="0.25">
      <c r="O954704" s="9"/>
    </row>
    <row r="954725" spans="15:15" x14ac:dyDescent="0.25">
      <c r="O954725" s="9"/>
    </row>
    <row r="954746" spans="15:15" x14ac:dyDescent="0.25">
      <c r="O954746" s="9"/>
    </row>
    <row r="954767" spans="15:15" x14ac:dyDescent="0.25">
      <c r="O954767" s="9"/>
    </row>
    <row r="954788" spans="15:15" x14ac:dyDescent="0.25">
      <c r="O954788" s="9"/>
    </row>
    <row r="954809" spans="15:15" x14ac:dyDescent="0.25">
      <c r="O954809" s="9"/>
    </row>
    <row r="954830" spans="15:15" x14ac:dyDescent="0.25">
      <c r="O954830" s="9"/>
    </row>
    <row r="954851" spans="15:15" x14ac:dyDescent="0.25">
      <c r="O954851" s="9"/>
    </row>
    <row r="954872" spans="15:15" x14ac:dyDescent="0.25">
      <c r="O954872" s="9"/>
    </row>
    <row r="954893" spans="15:15" x14ac:dyDescent="0.25">
      <c r="O954893" s="9"/>
    </row>
    <row r="954914" spans="15:15" x14ac:dyDescent="0.25">
      <c r="O954914" s="9"/>
    </row>
    <row r="954935" spans="15:15" x14ac:dyDescent="0.25">
      <c r="O954935" s="9"/>
    </row>
    <row r="954956" spans="15:15" x14ac:dyDescent="0.25">
      <c r="O954956" s="9"/>
    </row>
    <row r="954977" spans="15:15" x14ac:dyDescent="0.25">
      <c r="O954977" s="9"/>
    </row>
    <row r="954998" spans="15:15" x14ac:dyDescent="0.25">
      <c r="O954998" s="9"/>
    </row>
    <row r="955019" spans="15:15" x14ac:dyDescent="0.25">
      <c r="O955019" s="9"/>
    </row>
    <row r="955040" spans="15:15" x14ac:dyDescent="0.25">
      <c r="O955040" s="9"/>
    </row>
    <row r="955061" spans="15:15" x14ac:dyDescent="0.25">
      <c r="O955061" s="9"/>
    </row>
    <row r="955082" spans="15:15" x14ac:dyDescent="0.25">
      <c r="O955082" s="9"/>
    </row>
    <row r="955103" spans="15:15" x14ac:dyDescent="0.25">
      <c r="O955103" s="9"/>
    </row>
    <row r="955124" spans="15:15" x14ac:dyDescent="0.25">
      <c r="O955124" s="9"/>
    </row>
    <row r="955145" spans="15:15" x14ac:dyDescent="0.25">
      <c r="O955145" s="9"/>
    </row>
    <row r="955166" spans="15:15" x14ac:dyDescent="0.25">
      <c r="O955166" s="9"/>
    </row>
    <row r="955187" spans="15:15" x14ac:dyDescent="0.25">
      <c r="O955187" s="9"/>
    </row>
    <row r="955208" spans="15:15" x14ac:dyDescent="0.25">
      <c r="O955208" s="9"/>
    </row>
    <row r="955229" spans="15:15" x14ac:dyDescent="0.25">
      <c r="O955229" s="9"/>
    </row>
    <row r="955250" spans="15:15" x14ac:dyDescent="0.25">
      <c r="O955250" s="9"/>
    </row>
    <row r="955271" spans="15:15" x14ac:dyDescent="0.25">
      <c r="O955271" s="9"/>
    </row>
    <row r="955292" spans="15:15" x14ac:dyDescent="0.25">
      <c r="O955292" s="9"/>
    </row>
    <row r="955313" spans="15:15" x14ac:dyDescent="0.25">
      <c r="O955313" s="9"/>
    </row>
    <row r="955334" spans="15:15" x14ac:dyDescent="0.25">
      <c r="O955334" s="9"/>
    </row>
    <row r="955355" spans="15:15" x14ac:dyDescent="0.25">
      <c r="O955355" s="9"/>
    </row>
    <row r="955376" spans="15:15" x14ac:dyDescent="0.25">
      <c r="O955376" s="9"/>
    </row>
    <row r="955397" spans="15:15" x14ac:dyDescent="0.25">
      <c r="O955397" s="9"/>
    </row>
    <row r="955418" spans="15:15" x14ac:dyDescent="0.25">
      <c r="O955418" s="9"/>
    </row>
    <row r="955439" spans="15:15" x14ac:dyDescent="0.25">
      <c r="O955439" s="9"/>
    </row>
    <row r="955460" spans="15:15" x14ac:dyDescent="0.25">
      <c r="O955460" s="9"/>
    </row>
    <row r="955481" spans="15:15" x14ac:dyDescent="0.25">
      <c r="O955481" s="9"/>
    </row>
    <row r="955502" spans="15:15" x14ac:dyDescent="0.25">
      <c r="O955502" s="9"/>
    </row>
    <row r="955523" spans="15:15" x14ac:dyDescent="0.25">
      <c r="O955523" s="9"/>
    </row>
    <row r="955544" spans="15:15" x14ac:dyDescent="0.25">
      <c r="O955544" s="9"/>
    </row>
    <row r="955565" spans="15:15" x14ac:dyDescent="0.25">
      <c r="O955565" s="9"/>
    </row>
    <row r="955586" spans="15:15" x14ac:dyDescent="0.25">
      <c r="O955586" s="9"/>
    </row>
    <row r="955607" spans="15:15" x14ac:dyDescent="0.25">
      <c r="O955607" s="9"/>
    </row>
    <row r="955628" spans="15:15" x14ac:dyDescent="0.25">
      <c r="O955628" s="9"/>
    </row>
    <row r="955649" spans="15:15" x14ac:dyDescent="0.25">
      <c r="O955649" s="9"/>
    </row>
    <row r="955670" spans="15:15" x14ac:dyDescent="0.25">
      <c r="O955670" s="9"/>
    </row>
    <row r="955691" spans="15:15" x14ac:dyDescent="0.25">
      <c r="O955691" s="9"/>
    </row>
    <row r="955712" spans="15:15" x14ac:dyDescent="0.25">
      <c r="O955712" s="9"/>
    </row>
    <row r="955733" spans="15:15" x14ac:dyDescent="0.25">
      <c r="O955733" s="9"/>
    </row>
    <row r="955754" spans="15:15" x14ac:dyDescent="0.25">
      <c r="O955754" s="9"/>
    </row>
    <row r="955775" spans="15:15" x14ac:dyDescent="0.25">
      <c r="O955775" s="9"/>
    </row>
    <row r="955796" spans="15:15" x14ac:dyDescent="0.25">
      <c r="O955796" s="9"/>
    </row>
    <row r="955817" spans="15:15" x14ac:dyDescent="0.25">
      <c r="O955817" s="9"/>
    </row>
    <row r="955838" spans="15:15" x14ac:dyDescent="0.25">
      <c r="O955838" s="9"/>
    </row>
    <row r="955859" spans="15:15" x14ac:dyDescent="0.25">
      <c r="O955859" s="9"/>
    </row>
    <row r="955880" spans="15:15" x14ac:dyDescent="0.25">
      <c r="O955880" s="9"/>
    </row>
    <row r="955901" spans="15:15" x14ac:dyDescent="0.25">
      <c r="O955901" s="9"/>
    </row>
    <row r="955922" spans="15:15" x14ac:dyDescent="0.25">
      <c r="O955922" s="9"/>
    </row>
    <row r="955943" spans="15:15" x14ac:dyDescent="0.25">
      <c r="O955943" s="9"/>
    </row>
    <row r="955964" spans="15:15" x14ac:dyDescent="0.25">
      <c r="O955964" s="9"/>
    </row>
    <row r="955985" spans="15:15" x14ac:dyDescent="0.25">
      <c r="O955985" s="9"/>
    </row>
    <row r="956006" spans="15:15" x14ac:dyDescent="0.25">
      <c r="O956006" s="9"/>
    </row>
    <row r="956027" spans="15:15" x14ac:dyDescent="0.25">
      <c r="O956027" s="9"/>
    </row>
    <row r="956048" spans="15:15" x14ac:dyDescent="0.25">
      <c r="O956048" s="9"/>
    </row>
    <row r="956069" spans="15:15" x14ac:dyDescent="0.25">
      <c r="O956069" s="9"/>
    </row>
    <row r="956090" spans="15:15" x14ac:dyDescent="0.25">
      <c r="O956090" s="9"/>
    </row>
    <row r="956111" spans="15:15" x14ac:dyDescent="0.25">
      <c r="O956111" s="9"/>
    </row>
    <row r="956132" spans="15:15" x14ac:dyDescent="0.25">
      <c r="O956132" s="9"/>
    </row>
    <row r="956153" spans="15:15" x14ac:dyDescent="0.25">
      <c r="O956153" s="9"/>
    </row>
    <row r="956174" spans="15:15" x14ac:dyDescent="0.25">
      <c r="O956174" s="9"/>
    </row>
    <row r="956195" spans="15:15" x14ac:dyDescent="0.25">
      <c r="O956195" s="9"/>
    </row>
    <row r="956216" spans="15:15" x14ac:dyDescent="0.25">
      <c r="O956216" s="9"/>
    </row>
    <row r="956237" spans="15:15" x14ac:dyDescent="0.25">
      <c r="O956237" s="9"/>
    </row>
    <row r="956258" spans="15:15" x14ac:dyDescent="0.25">
      <c r="O956258" s="9"/>
    </row>
    <row r="956279" spans="15:15" x14ac:dyDescent="0.25">
      <c r="O956279" s="9"/>
    </row>
    <row r="956300" spans="15:15" x14ac:dyDescent="0.25">
      <c r="O956300" s="9"/>
    </row>
    <row r="956321" spans="15:15" x14ac:dyDescent="0.25">
      <c r="O956321" s="9"/>
    </row>
    <row r="956342" spans="15:15" x14ac:dyDescent="0.25">
      <c r="O956342" s="9"/>
    </row>
    <row r="956363" spans="15:15" x14ac:dyDescent="0.25">
      <c r="O956363" s="9"/>
    </row>
    <row r="956384" spans="15:15" x14ac:dyDescent="0.25">
      <c r="O956384" s="9"/>
    </row>
    <row r="956405" spans="15:15" x14ac:dyDescent="0.25">
      <c r="O956405" s="9"/>
    </row>
    <row r="956426" spans="15:15" x14ac:dyDescent="0.25">
      <c r="O956426" s="9"/>
    </row>
    <row r="956447" spans="15:15" x14ac:dyDescent="0.25">
      <c r="O956447" s="9"/>
    </row>
    <row r="956468" spans="15:15" x14ac:dyDescent="0.25">
      <c r="O956468" s="9"/>
    </row>
    <row r="956489" spans="15:15" x14ac:dyDescent="0.25">
      <c r="O956489" s="9"/>
    </row>
    <row r="956510" spans="15:15" x14ac:dyDescent="0.25">
      <c r="O956510" s="9"/>
    </row>
    <row r="956531" spans="15:15" x14ac:dyDescent="0.25">
      <c r="O956531" s="9"/>
    </row>
    <row r="956552" spans="15:15" x14ac:dyDescent="0.25">
      <c r="O956552" s="9"/>
    </row>
    <row r="956573" spans="15:15" x14ac:dyDescent="0.25">
      <c r="O956573" s="9"/>
    </row>
    <row r="956594" spans="15:15" x14ac:dyDescent="0.25">
      <c r="O956594" s="9"/>
    </row>
    <row r="956615" spans="15:15" x14ac:dyDescent="0.25">
      <c r="O956615" s="9"/>
    </row>
    <row r="956636" spans="15:15" x14ac:dyDescent="0.25">
      <c r="O956636" s="9"/>
    </row>
    <row r="956657" spans="15:15" x14ac:dyDescent="0.25">
      <c r="O956657" s="9"/>
    </row>
    <row r="956678" spans="15:15" x14ac:dyDescent="0.25">
      <c r="O956678" s="9"/>
    </row>
    <row r="956699" spans="15:15" x14ac:dyDescent="0.25">
      <c r="O956699" s="9"/>
    </row>
    <row r="956720" spans="15:15" x14ac:dyDescent="0.25">
      <c r="O956720" s="9"/>
    </row>
    <row r="956741" spans="15:15" x14ac:dyDescent="0.25">
      <c r="O956741" s="9"/>
    </row>
    <row r="956762" spans="15:15" x14ac:dyDescent="0.25">
      <c r="O956762" s="9"/>
    </row>
    <row r="956783" spans="15:15" x14ac:dyDescent="0.25">
      <c r="O956783" s="9"/>
    </row>
    <row r="956804" spans="15:15" x14ac:dyDescent="0.25">
      <c r="O956804" s="9"/>
    </row>
    <row r="956825" spans="15:15" x14ac:dyDescent="0.25">
      <c r="O956825" s="9"/>
    </row>
    <row r="956846" spans="15:15" x14ac:dyDescent="0.25">
      <c r="O956846" s="9"/>
    </row>
    <row r="956867" spans="15:15" x14ac:dyDescent="0.25">
      <c r="O956867" s="9"/>
    </row>
    <row r="956888" spans="15:15" x14ac:dyDescent="0.25">
      <c r="O956888" s="9"/>
    </row>
    <row r="956909" spans="15:15" x14ac:dyDescent="0.25">
      <c r="O956909" s="9"/>
    </row>
    <row r="956930" spans="15:15" x14ac:dyDescent="0.25">
      <c r="O956930" s="9"/>
    </row>
    <row r="956951" spans="15:15" x14ac:dyDescent="0.25">
      <c r="O956951" s="9"/>
    </row>
    <row r="956972" spans="15:15" x14ac:dyDescent="0.25">
      <c r="O956972" s="9"/>
    </row>
    <row r="956993" spans="15:15" x14ac:dyDescent="0.25">
      <c r="O956993" s="9"/>
    </row>
    <row r="957014" spans="15:15" x14ac:dyDescent="0.25">
      <c r="O957014" s="9"/>
    </row>
    <row r="957035" spans="15:15" x14ac:dyDescent="0.25">
      <c r="O957035" s="9"/>
    </row>
    <row r="957056" spans="15:15" x14ac:dyDescent="0.25">
      <c r="O957056" s="9"/>
    </row>
    <row r="957077" spans="15:15" x14ac:dyDescent="0.25">
      <c r="O957077" s="9"/>
    </row>
    <row r="957098" spans="15:15" x14ac:dyDescent="0.25">
      <c r="O957098" s="9"/>
    </row>
    <row r="957119" spans="15:15" x14ac:dyDescent="0.25">
      <c r="O957119" s="9"/>
    </row>
    <row r="957140" spans="15:15" x14ac:dyDescent="0.25">
      <c r="O957140" s="9"/>
    </row>
    <row r="957161" spans="15:15" x14ac:dyDescent="0.25">
      <c r="O957161" s="9"/>
    </row>
    <row r="957182" spans="15:15" x14ac:dyDescent="0.25">
      <c r="O957182" s="9"/>
    </row>
    <row r="957203" spans="15:15" x14ac:dyDescent="0.25">
      <c r="O957203" s="9"/>
    </row>
    <row r="957224" spans="15:15" x14ac:dyDescent="0.25">
      <c r="O957224" s="9"/>
    </row>
    <row r="957245" spans="15:15" x14ac:dyDescent="0.25">
      <c r="O957245" s="9"/>
    </row>
    <row r="957266" spans="15:15" x14ac:dyDescent="0.25">
      <c r="O957266" s="9"/>
    </row>
    <row r="957287" spans="15:15" x14ac:dyDescent="0.25">
      <c r="O957287" s="9"/>
    </row>
    <row r="957308" spans="15:15" x14ac:dyDescent="0.25">
      <c r="O957308" s="9"/>
    </row>
    <row r="957329" spans="15:15" x14ac:dyDescent="0.25">
      <c r="O957329" s="9"/>
    </row>
    <row r="957350" spans="15:15" x14ac:dyDescent="0.25">
      <c r="O957350" s="9"/>
    </row>
    <row r="957371" spans="15:15" x14ac:dyDescent="0.25">
      <c r="O957371" s="9"/>
    </row>
    <row r="957392" spans="15:15" x14ac:dyDescent="0.25">
      <c r="O957392" s="9"/>
    </row>
    <row r="957413" spans="15:15" x14ac:dyDescent="0.25">
      <c r="O957413" s="9"/>
    </row>
    <row r="957434" spans="15:15" x14ac:dyDescent="0.25">
      <c r="O957434" s="9"/>
    </row>
    <row r="957455" spans="15:15" x14ac:dyDescent="0.25">
      <c r="O957455" s="9"/>
    </row>
    <row r="957476" spans="15:15" x14ac:dyDescent="0.25">
      <c r="O957476" s="9"/>
    </row>
    <row r="957497" spans="15:15" x14ac:dyDescent="0.25">
      <c r="O957497" s="9"/>
    </row>
    <row r="957518" spans="15:15" x14ac:dyDescent="0.25">
      <c r="O957518" s="9"/>
    </row>
    <row r="957539" spans="15:15" x14ac:dyDescent="0.25">
      <c r="O957539" s="9"/>
    </row>
    <row r="957560" spans="15:15" x14ac:dyDescent="0.25">
      <c r="O957560" s="9"/>
    </row>
    <row r="957581" spans="15:15" x14ac:dyDescent="0.25">
      <c r="O957581" s="9"/>
    </row>
    <row r="957602" spans="15:15" x14ac:dyDescent="0.25">
      <c r="O957602" s="9"/>
    </row>
    <row r="957623" spans="15:15" x14ac:dyDescent="0.25">
      <c r="O957623" s="9"/>
    </row>
    <row r="957644" spans="15:15" x14ac:dyDescent="0.25">
      <c r="O957644" s="9"/>
    </row>
    <row r="957665" spans="15:15" x14ac:dyDescent="0.25">
      <c r="O957665" s="9"/>
    </row>
    <row r="957686" spans="15:15" x14ac:dyDescent="0.25">
      <c r="O957686" s="9"/>
    </row>
    <row r="957707" spans="15:15" x14ac:dyDescent="0.25">
      <c r="O957707" s="9"/>
    </row>
    <row r="957728" spans="15:15" x14ac:dyDescent="0.25">
      <c r="O957728" s="9"/>
    </row>
    <row r="957749" spans="15:15" x14ac:dyDescent="0.25">
      <c r="O957749" s="9"/>
    </row>
    <row r="957770" spans="15:15" x14ac:dyDescent="0.25">
      <c r="O957770" s="9"/>
    </row>
    <row r="957791" spans="15:15" x14ac:dyDescent="0.25">
      <c r="O957791" s="9"/>
    </row>
    <row r="957812" spans="15:15" x14ac:dyDescent="0.25">
      <c r="O957812" s="9"/>
    </row>
    <row r="957833" spans="15:15" x14ac:dyDescent="0.25">
      <c r="O957833" s="9"/>
    </row>
    <row r="957854" spans="15:15" x14ac:dyDescent="0.25">
      <c r="O957854" s="9"/>
    </row>
    <row r="957875" spans="15:15" x14ac:dyDescent="0.25">
      <c r="O957875" s="9"/>
    </row>
    <row r="957896" spans="15:15" x14ac:dyDescent="0.25">
      <c r="O957896" s="9"/>
    </row>
    <row r="957917" spans="15:15" x14ac:dyDescent="0.25">
      <c r="O957917" s="9"/>
    </row>
    <row r="957938" spans="15:15" x14ac:dyDescent="0.25">
      <c r="O957938" s="9"/>
    </row>
    <row r="957959" spans="15:15" x14ac:dyDescent="0.25">
      <c r="O957959" s="9"/>
    </row>
    <row r="957980" spans="15:15" x14ac:dyDescent="0.25">
      <c r="O957980" s="9"/>
    </row>
    <row r="958001" spans="15:15" x14ac:dyDescent="0.25">
      <c r="O958001" s="9"/>
    </row>
    <row r="958022" spans="15:15" x14ac:dyDescent="0.25">
      <c r="O958022" s="9"/>
    </row>
    <row r="958043" spans="15:15" x14ac:dyDescent="0.25">
      <c r="O958043" s="9"/>
    </row>
    <row r="958064" spans="15:15" x14ac:dyDescent="0.25">
      <c r="O958064" s="9"/>
    </row>
    <row r="958085" spans="15:15" x14ac:dyDescent="0.25">
      <c r="O958085" s="9"/>
    </row>
    <row r="958106" spans="15:15" x14ac:dyDescent="0.25">
      <c r="O958106" s="9"/>
    </row>
    <row r="958127" spans="15:15" x14ac:dyDescent="0.25">
      <c r="O958127" s="9"/>
    </row>
    <row r="958148" spans="15:15" x14ac:dyDescent="0.25">
      <c r="O958148" s="9"/>
    </row>
    <row r="958169" spans="15:15" x14ac:dyDescent="0.25">
      <c r="O958169" s="9"/>
    </row>
    <row r="958190" spans="15:15" x14ac:dyDescent="0.25">
      <c r="O958190" s="9"/>
    </row>
    <row r="958211" spans="15:15" x14ac:dyDescent="0.25">
      <c r="O958211" s="9"/>
    </row>
    <row r="958232" spans="15:15" x14ac:dyDescent="0.25">
      <c r="O958232" s="9"/>
    </row>
    <row r="958253" spans="15:15" x14ac:dyDescent="0.25">
      <c r="O958253" s="9"/>
    </row>
    <row r="958274" spans="15:15" x14ac:dyDescent="0.25">
      <c r="O958274" s="9"/>
    </row>
    <row r="958295" spans="15:15" x14ac:dyDescent="0.25">
      <c r="O958295" s="9"/>
    </row>
    <row r="958316" spans="15:15" x14ac:dyDescent="0.25">
      <c r="O958316" s="9"/>
    </row>
    <row r="958337" spans="15:15" x14ac:dyDescent="0.25">
      <c r="O958337" s="9"/>
    </row>
    <row r="958358" spans="15:15" x14ac:dyDescent="0.25">
      <c r="O958358" s="9"/>
    </row>
    <row r="958379" spans="15:15" x14ac:dyDescent="0.25">
      <c r="O958379" s="9"/>
    </row>
    <row r="958400" spans="15:15" x14ac:dyDescent="0.25">
      <c r="O958400" s="9"/>
    </row>
    <row r="958421" spans="15:15" x14ac:dyDescent="0.25">
      <c r="O958421" s="9"/>
    </row>
    <row r="958442" spans="15:15" x14ac:dyDescent="0.25">
      <c r="O958442" s="9"/>
    </row>
    <row r="958463" spans="15:15" x14ac:dyDescent="0.25">
      <c r="O958463" s="9"/>
    </row>
    <row r="958484" spans="15:15" x14ac:dyDescent="0.25">
      <c r="O958484" s="9"/>
    </row>
    <row r="958505" spans="15:15" x14ac:dyDescent="0.25">
      <c r="O958505" s="9"/>
    </row>
    <row r="958526" spans="15:15" x14ac:dyDescent="0.25">
      <c r="O958526" s="9"/>
    </row>
    <row r="958547" spans="15:15" x14ac:dyDescent="0.25">
      <c r="O958547" s="9"/>
    </row>
    <row r="958568" spans="15:15" x14ac:dyDescent="0.25">
      <c r="O958568" s="9"/>
    </row>
    <row r="958589" spans="15:15" x14ac:dyDescent="0.25">
      <c r="O958589" s="9"/>
    </row>
    <row r="958610" spans="15:15" x14ac:dyDescent="0.25">
      <c r="O958610" s="9"/>
    </row>
    <row r="958631" spans="15:15" x14ac:dyDescent="0.25">
      <c r="O958631" s="9"/>
    </row>
    <row r="958652" spans="15:15" x14ac:dyDescent="0.25">
      <c r="O958652" s="9"/>
    </row>
    <row r="958673" spans="15:15" x14ac:dyDescent="0.25">
      <c r="O958673" s="9"/>
    </row>
    <row r="958694" spans="15:15" x14ac:dyDescent="0.25">
      <c r="O958694" s="9"/>
    </row>
    <row r="958715" spans="15:15" x14ac:dyDescent="0.25">
      <c r="O958715" s="9"/>
    </row>
    <row r="958736" spans="15:15" x14ac:dyDescent="0.25">
      <c r="O958736" s="9"/>
    </row>
    <row r="958757" spans="15:15" x14ac:dyDescent="0.25">
      <c r="O958757" s="9"/>
    </row>
    <row r="958778" spans="15:15" x14ac:dyDescent="0.25">
      <c r="O958778" s="9"/>
    </row>
    <row r="958799" spans="15:15" x14ac:dyDescent="0.25">
      <c r="O958799" s="9"/>
    </row>
    <row r="958820" spans="15:15" x14ac:dyDescent="0.25">
      <c r="O958820" s="9"/>
    </row>
    <row r="958841" spans="15:15" x14ac:dyDescent="0.25">
      <c r="O958841" s="9"/>
    </row>
    <row r="958862" spans="15:15" x14ac:dyDescent="0.25">
      <c r="O958862" s="9"/>
    </row>
    <row r="958883" spans="15:15" x14ac:dyDescent="0.25">
      <c r="O958883" s="9"/>
    </row>
    <row r="958904" spans="15:15" x14ac:dyDescent="0.25">
      <c r="O958904" s="9"/>
    </row>
    <row r="958925" spans="15:15" x14ac:dyDescent="0.25">
      <c r="O958925" s="9"/>
    </row>
    <row r="958946" spans="15:15" x14ac:dyDescent="0.25">
      <c r="O958946" s="9"/>
    </row>
    <row r="958967" spans="15:15" x14ac:dyDescent="0.25">
      <c r="O958967" s="9"/>
    </row>
    <row r="958988" spans="15:15" x14ac:dyDescent="0.25">
      <c r="O958988" s="9"/>
    </row>
    <row r="959009" spans="15:15" x14ac:dyDescent="0.25">
      <c r="O959009" s="9"/>
    </row>
    <row r="959030" spans="15:15" x14ac:dyDescent="0.25">
      <c r="O959030" s="9"/>
    </row>
    <row r="959051" spans="15:15" x14ac:dyDescent="0.25">
      <c r="O959051" s="9"/>
    </row>
    <row r="959072" spans="15:15" x14ac:dyDescent="0.25">
      <c r="O959072" s="9"/>
    </row>
    <row r="959093" spans="15:15" x14ac:dyDescent="0.25">
      <c r="O959093" s="9"/>
    </row>
    <row r="959114" spans="15:15" x14ac:dyDescent="0.25">
      <c r="O959114" s="9"/>
    </row>
    <row r="959135" spans="15:15" x14ac:dyDescent="0.25">
      <c r="O959135" s="9"/>
    </row>
    <row r="959156" spans="15:15" x14ac:dyDescent="0.25">
      <c r="O959156" s="9"/>
    </row>
    <row r="959177" spans="15:15" x14ac:dyDescent="0.25">
      <c r="O959177" s="9"/>
    </row>
    <row r="959198" spans="15:15" x14ac:dyDescent="0.25">
      <c r="O959198" s="9"/>
    </row>
    <row r="959219" spans="15:15" x14ac:dyDescent="0.25">
      <c r="O959219" s="9"/>
    </row>
    <row r="959240" spans="15:15" x14ac:dyDescent="0.25">
      <c r="O959240" s="9"/>
    </row>
    <row r="959261" spans="15:15" x14ac:dyDescent="0.25">
      <c r="O959261" s="9"/>
    </row>
    <row r="959282" spans="15:15" x14ac:dyDescent="0.25">
      <c r="O959282" s="9"/>
    </row>
    <row r="959303" spans="15:15" x14ac:dyDescent="0.25">
      <c r="O959303" s="9"/>
    </row>
    <row r="959324" spans="15:15" x14ac:dyDescent="0.25">
      <c r="O959324" s="9"/>
    </row>
    <row r="959345" spans="15:15" x14ac:dyDescent="0.25">
      <c r="O959345" s="9"/>
    </row>
    <row r="959366" spans="15:15" x14ac:dyDescent="0.25">
      <c r="O959366" s="9"/>
    </row>
    <row r="959387" spans="15:15" x14ac:dyDescent="0.25">
      <c r="O959387" s="9"/>
    </row>
    <row r="959408" spans="15:15" x14ac:dyDescent="0.25">
      <c r="O959408" s="9"/>
    </row>
    <row r="959429" spans="15:15" x14ac:dyDescent="0.25">
      <c r="O959429" s="9"/>
    </row>
    <row r="959450" spans="15:15" x14ac:dyDescent="0.25">
      <c r="O959450" s="9"/>
    </row>
    <row r="959471" spans="15:15" x14ac:dyDescent="0.25">
      <c r="O959471" s="9"/>
    </row>
    <row r="959492" spans="15:15" x14ac:dyDescent="0.25">
      <c r="O959492" s="9"/>
    </row>
    <row r="959513" spans="15:15" x14ac:dyDescent="0.25">
      <c r="O959513" s="9"/>
    </row>
    <row r="959534" spans="15:15" x14ac:dyDescent="0.25">
      <c r="O959534" s="9"/>
    </row>
    <row r="959555" spans="15:15" x14ac:dyDescent="0.25">
      <c r="O959555" s="9"/>
    </row>
    <row r="959576" spans="15:15" x14ac:dyDescent="0.25">
      <c r="O959576" s="9"/>
    </row>
    <row r="959597" spans="15:15" x14ac:dyDescent="0.25">
      <c r="O959597" s="9"/>
    </row>
    <row r="959618" spans="15:15" x14ac:dyDescent="0.25">
      <c r="O959618" s="9"/>
    </row>
    <row r="959639" spans="15:15" x14ac:dyDescent="0.25">
      <c r="O959639" s="9"/>
    </row>
    <row r="959660" spans="15:15" x14ac:dyDescent="0.25">
      <c r="O959660" s="9"/>
    </row>
    <row r="959681" spans="15:15" x14ac:dyDescent="0.25">
      <c r="O959681" s="9"/>
    </row>
    <row r="959702" spans="15:15" x14ac:dyDescent="0.25">
      <c r="O959702" s="9"/>
    </row>
    <row r="959723" spans="15:15" x14ac:dyDescent="0.25">
      <c r="O959723" s="9"/>
    </row>
    <row r="959744" spans="15:15" x14ac:dyDescent="0.25">
      <c r="O959744" s="9"/>
    </row>
    <row r="959765" spans="15:15" x14ac:dyDescent="0.25">
      <c r="O959765" s="9"/>
    </row>
    <row r="959786" spans="15:15" x14ac:dyDescent="0.25">
      <c r="O959786" s="9"/>
    </row>
    <row r="959807" spans="15:15" x14ac:dyDescent="0.25">
      <c r="O959807" s="9"/>
    </row>
    <row r="959828" spans="15:15" x14ac:dyDescent="0.25">
      <c r="O959828" s="9"/>
    </row>
    <row r="959849" spans="15:15" x14ac:dyDescent="0.25">
      <c r="O959849" s="9"/>
    </row>
    <row r="959870" spans="15:15" x14ac:dyDescent="0.25">
      <c r="O959870" s="9"/>
    </row>
    <row r="959891" spans="15:15" x14ac:dyDescent="0.25">
      <c r="O959891" s="9"/>
    </row>
    <row r="959912" spans="15:15" x14ac:dyDescent="0.25">
      <c r="O959912" s="9"/>
    </row>
    <row r="959933" spans="15:15" x14ac:dyDescent="0.25">
      <c r="O959933" s="9"/>
    </row>
    <row r="959954" spans="15:15" x14ac:dyDescent="0.25">
      <c r="O959954" s="9"/>
    </row>
    <row r="959975" spans="15:15" x14ac:dyDescent="0.25">
      <c r="O959975" s="9"/>
    </row>
    <row r="959996" spans="15:15" x14ac:dyDescent="0.25">
      <c r="O959996" s="9"/>
    </row>
    <row r="960017" spans="15:15" x14ac:dyDescent="0.25">
      <c r="O960017" s="9"/>
    </row>
    <row r="960038" spans="15:15" x14ac:dyDescent="0.25">
      <c r="O960038" s="9"/>
    </row>
    <row r="960059" spans="15:15" x14ac:dyDescent="0.25">
      <c r="O960059" s="9"/>
    </row>
    <row r="960080" spans="15:15" x14ac:dyDescent="0.25">
      <c r="O960080" s="9"/>
    </row>
    <row r="960101" spans="15:15" x14ac:dyDescent="0.25">
      <c r="O960101" s="9"/>
    </row>
    <row r="960122" spans="15:15" x14ac:dyDescent="0.25">
      <c r="O960122" s="9"/>
    </row>
    <row r="960143" spans="15:15" x14ac:dyDescent="0.25">
      <c r="O960143" s="9"/>
    </row>
    <row r="960164" spans="15:15" x14ac:dyDescent="0.25">
      <c r="O960164" s="9"/>
    </row>
    <row r="960185" spans="15:15" x14ac:dyDescent="0.25">
      <c r="O960185" s="9"/>
    </row>
    <row r="960206" spans="15:15" x14ac:dyDescent="0.25">
      <c r="O960206" s="9"/>
    </row>
    <row r="960227" spans="15:15" x14ac:dyDescent="0.25">
      <c r="O960227" s="9"/>
    </row>
    <row r="960248" spans="15:15" x14ac:dyDescent="0.25">
      <c r="O960248" s="9"/>
    </row>
    <row r="960269" spans="15:15" x14ac:dyDescent="0.25">
      <c r="O960269" s="9"/>
    </row>
    <row r="960290" spans="15:15" x14ac:dyDescent="0.25">
      <c r="O960290" s="9"/>
    </row>
    <row r="960311" spans="15:15" x14ac:dyDescent="0.25">
      <c r="O960311" s="9"/>
    </row>
    <row r="960332" spans="15:15" x14ac:dyDescent="0.25">
      <c r="O960332" s="9"/>
    </row>
    <row r="960353" spans="15:15" x14ac:dyDescent="0.25">
      <c r="O960353" s="9"/>
    </row>
    <row r="960374" spans="15:15" x14ac:dyDescent="0.25">
      <c r="O960374" s="9"/>
    </row>
    <row r="960395" spans="15:15" x14ac:dyDescent="0.25">
      <c r="O960395" s="9"/>
    </row>
    <row r="960416" spans="15:15" x14ac:dyDescent="0.25">
      <c r="O960416" s="9"/>
    </row>
    <row r="960437" spans="15:15" x14ac:dyDescent="0.25">
      <c r="O960437" s="9"/>
    </row>
    <row r="960458" spans="15:15" x14ac:dyDescent="0.25">
      <c r="O960458" s="9"/>
    </row>
    <row r="960479" spans="15:15" x14ac:dyDescent="0.25">
      <c r="O960479" s="9"/>
    </row>
    <row r="960500" spans="15:15" x14ac:dyDescent="0.25">
      <c r="O960500" s="9"/>
    </row>
    <row r="960521" spans="15:15" x14ac:dyDescent="0.25">
      <c r="O960521" s="9"/>
    </row>
    <row r="960542" spans="15:15" x14ac:dyDescent="0.25">
      <c r="O960542" s="9"/>
    </row>
    <row r="960563" spans="15:15" x14ac:dyDescent="0.25">
      <c r="O960563" s="9"/>
    </row>
    <row r="960584" spans="15:15" x14ac:dyDescent="0.25">
      <c r="O960584" s="9"/>
    </row>
    <row r="960605" spans="15:15" x14ac:dyDescent="0.25">
      <c r="O960605" s="9"/>
    </row>
    <row r="960626" spans="15:15" x14ac:dyDescent="0.25">
      <c r="O960626" s="9"/>
    </row>
    <row r="960647" spans="15:15" x14ac:dyDescent="0.25">
      <c r="O960647" s="9"/>
    </row>
    <row r="960668" spans="15:15" x14ac:dyDescent="0.25">
      <c r="O960668" s="9"/>
    </row>
    <row r="960689" spans="15:15" x14ac:dyDescent="0.25">
      <c r="O960689" s="9"/>
    </row>
    <row r="960710" spans="15:15" x14ac:dyDescent="0.25">
      <c r="O960710" s="9"/>
    </row>
    <row r="960731" spans="15:15" x14ac:dyDescent="0.25">
      <c r="O960731" s="9"/>
    </row>
    <row r="960752" spans="15:15" x14ac:dyDescent="0.25">
      <c r="O960752" s="9"/>
    </row>
    <row r="960773" spans="15:15" x14ac:dyDescent="0.25">
      <c r="O960773" s="9"/>
    </row>
    <row r="960794" spans="15:15" x14ac:dyDescent="0.25">
      <c r="O960794" s="9"/>
    </row>
    <row r="960815" spans="15:15" x14ac:dyDescent="0.25">
      <c r="O960815" s="9"/>
    </row>
    <row r="960836" spans="15:15" x14ac:dyDescent="0.25">
      <c r="O960836" s="9"/>
    </row>
    <row r="960857" spans="15:15" x14ac:dyDescent="0.25">
      <c r="O960857" s="9"/>
    </row>
    <row r="960878" spans="15:15" x14ac:dyDescent="0.25">
      <c r="O960878" s="9"/>
    </row>
    <row r="960899" spans="15:15" x14ac:dyDescent="0.25">
      <c r="O960899" s="9"/>
    </row>
    <row r="960920" spans="15:15" x14ac:dyDescent="0.25">
      <c r="O960920" s="9"/>
    </row>
    <row r="960941" spans="15:15" x14ac:dyDescent="0.25">
      <c r="O960941" s="9"/>
    </row>
    <row r="960962" spans="15:15" x14ac:dyDescent="0.25">
      <c r="O960962" s="9"/>
    </row>
    <row r="960983" spans="15:15" x14ac:dyDescent="0.25">
      <c r="O960983" s="9"/>
    </row>
    <row r="961004" spans="15:15" x14ac:dyDescent="0.25">
      <c r="O961004" s="9"/>
    </row>
    <row r="961025" spans="15:15" x14ac:dyDescent="0.25">
      <c r="O961025" s="9"/>
    </row>
    <row r="961046" spans="15:15" x14ac:dyDescent="0.25">
      <c r="O961046" s="9"/>
    </row>
    <row r="961067" spans="15:15" x14ac:dyDescent="0.25">
      <c r="O961067" s="9"/>
    </row>
    <row r="961088" spans="15:15" x14ac:dyDescent="0.25">
      <c r="O961088" s="9"/>
    </row>
    <row r="961109" spans="15:15" x14ac:dyDescent="0.25">
      <c r="O961109" s="9"/>
    </row>
    <row r="961130" spans="15:15" x14ac:dyDescent="0.25">
      <c r="O961130" s="9"/>
    </row>
    <row r="961151" spans="15:15" x14ac:dyDescent="0.25">
      <c r="O961151" s="9"/>
    </row>
    <row r="961172" spans="15:15" x14ac:dyDescent="0.25">
      <c r="O961172" s="9"/>
    </row>
    <row r="961193" spans="15:15" x14ac:dyDescent="0.25">
      <c r="O961193" s="9"/>
    </row>
    <row r="961214" spans="15:15" x14ac:dyDescent="0.25">
      <c r="O961214" s="9"/>
    </row>
    <row r="961235" spans="15:15" x14ac:dyDescent="0.25">
      <c r="O961235" s="9"/>
    </row>
    <row r="961256" spans="15:15" x14ac:dyDescent="0.25">
      <c r="O961256" s="9"/>
    </row>
    <row r="961277" spans="15:15" x14ac:dyDescent="0.25">
      <c r="O961277" s="9"/>
    </row>
    <row r="961298" spans="15:15" x14ac:dyDescent="0.25">
      <c r="O961298" s="9"/>
    </row>
    <row r="961319" spans="15:15" x14ac:dyDescent="0.25">
      <c r="O961319" s="9"/>
    </row>
    <row r="961340" spans="15:15" x14ac:dyDescent="0.25">
      <c r="O961340" s="9"/>
    </row>
    <row r="961361" spans="15:15" x14ac:dyDescent="0.25">
      <c r="O961361" s="9"/>
    </row>
    <row r="961382" spans="15:15" x14ac:dyDescent="0.25">
      <c r="O961382" s="9"/>
    </row>
    <row r="961403" spans="15:15" x14ac:dyDescent="0.25">
      <c r="O961403" s="9"/>
    </row>
    <row r="961424" spans="15:15" x14ac:dyDescent="0.25">
      <c r="O961424" s="9"/>
    </row>
    <row r="961445" spans="15:15" x14ac:dyDescent="0.25">
      <c r="O961445" s="9"/>
    </row>
    <row r="961466" spans="15:15" x14ac:dyDescent="0.25">
      <c r="O961466" s="9"/>
    </row>
    <row r="961487" spans="15:15" x14ac:dyDescent="0.25">
      <c r="O961487" s="9"/>
    </row>
    <row r="961508" spans="15:15" x14ac:dyDescent="0.25">
      <c r="O961508" s="9"/>
    </row>
    <row r="961529" spans="15:15" x14ac:dyDescent="0.25">
      <c r="O961529" s="9"/>
    </row>
    <row r="961550" spans="15:15" x14ac:dyDescent="0.25">
      <c r="O961550" s="9"/>
    </row>
    <row r="961571" spans="15:15" x14ac:dyDescent="0.25">
      <c r="O961571" s="9"/>
    </row>
    <row r="961592" spans="15:15" x14ac:dyDescent="0.25">
      <c r="O961592" s="9"/>
    </row>
    <row r="961613" spans="15:15" x14ac:dyDescent="0.25">
      <c r="O961613" s="9"/>
    </row>
    <row r="961634" spans="15:15" x14ac:dyDescent="0.25">
      <c r="O961634" s="9"/>
    </row>
    <row r="961655" spans="15:15" x14ac:dyDescent="0.25">
      <c r="O961655" s="9"/>
    </row>
    <row r="961676" spans="15:15" x14ac:dyDescent="0.25">
      <c r="O961676" s="9"/>
    </row>
    <row r="961697" spans="15:15" x14ac:dyDescent="0.25">
      <c r="O961697" s="9"/>
    </row>
    <row r="961718" spans="15:15" x14ac:dyDescent="0.25">
      <c r="O961718" s="9"/>
    </row>
    <row r="961739" spans="15:15" x14ac:dyDescent="0.25">
      <c r="O961739" s="9"/>
    </row>
    <row r="961760" spans="15:15" x14ac:dyDescent="0.25">
      <c r="O961760" s="9"/>
    </row>
    <row r="961781" spans="15:15" x14ac:dyDescent="0.25">
      <c r="O961781" s="9"/>
    </row>
    <row r="961802" spans="15:15" x14ac:dyDescent="0.25">
      <c r="O961802" s="9"/>
    </row>
    <row r="961823" spans="15:15" x14ac:dyDescent="0.25">
      <c r="O961823" s="9"/>
    </row>
    <row r="961844" spans="15:15" x14ac:dyDescent="0.25">
      <c r="O961844" s="9"/>
    </row>
    <row r="961865" spans="15:15" x14ac:dyDescent="0.25">
      <c r="O961865" s="9"/>
    </row>
    <row r="961886" spans="15:15" x14ac:dyDescent="0.25">
      <c r="O961886" s="9"/>
    </row>
    <row r="961907" spans="15:15" x14ac:dyDescent="0.25">
      <c r="O961907" s="9"/>
    </row>
    <row r="961928" spans="15:15" x14ac:dyDescent="0.25">
      <c r="O961928" s="9"/>
    </row>
    <row r="961949" spans="15:15" x14ac:dyDescent="0.25">
      <c r="O961949" s="9"/>
    </row>
    <row r="961970" spans="15:15" x14ac:dyDescent="0.25">
      <c r="O961970" s="9"/>
    </row>
    <row r="961991" spans="15:15" x14ac:dyDescent="0.25">
      <c r="O961991" s="9"/>
    </row>
    <row r="962012" spans="15:15" x14ac:dyDescent="0.25">
      <c r="O962012" s="9"/>
    </row>
    <row r="962033" spans="15:15" x14ac:dyDescent="0.25">
      <c r="O962033" s="9"/>
    </row>
    <row r="962054" spans="15:15" x14ac:dyDescent="0.25">
      <c r="O962054" s="9"/>
    </row>
    <row r="962075" spans="15:15" x14ac:dyDescent="0.25">
      <c r="O962075" s="9"/>
    </row>
    <row r="962096" spans="15:15" x14ac:dyDescent="0.25">
      <c r="O962096" s="9"/>
    </row>
    <row r="962117" spans="15:15" x14ac:dyDescent="0.25">
      <c r="O962117" s="9"/>
    </row>
    <row r="962138" spans="15:15" x14ac:dyDescent="0.25">
      <c r="O962138" s="9"/>
    </row>
    <row r="962159" spans="15:15" x14ac:dyDescent="0.25">
      <c r="O962159" s="9"/>
    </row>
    <row r="962180" spans="15:15" x14ac:dyDescent="0.25">
      <c r="O962180" s="9"/>
    </row>
    <row r="962201" spans="15:15" x14ac:dyDescent="0.25">
      <c r="O962201" s="9"/>
    </row>
    <row r="962222" spans="15:15" x14ac:dyDescent="0.25">
      <c r="O962222" s="9"/>
    </row>
    <row r="962243" spans="15:15" x14ac:dyDescent="0.25">
      <c r="O962243" s="9"/>
    </row>
    <row r="962264" spans="15:15" x14ac:dyDescent="0.25">
      <c r="O962264" s="9"/>
    </row>
    <row r="962285" spans="15:15" x14ac:dyDescent="0.25">
      <c r="O962285" s="9"/>
    </row>
    <row r="962306" spans="15:15" x14ac:dyDescent="0.25">
      <c r="O962306" s="9"/>
    </row>
    <row r="962327" spans="15:15" x14ac:dyDescent="0.25">
      <c r="O962327" s="9"/>
    </row>
    <row r="962348" spans="15:15" x14ac:dyDescent="0.25">
      <c r="O962348" s="9"/>
    </row>
    <row r="962369" spans="15:15" x14ac:dyDescent="0.25">
      <c r="O962369" s="9"/>
    </row>
    <row r="962390" spans="15:15" x14ac:dyDescent="0.25">
      <c r="O962390" s="9"/>
    </row>
    <row r="962411" spans="15:15" x14ac:dyDescent="0.25">
      <c r="O962411" s="9"/>
    </row>
    <row r="962432" spans="15:15" x14ac:dyDescent="0.25">
      <c r="O962432" s="9"/>
    </row>
    <row r="962453" spans="15:15" x14ac:dyDescent="0.25">
      <c r="O962453" s="9"/>
    </row>
    <row r="962474" spans="15:15" x14ac:dyDescent="0.25">
      <c r="O962474" s="9"/>
    </row>
    <row r="962495" spans="15:15" x14ac:dyDescent="0.25">
      <c r="O962495" s="9"/>
    </row>
    <row r="962516" spans="15:15" x14ac:dyDescent="0.25">
      <c r="O962516" s="9"/>
    </row>
    <row r="962537" spans="15:15" x14ac:dyDescent="0.25">
      <c r="O962537" s="9"/>
    </row>
    <row r="962558" spans="15:15" x14ac:dyDescent="0.25">
      <c r="O962558" s="9"/>
    </row>
    <row r="962579" spans="15:15" x14ac:dyDescent="0.25">
      <c r="O962579" s="9"/>
    </row>
    <row r="962600" spans="15:15" x14ac:dyDescent="0.25">
      <c r="O962600" s="9"/>
    </row>
    <row r="962621" spans="15:15" x14ac:dyDescent="0.25">
      <c r="O962621" s="9"/>
    </row>
    <row r="962642" spans="15:15" x14ac:dyDescent="0.25">
      <c r="O962642" s="9"/>
    </row>
    <row r="962663" spans="15:15" x14ac:dyDescent="0.25">
      <c r="O962663" s="9"/>
    </row>
    <row r="962684" spans="15:15" x14ac:dyDescent="0.25">
      <c r="O962684" s="9"/>
    </row>
    <row r="962705" spans="15:15" x14ac:dyDescent="0.25">
      <c r="O962705" s="9"/>
    </row>
    <row r="962726" spans="15:15" x14ac:dyDescent="0.25">
      <c r="O962726" s="9"/>
    </row>
    <row r="962747" spans="15:15" x14ac:dyDescent="0.25">
      <c r="O962747" s="9"/>
    </row>
    <row r="962768" spans="15:15" x14ac:dyDescent="0.25">
      <c r="O962768" s="9"/>
    </row>
    <row r="962789" spans="15:15" x14ac:dyDescent="0.25">
      <c r="O962789" s="9"/>
    </row>
    <row r="962810" spans="15:15" x14ac:dyDescent="0.25">
      <c r="O962810" s="9"/>
    </row>
    <row r="962831" spans="15:15" x14ac:dyDescent="0.25">
      <c r="O962831" s="9"/>
    </row>
    <row r="962852" spans="15:15" x14ac:dyDescent="0.25">
      <c r="O962852" s="9"/>
    </row>
    <row r="962873" spans="15:15" x14ac:dyDescent="0.25">
      <c r="O962873" s="9"/>
    </row>
    <row r="962894" spans="15:15" x14ac:dyDescent="0.25">
      <c r="O962894" s="9"/>
    </row>
    <row r="962915" spans="15:15" x14ac:dyDescent="0.25">
      <c r="O962915" s="9"/>
    </row>
    <row r="962936" spans="15:15" x14ac:dyDescent="0.25">
      <c r="O962936" s="9"/>
    </row>
    <row r="962957" spans="15:15" x14ac:dyDescent="0.25">
      <c r="O962957" s="9"/>
    </row>
    <row r="962978" spans="15:15" x14ac:dyDescent="0.25">
      <c r="O962978" s="9"/>
    </row>
    <row r="962999" spans="15:15" x14ac:dyDescent="0.25">
      <c r="O962999" s="9"/>
    </row>
    <row r="963020" spans="15:15" x14ac:dyDescent="0.25">
      <c r="O963020" s="9"/>
    </row>
    <row r="963041" spans="15:15" x14ac:dyDescent="0.25">
      <c r="O963041" s="9"/>
    </row>
    <row r="963062" spans="15:15" x14ac:dyDescent="0.25">
      <c r="O963062" s="9"/>
    </row>
    <row r="963083" spans="15:15" x14ac:dyDescent="0.25">
      <c r="O963083" s="9"/>
    </row>
    <row r="963104" spans="15:15" x14ac:dyDescent="0.25">
      <c r="O963104" s="9"/>
    </row>
    <row r="963125" spans="15:15" x14ac:dyDescent="0.25">
      <c r="O963125" s="9"/>
    </row>
    <row r="963146" spans="15:15" x14ac:dyDescent="0.25">
      <c r="O963146" s="9"/>
    </row>
    <row r="963167" spans="15:15" x14ac:dyDescent="0.25">
      <c r="O963167" s="9"/>
    </row>
    <row r="963188" spans="15:15" x14ac:dyDescent="0.25">
      <c r="O963188" s="9"/>
    </row>
    <row r="963209" spans="15:15" x14ac:dyDescent="0.25">
      <c r="O963209" s="9"/>
    </row>
    <row r="963230" spans="15:15" x14ac:dyDescent="0.25">
      <c r="O963230" s="9"/>
    </row>
    <row r="963251" spans="15:15" x14ac:dyDescent="0.25">
      <c r="O963251" s="9"/>
    </row>
    <row r="963272" spans="15:15" x14ac:dyDescent="0.25">
      <c r="O963272" s="9"/>
    </row>
    <row r="963293" spans="15:15" x14ac:dyDescent="0.25">
      <c r="O963293" s="9"/>
    </row>
    <row r="963314" spans="15:15" x14ac:dyDescent="0.25">
      <c r="O963314" s="9"/>
    </row>
    <row r="963335" spans="15:15" x14ac:dyDescent="0.25">
      <c r="O963335" s="9"/>
    </row>
    <row r="963356" spans="15:15" x14ac:dyDescent="0.25">
      <c r="O963356" s="9"/>
    </row>
    <row r="963377" spans="15:15" x14ac:dyDescent="0.25">
      <c r="O963377" s="9"/>
    </row>
    <row r="963398" spans="15:15" x14ac:dyDescent="0.25">
      <c r="O963398" s="9"/>
    </row>
    <row r="963419" spans="15:15" x14ac:dyDescent="0.25">
      <c r="O963419" s="9"/>
    </row>
    <row r="963440" spans="15:15" x14ac:dyDescent="0.25">
      <c r="O963440" s="9"/>
    </row>
    <row r="963461" spans="15:15" x14ac:dyDescent="0.25">
      <c r="O963461" s="9"/>
    </row>
    <row r="963482" spans="15:15" x14ac:dyDescent="0.25">
      <c r="O963482" s="9"/>
    </row>
    <row r="963503" spans="15:15" x14ac:dyDescent="0.25">
      <c r="O963503" s="9"/>
    </row>
    <row r="963524" spans="15:15" x14ac:dyDescent="0.25">
      <c r="O963524" s="9"/>
    </row>
    <row r="963545" spans="15:15" x14ac:dyDescent="0.25">
      <c r="O963545" s="9"/>
    </row>
    <row r="963566" spans="15:15" x14ac:dyDescent="0.25">
      <c r="O963566" s="9"/>
    </row>
    <row r="963587" spans="15:15" x14ac:dyDescent="0.25">
      <c r="O963587" s="9"/>
    </row>
    <row r="963608" spans="15:15" x14ac:dyDescent="0.25">
      <c r="O963608" s="9"/>
    </row>
    <row r="963629" spans="15:15" x14ac:dyDescent="0.25">
      <c r="O963629" s="9"/>
    </row>
    <row r="963650" spans="15:15" x14ac:dyDescent="0.25">
      <c r="O963650" s="9"/>
    </row>
    <row r="963671" spans="15:15" x14ac:dyDescent="0.25">
      <c r="O963671" s="9"/>
    </row>
    <row r="963692" spans="15:15" x14ac:dyDescent="0.25">
      <c r="O963692" s="9"/>
    </row>
    <row r="963713" spans="15:15" x14ac:dyDescent="0.25">
      <c r="O963713" s="9"/>
    </row>
    <row r="963734" spans="15:15" x14ac:dyDescent="0.25">
      <c r="O963734" s="9"/>
    </row>
    <row r="963755" spans="15:15" x14ac:dyDescent="0.25">
      <c r="O963755" s="9"/>
    </row>
    <row r="963776" spans="15:15" x14ac:dyDescent="0.25">
      <c r="O963776" s="9"/>
    </row>
    <row r="963797" spans="15:15" x14ac:dyDescent="0.25">
      <c r="O963797" s="9"/>
    </row>
    <row r="963818" spans="15:15" x14ac:dyDescent="0.25">
      <c r="O963818" s="9"/>
    </row>
    <row r="963839" spans="15:15" x14ac:dyDescent="0.25">
      <c r="O963839" s="9"/>
    </row>
    <row r="963860" spans="15:15" x14ac:dyDescent="0.25">
      <c r="O963860" s="9"/>
    </row>
    <row r="963881" spans="15:15" x14ac:dyDescent="0.25">
      <c r="O963881" s="9"/>
    </row>
    <row r="963902" spans="15:15" x14ac:dyDescent="0.25">
      <c r="O963902" s="9"/>
    </row>
    <row r="963923" spans="15:15" x14ac:dyDescent="0.25">
      <c r="O963923" s="9"/>
    </row>
    <row r="963944" spans="15:15" x14ac:dyDescent="0.25">
      <c r="O963944" s="9"/>
    </row>
    <row r="963965" spans="15:15" x14ac:dyDescent="0.25">
      <c r="O963965" s="9"/>
    </row>
    <row r="963986" spans="15:15" x14ac:dyDescent="0.25">
      <c r="O963986" s="9"/>
    </row>
    <row r="964007" spans="15:15" x14ac:dyDescent="0.25">
      <c r="O964007" s="9"/>
    </row>
    <row r="964028" spans="15:15" x14ac:dyDescent="0.25">
      <c r="O964028" s="9"/>
    </row>
    <row r="964049" spans="15:15" x14ac:dyDescent="0.25">
      <c r="O964049" s="9"/>
    </row>
    <row r="964070" spans="15:15" x14ac:dyDescent="0.25">
      <c r="O964070" s="9"/>
    </row>
    <row r="964091" spans="15:15" x14ac:dyDescent="0.25">
      <c r="O964091" s="9"/>
    </row>
    <row r="964112" spans="15:15" x14ac:dyDescent="0.25">
      <c r="O964112" s="9"/>
    </row>
    <row r="964133" spans="15:15" x14ac:dyDescent="0.25">
      <c r="O964133" s="9"/>
    </row>
    <row r="964154" spans="15:15" x14ac:dyDescent="0.25">
      <c r="O964154" s="9"/>
    </row>
    <row r="964175" spans="15:15" x14ac:dyDescent="0.25">
      <c r="O964175" s="9"/>
    </row>
    <row r="964196" spans="15:15" x14ac:dyDescent="0.25">
      <c r="O964196" s="9"/>
    </row>
    <row r="964217" spans="15:15" x14ac:dyDescent="0.25">
      <c r="O964217" s="9"/>
    </row>
    <row r="964238" spans="15:15" x14ac:dyDescent="0.25">
      <c r="O964238" s="9"/>
    </row>
    <row r="964259" spans="15:15" x14ac:dyDescent="0.25">
      <c r="O964259" s="9"/>
    </row>
    <row r="964280" spans="15:15" x14ac:dyDescent="0.25">
      <c r="O964280" s="9"/>
    </row>
    <row r="964301" spans="15:15" x14ac:dyDescent="0.25">
      <c r="O964301" s="9"/>
    </row>
    <row r="964322" spans="15:15" x14ac:dyDescent="0.25">
      <c r="O964322" s="9"/>
    </row>
    <row r="964343" spans="15:15" x14ac:dyDescent="0.25">
      <c r="O964343" s="9"/>
    </row>
    <row r="964364" spans="15:15" x14ac:dyDescent="0.25">
      <c r="O964364" s="9"/>
    </row>
    <row r="964385" spans="15:15" x14ac:dyDescent="0.25">
      <c r="O964385" s="9"/>
    </row>
    <row r="964406" spans="15:15" x14ac:dyDescent="0.25">
      <c r="O964406" s="9"/>
    </row>
    <row r="964427" spans="15:15" x14ac:dyDescent="0.25">
      <c r="O964427" s="9"/>
    </row>
    <row r="964448" spans="15:15" x14ac:dyDescent="0.25">
      <c r="O964448" s="9"/>
    </row>
    <row r="964469" spans="15:15" x14ac:dyDescent="0.25">
      <c r="O964469" s="9"/>
    </row>
    <row r="964490" spans="15:15" x14ac:dyDescent="0.25">
      <c r="O964490" s="9"/>
    </row>
    <row r="964511" spans="15:15" x14ac:dyDescent="0.25">
      <c r="O964511" s="9"/>
    </row>
    <row r="964532" spans="15:15" x14ac:dyDescent="0.25">
      <c r="O964532" s="9"/>
    </row>
    <row r="964553" spans="15:15" x14ac:dyDescent="0.25">
      <c r="O964553" s="9"/>
    </row>
    <row r="964574" spans="15:15" x14ac:dyDescent="0.25">
      <c r="O964574" s="9"/>
    </row>
    <row r="964595" spans="15:15" x14ac:dyDescent="0.25">
      <c r="O964595" s="9"/>
    </row>
    <row r="964616" spans="15:15" x14ac:dyDescent="0.25">
      <c r="O964616" s="9"/>
    </row>
    <row r="964637" spans="15:15" x14ac:dyDescent="0.25">
      <c r="O964637" s="9"/>
    </row>
    <row r="964658" spans="15:15" x14ac:dyDescent="0.25">
      <c r="O964658" s="9"/>
    </row>
    <row r="964679" spans="15:15" x14ac:dyDescent="0.25">
      <c r="O964679" s="9"/>
    </row>
    <row r="964700" spans="15:15" x14ac:dyDescent="0.25">
      <c r="O964700" s="9"/>
    </row>
    <row r="964721" spans="15:15" x14ac:dyDescent="0.25">
      <c r="O964721" s="9"/>
    </row>
    <row r="964742" spans="15:15" x14ac:dyDescent="0.25">
      <c r="O964742" s="9"/>
    </row>
    <row r="964763" spans="15:15" x14ac:dyDescent="0.25">
      <c r="O964763" s="9"/>
    </row>
    <row r="964784" spans="15:15" x14ac:dyDescent="0.25">
      <c r="O964784" s="9"/>
    </row>
    <row r="964805" spans="15:15" x14ac:dyDescent="0.25">
      <c r="O964805" s="9"/>
    </row>
    <row r="964826" spans="15:15" x14ac:dyDescent="0.25">
      <c r="O964826" s="9"/>
    </row>
    <row r="964847" spans="15:15" x14ac:dyDescent="0.25">
      <c r="O964847" s="9"/>
    </row>
    <row r="964868" spans="15:15" x14ac:dyDescent="0.25">
      <c r="O964868" s="9"/>
    </row>
    <row r="964889" spans="15:15" x14ac:dyDescent="0.25">
      <c r="O964889" s="9"/>
    </row>
    <row r="964910" spans="15:15" x14ac:dyDescent="0.25">
      <c r="O964910" s="9"/>
    </row>
    <row r="964931" spans="15:15" x14ac:dyDescent="0.25">
      <c r="O964931" s="9"/>
    </row>
    <row r="964952" spans="15:15" x14ac:dyDescent="0.25">
      <c r="O964952" s="9"/>
    </row>
    <row r="964973" spans="15:15" x14ac:dyDescent="0.25">
      <c r="O964973" s="9"/>
    </row>
    <row r="964994" spans="15:15" x14ac:dyDescent="0.25">
      <c r="O964994" s="9"/>
    </row>
    <row r="965015" spans="15:15" x14ac:dyDescent="0.25">
      <c r="O965015" s="9"/>
    </row>
    <row r="965036" spans="15:15" x14ac:dyDescent="0.25">
      <c r="O965036" s="9"/>
    </row>
    <row r="965057" spans="15:15" x14ac:dyDescent="0.25">
      <c r="O965057" s="9"/>
    </row>
    <row r="965078" spans="15:15" x14ac:dyDescent="0.25">
      <c r="O965078" s="9"/>
    </row>
    <row r="965099" spans="15:15" x14ac:dyDescent="0.25">
      <c r="O965099" s="9"/>
    </row>
    <row r="965120" spans="15:15" x14ac:dyDescent="0.25">
      <c r="O965120" s="9"/>
    </row>
    <row r="965141" spans="15:15" x14ac:dyDescent="0.25">
      <c r="O965141" s="9"/>
    </row>
    <row r="965162" spans="15:15" x14ac:dyDescent="0.25">
      <c r="O965162" s="9"/>
    </row>
    <row r="965183" spans="15:15" x14ac:dyDescent="0.25">
      <c r="O965183" s="9"/>
    </row>
    <row r="965204" spans="15:15" x14ac:dyDescent="0.25">
      <c r="O965204" s="9"/>
    </row>
    <row r="965225" spans="15:15" x14ac:dyDescent="0.25">
      <c r="O965225" s="9"/>
    </row>
    <row r="965246" spans="15:15" x14ac:dyDescent="0.25">
      <c r="O965246" s="9"/>
    </row>
    <row r="965267" spans="15:15" x14ac:dyDescent="0.25">
      <c r="O965267" s="9"/>
    </row>
    <row r="965288" spans="15:15" x14ac:dyDescent="0.25">
      <c r="O965288" s="9"/>
    </row>
    <row r="965309" spans="15:15" x14ac:dyDescent="0.25">
      <c r="O965309" s="9"/>
    </row>
    <row r="965330" spans="15:15" x14ac:dyDescent="0.25">
      <c r="O965330" s="9"/>
    </row>
    <row r="965351" spans="15:15" x14ac:dyDescent="0.25">
      <c r="O965351" s="9"/>
    </row>
    <row r="965372" spans="15:15" x14ac:dyDescent="0.25">
      <c r="O965372" s="9"/>
    </row>
    <row r="965393" spans="15:15" x14ac:dyDescent="0.25">
      <c r="O965393" s="9"/>
    </row>
    <row r="965414" spans="15:15" x14ac:dyDescent="0.25">
      <c r="O965414" s="9"/>
    </row>
    <row r="965435" spans="15:15" x14ac:dyDescent="0.25">
      <c r="O965435" s="9"/>
    </row>
    <row r="965456" spans="15:15" x14ac:dyDescent="0.25">
      <c r="O965456" s="9"/>
    </row>
    <row r="965477" spans="15:15" x14ac:dyDescent="0.25">
      <c r="O965477" s="9"/>
    </row>
    <row r="965498" spans="15:15" x14ac:dyDescent="0.25">
      <c r="O965498" s="9"/>
    </row>
    <row r="965519" spans="15:15" x14ac:dyDescent="0.25">
      <c r="O965519" s="9"/>
    </row>
    <row r="965540" spans="15:15" x14ac:dyDescent="0.25">
      <c r="O965540" s="9"/>
    </row>
    <row r="965561" spans="15:15" x14ac:dyDescent="0.25">
      <c r="O965561" s="9"/>
    </row>
    <row r="965582" spans="15:15" x14ac:dyDescent="0.25">
      <c r="O965582" s="9"/>
    </row>
    <row r="965603" spans="15:15" x14ac:dyDescent="0.25">
      <c r="O965603" s="9"/>
    </row>
    <row r="965624" spans="15:15" x14ac:dyDescent="0.25">
      <c r="O965624" s="9"/>
    </row>
    <row r="965645" spans="15:15" x14ac:dyDescent="0.25">
      <c r="O965645" s="9"/>
    </row>
    <row r="965666" spans="15:15" x14ac:dyDescent="0.25">
      <c r="O965666" s="9"/>
    </row>
    <row r="965687" spans="15:15" x14ac:dyDescent="0.25">
      <c r="O965687" s="9"/>
    </row>
    <row r="965708" spans="15:15" x14ac:dyDescent="0.25">
      <c r="O965708" s="9"/>
    </row>
    <row r="965729" spans="15:15" x14ac:dyDescent="0.25">
      <c r="O965729" s="9"/>
    </row>
    <row r="965750" spans="15:15" x14ac:dyDescent="0.25">
      <c r="O965750" s="9"/>
    </row>
    <row r="965771" spans="15:15" x14ac:dyDescent="0.25">
      <c r="O965771" s="9"/>
    </row>
    <row r="965792" spans="15:15" x14ac:dyDescent="0.25">
      <c r="O965792" s="9"/>
    </row>
    <row r="965813" spans="15:15" x14ac:dyDescent="0.25">
      <c r="O965813" s="9"/>
    </row>
    <row r="965834" spans="15:15" x14ac:dyDescent="0.25">
      <c r="O965834" s="9"/>
    </row>
    <row r="965855" spans="15:15" x14ac:dyDescent="0.25">
      <c r="O965855" s="9"/>
    </row>
    <row r="965876" spans="15:15" x14ac:dyDescent="0.25">
      <c r="O965876" s="9"/>
    </row>
    <row r="965897" spans="15:15" x14ac:dyDescent="0.25">
      <c r="O965897" s="9"/>
    </row>
    <row r="965918" spans="15:15" x14ac:dyDescent="0.25">
      <c r="O965918" s="9"/>
    </row>
    <row r="965939" spans="15:15" x14ac:dyDescent="0.25">
      <c r="O965939" s="9"/>
    </row>
    <row r="965960" spans="15:15" x14ac:dyDescent="0.25">
      <c r="O965960" s="9"/>
    </row>
    <row r="965981" spans="15:15" x14ac:dyDescent="0.25">
      <c r="O965981" s="9"/>
    </row>
    <row r="966002" spans="15:15" x14ac:dyDescent="0.25">
      <c r="O966002" s="9"/>
    </row>
    <row r="966023" spans="15:15" x14ac:dyDescent="0.25">
      <c r="O966023" s="9"/>
    </row>
    <row r="966044" spans="15:15" x14ac:dyDescent="0.25">
      <c r="O966044" s="9"/>
    </row>
    <row r="966065" spans="15:15" x14ac:dyDescent="0.25">
      <c r="O966065" s="9"/>
    </row>
    <row r="966086" spans="15:15" x14ac:dyDescent="0.25">
      <c r="O966086" s="9"/>
    </row>
    <row r="966107" spans="15:15" x14ac:dyDescent="0.25">
      <c r="O966107" s="9"/>
    </row>
    <row r="966128" spans="15:15" x14ac:dyDescent="0.25">
      <c r="O966128" s="9"/>
    </row>
    <row r="966149" spans="15:15" x14ac:dyDescent="0.25">
      <c r="O966149" s="9"/>
    </row>
    <row r="966170" spans="15:15" x14ac:dyDescent="0.25">
      <c r="O966170" s="9"/>
    </row>
    <row r="966191" spans="15:15" x14ac:dyDescent="0.25">
      <c r="O966191" s="9"/>
    </row>
    <row r="966212" spans="15:15" x14ac:dyDescent="0.25">
      <c r="O966212" s="9"/>
    </row>
    <row r="966233" spans="15:15" x14ac:dyDescent="0.25">
      <c r="O966233" s="9"/>
    </row>
    <row r="966254" spans="15:15" x14ac:dyDescent="0.25">
      <c r="O966254" s="9"/>
    </row>
    <row r="966275" spans="15:15" x14ac:dyDescent="0.25">
      <c r="O966275" s="9"/>
    </row>
    <row r="966296" spans="15:15" x14ac:dyDescent="0.25">
      <c r="O966296" s="9"/>
    </row>
    <row r="966317" spans="15:15" x14ac:dyDescent="0.25">
      <c r="O966317" s="9"/>
    </row>
    <row r="966338" spans="15:15" x14ac:dyDescent="0.25">
      <c r="O966338" s="9"/>
    </row>
    <row r="966359" spans="15:15" x14ac:dyDescent="0.25">
      <c r="O966359" s="9"/>
    </row>
    <row r="966380" spans="15:15" x14ac:dyDescent="0.25">
      <c r="O966380" s="9"/>
    </row>
    <row r="966401" spans="15:15" x14ac:dyDescent="0.25">
      <c r="O966401" s="9"/>
    </row>
    <row r="966422" spans="15:15" x14ac:dyDescent="0.25">
      <c r="O966422" s="9"/>
    </row>
    <row r="966443" spans="15:15" x14ac:dyDescent="0.25">
      <c r="O966443" s="9"/>
    </row>
    <row r="966464" spans="15:15" x14ac:dyDescent="0.25">
      <c r="O966464" s="9"/>
    </row>
    <row r="966485" spans="15:15" x14ac:dyDescent="0.25">
      <c r="O966485" s="9"/>
    </row>
    <row r="966506" spans="15:15" x14ac:dyDescent="0.25">
      <c r="O966506" s="9"/>
    </row>
    <row r="966527" spans="15:15" x14ac:dyDescent="0.25">
      <c r="O966527" s="9"/>
    </row>
    <row r="966548" spans="15:15" x14ac:dyDescent="0.25">
      <c r="O966548" s="9"/>
    </row>
    <row r="966569" spans="15:15" x14ac:dyDescent="0.25">
      <c r="O966569" s="9"/>
    </row>
    <row r="966590" spans="15:15" x14ac:dyDescent="0.25">
      <c r="O966590" s="9"/>
    </row>
    <row r="966611" spans="15:15" x14ac:dyDescent="0.25">
      <c r="O966611" s="9"/>
    </row>
    <row r="966632" spans="15:15" x14ac:dyDescent="0.25">
      <c r="O966632" s="9"/>
    </row>
    <row r="966653" spans="15:15" x14ac:dyDescent="0.25">
      <c r="O966653" s="9"/>
    </row>
    <row r="966674" spans="15:15" x14ac:dyDescent="0.25">
      <c r="O966674" s="9"/>
    </row>
    <row r="966695" spans="15:15" x14ac:dyDescent="0.25">
      <c r="O966695" s="9"/>
    </row>
    <row r="966716" spans="15:15" x14ac:dyDescent="0.25">
      <c r="O966716" s="9"/>
    </row>
    <row r="966737" spans="15:15" x14ac:dyDescent="0.25">
      <c r="O966737" s="9"/>
    </row>
    <row r="966758" spans="15:15" x14ac:dyDescent="0.25">
      <c r="O966758" s="9"/>
    </row>
    <row r="966779" spans="15:15" x14ac:dyDescent="0.25">
      <c r="O966779" s="9"/>
    </row>
    <row r="966800" spans="15:15" x14ac:dyDescent="0.25">
      <c r="O966800" s="9"/>
    </row>
    <row r="966821" spans="15:15" x14ac:dyDescent="0.25">
      <c r="O966821" s="9"/>
    </row>
    <row r="966842" spans="15:15" x14ac:dyDescent="0.25">
      <c r="O966842" s="9"/>
    </row>
    <row r="966863" spans="15:15" x14ac:dyDescent="0.25">
      <c r="O966863" s="9"/>
    </row>
    <row r="966884" spans="15:15" x14ac:dyDescent="0.25">
      <c r="O966884" s="9"/>
    </row>
    <row r="966905" spans="15:15" x14ac:dyDescent="0.25">
      <c r="O966905" s="9"/>
    </row>
    <row r="966926" spans="15:15" x14ac:dyDescent="0.25">
      <c r="O966926" s="9"/>
    </row>
    <row r="966947" spans="15:15" x14ac:dyDescent="0.25">
      <c r="O966947" s="9"/>
    </row>
    <row r="966968" spans="15:15" x14ac:dyDescent="0.25">
      <c r="O966968" s="9"/>
    </row>
    <row r="966989" spans="15:15" x14ac:dyDescent="0.25">
      <c r="O966989" s="9"/>
    </row>
    <row r="967010" spans="15:15" x14ac:dyDescent="0.25">
      <c r="O967010" s="9"/>
    </row>
    <row r="967031" spans="15:15" x14ac:dyDescent="0.25">
      <c r="O967031" s="9"/>
    </row>
    <row r="967052" spans="15:15" x14ac:dyDescent="0.25">
      <c r="O967052" s="9"/>
    </row>
    <row r="967073" spans="15:15" x14ac:dyDescent="0.25">
      <c r="O967073" s="9"/>
    </row>
    <row r="967094" spans="15:15" x14ac:dyDescent="0.25">
      <c r="O967094" s="9"/>
    </row>
    <row r="967115" spans="15:15" x14ac:dyDescent="0.25">
      <c r="O967115" s="9"/>
    </row>
    <row r="967136" spans="15:15" x14ac:dyDescent="0.25">
      <c r="O967136" s="9"/>
    </row>
    <row r="967157" spans="15:15" x14ac:dyDescent="0.25">
      <c r="O967157" s="9"/>
    </row>
    <row r="967178" spans="15:15" x14ac:dyDescent="0.25">
      <c r="O967178" s="9"/>
    </row>
    <row r="967199" spans="15:15" x14ac:dyDescent="0.25">
      <c r="O967199" s="9"/>
    </row>
    <row r="967220" spans="15:15" x14ac:dyDescent="0.25">
      <c r="O967220" s="9"/>
    </row>
    <row r="967241" spans="15:15" x14ac:dyDescent="0.25">
      <c r="O967241" s="9"/>
    </row>
    <row r="967262" spans="15:15" x14ac:dyDescent="0.25">
      <c r="O967262" s="9"/>
    </row>
    <row r="967283" spans="15:15" x14ac:dyDescent="0.25">
      <c r="O967283" s="9"/>
    </row>
    <row r="967304" spans="15:15" x14ac:dyDescent="0.25">
      <c r="O967304" s="9"/>
    </row>
    <row r="967325" spans="15:15" x14ac:dyDescent="0.25">
      <c r="O967325" s="9"/>
    </row>
    <row r="967346" spans="15:15" x14ac:dyDescent="0.25">
      <c r="O967346" s="9"/>
    </row>
    <row r="967367" spans="15:15" x14ac:dyDescent="0.25">
      <c r="O967367" s="9"/>
    </row>
    <row r="967388" spans="15:15" x14ac:dyDescent="0.25">
      <c r="O967388" s="9"/>
    </row>
    <row r="967409" spans="15:15" x14ac:dyDescent="0.25">
      <c r="O967409" s="9"/>
    </row>
    <row r="967430" spans="15:15" x14ac:dyDescent="0.25">
      <c r="O967430" s="9"/>
    </row>
    <row r="967451" spans="15:15" x14ac:dyDescent="0.25">
      <c r="O967451" s="9"/>
    </row>
    <row r="967472" spans="15:15" x14ac:dyDescent="0.25">
      <c r="O967472" s="9"/>
    </row>
    <row r="967493" spans="15:15" x14ac:dyDescent="0.25">
      <c r="O967493" s="9"/>
    </row>
    <row r="967514" spans="15:15" x14ac:dyDescent="0.25">
      <c r="O967514" s="9"/>
    </row>
    <row r="967535" spans="15:15" x14ac:dyDescent="0.25">
      <c r="O967535" s="9"/>
    </row>
    <row r="967556" spans="15:15" x14ac:dyDescent="0.25">
      <c r="O967556" s="9"/>
    </row>
    <row r="967577" spans="15:15" x14ac:dyDescent="0.25">
      <c r="O967577" s="9"/>
    </row>
    <row r="967598" spans="15:15" x14ac:dyDescent="0.25">
      <c r="O967598" s="9"/>
    </row>
    <row r="967619" spans="15:15" x14ac:dyDescent="0.25">
      <c r="O967619" s="9"/>
    </row>
    <row r="967640" spans="15:15" x14ac:dyDescent="0.25">
      <c r="O967640" s="9"/>
    </row>
    <row r="967661" spans="15:15" x14ac:dyDescent="0.25">
      <c r="O967661" s="9"/>
    </row>
    <row r="967682" spans="15:15" x14ac:dyDescent="0.25">
      <c r="O967682" s="9"/>
    </row>
    <row r="967703" spans="15:15" x14ac:dyDescent="0.25">
      <c r="O967703" s="9"/>
    </row>
    <row r="967724" spans="15:15" x14ac:dyDescent="0.25">
      <c r="O967724" s="9"/>
    </row>
    <row r="967745" spans="15:15" x14ac:dyDescent="0.25">
      <c r="O967745" s="9"/>
    </row>
    <row r="967766" spans="15:15" x14ac:dyDescent="0.25">
      <c r="O967766" s="9"/>
    </row>
    <row r="967787" spans="15:15" x14ac:dyDescent="0.25">
      <c r="O967787" s="9"/>
    </row>
    <row r="967808" spans="15:15" x14ac:dyDescent="0.25">
      <c r="O967808" s="9"/>
    </row>
    <row r="967829" spans="15:15" x14ac:dyDescent="0.25">
      <c r="O967829" s="9"/>
    </row>
    <row r="967850" spans="15:15" x14ac:dyDescent="0.25">
      <c r="O967850" s="9"/>
    </row>
    <row r="967871" spans="15:15" x14ac:dyDescent="0.25">
      <c r="O967871" s="9"/>
    </row>
    <row r="967892" spans="15:15" x14ac:dyDescent="0.25">
      <c r="O967892" s="9"/>
    </row>
    <row r="967913" spans="15:15" x14ac:dyDescent="0.25">
      <c r="O967913" s="9"/>
    </row>
    <row r="967934" spans="15:15" x14ac:dyDescent="0.25">
      <c r="O967934" s="9"/>
    </row>
    <row r="967955" spans="15:15" x14ac:dyDescent="0.25">
      <c r="O967955" s="9"/>
    </row>
    <row r="967976" spans="15:15" x14ac:dyDescent="0.25">
      <c r="O967976" s="9"/>
    </row>
    <row r="967997" spans="15:15" x14ac:dyDescent="0.25">
      <c r="O967997" s="9"/>
    </row>
    <row r="968018" spans="15:15" x14ac:dyDescent="0.25">
      <c r="O968018" s="9"/>
    </row>
    <row r="968039" spans="15:15" x14ac:dyDescent="0.25">
      <c r="O968039" s="9"/>
    </row>
    <row r="968060" spans="15:15" x14ac:dyDescent="0.25">
      <c r="O968060" s="9"/>
    </row>
    <row r="968081" spans="15:15" x14ac:dyDescent="0.25">
      <c r="O968081" s="9"/>
    </row>
    <row r="968102" spans="15:15" x14ac:dyDescent="0.25">
      <c r="O968102" s="9"/>
    </row>
    <row r="968123" spans="15:15" x14ac:dyDescent="0.25">
      <c r="O968123" s="9"/>
    </row>
    <row r="968144" spans="15:15" x14ac:dyDescent="0.25">
      <c r="O968144" s="9"/>
    </row>
    <row r="968165" spans="15:15" x14ac:dyDescent="0.25">
      <c r="O968165" s="9"/>
    </row>
    <row r="968186" spans="15:15" x14ac:dyDescent="0.25">
      <c r="O968186" s="9"/>
    </row>
    <row r="968207" spans="15:15" x14ac:dyDescent="0.25">
      <c r="O968207" s="9"/>
    </row>
    <row r="968228" spans="15:15" x14ac:dyDescent="0.25">
      <c r="O968228" s="9"/>
    </row>
    <row r="968249" spans="15:15" x14ac:dyDescent="0.25">
      <c r="O968249" s="9"/>
    </row>
    <row r="968270" spans="15:15" x14ac:dyDescent="0.25">
      <c r="O968270" s="9"/>
    </row>
    <row r="968291" spans="15:15" x14ac:dyDescent="0.25">
      <c r="O968291" s="9"/>
    </row>
    <row r="968312" spans="15:15" x14ac:dyDescent="0.25">
      <c r="O968312" s="9"/>
    </row>
    <row r="968333" spans="15:15" x14ac:dyDescent="0.25">
      <c r="O968333" s="9"/>
    </row>
    <row r="968354" spans="15:15" x14ac:dyDescent="0.25">
      <c r="O968354" s="9"/>
    </row>
    <row r="968375" spans="15:15" x14ac:dyDescent="0.25">
      <c r="O968375" s="9"/>
    </row>
    <row r="968396" spans="15:15" x14ac:dyDescent="0.25">
      <c r="O968396" s="9"/>
    </row>
    <row r="968417" spans="15:15" x14ac:dyDescent="0.25">
      <c r="O968417" s="9"/>
    </row>
    <row r="968438" spans="15:15" x14ac:dyDescent="0.25">
      <c r="O968438" s="9"/>
    </row>
    <row r="968459" spans="15:15" x14ac:dyDescent="0.25">
      <c r="O968459" s="9"/>
    </row>
    <row r="968480" spans="15:15" x14ac:dyDescent="0.25">
      <c r="O968480" s="9"/>
    </row>
    <row r="968501" spans="15:15" x14ac:dyDescent="0.25">
      <c r="O968501" s="9"/>
    </row>
    <row r="968522" spans="15:15" x14ac:dyDescent="0.25">
      <c r="O968522" s="9"/>
    </row>
    <row r="968543" spans="15:15" x14ac:dyDescent="0.25">
      <c r="O968543" s="9"/>
    </row>
    <row r="968564" spans="15:15" x14ac:dyDescent="0.25">
      <c r="O968564" s="9"/>
    </row>
    <row r="968585" spans="15:15" x14ac:dyDescent="0.25">
      <c r="O968585" s="9"/>
    </row>
    <row r="968606" spans="15:15" x14ac:dyDescent="0.25">
      <c r="O968606" s="9"/>
    </row>
    <row r="968627" spans="15:15" x14ac:dyDescent="0.25">
      <c r="O968627" s="9"/>
    </row>
    <row r="968648" spans="15:15" x14ac:dyDescent="0.25">
      <c r="O968648" s="9"/>
    </row>
    <row r="968669" spans="15:15" x14ac:dyDescent="0.25">
      <c r="O968669" s="9"/>
    </row>
    <row r="968690" spans="15:15" x14ac:dyDescent="0.25">
      <c r="O968690" s="9"/>
    </row>
    <row r="968711" spans="15:15" x14ac:dyDescent="0.25">
      <c r="O968711" s="9"/>
    </row>
    <row r="968732" spans="15:15" x14ac:dyDescent="0.25">
      <c r="O968732" s="9"/>
    </row>
    <row r="968753" spans="15:15" x14ac:dyDescent="0.25">
      <c r="O968753" s="9"/>
    </row>
    <row r="968774" spans="15:15" x14ac:dyDescent="0.25">
      <c r="O968774" s="9"/>
    </row>
    <row r="968795" spans="15:15" x14ac:dyDescent="0.25">
      <c r="O968795" s="9"/>
    </row>
    <row r="968816" spans="15:15" x14ac:dyDescent="0.25">
      <c r="O968816" s="9"/>
    </row>
    <row r="968837" spans="15:15" x14ac:dyDescent="0.25">
      <c r="O968837" s="9"/>
    </row>
    <row r="968858" spans="15:15" x14ac:dyDescent="0.25">
      <c r="O968858" s="9"/>
    </row>
    <row r="968879" spans="15:15" x14ac:dyDescent="0.25">
      <c r="O968879" s="9"/>
    </row>
    <row r="968900" spans="15:15" x14ac:dyDescent="0.25">
      <c r="O968900" s="9"/>
    </row>
    <row r="968921" spans="15:15" x14ac:dyDescent="0.25">
      <c r="O968921" s="9"/>
    </row>
    <row r="968942" spans="15:15" x14ac:dyDescent="0.25">
      <c r="O968942" s="9"/>
    </row>
    <row r="968963" spans="15:15" x14ac:dyDescent="0.25">
      <c r="O968963" s="9"/>
    </row>
    <row r="968984" spans="15:15" x14ac:dyDescent="0.25">
      <c r="O968984" s="9"/>
    </row>
    <row r="969005" spans="15:15" x14ac:dyDescent="0.25">
      <c r="O969005" s="9"/>
    </row>
    <row r="969026" spans="15:15" x14ac:dyDescent="0.25">
      <c r="O969026" s="9"/>
    </row>
    <row r="969047" spans="15:15" x14ac:dyDescent="0.25">
      <c r="O969047" s="9"/>
    </row>
    <row r="969068" spans="15:15" x14ac:dyDescent="0.25">
      <c r="O969068" s="9"/>
    </row>
    <row r="969089" spans="15:15" x14ac:dyDescent="0.25">
      <c r="O969089" s="9"/>
    </row>
    <row r="969110" spans="15:15" x14ac:dyDescent="0.25">
      <c r="O969110" s="9"/>
    </row>
    <row r="969131" spans="15:15" x14ac:dyDescent="0.25">
      <c r="O969131" s="9"/>
    </row>
    <row r="969152" spans="15:15" x14ac:dyDescent="0.25">
      <c r="O969152" s="9"/>
    </row>
    <row r="969173" spans="15:15" x14ac:dyDescent="0.25">
      <c r="O969173" s="9"/>
    </row>
    <row r="969194" spans="15:15" x14ac:dyDescent="0.25">
      <c r="O969194" s="9"/>
    </row>
    <row r="969215" spans="15:15" x14ac:dyDescent="0.25">
      <c r="O969215" s="9"/>
    </row>
    <row r="969236" spans="15:15" x14ac:dyDescent="0.25">
      <c r="O969236" s="9"/>
    </row>
    <row r="969257" spans="15:15" x14ac:dyDescent="0.25">
      <c r="O969257" s="9"/>
    </row>
    <row r="969278" spans="15:15" x14ac:dyDescent="0.25">
      <c r="O969278" s="9"/>
    </row>
    <row r="969299" spans="15:15" x14ac:dyDescent="0.25">
      <c r="O969299" s="9"/>
    </row>
    <row r="969320" spans="15:15" x14ac:dyDescent="0.25">
      <c r="O969320" s="9"/>
    </row>
    <row r="969341" spans="15:15" x14ac:dyDescent="0.25">
      <c r="O969341" s="9"/>
    </row>
    <row r="969362" spans="15:15" x14ac:dyDescent="0.25">
      <c r="O969362" s="9"/>
    </row>
    <row r="969383" spans="15:15" x14ac:dyDescent="0.25">
      <c r="O969383" s="9"/>
    </row>
    <row r="969404" spans="15:15" x14ac:dyDescent="0.25">
      <c r="O969404" s="9"/>
    </row>
    <row r="969425" spans="15:15" x14ac:dyDescent="0.25">
      <c r="O969425" s="9"/>
    </row>
    <row r="969446" spans="15:15" x14ac:dyDescent="0.25">
      <c r="O969446" s="9"/>
    </row>
    <row r="969467" spans="15:15" x14ac:dyDescent="0.25">
      <c r="O969467" s="9"/>
    </row>
    <row r="969488" spans="15:15" x14ac:dyDescent="0.25">
      <c r="O969488" s="9"/>
    </row>
    <row r="969509" spans="15:15" x14ac:dyDescent="0.25">
      <c r="O969509" s="9"/>
    </row>
    <row r="969530" spans="15:15" x14ac:dyDescent="0.25">
      <c r="O969530" s="9"/>
    </row>
    <row r="969551" spans="15:15" x14ac:dyDescent="0.25">
      <c r="O969551" s="9"/>
    </row>
    <row r="969572" spans="15:15" x14ac:dyDescent="0.25">
      <c r="O969572" s="9"/>
    </row>
    <row r="969593" spans="15:15" x14ac:dyDescent="0.25">
      <c r="O969593" s="9"/>
    </row>
    <row r="969614" spans="15:15" x14ac:dyDescent="0.25">
      <c r="O969614" s="9"/>
    </row>
    <row r="969635" spans="15:15" x14ac:dyDescent="0.25">
      <c r="O969635" s="9"/>
    </row>
    <row r="969656" spans="15:15" x14ac:dyDescent="0.25">
      <c r="O969656" s="9"/>
    </row>
    <row r="969677" spans="15:15" x14ac:dyDescent="0.25">
      <c r="O969677" s="9"/>
    </row>
    <row r="969698" spans="15:15" x14ac:dyDescent="0.25">
      <c r="O969698" s="9"/>
    </row>
    <row r="969719" spans="15:15" x14ac:dyDescent="0.25">
      <c r="O969719" s="9"/>
    </row>
    <row r="969740" spans="15:15" x14ac:dyDescent="0.25">
      <c r="O969740" s="9"/>
    </row>
    <row r="969761" spans="15:15" x14ac:dyDescent="0.25">
      <c r="O969761" s="9"/>
    </row>
    <row r="969782" spans="15:15" x14ac:dyDescent="0.25">
      <c r="O969782" s="9"/>
    </row>
    <row r="969803" spans="15:15" x14ac:dyDescent="0.25">
      <c r="O969803" s="9"/>
    </row>
    <row r="969824" spans="15:15" x14ac:dyDescent="0.25">
      <c r="O969824" s="9"/>
    </row>
    <row r="969845" spans="15:15" x14ac:dyDescent="0.25">
      <c r="O969845" s="9"/>
    </row>
    <row r="969866" spans="15:15" x14ac:dyDescent="0.25">
      <c r="O969866" s="9"/>
    </row>
    <row r="969887" spans="15:15" x14ac:dyDescent="0.25">
      <c r="O969887" s="9"/>
    </row>
    <row r="969908" spans="15:15" x14ac:dyDescent="0.25">
      <c r="O969908" s="9"/>
    </row>
    <row r="969929" spans="15:15" x14ac:dyDescent="0.25">
      <c r="O969929" s="9"/>
    </row>
    <row r="969950" spans="15:15" x14ac:dyDescent="0.25">
      <c r="O969950" s="9"/>
    </row>
    <row r="969971" spans="15:15" x14ac:dyDescent="0.25">
      <c r="O969971" s="9"/>
    </row>
    <row r="969992" spans="15:15" x14ac:dyDescent="0.25">
      <c r="O969992" s="9"/>
    </row>
    <row r="970013" spans="15:15" x14ac:dyDescent="0.25">
      <c r="O970013" s="9"/>
    </row>
    <row r="970034" spans="15:15" x14ac:dyDescent="0.25">
      <c r="O970034" s="9"/>
    </row>
    <row r="970055" spans="15:15" x14ac:dyDescent="0.25">
      <c r="O970055" s="9"/>
    </row>
    <row r="970076" spans="15:15" x14ac:dyDescent="0.25">
      <c r="O970076" s="9"/>
    </row>
    <row r="970097" spans="15:15" x14ac:dyDescent="0.25">
      <c r="O970097" s="9"/>
    </row>
    <row r="970118" spans="15:15" x14ac:dyDescent="0.25">
      <c r="O970118" s="9"/>
    </row>
    <row r="970139" spans="15:15" x14ac:dyDescent="0.25">
      <c r="O970139" s="9"/>
    </row>
    <row r="970160" spans="15:15" x14ac:dyDescent="0.25">
      <c r="O970160" s="9"/>
    </row>
    <row r="970181" spans="15:15" x14ac:dyDescent="0.25">
      <c r="O970181" s="9"/>
    </row>
    <row r="970202" spans="15:15" x14ac:dyDescent="0.25">
      <c r="O970202" s="9"/>
    </row>
    <row r="970223" spans="15:15" x14ac:dyDescent="0.25">
      <c r="O970223" s="9"/>
    </row>
    <row r="970244" spans="15:15" x14ac:dyDescent="0.25">
      <c r="O970244" s="9"/>
    </row>
    <row r="970265" spans="15:15" x14ac:dyDescent="0.25">
      <c r="O970265" s="9"/>
    </row>
    <row r="970286" spans="15:15" x14ac:dyDescent="0.25">
      <c r="O970286" s="9"/>
    </row>
    <row r="970307" spans="15:15" x14ac:dyDescent="0.25">
      <c r="O970307" s="9"/>
    </row>
    <row r="970328" spans="15:15" x14ac:dyDescent="0.25">
      <c r="O970328" s="9"/>
    </row>
    <row r="970349" spans="15:15" x14ac:dyDescent="0.25">
      <c r="O970349" s="9"/>
    </row>
    <row r="970370" spans="15:15" x14ac:dyDescent="0.25">
      <c r="O970370" s="9"/>
    </row>
    <row r="970391" spans="15:15" x14ac:dyDescent="0.25">
      <c r="O970391" s="9"/>
    </row>
    <row r="970412" spans="15:15" x14ac:dyDescent="0.25">
      <c r="O970412" s="9"/>
    </row>
    <row r="970433" spans="15:15" x14ac:dyDescent="0.25">
      <c r="O970433" s="9"/>
    </row>
    <row r="970454" spans="15:15" x14ac:dyDescent="0.25">
      <c r="O970454" s="9"/>
    </row>
    <row r="970475" spans="15:15" x14ac:dyDescent="0.25">
      <c r="O970475" s="9"/>
    </row>
    <row r="970496" spans="15:15" x14ac:dyDescent="0.25">
      <c r="O970496" s="9"/>
    </row>
    <row r="970517" spans="15:15" x14ac:dyDescent="0.25">
      <c r="O970517" s="9"/>
    </row>
    <row r="970538" spans="15:15" x14ac:dyDescent="0.25">
      <c r="O970538" s="9"/>
    </row>
    <row r="970559" spans="15:15" x14ac:dyDescent="0.25">
      <c r="O970559" s="9"/>
    </row>
    <row r="970580" spans="15:15" x14ac:dyDescent="0.25">
      <c r="O970580" s="9"/>
    </row>
    <row r="970601" spans="15:15" x14ac:dyDescent="0.25">
      <c r="O970601" s="9"/>
    </row>
    <row r="970622" spans="15:15" x14ac:dyDescent="0.25">
      <c r="O970622" s="9"/>
    </row>
    <row r="970643" spans="15:15" x14ac:dyDescent="0.25">
      <c r="O970643" s="9"/>
    </row>
    <row r="970664" spans="15:15" x14ac:dyDescent="0.25">
      <c r="O970664" s="9"/>
    </row>
    <row r="970685" spans="15:15" x14ac:dyDescent="0.25">
      <c r="O970685" s="9"/>
    </row>
    <row r="970706" spans="15:15" x14ac:dyDescent="0.25">
      <c r="O970706" s="9"/>
    </row>
    <row r="970727" spans="15:15" x14ac:dyDescent="0.25">
      <c r="O970727" s="9"/>
    </row>
    <row r="970748" spans="15:15" x14ac:dyDescent="0.25">
      <c r="O970748" s="9"/>
    </row>
    <row r="970769" spans="15:15" x14ac:dyDescent="0.25">
      <c r="O970769" s="9"/>
    </row>
    <row r="970790" spans="15:15" x14ac:dyDescent="0.25">
      <c r="O970790" s="9"/>
    </row>
    <row r="970811" spans="15:15" x14ac:dyDescent="0.25">
      <c r="O970811" s="9"/>
    </row>
    <row r="970832" spans="15:15" x14ac:dyDescent="0.25">
      <c r="O970832" s="9"/>
    </row>
    <row r="970853" spans="15:15" x14ac:dyDescent="0.25">
      <c r="O970853" s="9"/>
    </row>
    <row r="970874" spans="15:15" x14ac:dyDescent="0.25">
      <c r="O970874" s="9"/>
    </row>
    <row r="970895" spans="15:15" x14ac:dyDescent="0.25">
      <c r="O970895" s="9"/>
    </row>
    <row r="970916" spans="15:15" x14ac:dyDescent="0.25">
      <c r="O970916" s="9"/>
    </row>
    <row r="970937" spans="15:15" x14ac:dyDescent="0.25">
      <c r="O970937" s="9"/>
    </row>
    <row r="970958" spans="15:15" x14ac:dyDescent="0.25">
      <c r="O970958" s="9"/>
    </row>
    <row r="970979" spans="15:15" x14ac:dyDescent="0.25">
      <c r="O970979" s="9"/>
    </row>
    <row r="971000" spans="15:15" x14ac:dyDescent="0.25">
      <c r="O971000" s="9"/>
    </row>
    <row r="971021" spans="15:15" x14ac:dyDescent="0.25">
      <c r="O971021" s="9"/>
    </row>
    <row r="971042" spans="15:15" x14ac:dyDescent="0.25">
      <c r="O971042" s="9"/>
    </row>
    <row r="971063" spans="15:15" x14ac:dyDescent="0.25">
      <c r="O971063" s="9"/>
    </row>
    <row r="971084" spans="15:15" x14ac:dyDescent="0.25">
      <c r="O971084" s="9"/>
    </row>
    <row r="971105" spans="15:15" x14ac:dyDescent="0.25">
      <c r="O971105" s="9"/>
    </row>
    <row r="971126" spans="15:15" x14ac:dyDescent="0.25">
      <c r="O971126" s="9"/>
    </row>
    <row r="971147" spans="15:15" x14ac:dyDescent="0.25">
      <c r="O971147" s="9"/>
    </row>
    <row r="971168" spans="15:15" x14ac:dyDescent="0.25">
      <c r="O971168" s="9"/>
    </row>
    <row r="971189" spans="15:15" x14ac:dyDescent="0.25">
      <c r="O971189" s="9"/>
    </row>
    <row r="971210" spans="15:15" x14ac:dyDescent="0.25">
      <c r="O971210" s="9"/>
    </row>
    <row r="971231" spans="15:15" x14ac:dyDescent="0.25">
      <c r="O971231" s="9"/>
    </row>
    <row r="971252" spans="15:15" x14ac:dyDescent="0.25">
      <c r="O971252" s="9"/>
    </row>
    <row r="971273" spans="15:15" x14ac:dyDescent="0.25">
      <c r="O971273" s="9"/>
    </row>
    <row r="971294" spans="15:15" x14ac:dyDescent="0.25">
      <c r="O971294" s="9"/>
    </row>
    <row r="971315" spans="15:15" x14ac:dyDescent="0.25">
      <c r="O971315" s="9"/>
    </row>
    <row r="971336" spans="15:15" x14ac:dyDescent="0.25">
      <c r="O971336" s="9"/>
    </row>
    <row r="971357" spans="15:15" x14ac:dyDescent="0.25">
      <c r="O971357" s="9"/>
    </row>
    <row r="971378" spans="15:15" x14ac:dyDescent="0.25">
      <c r="O971378" s="9"/>
    </row>
    <row r="971399" spans="15:15" x14ac:dyDescent="0.25">
      <c r="O971399" s="9"/>
    </row>
    <row r="971420" spans="15:15" x14ac:dyDescent="0.25">
      <c r="O971420" s="9"/>
    </row>
    <row r="971441" spans="15:15" x14ac:dyDescent="0.25">
      <c r="O971441" s="9"/>
    </row>
    <row r="971462" spans="15:15" x14ac:dyDescent="0.25">
      <c r="O971462" s="9"/>
    </row>
    <row r="971483" spans="15:15" x14ac:dyDescent="0.25">
      <c r="O971483" s="9"/>
    </row>
    <row r="971504" spans="15:15" x14ac:dyDescent="0.25">
      <c r="O971504" s="9"/>
    </row>
    <row r="971525" spans="15:15" x14ac:dyDescent="0.25">
      <c r="O971525" s="9"/>
    </row>
    <row r="971546" spans="15:15" x14ac:dyDescent="0.25">
      <c r="O971546" s="9"/>
    </row>
    <row r="971567" spans="15:15" x14ac:dyDescent="0.25">
      <c r="O971567" s="9"/>
    </row>
    <row r="971588" spans="15:15" x14ac:dyDescent="0.25">
      <c r="O971588" s="9"/>
    </row>
    <row r="971609" spans="15:15" x14ac:dyDescent="0.25">
      <c r="O971609" s="9"/>
    </row>
    <row r="971630" spans="15:15" x14ac:dyDescent="0.25">
      <c r="O971630" s="9"/>
    </row>
    <row r="971651" spans="15:15" x14ac:dyDescent="0.25">
      <c r="O971651" s="9"/>
    </row>
    <row r="971672" spans="15:15" x14ac:dyDescent="0.25">
      <c r="O971672" s="9"/>
    </row>
    <row r="971693" spans="15:15" x14ac:dyDescent="0.25">
      <c r="O971693" s="9"/>
    </row>
    <row r="971714" spans="15:15" x14ac:dyDescent="0.25">
      <c r="O971714" s="9"/>
    </row>
    <row r="971735" spans="15:15" x14ac:dyDescent="0.25">
      <c r="O971735" s="9"/>
    </row>
    <row r="971756" spans="15:15" x14ac:dyDescent="0.25">
      <c r="O971756" s="9"/>
    </row>
    <row r="971777" spans="15:15" x14ac:dyDescent="0.25">
      <c r="O971777" s="9"/>
    </row>
    <row r="971798" spans="15:15" x14ac:dyDescent="0.25">
      <c r="O971798" s="9"/>
    </row>
    <row r="971819" spans="15:15" x14ac:dyDescent="0.25">
      <c r="O971819" s="9"/>
    </row>
    <row r="971840" spans="15:15" x14ac:dyDescent="0.25">
      <c r="O971840" s="9"/>
    </row>
    <row r="971861" spans="15:15" x14ac:dyDescent="0.25">
      <c r="O971861" s="9"/>
    </row>
    <row r="971882" spans="15:15" x14ac:dyDescent="0.25">
      <c r="O971882" s="9"/>
    </row>
    <row r="971903" spans="15:15" x14ac:dyDescent="0.25">
      <c r="O971903" s="9"/>
    </row>
    <row r="971924" spans="15:15" x14ac:dyDescent="0.25">
      <c r="O971924" s="9"/>
    </row>
    <row r="971945" spans="15:15" x14ac:dyDescent="0.25">
      <c r="O971945" s="9"/>
    </row>
    <row r="971966" spans="15:15" x14ac:dyDescent="0.25">
      <c r="O971966" s="9"/>
    </row>
    <row r="971987" spans="15:15" x14ac:dyDescent="0.25">
      <c r="O971987" s="9"/>
    </row>
    <row r="972008" spans="15:15" x14ac:dyDescent="0.25">
      <c r="O972008" s="9"/>
    </row>
    <row r="972029" spans="15:15" x14ac:dyDescent="0.25">
      <c r="O972029" s="9"/>
    </row>
    <row r="972050" spans="15:15" x14ac:dyDescent="0.25">
      <c r="O972050" s="9"/>
    </row>
    <row r="972071" spans="15:15" x14ac:dyDescent="0.25">
      <c r="O972071" s="9"/>
    </row>
    <row r="972092" spans="15:15" x14ac:dyDescent="0.25">
      <c r="O972092" s="9"/>
    </row>
    <row r="972113" spans="15:15" x14ac:dyDescent="0.25">
      <c r="O972113" s="9"/>
    </row>
    <row r="972134" spans="15:15" x14ac:dyDescent="0.25">
      <c r="O972134" s="9"/>
    </row>
    <row r="972155" spans="15:15" x14ac:dyDescent="0.25">
      <c r="O972155" s="9"/>
    </row>
    <row r="972176" spans="15:15" x14ac:dyDescent="0.25">
      <c r="O972176" s="9"/>
    </row>
    <row r="972197" spans="15:15" x14ac:dyDescent="0.25">
      <c r="O972197" s="9"/>
    </row>
    <row r="972218" spans="15:15" x14ac:dyDescent="0.25">
      <c r="O972218" s="9"/>
    </row>
    <row r="972239" spans="15:15" x14ac:dyDescent="0.25">
      <c r="O972239" s="9"/>
    </row>
    <row r="972260" spans="15:15" x14ac:dyDescent="0.25">
      <c r="O972260" s="9"/>
    </row>
    <row r="972281" spans="15:15" x14ac:dyDescent="0.25">
      <c r="O972281" s="9"/>
    </row>
    <row r="972302" spans="15:15" x14ac:dyDescent="0.25">
      <c r="O972302" s="9"/>
    </row>
    <row r="972323" spans="15:15" x14ac:dyDescent="0.25">
      <c r="O972323" s="9"/>
    </row>
    <row r="972344" spans="15:15" x14ac:dyDescent="0.25">
      <c r="O972344" s="9"/>
    </row>
    <row r="972365" spans="15:15" x14ac:dyDescent="0.25">
      <c r="O972365" s="9"/>
    </row>
    <row r="972386" spans="15:15" x14ac:dyDescent="0.25">
      <c r="O972386" s="9"/>
    </row>
    <row r="972407" spans="15:15" x14ac:dyDescent="0.25">
      <c r="O972407" s="9"/>
    </row>
    <row r="972428" spans="15:15" x14ac:dyDescent="0.25">
      <c r="O972428" s="9"/>
    </row>
    <row r="972449" spans="15:15" x14ac:dyDescent="0.25">
      <c r="O972449" s="9"/>
    </row>
    <row r="972470" spans="15:15" x14ac:dyDescent="0.25">
      <c r="O972470" s="9"/>
    </row>
    <row r="972491" spans="15:15" x14ac:dyDescent="0.25">
      <c r="O972491" s="9"/>
    </row>
    <row r="972512" spans="15:15" x14ac:dyDescent="0.25">
      <c r="O972512" s="9"/>
    </row>
    <row r="972533" spans="15:15" x14ac:dyDescent="0.25">
      <c r="O972533" s="9"/>
    </row>
    <row r="972554" spans="15:15" x14ac:dyDescent="0.25">
      <c r="O972554" s="9"/>
    </row>
    <row r="972575" spans="15:15" x14ac:dyDescent="0.25">
      <c r="O972575" s="9"/>
    </row>
    <row r="972596" spans="15:15" x14ac:dyDescent="0.25">
      <c r="O972596" s="9"/>
    </row>
    <row r="972617" spans="15:15" x14ac:dyDescent="0.25">
      <c r="O972617" s="9"/>
    </row>
    <row r="972638" spans="15:15" x14ac:dyDescent="0.25">
      <c r="O972638" s="9"/>
    </row>
    <row r="972659" spans="15:15" x14ac:dyDescent="0.25">
      <c r="O972659" s="9"/>
    </row>
    <row r="972680" spans="15:15" x14ac:dyDescent="0.25">
      <c r="O972680" s="9"/>
    </row>
    <row r="972701" spans="15:15" x14ac:dyDescent="0.25">
      <c r="O972701" s="9"/>
    </row>
    <row r="972722" spans="15:15" x14ac:dyDescent="0.25">
      <c r="O972722" s="9"/>
    </row>
    <row r="972743" spans="15:15" x14ac:dyDescent="0.25">
      <c r="O972743" s="9"/>
    </row>
    <row r="972764" spans="15:15" x14ac:dyDescent="0.25">
      <c r="O972764" s="9"/>
    </row>
    <row r="972785" spans="15:15" x14ac:dyDescent="0.25">
      <c r="O972785" s="9"/>
    </row>
    <row r="972806" spans="15:15" x14ac:dyDescent="0.25">
      <c r="O972806" s="9"/>
    </row>
    <row r="972827" spans="15:15" x14ac:dyDescent="0.25">
      <c r="O972827" s="9"/>
    </row>
    <row r="972848" spans="15:15" x14ac:dyDescent="0.25">
      <c r="O972848" s="9"/>
    </row>
    <row r="972869" spans="15:15" x14ac:dyDescent="0.25">
      <c r="O972869" s="9"/>
    </row>
    <row r="972890" spans="15:15" x14ac:dyDescent="0.25">
      <c r="O972890" s="9"/>
    </row>
    <row r="972911" spans="15:15" x14ac:dyDescent="0.25">
      <c r="O972911" s="9"/>
    </row>
    <row r="972932" spans="15:15" x14ac:dyDescent="0.25">
      <c r="O972932" s="9"/>
    </row>
    <row r="972953" spans="15:15" x14ac:dyDescent="0.25">
      <c r="O972953" s="9"/>
    </row>
    <row r="972974" spans="15:15" x14ac:dyDescent="0.25">
      <c r="O972974" s="9"/>
    </row>
    <row r="972995" spans="15:15" x14ac:dyDescent="0.25">
      <c r="O972995" s="9"/>
    </row>
    <row r="973016" spans="15:15" x14ac:dyDescent="0.25">
      <c r="O973016" s="9"/>
    </row>
    <row r="973037" spans="15:15" x14ac:dyDescent="0.25">
      <c r="O973037" s="9"/>
    </row>
    <row r="973058" spans="15:15" x14ac:dyDescent="0.25">
      <c r="O973058" s="9"/>
    </row>
    <row r="973079" spans="15:15" x14ac:dyDescent="0.25">
      <c r="O973079" s="9"/>
    </row>
    <row r="973100" spans="15:15" x14ac:dyDescent="0.25">
      <c r="O973100" s="9"/>
    </row>
    <row r="973121" spans="15:15" x14ac:dyDescent="0.25">
      <c r="O973121" s="9"/>
    </row>
    <row r="973142" spans="15:15" x14ac:dyDescent="0.25">
      <c r="O973142" s="9"/>
    </row>
    <row r="973163" spans="15:15" x14ac:dyDescent="0.25">
      <c r="O973163" s="9"/>
    </row>
    <row r="973184" spans="15:15" x14ac:dyDescent="0.25">
      <c r="O973184" s="9"/>
    </row>
    <row r="973205" spans="15:15" x14ac:dyDescent="0.25">
      <c r="O973205" s="9"/>
    </row>
    <row r="973226" spans="15:15" x14ac:dyDescent="0.25">
      <c r="O973226" s="9"/>
    </row>
    <row r="973247" spans="15:15" x14ac:dyDescent="0.25">
      <c r="O973247" s="9"/>
    </row>
    <row r="973268" spans="15:15" x14ac:dyDescent="0.25">
      <c r="O973268" s="9"/>
    </row>
    <row r="973289" spans="15:15" x14ac:dyDescent="0.25">
      <c r="O973289" s="9"/>
    </row>
    <row r="973310" spans="15:15" x14ac:dyDescent="0.25">
      <c r="O973310" s="9"/>
    </row>
    <row r="973331" spans="15:15" x14ac:dyDescent="0.25">
      <c r="O973331" s="9"/>
    </row>
    <row r="973352" spans="15:15" x14ac:dyDescent="0.25">
      <c r="O973352" s="9"/>
    </row>
    <row r="973373" spans="15:15" x14ac:dyDescent="0.25">
      <c r="O973373" s="9"/>
    </row>
    <row r="973394" spans="15:15" x14ac:dyDescent="0.25">
      <c r="O973394" s="9"/>
    </row>
    <row r="973415" spans="15:15" x14ac:dyDescent="0.25">
      <c r="O973415" s="9"/>
    </row>
    <row r="973436" spans="15:15" x14ac:dyDescent="0.25">
      <c r="O973436" s="9"/>
    </row>
    <row r="973457" spans="15:15" x14ac:dyDescent="0.25">
      <c r="O973457" s="9"/>
    </row>
    <row r="973478" spans="15:15" x14ac:dyDescent="0.25">
      <c r="O973478" s="9"/>
    </row>
    <row r="973499" spans="15:15" x14ac:dyDescent="0.25">
      <c r="O973499" s="9"/>
    </row>
    <row r="973520" spans="15:15" x14ac:dyDescent="0.25">
      <c r="O973520" s="9"/>
    </row>
    <row r="973541" spans="15:15" x14ac:dyDescent="0.25">
      <c r="O973541" s="9"/>
    </row>
    <row r="973562" spans="15:15" x14ac:dyDescent="0.25">
      <c r="O973562" s="9"/>
    </row>
    <row r="973583" spans="15:15" x14ac:dyDescent="0.25">
      <c r="O973583" s="9"/>
    </row>
    <row r="973604" spans="15:15" x14ac:dyDescent="0.25">
      <c r="O973604" s="9"/>
    </row>
    <row r="973625" spans="15:15" x14ac:dyDescent="0.25">
      <c r="O973625" s="9"/>
    </row>
    <row r="973646" spans="15:15" x14ac:dyDescent="0.25">
      <c r="O973646" s="9"/>
    </row>
    <row r="973667" spans="15:15" x14ac:dyDescent="0.25">
      <c r="O973667" s="9"/>
    </row>
    <row r="973688" spans="15:15" x14ac:dyDescent="0.25">
      <c r="O973688" s="9"/>
    </row>
    <row r="973709" spans="15:15" x14ac:dyDescent="0.25">
      <c r="O973709" s="9"/>
    </row>
    <row r="973730" spans="15:15" x14ac:dyDescent="0.25">
      <c r="O973730" s="9"/>
    </row>
    <row r="973751" spans="15:15" x14ac:dyDescent="0.25">
      <c r="O973751" s="9"/>
    </row>
    <row r="973772" spans="15:15" x14ac:dyDescent="0.25">
      <c r="O973772" s="9"/>
    </row>
    <row r="973793" spans="15:15" x14ac:dyDescent="0.25">
      <c r="O973793" s="9"/>
    </row>
    <row r="973814" spans="15:15" x14ac:dyDescent="0.25">
      <c r="O973814" s="9"/>
    </row>
    <row r="973835" spans="15:15" x14ac:dyDescent="0.25">
      <c r="O973835" s="9"/>
    </row>
    <row r="973856" spans="15:15" x14ac:dyDescent="0.25">
      <c r="O973856" s="9"/>
    </row>
    <row r="973877" spans="15:15" x14ac:dyDescent="0.25">
      <c r="O973877" s="9"/>
    </row>
    <row r="973898" spans="15:15" x14ac:dyDescent="0.25">
      <c r="O973898" s="9"/>
    </row>
    <row r="973919" spans="15:15" x14ac:dyDescent="0.25">
      <c r="O973919" s="9"/>
    </row>
    <row r="973940" spans="15:15" x14ac:dyDescent="0.25">
      <c r="O973940" s="9"/>
    </row>
    <row r="973961" spans="15:15" x14ac:dyDescent="0.25">
      <c r="O973961" s="9"/>
    </row>
    <row r="973982" spans="15:15" x14ac:dyDescent="0.25">
      <c r="O973982" s="9"/>
    </row>
    <row r="974003" spans="15:15" x14ac:dyDescent="0.25">
      <c r="O974003" s="9"/>
    </row>
    <row r="974024" spans="15:15" x14ac:dyDescent="0.25">
      <c r="O974024" s="9"/>
    </row>
    <row r="974045" spans="15:15" x14ac:dyDescent="0.25">
      <c r="O974045" s="9"/>
    </row>
    <row r="974066" spans="15:15" x14ac:dyDescent="0.25">
      <c r="O974066" s="9"/>
    </row>
    <row r="974087" spans="15:15" x14ac:dyDescent="0.25">
      <c r="O974087" s="9"/>
    </row>
    <row r="974108" spans="15:15" x14ac:dyDescent="0.25">
      <c r="O974108" s="9"/>
    </row>
    <row r="974129" spans="15:15" x14ac:dyDescent="0.25">
      <c r="O974129" s="9"/>
    </row>
    <row r="974150" spans="15:15" x14ac:dyDescent="0.25">
      <c r="O974150" s="9"/>
    </row>
    <row r="974171" spans="15:15" x14ac:dyDescent="0.25">
      <c r="O974171" s="9"/>
    </row>
    <row r="974192" spans="15:15" x14ac:dyDescent="0.25">
      <c r="O974192" s="9"/>
    </row>
    <row r="974213" spans="15:15" x14ac:dyDescent="0.25">
      <c r="O974213" s="9"/>
    </row>
    <row r="974234" spans="15:15" x14ac:dyDescent="0.25">
      <c r="O974234" s="9"/>
    </row>
    <row r="974255" spans="15:15" x14ac:dyDescent="0.25">
      <c r="O974255" s="9"/>
    </row>
    <row r="974276" spans="15:15" x14ac:dyDescent="0.25">
      <c r="O974276" s="9"/>
    </row>
    <row r="974297" spans="15:15" x14ac:dyDescent="0.25">
      <c r="O974297" s="9"/>
    </row>
    <row r="974318" spans="15:15" x14ac:dyDescent="0.25">
      <c r="O974318" s="9"/>
    </row>
    <row r="974339" spans="15:15" x14ac:dyDescent="0.25">
      <c r="O974339" s="9"/>
    </row>
    <row r="974360" spans="15:15" x14ac:dyDescent="0.25">
      <c r="O974360" s="9"/>
    </row>
    <row r="974381" spans="15:15" x14ac:dyDescent="0.25">
      <c r="O974381" s="9"/>
    </row>
    <row r="974402" spans="15:15" x14ac:dyDescent="0.25">
      <c r="O974402" s="9"/>
    </row>
    <row r="974423" spans="15:15" x14ac:dyDescent="0.25">
      <c r="O974423" s="9"/>
    </row>
    <row r="974444" spans="15:15" x14ac:dyDescent="0.25">
      <c r="O974444" s="9"/>
    </row>
    <row r="974465" spans="15:15" x14ac:dyDescent="0.25">
      <c r="O974465" s="9"/>
    </row>
    <row r="974486" spans="15:15" x14ac:dyDescent="0.25">
      <c r="O974486" s="9"/>
    </row>
    <row r="974507" spans="15:15" x14ac:dyDescent="0.25">
      <c r="O974507" s="9"/>
    </row>
    <row r="974528" spans="15:15" x14ac:dyDescent="0.25">
      <c r="O974528" s="9"/>
    </row>
    <row r="974549" spans="15:15" x14ac:dyDescent="0.25">
      <c r="O974549" s="9"/>
    </row>
    <row r="974570" spans="15:15" x14ac:dyDescent="0.25">
      <c r="O974570" s="9"/>
    </row>
    <row r="974591" spans="15:15" x14ac:dyDescent="0.25">
      <c r="O974591" s="9"/>
    </row>
    <row r="974612" spans="15:15" x14ac:dyDescent="0.25">
      <c r="O974612" s="9"/>
    </row>
    <row r="974633" spans="15:15" x14ac:dyDescent="0.25">
      <c r="O974633" s="9"/>
    </row>
    <row r="974654" spans="15:15" x14ac:dyDescent="0.25">
      <c r="O974654" s="9"/>
    </row>
    <row r="974675" spans="15:15" x14ac:dyDescent="0.25">
      <c r="O974675" s="9"/>
    </row>
    <row r="974696" spans="15:15" x14ac:dyDescent="0.25">
      <c r="O974696" s="9"/>
    </row>
    <row r="974717" spans="15:15" x14ac:dyDescent="0.25">
      <c r="O974717" s="9"/>
    </row>
    <row r="974738" spans="15:15" x14ac:dyDescent="0.25">
      <c r="O974738" s="9"/>
    </row>
    <row r="974759" spans="15:15" x14ac:dyDescent="0.25">
      <c r="O974759" s="9"/>
    </row>
    <row r="974780" spans="15:15" x14ac:dyDescent="0.25">
      <c r="O974780" s="9"/>
    </row>
    <row r="974801" spans="15:15" x14ac:dyDescent="0.25">
      <c r="O974801" s="9"/>
    </row>
    <row r="974822" spans="15:15" x14ac:dyDescent="0.25">
      <c r="O974822" s="9"/>
    </row>
    <row r="974843" spans="15:15" x14ac:dyDescent="0.25">
      <c r="O974843" s="9"/>
    </row>
    <row r="974864" spans="15:15" x14ac:dyDescent="0.25">
      <c r="O974864" s="9"/>
    </row>
    <row r="974885" spans="15:15" x14ac:dyDescent="0.25">
      <c r="O974885" s="9"/>
    </row>
    <row r="974906" spans="15:15" x14ac:dyDescent="0.25">
      <c r="O974906" s="9"/>
    </row>
    <row r="974927" spans="15:15" x14ac:dyDescent="0.25">
      <c r="O974927" s="9"/>
    </row>
    <row r="974948" spans="15:15" x14ac:dyDescent="0.25">
      <c r="O974948" s="9"/>
    </row>
    <row r="974969" spans="15:15" x14ac:dyDescent="0.25">
      <c r="O974969" s="9"/>
    </row>
    <row r="974990" spans="15:15" x14ac:dyDescent="0.25">
      <c r="O974990" s="9"/>
    </row>
    <row r="975011" spans="15:15" x14ac:dyDescent="0.25">
      <c r="O975011" s="9"/>
    </row>
    <row r="975032" spans="15:15" x14ac:dyDescent="0.25">
      <c r="O975032" s="9"/>
    </row>
    <row r="975053" spans="15:15" x14ac:dyDescent="0.25">
      <c r="O975053" s="9"/>
    </row>
    <row r="975074" spans="15:15" x14ac:dyDescent="0.25">
      <c r="O975074" s="9"/>
    </row>
    <row r="975095" spans="15:15" x14ac:dyDescent="0.25">
      <c r="O975095" s="9"/>
    </row>
    <row r="975116" spans="15:15" x14ac:dyDescent="0.25">
      <c r="O975116" s="9"/>
    </row>
    <row r="975137" spans="15:15" x14ac:dyDescent="0.25">
      <c r="O975137" s="9"/>
    </row>
    <row r="975158" spans="15:15" x14ac:dyDescent="0.25">
      <c r="O975158" s="9"/>
    </row>
    <row r="975179" spans="15:15" x14ac:dyDescent="0.25">
      <c r="O975179" s="9"/>
    </row>
    <row r="975200" spans="15:15" x14ac:dyDescent="0.25">
      <c r="O975200" s="9"/>
    </row>
    <row r="975221" spans="15:15" x14ac:dyDescent="0.25">
      <c r="O975221" s="9"/>
    </row>
    <row r="975242" spans="15:15" x14ac:dyDescent="0.25">
      <c r="O975242" s="9"/>
    </row>
    <row r="975263" spans="15:15" x14ac:dyDescent="0.25">
      <c r="O975263" s="9"/>
    </row>
    <row r="975284" spans="15:15" x14ac:dyDescent="0.25">
      <c r="O975284" s="9"/>
    </row>
    <row r="975305" spans="15:15" x14ac:dyDescent="0.25">
      <c r="O975305" s="9"/>
    </row>
    <row r="975326" spans="15:15" x14ac:dyDescent="0.25">
      <c r="O975326" s="9"/>
    </row>
    <row r="975347" spans="15:15" x14ac:dyDescent="0.25">
      <c r="O975347" s="9"/>
    </row>
    <row r="975368" spans="15:15" x14ac:dyDescent="0.25">
      <c r="O975368" s="9"/>
    </row>
    <row r="975389" spans="15:15" x14ac:dyDescent="0.25">
      <c r="O975389" s="9"/>
    </row>
    <row r="975410" spans="15:15" x14ac:dyDescent="0.25">
      <c r="O975410" s="9"/>
    </row>
    <row r="975431" spans="15:15" x14ac:dyDescent="0.25">
      <c r="O975431" s="9"/>
    </row>
    <row r="975452" spans="15:15" x14ac:dyDescent="0.25">
      <c r="O975452" s="9"/>
    </row>
    <row r="975473" spans="15:15" x14ac:dyDescent="0.25">
      <c r="O975473" s="9"/>
    </row>
    <row r="975494" spans="15:15" x14ac:dyDescent="0.25">
      <c r="O975494" s="9"/>
    </row>
    <row r="975515" spans="15:15" x14ac:dyDescent="0.25">
      <c r="O975515" s="9"/>
    </row>
    <row r="975536" spans="15:15" x14ac:dyDescent="0.25">
      <c r="O975536" s="9"/>
    </row>
    <row r="975557" spans="15:15" x14ac:dyDescent="0.25">
      <c r="O975557" s="9"/>
    </row>
    <row r="975578" spans="15:15" x14ac:dyDescent="0.25">
      <c r="O975578" s="9"/>
    </row>
    <row r="975599" spans="15:15" x14ac:dyDescent="0.25">
      <c r="O975599" s="9"/>
    </row>
    <row r="975620" spans="15:15" x14ac:dyDescent="0.25">
      <c r="O975620" s="9"/>
    </row>
    <row r="975641" spans="15:15" x14ac:dyDescent="0.25">
      <c r="O975641" s="9"/>
    </row>
    <row r="975662" spans="15:15" x14ac:dyDescent="0.25">
      <c r="O975662" s="9"/>
    </row>
    <row r="975683" spans="15:15" x14ac:dyDescent="0.25">
      <c r="O975683" s="9"/>
    </row>
    <row r="975704" spans="15:15" x14ac:dyDescent="0.25">
      <c r="O975704" s="9"/>
    </row>
    <row r="975725" spans="15:15" x14ac:dyDescent="0.25">
      <c r="O975725" s="9"/>
    </row>
    <row r="975746" spans="15:15" x14ac:dyDescent="0.25">
      <c r="O975746" s="9"/>
    </row>
    <row r="975767" spans="15:15" x14ac:dyDescent="0.25">
      <c r="O975767" s="9"/>
    </row>
    <row r="975788" spans="15:15" x14ac:dyDescent="0.25">
      <c r="O975788" s="9"/>
    </row>
    <row r="975809" spans="15:15" x14ac:dyDescent="0.25">
      <c r="O975809" s="9"/>
    </row>
    <row r="975830" spans="15:15" x14ac:dyDescent="0.25">
      <c r="O975830" s="9"/>
    </row>
    <row r="975851" spans="15:15" x14ac:dyDescent="0.25">
      <c r="O975851" s="9"/>
    </row>
    <row r="975872" spans="15:15" x14ac:dyDescent="0.25">
      <c r="O975872" s="9"/>
    </row>
    <row r="975893" spans="15:15" x14ac:dyDescent="0.25">
      <c r="O975893" s="9"/>
    </row>
    <row r="975914" spans="15:15" x14ac:dyDescent="0.25">
      <c r="O975914" s="9"/>
    </row>
    <row r="975935" spans="15:15" x14ac:dyDescent="0.25">
      <c r="O975935" s="9"/>
    </row>
    <row r="975956" spans="15:15" x14ac:dyDescent="0.25">
      <c r="O975956" s="9"/>
    </row>
    <row r="975977" spans="15:15" x14ac:dyDescent="0.25">
      <c r="O975977" s="9"/>
    </row>
    <row r="975998" spans="15:15" x14ac:dyDescent="0.25">
      <c r="O975998" s="9"/>
    </row>
    <row r="976019" spans="15:15" x14ac:dyDescent="0.25">
      <c r="O976019" s="9"/>
    </row>
    <row r="976040" spans="15:15" x14ac:dyDescent="0.25">
      <c r="O976040" s="9"/>
    </row>
    <row r="976061" spans="15:15" x14ac:dyDescent="0.25">
      <c r="O976061" s="9"/>
    </row>
    <row r="976082" spans="15:15" x14ac:dyDescent="0.25">
      <c r="O976082" s="9"/>
    </row>
    <row r="976103" spans="15:15" x14ac:dyDescent="0.25">
      <c r="O976103" s="9"/>
    </row>
    <row r="976124" spans="15:15" x14ac:dyDescent="0.25">
      <c r="O976124" s="9"/>
    </row>
    <row r="976145" spans="15:15" x14ac:dyDescent="0.25">
      <c r="O976145" s="9"/>
    </row>
    <row r="976166" spans="15:15" x14ac:dyDescent="0.25">
      <c r="O976166" s="9"/>
    </row>
    <row r="976187" spans="15:15" x14ac:dyDescent="0.25">
      <c r="O976187" s="9"/>
    </row>
    <row r="976208" spans="15:15" x14ac:dyDescent="0.25">
      <c r="O976208" s="9"/>
    </row>
    <row r="976229" spans="15:15" x14ac:dyDescent="0.25">
      <c r="O976229" s="9"/>
    </row>
    <row r="976250" spans="15:15" x14ac:dyDescent="0.25">
      <c r="O976250" s="9"/>
    </row>
    <row r="976271" spans="15:15" x14ac:dyDescent="0.25">
      <c r="O976271" s="9"/>
    </row>
    <row r="976292" spans="15:15" x14ac:dyDescent="0.25">
      <c r="O976292" s="9"/>
    </row>
    <row r="976313" spans="15:15" x14ac:dyDescent="0.25">
      <c r="O976313" s="9"/>
    </row>
    <row r="976334" spans="15:15" x14ac:dyDescent="0.25">
      <c r="O976334" s="9"/>
    </row>
    <row r="976355" spans="15:15" x14ac:dyDescent="0.25">
      <c r="O976355" s="9"/>
    </row>
    <row r="976376" spans="15:15" x14ac:dyDescent="0.25">
      <c r="O976376" s="9"/>
    </row>
    <row r="976397" spans="15:15" x14ac:dyDescent="0.25">
      <c r="O976397" s="9"/>
    </row>
    <row r="976418" spans="15:15" x14ac:dyDescent="0.25">
      <c r="O976418" s="9"/>
    </row>
    <row r="976439" spans="15:15" x14ac:dyDescent="0.25">
      <c r="O976439" s="9"/>
    </row>
    <row r="976460" spans="15:15" x14ac:dyDescent="0.25">
      <c r="O976460" s="9"/>
    </row>
    <row r="976481" spans="15:15" x14ac:dyDescent="0.25">
      <c r="O976481" s="9"/>
    </row>
    <row r="976502" spans="15:15" x14ac:dyDescent="0.25">
      <c r="O976502" s="9"/>
    </row>
    <row r="976523" spans="15:15" x14ac:dyDescent="0.25">
      <c r="O976523" s="9"/>
    </row>
    <row r="976544" spans="15:15" x14ac:dyDescent="0.25">
      <c r="O976544" s="9"/>
    </row>
    <row r="976565" spans="15:15" x14ac:dyDescent="0.25">
      <c r="O976565" s="9"/>
    </row>
    <row r="976586" spans="15:15" x14ac:dyDescent="0.25">
      <c r="O976586" s="9"/>
    </row>
    <row r="976607" spans="15:15" x14ac:dyDescent="0.25">
      <c r="O976607" s="9"/>
    </row>
    <row r="976628" spans="15:15" x14ac:dyDescent="0.25">
      <c r="O976628" s="9"/>
    </row>
    <row r="976649" spans="15:15" x14ac:dyDescent="0.25">
      <c r="O976649" s="9"/>
    </row>
    <row r="976670" spans="15:15" x14ac:dyDescent="0.25">
      <c r="O976670" s="9"/>
    </row>
    <row r="976691" spans="15:15" x14ac:dyDescent="0.25">
      <c r="O976691" s="9"/>
    </row>
    <row r="976712" spans="15:15" x14ac:dyDescent="0.25">
      <c r="O976712" s="9"/>
    </row>
    <row r="976733" spans="15:15" x14ac:dyDescent="0.25">
      <c r="O976733" s="9"/>
    </row>
    <row r="976754" spans="15:15" x14ac:dyDescent="0.25">
      <c r="O976754" s="9"/>
    </row>
    <row r="976775" spans="15:15" x14ac:dyDescent="0.25">
      <c r="O976775" s="9"/>
    </row>
    <row r="976796" spans="15:15" x14ac:dyDescent="0.25">
      <c r="O976796" s="9"/>
    </row>
    <row r="976817" spans="15:15" x14ac:dyDescent="0.25">
      <c r="O976817" s="9"/>
    </row>
    <row r="976838" spans="15:15" x14ac:dyDescent="0.25">
      <c r="O976838" s="9"/>
    </row>
    <row r="976859" spans="15:15" x14ac:dyDescent="0.25">
      <c r="O976859" s="9"/>
    </row>
    <row r="976880" spans="15:15" x14ac:dyDescent="0.25">
      <c r="O976880" s="9"/>
    </row>
    <row r="976901" spans="15:15" x14ac:dyDescent="0.25">
      <c r="O976901" s="9"/>
    </row>
    <row r="976922" spans="15:15" x14ac:dyDescent="0.25">
      <c r="O976922" s="9"/>
    </row>
    <row r="976943" spans="15:15" x14ac:dyDescent="0.25">
      <c r="O976943" s="9"/>
    </row>
    <row r="976964" spans="15:15" x14ac:dyDescent="0.25">
      <c r="O976964" s="9"/>
    </row>
    <row r="976985" spans="15:15" x14ac:dyDescent="0.25">
      <c r="O976985" s="9"/>
    </row>
    <row r="977006" spans="15:15" x14ac:dyDescent="0.25">
      <c r="O977006" s="9"/>
    </row>
    <row r="977027" spans="15:15" x14ac:dyDescent="0.25">
      <c r="O977027" s="9"/>
    </row>
    <row r="977048" spans="15:15" x14ac:dyDescent="0.25">
      <c r="O977048" s="9"/>
    </row>
    <row r="977069" spans="15:15" x14ac:dyDescent="0.25">
      <c r="O977069" s="9"/>
    </row>
    <row r="977090" spans="15:15" x14ac:dyDescent="0.25">
      <c r="O977090" s="9"/>
    </row>
    <row r="977111" spans="15:15" x14ac:dyDescent="0.25">
      <c r="O977111" s="9"/>
    </row>
    <row r="977132" spans="15:15" x14ac:dyDescent="0.25">
      <c r="O977132" s="9"/>
    </row>
    <row r="977153" spans="15:15" x14ac:dyDescent="0.25">
      <c r="O977153" s="9"/>
    </row>
    <row r="977174" spans="15:15" x14ac:dyDescent="0.25">
      <c r="O977174" s="9"/>
    </row>
    <row r="977195" spans="15:15" x14ac:dyDescent="0.25">
      <c r="O977195" s="9"/>
    </row>
    <row r="977216" spans="15:15" x14ac:dyDescent="0.25">
      <c r="O977216" s="9"/>
    </row>
    <row r="977237" spans="15:15" x14ac:dyDescent="0.25">
      <c r="O977237" s="9"/>
    </row>
    <row r="977258" spans="15:15" x14ac:dyDescent="0.25">
      <c r="O977258" s="9"/>
    </row>
    <row r="977279" spans="15:15" x14ac:dyDescent="0.25">
      <c r="O977279" s="9"/>
    </row>
    <row r="977300" spans="15:15" x14ac:dyDescent="0.25">
      <c r="O977300" s="9"/>
    </row>
    <row r="977321" spans="15:15" x14ac:dyDescent="0.25">
      <c r="O977321" s="9"/>
    </row>
    <row r="977342" spans="15:15" x14ac:dyDescent="0.25">
      <c r="O977342" s="9"/>
    </row>
    <row r="977363" spans="15:15" x14ac:dyDescent="0.25">
      <c r="O977363" s="9"/>
    </row>
    <row r="977384" spans="15:15" x14ac:dyDescent="0.25">
      <c r="O977384" s="9"/>
    </row>
    <row r="977405" spans="15:15" x14ac:dyDescent="0.25">
      <c r="O977405" s="9"/>
    </row>
    <row r="977426" spans="15:15" x14ac:dyDescent="0.25">
      <c r="O977426" s="9"/>
    </row>
    <row r="977447" spans="15:15" x14ac:dyDescent="0.25">
      <c r="O977447" s="9"/>
    </row>
    <row r="977468" spans="15:15" x14ac:dyDescent="0.25">
      <c r="O977468" s="9"/>
    </row>
    <row r="977489" spans="15:15" x14ac:dyDescent="0.25">
      <c r="O977489" s="9"/>
    </row>
    <row r="977510" spans="15:15" x14ac:dyDescent="0.25">
      <c r="O977510" s="9"/>
    </row>
    <row r="977531" spans="15:15" x14ac:dyDescent="0.25">
      <c r="O977531" s="9"/>
    </row>
    <row r="977552" spans="15:15" x14ac:dyDescent="0.25">
      <c r="O977552" s="9"/>
    </row>
    <row r="977573" spans="15:15" x14ac:dyDescent="0.25">
      <c r="O977573" s="9"/>
    </row>
    <row r="977594" spans="15:15" x14ac:dyDescent="0.25">
      <c r="O977594" s="9"/>
    </row>
    <row r="977615" spans="15:15" x14ac:dyDescent="0.25">
      <c r="O977615" s="9"/>
    </row>
    <row r="977636" spans="15:15" x14ac:dyDescent="0.25">
      <c r="O977636" s="9"/>
    </row>
    <row r="977657" spans="15:15" x14ac:dyDescent="0.25">
      <c r="O977657" s="9"/>
    </row>
    <row r="977678" spans="15:15" x14ac:dyDescent="0.25">
      <c r="O977678" s="9"/>
    </row>
    <row r="977699" spans="15:15" x14ac:dyDescent="0.25">
      <c r="O977699" s="9"/>
    </row>
    <row r="977720" spans="15:15" x14ac:dyDescent="0.25">
      <c r="O977720" s="9"/>
    </row>
    <row r="977741" spans="15:15" x14ac:dyDescent="0.25">
      <c r="O977741" s="9"/>
    </row>
    <row r="977762" spans="15:15" x14ac:dyDescent="0.25">
      <c r="O977762" s="9"/>
    </row>
    <row r="977783" spans="15:15" x14ac:dyDescent="0.25">
      <c r="O977783" s="9"/>
    </row>
    <row r="977804" spans="15:15" x14ac:dyDescent="0.25">
      <c r="O977804" s="9"/>
    </row>
    <row r="977825" spans="15:15" x14ac:dyDescent="0.25">
      <c r="O977825" s="9"/>
    </row>
    <row r="977846" spans="15:15" x14ac:dyDescent="0.25">
      <c r="O977846" s="9"/>
    </row>
    <row r="977867" spans="15:15" x14ac:dyDescent="0.25">
      <c r="O977867" s="9"/>
    </row>
    <row r="977888" spans="15:15" x14ac:dyDescent="0.25">
      <c r="O977888" s="9"/>
    </row>
    <row r="977909" spans="15:15" x14ac:dyDescent="0.25">
      <c r="O977909" s="9"/>
    </row>
    <row r="977930" spans="15:15" x14ac:dyDescent="0.25">
      <c r="O977930" s="9"/>
    </row>
    <row r="977951" spans="15:15" x14ac:dyDescent="0.25">
      <c r="O977951" s="9"/>
    </row>
    <row r="977972" spans="15:15" x14ac:dyDescent="0.25">
      <c r="O977972" s="9"/>
    </row>
    <row r="977993" spans="15:15" x14ac:dyDescent="0.25">
      <c r="O977993" s="9"/>
    </row>
    <row r="978014" spans="15:15" x14ac:dyDescent="0.25">
      <c r="O978014" s="9"/>
    </row>
    <row r="978035" spans="15:15" x14ac:dyDescent="0.25">
      <c r="O978035" s="9"/>
    </row>
    <row r="978056" spans="15:15" x14ac:dyDescent="0.25">
      <c r="O978056" s="9"/>
    </row>
    <row r="978077" spans="15:15" x14ac:dyDescent="0.25">
      <c r="O978077" s="9"/>
    </row>
    <row r="978098" spans="15:15" x14ac:dyDescent="0.25">
      <c r="O978098" s="9"/>
    </row>
    <row r="978119" spans="15:15" x14ac:dyDescent="0.25">
      <c r="O978119" s="9"/>
    </row>
    <row r="978140" spans="15:15" x14ac:dyDescent="0.25">
      <c r="O978140" s="9"/>
    </row>
    <row r="978161" spans="15:15" x14ac:dyDescent="0.25">
      <c r="O978161" s="9"/>
    </row>
    <row r="978182" spans="15:15" x14ac:dyDescent="0.25">
      <c r="O978182" s="9"/>
    </row>
    <row r="978203" spans="15:15" x14ac:dyDescent="0.25">
      <c r="O978203" s="9"/>
    </row>
    <row r="978224" spans="15:15" x14ac:dyDescent="0.25">
      <c r="O978224" s="9"/>
    </row>
    <row r="978245" spans="15:15" x14ac:dyDescent="0.25">
      <c r="O978245" s="9"/>
    </row>
    <row r="978266" spans="15:15" x14ac:dyDescent="0.25">
      <c r="O978266" s="9"/>
    </row>
    <row r="978287" spans="15:15" x14ac:dyDescent="0.25">
      <c r="O978287" s="9"/>
    </row>
    <row r="978308" spans="15:15" x14ac:dyDescent="0.25">
      <c r="O978308" s="9"/>
    </row>
    <row r="978329" spans="15:15" x14ac:dyDescent="0.25">
      <c r="O978329" s="9"/>
    </row>
    <row r="978350" spans="15:15" x14ac:dyDescent="0.25">
      <c r="O978350" s="9"/>
    </row>
    <row r="978371" spans="15:15" x14ac:dyDescent="0.25">
      <c r="O978371" s="9"/>
    </row>
    <row r="978392" spans="15:15" x14ac:dyDescent="0.25">
      <c r="O978392" s="9"/>
    </row>
    <row r="978413" spans="15:15" x14ac:dyDescent="0.25">
      <c r="O978413" s="9"/>
    </row>
    <row r="978434" spans="15:15" x14ac:dyDescent="0.25">
      <c r="O978434" s="9"/>
    </row>
    <row r="978455" spans="15:15" x14ac:dyDescent="0.25">
      <c r="O978455" s="9"/>
    </row>
    <row r="978476" spans="15:15" x14ac:dyDescent="0.25">
      <c r="O978476" s="9"/>
    </row>
    <row r="978497" spans="15:15" x14ac:dyDescent="0.25">
      <c r="O978497" s="9"/>
    </row>
    <row r="978518" spans="15:15" x14ac:dyDescent="0.25">
      <c r="O978518" s="9"/>
    </row>
    <row r="978539" spans="15:15" x14ac:dyDescent="0.25">
      <c r="O978539" s="9"/>
    </row>
    <row r="978560" spans="15:15" x14ac:dyDescent="0.25">
      <c r="O978560" s="9"/>
    </row>
    <row r="978581" spans="15:15" x14ac:dyDescent="0.25">
      <c r="O978581" s="9"/>
    </row>
    <row r="978602" spans="15:15" x14ac:dyDescent="0.25">
      <c r="O978602" s="9"/>
    </row>
    <row r="978623" spans="15:15" x14ac:dyDescent="0.25">
      <c r="O978623" s="9"/>
    </row>
    <row r="978644" spans="15:15" x14ac:dyDescent="0.25">
      <c r="O978644" s="9"/>
    </row>
    <row r="978665" spans="15:15" x14ac:dyDescent="0.25">
      <c r="O978665" s="9"/>
    </row>
    <row r="978686" spans="15:15" x14ac:dyDescent="0.25">
      <c r="O978686" s="9"/>
    </row>
    <row r="978707" spans="15:15" x14ac:dyDescent="0.25">
      <c r="O978707" s="9"/>
    </row>
    <row r="978728" spans="15:15" x14ac:dyDescent="0.25">
      <c r="O978728" s="9"/>
    </row>
    <row r="978749" spans="15:15" x14ac:dyDescent="0.25">
      <c r="O978749" s="9"/>
    </row>
    <row r="978770" spans="15:15" x14ac:dyDescent="0.25">
      <c r="O978770" s="9"/>
    </row>
    <row r="978791" spans="15:15" x14ac:dyDescent="0.25">
      <c r="O978791" s="9"/>
    </row>
    <row r="978812" spans="15:15" x14ac:dyDescent="0.25">
      <c r="O978812" s="9"/>
    </row>
    <row r="978833" spans="15:15" x14ac:dyDescent="0.25">
      <c r="O978833" s="9"/>
    </row>
    <row r="978854" spans="15:15" x14ac:dyDescent="0.25">
      <c r="O978854" s="9"/>
    </row>
    <row r="978875" spans="15:15" x14ac:dyDescent="0.25">
      <c r="O978875" s="9"/>
    </row>
    <row r="978896" spans="15:15" x14ac:dyDescent="0.25">
      <c r="O978896" s="9"/>
    </row>
    <row r="978917" spans="15:15" x14ac:dyDescent="0.25">
      <c r="O978917" s="9"/>
    </row>
    <row r="978938" spans="15:15" x14ac:dyDescent="0.25">
      <c r="O978938" s="9"/>
    </row>
    <row r="978959" spans="15:15" x14ac:dyDescent="0.25">
      <c r="O978959" s="9"/>
    </row>
    <row r="978980" spans="15:15" x14ac:dyDescent="0.25">
      <c r="O978980" s="9"/>
    </row>
    <row r="979001" spans="15:15" x14ac:dyDescent="0.25">
      <c r="O979001" s="9"/>
    </row>
    <row r="979022" spans="15:15" x14ac:dyDescent="0.25">
      <c r="O979022" s="9"/>
    </row>
    <row r="979043" spans="15:15" x14ac:dyDescent="0.25">
      <c r="O979043" s="9"/>
    </row>
    <row r="979064" spans="15:15" x14ac:dyDescent="0.25">
      <c r="O979064" s="9"/>
    </row>
    <row r="979085" spans="15:15" x14ac:dyDescent="0.25">
      <c r="O979085" s="9"/>
    </row>
    <row r="979106" spans="15:15" x14ac:dyDescent="0.25">
      <c r="O979106" s="9"/>
    </row>
    <row r="979127" spans="15:15" x14ac:dyDescent="0.25">
      <c r="O979127" s="9"/>
    </row>
    <row r="979148" spans="15:15" x14ac:dyDescent="0.25">
      <c r="O979148" s="9"/>
    </row>
    <row r="979169" spans="15:15" x14ac:dyDescent="0.25">
      <c r="O979169" s="9"/>
    </row>
    <row r="979190" spans="15:15" x14ac:dyDescent="0.25">
      <c r="O979190" s="9"/>
    </row>
    <row r="979211" spans="15:15" x14ac:dyDescent="0.25">
      <c r="O979211" s="9"/>
    </row>
    <row r="979232" spans="15:15" x14ac:dyDescent="0.25">
      <c r="O979232" s="9"/>
    </row>
    <row r="979253" spans="15:15" x14ac:dyDescent="0.25">
      <c r="O979253" s="9"/>
    </row>
    <row r="979274" spans="15:15" x14ac:dyDescent="0.25">
      <c r="O979274" s="9"/>
    </row>
    <row r="979295" spans="15:15" x14ac:dyDescent="0.25">
      <c r="O979295" s="9"/>
    </row>
    <row r="979316" spans="15:15" x14ac:dyDescent="0.25">
      <c r="O979316" s="9"/>
    </row>
    <row r="979337" spans="15:15" x14ac:dyDescent="0.25">
      <c r="O979337" s="9"/>
    </row>
    <row r="979358" spans="15:15" x14ac:dyDescent="0.25">
      <c r="O979358" s="9"/>
    </row>
    <row r="979379" spans="15:15" x14ac:dyDescent="0.25">
      <c r="O979379" s="9"/>
    </row>
    <row r="979400" spans="15:15" x14ac:dyDescent="0.25">
      <c r="O979400" s="9"/>
    </row>
    <row r="979421" spans="15:15" x14ac:dyDescent="0.25">
      <c r="O979421" s="9"/>
    </row>
    <row r="979442" spans="15:15" x14ac:dyDescent="0.25">
      <c r="O979442" s="9"/>
    </row>
    <row r="979463" spans="15:15" x14ac:dyDescent="0.25">
      <c r="O979463" s="9"/>
    </row>
    <row r="979484" spans="15:15" x14ac:dyDescent="0.25">
      <c r="O979484" s="9"/>
    </row>
    <row r="979505" spans="15:15" x14ac:dyDescent="0.25">
      <c r="O979505" s="9"/>
    </row>
    <row r="979526" spans="15:15" x14ac:dyDescent="0.25">
      <c r="O979526" s="9"/>
    </row>
    <row r="979547" spans="15:15" x14ac:dyDescent="0.25">
      <c r="O979547" s="9"/>
    </row>
    <row r="979568" spans="15:15" x14ac:dyDescent="0.25">
      <c r="O979568" s="9"/>
    </row>
    <row r="979589" spans="15:15" x14ac:dyDescent="0.25">
      <c r="O979589" s="9"/>
    </row>
    <row r="979610" spans="15:15" x14ac:dyDescent="0.25">
      <c r="O979610" s="9"/>
    </row>
    <row r="979631" spans="15:15" x14ac:dyDescent="0.25">
      <c r="O979631" s="9"/>
    </row>
    <row r="979652" spans="15:15" x14ac:dyDescent="0.25">
      <c r="O979652" s="9"/>
    </row>
    <row r="979673" spans="15:15" x14ac:dyDescent="0.25">
      <c r="O979673" s="9"/>
    </row>
    <row r="979694" spans="15:15" x14ac:dyDescent="0.25">
      <c r="O979694" s="9"/>
    </row>
    <row r="979715" spans="15:15" x14ac:dyDescent="0.25">
      <c r="O979715" s="9"/>
    </row>
    <row r="979736" spans="15:15" x14ac:dyDescent="0.25">
      <c r="O979736" s="9"/>
    </row>
    <row r="979757" spans="15:15" x14ac:dyDescent="0.25">
      <c r="O979757" s="9"/>
    </row>
    <row r="979778" spans="15:15" x14ac:dyDescent="0.25">
      <c r="O979778" s="9"/>
    </row>
    <row r="979799" spans="15:15" x14ac:dyDescent="0.25">
      <c r="O979799" s="9"/>
    </row>
    <row r="979820" spans="15:15" x14ac:dyDescent="0.25">
      <c r="O979820" s="9"/>
    </row>
    <row r="979841" spans="15:15" x14ac:dyDescent="0.25">
      <c r="O979841" s="9"/>
    </row>
    <row r="979862" spans="15:15" x14ac:dyDescent="0.25">
      <c r="O979862" s="9"/>
    </row>
    <row r="979883" spans="15:15" x14ac:dyDescent="0.25">
      <c r="O979883" s="9"/>
    </row>
    <row r="979904" spans="15:15" x14ac:dyDescent="0.25">
      <c r="O979904" s="9"/>
    </row>
    <row r="979925" spans="15:15" x14ac:dyDescent="0.25">
      <c r="O979925" s="9"/>
    </row>
    <row r="979946" spans="15:15" x14ac:dyDescent="0.25">
      <c r="O979946" s="9"/>
    </row>
    <row r="979967" spans="15:15" x14ac:dyDescent="0.25">
      <c r="O979967" s="9"/>
    </row>
    <row r="979988" spans="15:15" x14ac:dyDescent="0.25">
      <c r="O979988" s="9"/>
    </row>
    <row r="980009" spans="15:15" x14ac:dyDescent="0.25">
      <c r="O980009" s="9"/>
    </row>
    <row r="980030" spans="15:15" x14ac:dyDescent="0.25">
      <c r="O980030" s="9"/>
    </row>
    <row r="980051" spans="15:15" x14ac:dyDescent="0.25">
      <c r="O980051" s="9"/>
    </row>
    <row r="980072" spans="15:15" x14ac:dyDescent="0.25">
      <c r="O980072" s="9"/>
    </row>
    <row r="980093" spans="15:15" x14ac:dyDescent="0.25">
      <c r="O980093" s="9"/>
    </row>
    <row r="980114" spans="15:15" x14ac:dyDescent="0.25">
      <c r="O980114" s="9"/>
    </row>
    <row r="980135" spans="15:15" x14ac:dyDescent="0.25">
      <c r="O980135" s="9"/>
    </row>
    <row r="980156" spans="15:15" x14ac:dyDescent="0.25">
      <c r="O980156" s="9"/>
    </row>
    <row r="980177" spans="15:15" x14ac:dyDescent="0.25">
      <c r="O980177" s="9"/>
    </row>
    <row r="980198" spans="15:15" x14ac:dyDescent="0.25">
      <c r="O980198" s="9"/>
    </row>
    <row r="980219" spans="15:15" x14ac:dyDescent="0.25">
      <c r="O980219" s="9"/>
    </row>
    <row r="980240" spans="15:15" x14ac:dyDescent="0.25">
      <c r="O980240" s="9"/>
    </row>
    <row r="980261" spans="15:15" x14ac:dyDescent="0.25">
      <c r="O980261" s="9"/>
    </row>
    <row r="980282" spans="15:15" x14ac:dyDescent="0.25">
      <c r="O980282" s="9"/>
    </row>
    <row r="980303" spans="15:15" x14ac:dyDescent="0.25">
      <c r="O980303" s="9"/>
    </row>
    <row r="980324" spans="15:15" x14ac:dyDescent="0.25">
      <c r="O980324" s="9"/>
    </row>
    <row r="980345" spans="15:15" x14ac:dyDescent="0.25">
      <c r="O980345" s="9"/>
    </row>
    <row r="980366" spans="15:15" x14ac:dyDescent="0.25">
      <c r="O980366" s="9"/>
    </row>
    <row r="980387" spans="15:15" x14ac:dyDescent="0.25">
      <c r="O980387" s="9"/>
    </row>
    <row r="980408" spans="15:15" x14ac:dyDescent="0.25">
      <c r="O980408" s="9"/>
    </row>
    <row r="980429" spans="15:15" x14ac:dyDescent="0.25">
      <c r="O980429" s="9"/>
    </row>
    <row r="980450" spans="15:15" x14ac:dyDescent="0.25">
      <c r="O980450" s="9"/>
    </row>
    <row r="980471" spans="15:15" x14ac:dyDescent="0.25">
      <c r="O980471" s="9"/>
    </row>
    <row r="980492" spans="15:15" x14ac:dyDescent="0.25">
      <c r="O980492" s="9"/>
    </row>
    <row r="980513" spans="15:15" x14ac:dyDescent="0.25">
      <c r="O980513" s="9"/>
    </row>
    <row r="980534" spans="15:15" x14ac:dyDescent="0.25">
      <c r="O980534" s="9"/>
    </row>
    <row r="980555" spans="15:15" x14ac:dyDescent="0.25">
      <c r="O980555" s="9"/>
    </row>
    <row r="980576" spans="15:15" x14ac:dyDescent="0.25">
      <c r="O980576" s="9"/>
    </row>
    <row r="980597" spans="15:15" x14ac:dyDescent="0.25">
      <c r="O980597" s="9"/>
    </row>
    <row r="980618" spans="15:15" x14ac:dyDescent="0.25">
      <c r="O980618" s="9"/>
    </row>
    <row r="980639" spans="15:15" x14ac:dyDescent="0.25">
      <c r="O980639" s="9"/>
    </row>
    <row r="980660" spans="15:15" x14ac:dyDescent="0.25">
      <c r="O980660" s="9"/>
    </row>
    <row r="980681" spans="15:15" x14ac:dyDescent="0.25">
      <c r="O980681" s="9"/>
    </row>
    <row r="980702" spans="15:15" x14ac:dyDescent="0.25">
      <c r="O980702" s="9"/>
    </row>
    <row r="980723" spans="15:15" x14ac:dyDescent="0.25">
      <c r="O980723" s="9"/>
    </row>
    <row r="980744" spans="15:15" x14ac:dyDescent="0.25">
      <c r="O980744" s="9"/>
    </row>
    <row r="980765" spans="15:15" x14ac:dyDescent="0.25">
      <c r="O980765" s="9"/>
    </row>
    <row r="980786" spans="15:15" x14ac:dyDescent="0.25">
      <c r="O980786" s="9"/>
    </row>
    <row r="980807" spans="15:15" x14ac:dyDescent="0.25">
      <c r="O980807" s="9"/>
    </row>
    <row r="980828" spans="15:15" x14ac:dyDescent="0.25">
      <c r="O980828" s="9"/>
    </row>
    <row r="980849" spans="15:15" x14ac:dyDescent="0.25">
      <c r="O980849" s="9"/>
    </row>
    <row r="980870" spans="15:15" x14ac:dyDescent="0.25">
      <c r="O980870" s="9"/>
    </row>
    <row r="980891" spans="15:15" x14ac:dyDescent="0.25">
      <c r="O980891" s="9"/>
    </row>
    <row r="980912" spans="15:15" x14ac:dyDescent="0.25">
      <c r="O980912" s="9"/>
    </row>
    <row r="980933" spans="15:15" x14ac:dyDescent="0.25">
      <c r="O980933" s="9"/>
    </row>
    <row r="980954" spans="15:15" x14ac:dyDescent="0.25">
      <c r="O980954" s="9"/>
    </row>
    <row r="980975" spans="15:15" x14ac:dyDescent="0.25">
      <c r="O980975" s="9"/>
    </row>
    <row r="980996" spans="15:15" x14ac:dyDescent="0.25">
      <c r="O980996" s="9"/>
    </row>
    <row r="981017" spans="15:15" x14ac:dyDescent="0.25">
      <c r="O981017" s="9"/>
    </row>
    <row r="981038" spans="15:15" x14ac:dyDescent="0.25">
      <c r="O981038" s="9"/>
    </row>
    <row r="981059" spans="15:15" x14ac:dyDescent="0.25">
      <c r="O981059" s="9"/>
    </row>
    <row r="981080" spans="15:15" x14ac:dyDescent="0.25">
      <c r="O981080" s="9"/>
    </row>
    <row r="981101" spans="15:15" x14ac:dyDescent="0.25">
      <c r="O981101" s="9"/>
    </row>
    <row r="981122" spans="15:15" x14ac:dyDescent="0.25">
      <c r="O981122" s="9"/>
    </row>
    <row r="981143" spans="15:15" x14ac:dyDescent="0.25">
      <c r="O981143" s="9"/>
    </row>
    <row r="981164" spans="15:15" x14ac:dyDescent="0.25">
      <c r="O981164" s="9"/>
    </row>
    <row r="981185" spans="15:15" x14ac:dyDescent="0.25">
      <c r="O981185" s="9"/>
    </row>
    <row r="981206" spans="15:15" x14ac:dyDescent="0.25">
      <c r="O981206" s="9"/>
    </row>
    <row r="981227" spans="15:15" x14ac:dyDescent="0.25">
      <c r="O981227" s="9"/>
    </row>
    <row r="981248" spans="15:15" x14ac:dyDescent="0.25">
      <c r="O981248" s="9"/>
    </row>
    <row r="981269" spans="15:15" x14ac:dyDescent="0.25">
      <c r="O981269" s="9"/>
    </row>
    <row r="981290" spans="15:15" x14ac:dyDescent="0.25">
      <c r="O981290" s="9"/>
    </row>
    <row r="981311" spans="15:15" x14ac:dyDescent="0.25">
      <c r="O981311" s="9"/>
    </row>
    <row r="981332" spans="15:15" x14ac:dyDescent="0.25">
      <c r="O981332" s="9"/>
    </row>
    <row r="981353" spans="15:15" x14ac:dyDescent="0.25">
      <c r="O981353" s="9"/>
    </row>
    <row r="981374" spans="15:15" x14ac:dyDescent="0.25">
      <c r="O981374" s="9"/>
    </row>
    <row r="981395" spans="15:15" x14ac:dyDescent="0.25">
      <c r="O981395" s="9"/>
    </row>
    <row r="981416" spans="15:15" x14ac:dyDescent="0.25">
      <c r="O981416" s="9"/>
    </row>
    <row r="981437" spans="15:15" x14ac:dyDescent="0.25">
      <c r="O981437" s="9"/>
    </row>
    <row r="981458" spans="15:15" x14ac:dyDescent="0.25">
      <c r="O981458" s="9"/>
    </row>
    <row r="981479" spans="15:15" x14ac:dyDescent="0.25">
      <c r="O981479" s="9"/>
    </row>
    <row r="981500" spans="15:15" x14ac:dyDescent="0.25">
      <c r="O981500" s="9"/>
    </row>
    <row r="981521" spans="15:15" x14ac:dyDescent="0.25">
      <c r="O981521" s="9"/>
    </row>
    <row r="981542" spans="15:15" x14ac:dyDescent="0.25">
      <c r="O981542" s="9"/>
    </row>
    <row r="981563" spans="15:15" x14ac:dyDescent="0.25">
      <c r="O981563" s="9"/>
    </row>
    <row r="981584" spans="15:15" x14ac:dyDescent="0.25">
      <c r="O981584" s="9"/>
    </row>
    <row r="981605" spans="15:15" x14ac:dyDescent="0.25">
      <c r="O981605" s="9"/>
    </row>
    <row r="981626" spans="15:15" x14ac:dyDescent="0.25">
      <c r="O981626" s="9"/>
    </row>
    <row r="981647" spans="15:15" x14ac:dyDescent="0.25">
      <c r="O981647" s="9"/>
    </row>
    <row r="981668" spans="15:15" x14ac:dyDescent="0.25">
      <c r="O981668" s="9"/>
    </row>
    <row r="981689" spans="15:15" x14ac:dyDescent="0.25">
      <c r="O981689" s="9"/>
    </row>
    <row r="981710" spans="15:15" x14ac:dyDescent="0.25">
      <c r="O981710" s="9"/>
    </row>
    <row r="981731" spans="15:15" x14ac:dyDescent="0.25">
      <c r="O981731" s="9"/>
    </row>
    <row r="981752" spans="15:15" x14ac:dyDescent="0.25">
      <c r="O981752" s="9"/>
    </row>
    <row r="981773" spans="15:15" x14ac:dyDescent="0.25">
      <c r="O981773" s="9"/>
    </row>
    <row r="981794" spans="15:15" x14ac:dyDescent="0.25">
      <c r="O981794" s="9"/>
    </row>
    <row r="981815" spans="15:15" x14ac:dyDescent="0.25">
      <c r="O981815" s="9"/>
    </row>
    <row r="981836" spans="15:15" x14ac:dyDescent="0.25">
      <c r="O981836" s="9"/>
    </row>
    <row r="981857" spans="15:15" x14ac:dyDescent="0.25">
      <c r="O981857" s="9"/>
    </row>
    <row r="981878" spans="15:15" x14ac:dyDescent="0.25">
      <c r="O981878" s="9"/>
    </row>
    <row r="981899" spans="15:15" x14ac:dyDescent="0.25">
      <c r="O981899" s="9"/>
    </row>
    <row r="981920" spans="15:15" x14ac:dyDescent="0.25">
      <c r="O981920" s="9"/>
    </row>
    <row r="981941" spans="15:15" x14ac:dyDescent="0.25">
      <c r="O981941" s="9"/>
    </row>
    <row r="981962" spans="15:15" x14ac:dyDescent="0.25">
      <c r="O981962" s="9"/>
    </row>
    <row r="981983" spans="15:15" x14ac:dyDescent="0.25">
      <c r="O981983" s="9"/>
    </row>
    <row r="982004" spans="15:15" x14ac:dyDescent="0.25">
      <c r="O982004" s="9"/>
    </row>
    <row r="982025" spans="15:15" x14ac:dyDescent="0.25">
      <c r="O982025" s="9"/>
    </row>
    <row r="982046" spans="15:15" x14ac:dyDescent="0.25">
      <c r="O982046" s="9"/>
    </row>
    <row r="982067" spans="15:15" x14ac:dyDescent="0.25">
      <c r="O982067" s="9"/>
    </row>
    <row r="982088" spans="15:15" x14ac:dyDescent="0.25">
      <c r="O982088" s="9"/>
    </row>
    <row r="982109" spans="15:15" x14ac:dyDescent="0.25">
      <c r="O982109" s="9"/>
    </row>
    <row r="982130" spans="15:15" x14ac:dyDescent="0.25">
      <c r="O982130" s="9"/>
    </row>
    <row r="982151" spans="15:15" x14ac:dyDescent="0.25">
      <c r="O982151" s="9"/>
    </row>
    <row r="982172" spans="15:15" x14ac:dyDescent="0.25">
      <c r="O982172" s="9"/>
    </row>
    <row r="982193" spans="15:15" x14ac:dyDescent="0.25">
      <c r="O982193" s="9"/>
    </row>
    <row r="982214" spans="15:15" x14ac:dyDescent="0.25">
      <c r="O982214" s="9"/>
    </row>
    <row r="982235" spans="15:15" x14ac:dyDescent="0.25">
      <c r="O982235" s="9"/>
    </row>
    <row r="982256" spans="15:15" x14ac:dyDescent="0.25">
      <c r="O982256" s="9"/>
    </row>
    <row r="982277" spans="15:15" x14ac:dyDescent="0.25">
      <c r="O982277" s="9"/>
    </row>
    <row r="982298" spans="15:15" x14ac:dyDescent="0.25">
      <c r="O982298" s="9"/>
    </row>
    <row r="982319" spans="15:15" x14ac:dyDescent="0.25">
      <c r="O982319" s="9"/>
    </row>
    <row r="982340" spans="15:15" x14ac:dyDescent="0.25">
      <c r="O982340" s="9"/>
    </row>
    <row r="982361" spans="15:15" x14ac:dyDescent="0.25">
      <c r="O982361" s="9"/>
    </row>
    <row r="982382" spans="15:15" x14ac:dyDescent="0.25">
      <c r="O982382" s="9"/>
    </row>
    <row r="982403" spans="15:15" x14ac:dyDescent="0.25">
      <c r="O982403" s="9"/>
    </row>
    <row r="982424" spans="15:15" x14ac:dyDescent="0.25">
      <c r="O982424" s="9"/>
    </row>
    <row r="982445" spans="15:15" x14ac:dyDescent="0.25">
      <c r="O982445" s="9"/>
    </row>
    <row r="982466" spans="15:15" x14ac:dyDescent="0.25">
      <c r="O982466" s="9"/>
    </row>
    <row r="982487" spans="15:15" x14ac:dyDescent="0.25">
      <c r="O982487" s="9"/>
    </row>
    <row r="982508" spans="15:15" x14ac:dyDescent="0.25">
      <c r="O982508" s="9"/>
    </row>
    <row r="982529" spans="15:15" x14ac:dyDescent="0.25">
      <c r="O982529" s="9"/>
    </row>
    <row r="982550" spans="15:15" x14ac:dyDescent="0.25">
      <c r="O982550" s="9"/>
    </row>
    <row r="982571" spans="15:15" x14ac:dyDescent="0.25">
      <c r="O982571" s="9"/>
    </row>
    <row r="982592" spans="15:15" x14ac:dyDescent="0.25">
      <c r="O982592" s="9"/>
    </row>
    <row r="982613" spans="15:15" x14ac:dyDescent="0.25">
      <c r="O982613" s="9"/>
    </row>
    <row r="982634" spans="15:15" x14ac:dyDescent="0.25">
      <c r="O982634" s="9"/>
    </row>
    <row r="982655" spans="15:15" x14ac:dyDescent="0.25">
      <c r="O982655" s="9"/>
    </row>
    <row r="982676" spans="15:15" x14ac:dyDescent="0.25">
      <c r="O982676" s="9"/>
    </row>
    <row r="982697" spans="15:15" x14ac:dyDescent="0.25">
      <c r="O982697" s="9"/>
    </row>
    <row r="982718" spans="15:15" x14ac:dyDescent="0.25">
      <c r="O982718" s="9"/>
    </row>
    <row r="982739" spans="15:15" x14ac:dyDescent="0.25">
      <c r="O982739" s="9"/>
    </row>
    <row r="982760" spans="15:15" x14ac:dyDescent="0.25">
      <c r="O982760" s="9"/>
    </row>
    <row r="982781" spans="15:15" x14ac:dyDescent="0.25">
      <c r="O982781" s="9"/>
    </row>
    <row r="982802" spans="15:15" x14ac:dyDescent="0.25">
      <c r="O982802" s="9"/>
    </row>
    <row r="982823" spans="15:15" x14ac:dyDescent="0.25">
      <c r="O982823" s="9"/>
    </row>
    <row r="982844" spans="15:15" x14ac:dyDescent="0.25">
      <c r="O982844" s="9"/>
    </row>
    <row r="982865" spans="15:15" x14ac:dyDescent="0.25">
      <c r="O982865" s="9"/>
    </row>
    <row r="982886" spans="15:15" x14ac:dyDescent="0.25">
      <c r="O982886" s="9"/>
    </row>
    <row r="982907" spans="15:15" x14ac:dyDescent="0.25">
      <c r="O982907" s="9"/>
    </row>
    <row r="982928" spans="15:15" x14ac:dyDescent="0.25">
      <c r="O982928" s="9"/>
    </row>
    <row r="982949" spans="15:15" x14ac:dyDescent="0.25">
      <c r="O982949" s="9"/>
    </row>
    <row r="982970" spans="15:15" x14ac:dyDescent="0.25">
      <c r="O982970" s="9"/>
    </row>
    <row r="982991" spans="15:15" x14ac:dyDescent="0.25">
      <c r="O982991" s="9"/>
    </row>
    <row r="983012" spans="15:15" x14ac:dyDescent="0.25">
      <c r="O983012" s="9"/>
    </row>
    <row r="983033" spans="15:15" x14ac:dyDescent="0.25">
      <c r="O983033" s="9"/>
    </row>
    <row r="983054" spans="15:15" x14ac:dyDescent="0.25">
      <c r="O983054" s="9"/>
    </row>
    <row r="983075" spans="15:15" x14ac:dyDescent="0.25">
      <c r="O983075" s="9"/>
    </row>
    <row r="983096" spans="15:15" x14ac:dyDescent="0.25">
      <c r="O983096" s="9"/>
    </row>
    <row r="983117" spans="15:15" x14ac:dyDescent="0.25">
      <c r="O983117" s="9"/>
    </row>
    <row r="983138" spans="15:15" x14ac:dyDescent="0.25">
      <c r="O983138" s="9"/>
    </row>
    <row r="983159" spans="15:15" x14ac:dyDescent="0.25">
      <c r="O983159" s="9"/>
    </row>
    <row r="983180" spans="15:15" x14ac:dyDescent="0.25">
      <c r="O983180" s="9"/>
    </row>
    <row r="983201" spans="15:15" x14ac:dyDescent="0.25">
      <c r="O983201" s="9"/>
    </row>
    <row r="983222" spans="15:15" x14ac:dyDescent="0.25">
      <c r="O983222" s="9"/>
    </row>
    <row r="983243" spans="15:15" x14ac:dyDescent="0.25">
      <c r="O983243" s="9"/>
    </row>
    <row r="983264" spans="15:15" x14ac:dyDescent="0.25">
      <c r="O983264" s="9"/>
    </row>
    <row r="983285" spans="15:15" x14ac:dyDescent="0.25">
      <c r="O983285" s="9"/>
    </row>
    <row r="983306" spans="15:15" x14ac:dyDescent="0.25">
      <c r="O983306" s="9"/>
    </row>
    <row r="983327" spans="15:15" x14ac:dyDescent="0.25">
      <c r="O983327" s="9"/>
    </row>
    <row r="983348" spans="15:15" x14ac:dyDescent="0.25">
      <c r="O983348" s="9"/>
    </row>
    <row r="983369" spans="15:15" x14ac:dyDescent="0.25">
      <c r="O983369" s="9"/>
    </row>
    <row r="983390" spans="15:15" x14ac:dyDescent="0.25">
      <c r="O983390" s="9"/>
    </row>
    <row r="983411" spans="15:15" x14ac:dyDescent="0.25">
      <c r="O983411" s="9"/>
    </row>
    <row r="983432" spans="15:15" x14ac:dyDescent="0.25">
      <c r="O983432" s="9"/>
    </row>
    <row r="983453" spans="15:15" x14ac:dyDescent="0.25">
      <c r="O983453" s="9"/>
    </row>
    <row r="983474" spans="15:15" x14ac:dyDescent="0.25">
      <c r="O983474" s="9"/>
    </row>
    <row r="983495" spans="15:15" x14ac:dyDescent="0.25">
      <c r="O983495" s="9"/>
    </row>
    <row r="983516" spans="15:15" x14ac:dyDescent="0.25">
      <c r="O983516" s="9"/>
    </row>
    <row r="983537" spans="15:15" x14ac:dyDescent="0.25">
      <c r="O983537" s="9"/>
    </row>
    <row r="983558" spans="15:15" x14ac:dyDescent="0.25">
      <c r="O983558" s="9"/>
    </row>
    <row r="983579" spans="15:15" x14ac:dyDescent="0.25">
      <c r="O983579" s="9"/>
    </row>
    <row r="983600" spans="15:15" x14ac:dyDescent="0.25">
      <c r="O983600" s="9"/>
    </row>
    <row r="983621" spans="15:15" x14ac:dyDescent="0.25">
      <c r="O983621" s="9"/>
    </row>
    <row r="983642" spans="15:15" x14ac:dyDescent="0.25">
      <c r="O983642" s="9"/>
    </row>
    <row r="983663" spans="15:15" x14ac:dyDescent="0.25">
      <c r="O983663" s="9"/>
    </row>
    <row r="983684" spans="15:15" x14ac:dyDescent="0.25">
      <c r="O983684" s="9"/>
    </row>
    <row r="983705" spans="15:15" x14ac:dyDescent="0.25">
      <c r="O983705" s="9"/>
    </row>
    <row r="983726" spans="15:15" x14ac:dyDescent="0.25">
      <c r="O983726" s="9"/>
    </row>
    <row r="983747" spans="15:15" x14ac:dyDescent="0.25">
      <c r="O983747" s="9"/>
    </row>
    <row r="983768" spans="15:15" x14ac:dyDescent="0.25">
      <c r="O983768" s="9"/>
    </row>
    <row r="983789" spans="15:15" x14ac:dyDescent="0.25">
      <c r="O983789" s="9"/>
    </row>
    <row r="983810" spans="15:15" x14ac:dyDescent="0.25">
      <c r="O983810" s="9"/>
    </row>
    <row r="983831" spans="15:15" x14ac:dyDescent="0.25">
      <c r="O983831" s="9"/>
    </row>
    <row r="983852" spans="15:15" x14ac:dyDescent="0.25">
      <c r="O983852" s="9"/>
    </row>
    <row r="983873" spans="15:15" x14ac:dyDescent="0.25">
      <c r="O983873" s="9"/>
    </row>
    <row r="983894" spans="15:15" x14ac:dyDescent="0.25">
      <c r="O983894" s="9"/>
    </row>
    <row r="983915" spans="15:15" x14ac:dyDescent="0.25">
      <c r="O983915" s="9"/>
    </row>
    <row r="983936" spans="15:15" x14ac:dyDescent="0.25">
      <c r="O983936" s="9"/>
    </row>
    <row r="983957" spans="15:15" x14ac:dyDescent="0.25">
      <c r="O983957" s="9"/>
    </row>
    <row r="983978" spans="15:15" x14ac:dyDescent="0.25">
      <c r="O983978" s="9"/>
    </row>
    <row r="983999" spans="15:15" x14ac:dyDescent="0.25">
      <c r="O983999" s="9"/>
    </row>
    <row r="984020" spans="15:15" x14ac:dyDescent="0.25">
      <c r="O984020" s="9"/>
    </row>
    <row r="984041" spans="15:15" x14ac:dyDescent="0.25">
      <c r="O984041" s="9"/>
    </row>
    <row r="984062" spans="15:15" x14ac:dyDescent="0.25">
      <c r="O984062" s="9"/>
    </row>
    <row r="984083" spans="15:15" x14ac:dyDescent="0.25">
      <c r="O984083" s="9"/>
    </row>
    <row r="984104" spans="15:15" x14ac:dyDescent="0.25">
      <c r="O984104" s="9"/>
    </row>
    <row r="984125" spans="15:15" x14ac:dyDescent="0.25">
      <c r="O984125" s="9"/>
    </row>
    <row r="984146" spans="15:15" x14ac:dyDescent="0.25">
      <c r="O984146" s="9"/>
    </row>
    <row r="984167" spans="15:15" x14ac:dyDescent="0.25">
      <c r="O984167" s="9"/>
    </row>
    <row r="984188" spans="15:15" x14ac:dyDescent="0.25">
      <c r="O984188" s="9"/>
    </row>
    <row r="984209" spans="15:15" x14ac:dyDescent="0.25">
      <c r="O984209" s="9"/>
    </row>
    <row r="984230" spans="15:15" x14ac:dyDescent="0.25">
      <c r="O984230" s="9"/>
    </row>
    <row r="984251" spans="15:15" x14ac:dyDescent="0.25">
      <c r="O984251" s="9"/>
    </row>
    <row r="984272" spans="15:15" x14ac:dyDescent="0.25">
      <c r="O984272" s="9"/>
    </row>
    <row r="984293" spans="15:15" x14ac:dyDescent="0.25">
      <c r="O984293" s="9"/>
    </row>
    <row r="984314" spans="15:15" x14ac:dyDescent="0.25">
      <c r="O984314" s="9"/>
    </row>
    <row r="984335" spans="15:15" x14ac:dyDescent="0.25">
      <c r="O984335" s="9"/>
    </row>
    <row r="984356" spans="15:15" x14ac:dyDescent="0.25">
      <c r="O984356" s="9"/>
    </row>
    <row r="984377" spans="15:15" x14ac:dyDescent="0.25">
      <c r="O984377" s="9"/>
    </row>
    <row r="984398" spans="15:15" x14ac:dyDescent="0.25">
      <c r="O984398" s="9"/>
    </row>
    <row r="984419" spans="15:15" x14ac:dyDescent="0.25">
      <c r="O984419" s="9"/>
    </row>
    <row r="984440" spans="15:15" x14ac:dyDescent="0.25">
      <c r="O984440" s="9"/>
    </row>
    <row r="984461" spans="15:15" x14ac:dyDescent="0.25">
      <c r="O984461" s="9"/>
    </row>
    <row r="984482" spans="15:15" x14ac:dyDescent="0.25">
      <c r="O984482" s="9"/>
    </row>
    <row r="984503" spans="15:15" x14ac:dyDescent="0.25">
      <c r="O984503" s="9"/>
    </row>
    <row r="984524" spans="15:15" x14ac:dyDescent="0.25">
      <c r="O984524" s="9"/>
    </row>
    <row r="984545" spans="15:15" x14ac:dyDescent="0.25">
      <c r="O984545" s="9"/>
    </row>
    <row r="984566" spans="15:15" x14ac:dyDescent="0.25">
      <c r="O984566" s="9"/>
    </row>
    <row r="984587" spans="15:15" x14ac:dyDescent="0.25">
      <c r="O984587" s="9"/>
    </row>
    <row r="984608" spans="15:15" x14ac:dyDescent="0.25">
      <c r="O984608" s="9"/>
    </row>
    <row r="984629" spans="15:15" x14ac:dyDescent="0.25">
      <c r="O984629" s="9"/>
    </row>
    <row r="984650" spans="15:15" x14ac:dyDescent="0.25">
      <c r="O984650" s="9"/>
    </row>
    <row r="984671" spans="15:15" x14ac:dyDescent="0.25">
      <c r="O984671" s="9"/>
    </row>
    <row r="984692" spans="15:15" x14ac:dyDescent="0.25">
      <c r="O984692" s="9"/>
    </row>
    <row r="984713" spans="15:15" x14ac:dyDescent="0.25">
      <c r="O984713" s="9"/>
    </row>
    <row r="984734" spans="15:15" x14ac:dyDescent="0.25">
      <c r="O984734" s="9"/>
    </row>
    <row r="984755" spans="15:15" x14ac:dyDescent="0.25">
      <c r="O984755" s="9"/>
    </row>
    <row r="984776" spans="15:15" x14ac:dyDescent="0.25">
      <c r="O984776" s="9"/>
    </row>
    <row r="984797" spans="15:15" x14ac:dyDescent="0.25">
      <c r="O984797" s="9"/>
    </row>
    <row r="984818" spans="15:15" x14ac:dyDescent="0.25">
      <c r="O984818" s="9"/>
    </row>
    <row r="984839" spans="15:15" x14ac:dyDescent="0.25">
      <c r="O984839" s="9"/>
    </row>
    <row r="984860" spans="15:15" x14ac:dyDescent="0.25">
      <c r="O984860" s="9"/>
    </row>
    <row r="984881" spans="15:15" x14ac:dyDescent="0.25">
      <c r="O984881" s="9"/>
    </row>
    <row r="984902" spans="15:15" x14ac:dyDescent="0.25">
      <c r="O984902" s="9"/>
    </row>
    <row r="984923" spans="15:15" x14ac:dyDescent="0.25">
      <c r="O984923" s="9"/>
    </row>
    <row r="984944" spans="15:15" x14ac:dyDescent="0.25">
      <c r="O984944" s="9"/>
    </row>
    <row r="984965" spans="15:15" x14ac:dyDescent="0.25">
      <c r="O984965" s="9"/>
    </row>
    <row r="984986" spans="15:15" x14ac:dyDescent="0.25">
      <c r="O984986" s="9"/>
    </row>
    <row r="985007" spans="15:15" x14ac:dyDescent="0.25">
      <c r="O985007" s="9"/>
    </row>
    <row r="985028" spans="15:15" x14ac:dyDescent="0.25">
      <c r="O985028" s="9"/>
    </row>
    <row r="985049" spans="15:15" x14ac:dyDescent="0.25">
      <c r="O985049" s="9"/>
    </row>
    <row r="985070" spans="15:15" x14ac:dyDescent="0.25">
      <c r="O985070" s="9"/>
    </row>
    <row r="985091" spans="15:15" x14ac:dyDescent="0.25">
      <c r="O985091" s="9"/>
    </row>
    <row r="985112" spans="15:15" x14ac:dyDescent="0.25">
      <c r="O985112" s="9"/>
    </row>
    <row r="985133" spans="15:15" x14ac:dyDescent="0.25">
      <c r="O985133" s="9"/>
    </row>
    <row r="985154" spans="15:15" x14ac:dyDescent="0.25">
      <c r="O985154" s="9"/>
    </row>
    <row r="985175" spans="15:15" x14ac:dyDescent="0.25">
      <c r="O985175" s="9"/>
    </row>
    <row r="985196" spans="15:15" x14ac:dyDescent="0.25">
      <c r="O985196" s="9"/>
    </row>
    <row r="985217" spans="15:15" x14ac:dyDescent="0.25">
      <c r="O985217" s="9"/>
    </row>
    <row r="985238" spans="15:15" x14ac:dyDescent="0.25">
      <c r="O985238" s="9"/>
    </row>
    <row r="985259" spans="15:15" x14ac:dyDescent="0.25">
      <c r="O985259" s="9"/>
    </row>
    <row r="985280" spans="15:15" x14ac:dyDescent="0.25">
      <c r="O985280" s="9"/>
    </row>
    <row r="985301" spans="15:15" x14ac:dyDescent="0.25">
      <c r="O985301" s="9"/>
    </row>
    <row r="985322" spans="15:15" x14ac:dyDescent="0.25">
      <c r="O985322" s="9"/>
    </row>
    <row r="985343" spans="15:15" x14ac:dyDescent="0.25">
      <c r="O985343" s="9"/>
    </row>
    <row r="985364" spans="15:15" x14ac:dyDescent="0.25">
      <c r="O985364" s="9"/>
    </row>
    <row r="985385" spans="15:15" x14ac:dyDescent="0.25">
      <c r="O985385" s="9"/>
    </row>
    <row r="985406" spans="15:15" x14ac:dyDescent="0.25">
      <c r="O985406" s="9"/>
    </row>
    <row r="985427" spans="15:15" x14ac:dyDescent="0.25">
      <c r="O985427" s="9"/>
    </row>
    <row r="985448" spans="15:15" x14ac:dyDescent="0.25">
      <c r="O985448" s="9"/>
    </row>
    <row r="985469" spans="15:15" x14ac:dyDescent="0.25">
      <c r="O985469" s="9"/>
    </row>
    <row r="985490" spans="15:15" x14ac:dyDescent="0.25">
      <c r="O985490" s="9"/>
    </row>
    <row r="985511" spans="15:15" x14ac:dyDescent="0.25">
      <c r="O985511" s="9"/>
    </row>
    <row r="985532" spans="15:15" x14ac:dyDescent="0.25">
      <c r="O985532" s="9"/>
    </row>
    <row r="985553" spans="15:15" x14ac:dyDescent="0.25">
      <c r="O985553" s="9"/>
    </row>
    <row r="985574" spans="15:15" x14ac:dyDescent="0.25">
      <c r="O985574" s="9"/>
    </row>
    <row r="985595" spans="15:15" x14ac:dyDescent="0.25">
      <c r="O985595" s="9"/>
    </row>
    <row r="985616" spans="15:15" x14ac:dyDescent="0.25">
      <c r="O985616" s="9"/>
    </row>
    <row r="985637" spans="15:15" x14ac:dyDescent="0.25">
      <c r="O985637" s="9"/>
    </row>
    <row r="985658" spans="15:15" x14ac:dyDescent="0.25">
      <c r="O985658" s="9"/>
    </row>
    <row r="985679" spans="15:15" x14ac:dyDescent="0.25">
      <c r="O985679" s="9"/>
    </row>
    <row r="985700" spans="15:15" x14ac:dyDescent="0.25">
      <c r="O985700" s="9"/>
    </row>
    <row r="985721" spans="15:15" x14ac:dyDescent="0.25">
      <c r="O985721" s="9"/>
    </row>
    <row r="985742" spans="15:15" x14ac:dyDescent="0.25">
      <c r="O985742" s="9"/>
    </row>
    <row r="985763" spans="15:15" x14ac:dyDescent="0.25">
      <c r="O985763" s="9"/>
    </row>
    <row r="985784" spans="15:15" x14ac:dyDescent="0.25">
      <c r="O985784" s="9"/>
    </row>
    <row r="985805" spans="15:15" x14ac:dyDescent="0.25">
      <c r="O985805" s="9"/>
    </row>
    <row r="985826" spans="15:15" x14ac:dyDescent="0.25">
      <c r="O985826" s="9"/>
    </row>
    <row r="985847" spans="15:15" x14ac:dyDescent="0.25">
      <c r="O985847" s="9"/>
    </row>
    <row r="985868" spans="15:15" x14ac:dyDescent="0.25">
      <c r="O985868" s="9"/>
    </row>
    <row r="985889" spans="15:15" x14ac:dyDescent="0.25">
      <c r="O985889" s="9"/>
    </row>
    <row r="985910" spans="15:15" x14ac:dyDescent="0.25">
      <c r="O985910" s="9"/>
    </row>
    <row r="985931" spans="15:15" x14ac:dyDescent="0.25">
      <c r="O985931" s="9"/>
    </row>
    <row r="985952" spans="15:15" x14ac:dyDescent="0.25">
      <c r="O985952" s="9"/>
    </row>
    <row r="985973" spans="15:15" x14ac:dyDescent="0.25">
      <c r="O985973" s="9"/>
    </row>
    <row r="985994" spans="15:15" x14ac:dyDescent="0.25">
      <c r="O985994" s="9"/>
    </row>
    <row r="986015" spans="15:15" x14ac:dyDescent="0.25">
      <c r="O986015" s="9"/>
    </row>
    <row r="986036" spans="15:15" x14ac:dyDescent="0.25">
      <c r="O986036" s="9"/>
    </row>
    <row r="986057" spans="15:15" x14ac:dyDescent="0.25">
      <c r="O986057" s="9"/>
    </row>
    <row r="986078" spans="15:15" x14ac:dyDescent="0.25">
      <c r="O986078" s="9"/>
    </row>
    <row r="986099" spans="15:15" x14ac:dyDescent="0.25">
      <c r="O986099" s="9"/>
    </row>
    <row r="986120" spans="15:15" x14ac:dyDescent="0.25">
      <c r="O986120" s="9"/>
    </row>
    <row r="986141" spans="15:15" x14ac:dyDescent="0.25">
      <c r="O986141" s="9"/>
    </row>
    <row r="986162" spans="15:15" x14ac:dyDescent="0.25">
      <c r="O986162" s="9"/>
    </row>
    <row r="986183" spans="15:15" x14ac:dyDescent="0.25">
      <c r="O986183" s="9"/>
    </row>
    <row r="986204" spans="15:15" x14ac:dyDescent="0.25">
      <c r="O986204" s="9"/>
    </row>
    <row r="986225" spans="15:15" x14ac:dyDescent="0.25">
      <c r="O986225" s="9"/>
    </row>
    <row r="986246" spans="15:15" x14ac:dyDescent="0.25">
      <c r="O986246" s="9"/>
    </row>
    <row r="986267" spans="15:15" x14ac:dyDescent="0.25">
      <c r="O986267" s="9"/>
    </row>
    <row r="986288" spans="15:15" x14ac:dyDescent="0.25">
      <c r="O986288" s="9"/>
    </row>
    <row r="986309" spans="15:15" x14ac:dyDescent="0.25">
      <c r="O986309" s="9"/>
    </row>
    <row r="986330" spans="15:15" x14ac:dyDescent="0.25">
      <c r="O986330" s="9"/>
    </row>
    <row r="986351" spans="15:15" x14ac:dyDescent="0.25">
      <c r="O986351" s="9"/>
    </row>
    <row r="986372" spans="15:15" x14ac:dyDescent="0.25">
      <c r="O986372" s="9"/>
    </row>
    <row r="986393" spans="15:15" x14ac:dyDescent="0.25">
      <c r="O986393" s="9"/>
    </row>
    <row r="986414" spans="15:15" x14ac:dyDescent="0.25">
      <c r="O986414" s="9"/>
    </row>
    <row r="986435" spans="15:15" x14ac:dyDescent="0.25">
      <c r="O986435" s="9"/>
    </row>
    <row r="986456" spans="15:15" x14ac:dyDescent="0.25">
      <c r="O986456" s="9"/>
    </row>
    <row r="986477" spans="15:15" x14ac:dyDescent="0.25">
      <c r="O986477" s="9"/>
    </row>
    <row r="986498" spans="15:15" x14ac:dyDescent="0.25">
      <c r="O986498" s="9"/>
    </row>
    <row r="986519" spans="15:15" x14ac:dyDescent="0.25">
      <c r="O986519" s="9"/>
    </row>
    <row r="986540" spans="15:15" x14ac:dyDescent="0.25">
      <c r="O986540" s="9"/>
    </row>
    <row r="986561" spans="15:15" x14ac:dyDescent="0.25">
      <c r="O986561" s="9"/>
    </row>
    <row r="986582" spans="15:15" x14ac:dyDescent="0.25">
      <c r="O986582" s="9"/>
    </row>
    <row r="986603" spans="15:15" x14ac:dyDescent="0.25">
      <c r="O986603" s="9"/>
    </row>
    <row r="986624" spans="15:15" x14ac:dyDescent="0.25">
      <c r="O986624" s="9"/>
    </row>
    <row r="986645" spans="15:15" x14ac:dyDescent="0.25">
      <c r="O986645" s="9"/>
    </row>
    <row r="986666" spans="15:15" x14ac:dyDescent="0.25">
      <c r="O986666" s="9"/>
    </row>
    <row r="986687" spans="15:15" x14ac:dyDescent="0.25">
      <c r="O986687" s="9"/>
    </row>
    <row r="986708" spans="15:15" x14ac:dyDescent="0.25">
      <c r="O986708" s="9"/>
    </row>
    <row r="986729" spans="15:15" x14ac:dyDescent="0.25">
      <c r="O986729" s="9"/>
    </row>
    <row r="986750" spans="15:15" x14ac:dyDescent="0.25">
      <c r="O986750" s="9"/>
    </row>
    <row r="986771" spans="15:15" x14ac:dyDescent="0.25">
      <c r="O986771" s="9"/>
    </row>
    <row r="986792" spans="15:15" x14ac:dyDescent="0.25">
      <c r="O986792" s="9"/>
    </row>
    <row r="986813" spans="15:15" x14ac:dyDescent="0.25">
      <c r="O986813" s="9"/>
    </row>
    <row r="986834" spans="15:15" x14ac:dyDescent="0.25">
      <c r="O986834" s="9"/>
    </row>
    <row r="986855" spans="15:15" x14ac:dyDescent="0.25">
      <c r="O986855" s="9"/>
    </row>
    <row r="986876" spans="15:15" x14ac:dyDescent="0.25">
      <c r="O986876" s="9"/>
    </row>
    <row r="986897" spans="15:15" x14ac:dyDescent="0.25">
      <c r="O986897" s="9"/>
    </row>
    <row r="986918" spans="15:15" x14ac:dyDescent="0.25">
      <c r="O986918" s="9"/>
    </row>
    <row r="986939" spans="15:15" x14ac:dyDescent="0.25">
      <c r="O986939" s="9"/>
    </row>
    <row r="986960" spans="15:15" x14ac:dyDescent="0.25">
      <c r="O986960" s="9"/>
    </row>
    <row r="986981" spans="15:15" x14ac:dyDescent="0.25">
      <c r="O986981" s="9"/>
    </row>
    <row r="987002" spans="15:15" x14ac:dyDescent="0.25">
      <c r="O987002" s="9"/>
    </row>
    <row r="987023" spans="15:15" x14ac:dyDescent="0.25">
      <c r="O987023" s="9"/>
    </row>
    <row r="987044" spans="15:15" x14ac:dyDescent="0.25">
      <c r="O987044" s="9"/>
    </row>
    <row r="987065" spans="15:15" x14ac:dyDescent="0.25">
      <c r="O987065" s="9"/>
    </row>
    <row r="987086" spans="15:15" x14ac:dyDescent="0.25">
      <c r="O987086" s="9"/>
    </row>
    <row r="987107" spans="15:15" x14ac:dyDescent="0.25">
      <c r="O987107" s="9"/>
    </row>
    <row r="987128" spans="15:15" x14ac:dyDescent="0.25">
      <c r="O987128" s="9"/>
    </row>
    <row r="987149" spans="15:15" x14ac:dyDescent="0.25">
      <c r="O987149" s="9"/>
    </row>
    <row r="987170" spans="15:15" x14ac:dyDescent="0.25">
      <c r="O987170" s="9"/>
    </row>
    <row r="987191" spans="15:15" x14ac:dyDescent="0.25">
      <c r="O987191" s="9"/>
    </row>
    <row r="987212" spans="15:15" x14ac:dyDescent="0.25">
      <c r="O987212" s="9"/>
    </row>
    <row r="987233" spans="15:15" x14ac:dyDescent="0.25">
      <c r="O987233" s="9"/>
    </row>
    <row r="987254" spans="15:15" x14ac:dyDescent="0.25">
      <c r="O987254" s="9"/>
    </row>
    <row r="987275" spans="15:15" x14ac:dyDescent="0.25">
      <c r="O987275" s="9"/>
    </row>
    <row r="987296" spans="15:15" x14ac:dyDescent="0.25">
      <c r="O987296" s="9"/>
    </row>
    <row r="987317" spans="15:15" x14ac:dyDescent="0.25">
      <c r="O987317" s="9"/>
    </row>
    <row r="987338" spans="15:15" x14ac:dyDescent="0.25">
      <c r="O987338" s="9"/>
    </row>
    <row r="987359" spans="15:15" x14ac:dyDescent="0.25">
      <c r="O987359" s="9"/>
    </row>
    <row r="987380" spans="15:15" x14ac:dyDescent="0.25">
      <c r="O987380" s="9"/>
    </row>
    <row r="987401" spans="15:15" x14ac:dyDescent="0.25">
      <c r="O987401" s="9"/>
    </row>
    <row r="987422" spans="15:15" x14ac:dyDescent="0.25">
      <c r="O987422" s="9"/>
    </row>
    <row r="987443" spans="15:15" x14ac:dyDescent="0.25">
      <c r="O987443" s="9"/>
    </row>
    <row r="987464" spans="15:15" x14ac:dyDescent="0.25">
      <c r="O987464" s="9"/>
    </row>
    <row r="987485" spans="15:15" x14ac:dyDescent="0.25">
      <c r="O987485" s="9"/>
    </row>
    <row r="987506" spans="15:15" x14ac:dyDescent="0.25">
      <c r="O987506" s="9"/>
    </row>
    <row r="987527" spans="15:15" x14ac:dyDescent="0.25">
      <c r="O987527" s="9"/>
    </row>
    <row r="987548" spans="15:15" x14ac:dyDescent="0.25">
      <c r="O987548" s="9"/>
    </row>
    <row r="987569" spans="15:15" x14ac:dyDescent="0.25">
      <c r="O987569" s="9"/>
    </row>
    <row r="987590" spans="15:15" x14ac:dyDescent="0.25">
      <c r="O987590" s="9"/>
    </row>
    <row r="987611" spans="15:15" x14ac:dyDescent="0.25">
      <c r="O987611" s="9"/>
    </row>
    <row r="987632" spans="15:15" x14ac:dyDescent="0.25">
      <c r="O987632" s="9"/>
    </row>
    <row r="987653" spans="15:15" x14ac:dyDescent="0.25">
      <c r="O987653" s="9"/>
    </row>
    <row r="987674" spans="15:15" x14ac:dyDescent="0.25">
      <c r="O987674" s="9"/>
    </row>
    <row r="987695" spans="15:15" x14ac:dyDescent="0.25">
      <c r="O987695" s="9"/>
    </row>
    <row r="987716" spans="15:15" x14ac:dyDescent="0.25">
      <c r="O987716" s="9"/>
    </row>
    <row r="987737" spans="15:15" x14ac:dyDescent="0.25">
      <c r="O987737" s="9"/>
    </row>
    <row r="987758" spans="15:15" x14ac:dyDescent="0.25">
      <c r="O987758" s="9"/>
    </row>
    <row r="987779" spans="15:15" x14ac:dyDescent="0.25">
      <c r="O987779" s="9"/>
    </row>
    <row r="987800" spans="15:15" x14ac:dyDescent="0.25">
      <c r="O987800" s="9"/>
    </row>
    <row r="987821" spans="15:15" x14ac:dyDescent="0.25">
      <c r="O987821" s="9"/>
    </row>
    <row r="987842" spans="15:15" x14ac:dyDescent="0.25">
      <c r="O987842" s="9"/>
    </row>
    <row r="987863" spans="15:15" x14ac:dyDescent="0.25">
      <c r="O987863" s="9"/>
    </row>
    <row r="987884" spans="15:15" x14ac:dyDescent="0.25">
      <c r="O987884" s="9"/>
    </row>
    <row r="987905" spans="15:15" x14ac:dyDescent="0.25">
      <c r="O987905" s="9"/>
    </row>
    <row r="987926" spans="15:15" x14ac:dyDescent="0.25">
      <c r="O987926" s="9"/>
    </row>
    <row r="987947" spans="15:15" x14ac:dyDescent="0.25">
      <c r="O987947" s="9"/>
    </row>
    <row r="987968" spans="15:15" x14ac:dyDescent="0.25">
      <c r="O987968" s="9"/>
    </row>
    <row r="987989" spans="15:15" x14ac:dyDescent="0.25">
      <c r="O987989" s="9"/>
    </row>
    <row r="988010" spans="15:15" x14ac:dyDescent="0.25">
      <c r="O988010" s="9"/>
    </row>
    <row r="988031" spans="15:15" x14ac:dyDescent="0.25">
      <c r="O988031" s="9"/>
    </row>
    <row r="988052" spans="15:15" x14ac:dyDescent="0.25">
      <c r="O988052" s="9"/>
    </row>
    <row r="988073" spans="15:15" x14ac:dyDescent="0.25">
      <c r="O988073" s="9"/>
    </row>
    <row r="988094" spans="15:15" x14ac:dyDescent="0.25">
      <c r="O988094" s="9"/>
    </row>
    <row r="988115" spans="15:15" x14ac:dyDescent="0.25">
      <c r="O988115" s="9"/>
    </row>
    <row r="988136" spans="15:15" x14ac:dyDescent="0.25">
      <c r="O988136" s="9"/>
    </row>
    <row r="988157" spans="15:15" x14ac:dyDescent="0.25">
      <c r="O988157" s="9"/>
    </row>
    <row r="988178" spans="15:15" x14ac:dyDescent="0.25">
      <c r="O988178" s="9"/>
    </row>
    <row r="988199" spans="15:15" x14ac:dyDescent="0.25">
      <c r="O988199" s="9"/>
    </row>
    <row r="988220" spans="15:15" x14ac:dyDescent="0.25">
      <c r="O988220" s="9"/>
    </row>
    <row r="988241" spans="15:15" x14ac:dyDescent="0.25">
      <c r="O988241" s="9"/>
    </row>
    <row r="988262" spans="15:15" x14ac:dyDescent="0.25">
      <c r="O988262" s="9"/>
    </row>
    <row r="988283" spans="15:15" x14ac:dyDescent="0.25">
      <c r="O988283" s="9"/>
    </row>
    <row r="988304" spans="15:15" x14ac:dyDescent="0.25">
      <c r="O988304" s="9"/>
    </row>
    <row r="988325" spans="15:15" x14ac:dyDescent="0.25">
      <c r="O988325" s="9"/>
    </row>
    <row r="988346" spans="15:15" x14ac:dyDescent="0.25">
      <c r="O988346" s="9"/>
    </row>
    <row r="988367" spans="15:15" x14ac:dyDescent="0.25">
      <c r="O988367" s="9"/>
    </row>
    <row r="988388" spans="15:15" x14ac:dyDescent="0.25">
      <c r="O988388" s="9"/>
    </row>
    <row r="988409" spans="15:15" x14ac:dyDescent="0.25">
      <c r="O988409" s="9"/>
    </row>
    <row r="988430" spans="15:15" x14ac:dyDescent="0.25">
      <c r="O988430" s="9"/>
    </row>
    <row r="988451" spans="15:15" x14ac:dyDescent="0.25">
      <c r="O988451" s="9"/>
    </row>
    <row r="988472" spans="15:15" x14ac:dyDescent="0.25">
      <c r="O988472" s="9"/>
    </row>
    <row r="988493" spans="15:15" x14ac:dyDescent="0.25">
      <c r="O988493" s="9"/>
    </row>
    <row r="988514" spans="15:15" x14ac:dyDescent="0.25">
      <c r="O988514" s="9"/>
    </row>
    <row r="988535" spans="15:15" x14ac:dyDescent="0.25">
      <c r="O988535" s="9"/>
    </row>
    <row r="988556" spans="15:15" x14ac:dyDescent="0.25">
      <c r="O988556" s="9"/>
    </row>
    <row r="988577" spans="15:15" x14ac:dyDescent="0.25">
      <c r="O988577" s="9"/>
    </row>
    <row r="988598" spans="15:15" x14ac:dyDescent="0.25">
      <c r="O988598" s="9"/>
    </row>
    <row r="988619" spans="15:15" x14ac:dyDescent="0.25">
      <c r="O988619" s="9"/>
    </row>
    <row r="988640" spans="15:15" x14ac:dyDescent="0.25">
      <c r="O988640" s="9"/>
    </row>
    <row r="988661" spans="15:15" x14ac:dyDescent="0.25">
      <c r="O988661" s="9"/>
    </row>
    <row r="988682" spans="15:15" x14ac:dyDescent="0.25">
      <c r="O988682" s="9"/>
    </row>
    <row r="988703" spans="15:15" x14ac:dyDescent="0.25">
      <c r="O988703" s="9"/>
    </row>
    <row r="988724" spans="15:15" x14ac:dyDescent="0.25">
      <c r="O988724" s="9"/>
    </row>
    <row r="988745" spans="15:15" x14ac:dyDescent="0.25">
      <c r="O988745" s="9"/>
    </row>
    <row r="988766" spans="15:15" x14ac:dyDescent="0.25">
      <c r="O988766" s="9"/>
    </row>
    <row r="988787" spans="15:15" x14ac:dyDescent="0.25">
      <c r="O988787" s="9"/>
    </row>
    <row r="988808" spans="15:15" x14ac:dyDescent="0.25">
      <c r="O988808" s="9"/>
    </row>
    <row r="988829" spans="15:15" x14ac:dyDescent="0.25">
      <c r="O988829" s="9"/>
    </row>
    <row r="988850" spans="15:15" x14ac:dyDescent="0.25">
      <c r="O988850" s="9"/>
    </row>
    <row r="988871" spans="15:15" x14ac:dyDescent="0.25">
      <c r="O988871" s="9"/>
    </row>
    <row r="988892" spans="15:15" x14ac:dyDescent="0.25">
      <c r="O988892" s="9"/>
    </row>
    <row r="988913" spans="15:15" x14ac:dyDescent="0.25">
      <c r="O988913" s="9"/>
    </row>
    <row r="988934" spans="15:15" x14ac:dyDescent="0.25">
      <c r="O988934" s="9"/>
    </row>
    <row r="988955" spans="15:15" x14ac:dyDescent="0.25">
      <c r="O988955" s="9"/>
    </row>
    <row r="988976" spans="15:15" x14ac:dyDescent="0.25">
      <c r="O988976" s="9"/>
    </row>
    <row r="988997" spans="15:15" x14ac:dyDescent="0.25">
      <c r="O988997" s="9"/>
    </row>
    <row r="989018" spans="15:15" x14ac:dyDescent="0.25">
      <c r="O989018" s="9"/>
    </row>
    <row r="989039" spans="15:15" x14ac:dyDescent="0.25">
      <c r="O989039" s="9"/>
    </row>
    <row r="989060" spans="15:15" x14ac:dyDescent="0.25">
      <c r="O989060" s="9"/>
    </row>
    <row r="989081" spans="15:15" x14ac:dyDescent="0.25">
      <c r="O989081" s="9"/>
    </row>
    <row r="989102" spans="15:15" x14ac:dyDescent="0.25">
      <c r="O989102" s="9"/>
    </row>
    <row r="989123" spans="15:15" x14ac:dyDescent="0.25">
      <c r="O989123" s="9"/>
    </row>
    <row r="989144" spans="15:15" x14ac:dyDescent="0.25">
      <c r="O989144" s="9"/>
    </row>
    <row r="989165" spans="15:15" x14ac:dyDescent="0.25">
      <c r="O989165" s="9"/>
    </row>
    <row r="989186" spans="15:15" x14ac:dyDescent="0.25">
      <c r="O989186" s="9"/>
    </row>
    <row r="989207" spans="15:15" x14ac:dyDescent="0.25">
      <c r="O989207" s="9"/>
    </row>
    <row r="989228" spans="15:15" x14ac:dyDescent="0.25">
      <c r="O989228" s="9"/>
    </row>
    <row r="989249" spans="15:15" x14ac:dyDescent="0.25">
      <c r="O989249" s="9"/>
    </row>
    <row r="989270" spans="15:15" x14ac:dyDescent="0.25">
      <c r="O989270" s="9"/>
    </row>
    <row r="989291" spans="15:15" x14ac:dyDescent="0.25">
      <c r="O989291" s="9"/>
    </row>
    <row r="989312" spans="15:15" x14ac:dyDescent="0.25">
      <c r="O989312" s="9"/>
    </row>
    <row r="989333" spans="15:15" x14ac:dyDescent="0.25">
      <c r="O989333" s="9"/>
    </row>
    <row r="989354" spans="15:15" x14ac:dyDescent="0.25">
      <c r="O989354" s="9"/>
    </row>
    <row r="989375" spans="15:15" x14ac:dyDescent="0.25">
      <c r="O989375" s="9"/>
    </row>
    <row r="989396" spans="15:15" x14ac:dyDescent="0.25">
      <c r="O989396" s="9"/>
    </row>
    <row r="989417" spans="15:15" x14ac:dyDescent="0.25">
      <c r="O989417" s="9"/>
    </row>
    <row r="989438" spans="15:15" x14ac:dyDescent="0.25">
      <c r="O989438" s="9"/>
    </row>
    <row r="989459" spans="15:15" x14ac:dyDescent="0.25">
      <c r="O989459" s="9"/>
    </row>
    <row r="989480" spans="15:15" x14ac:dyDescent="0.25">
      <c r="O989480" s="9"/>
    </row>
    <row r="989501" spans="15:15" x14ac:dyDescent="0.25">
      <c r="O989501" s="9"/>
    </row>
    <row r="989522" spans="15:15" x14ac:dyDescent="0.25">
      <c r="O989522" s="9"/>
    </row>
    <row r="989543" spans="15:15" x14ac:dyDescent="0.25">
      <c r="O989543" s="9"/>
    </row>
    <row r="989564" spans="15:15" x14ac:dyDescent="0.25">
      <c r="O989564" s="9"/>
    </row>
    <row r="989585" spans="15:15" x14ac:dyDescent="0.25">
      <c r="O989585" s="9"/>
    </row>
    <row r="989606" spans="15:15" x14ac:dyDescent="0.25">
      <c r="O989606" s="9"/>
    </row>
    <row r="989627" spans="15:15" x14ac:dyDescent="0.25">
      <c r="O989627" s="9"/>
    </row>
    <row r="989648" spans="15:15" x14ac:dyDescent="0.25">
      <c r="O989648" s="9"/>
    </row>
    <row r="989669" spans="15:15" x14ac:dyDescent="0.25">
      <c r="O989669" s="9"/>
    </row>
    <row r="989690" spans="15:15" x14ac:dyDescent="0.25">
      <c r="O989690" s="9"/>
    </row>
    <row r="989711" spans="15:15" x14ac:dyDescent="0.25">
      <c r="O989711" s="9"/>
    </row>
    <row r="989732" spans="15:15" x14ac:dyDescent="0.25">
      <c r="O989732" s="9"/>
    </row>
    <row r="989753" spans="15:15" x14ac:dyDescent="0.25">
      <c r="O989753" s="9"/>
    </row>
    <row r="989774" spans="15:15" x14ac:dyDescent="0.25">
      <c r="O989774" s="9"/>
    </row>
    <row r="989795" spans="15:15" x14ac:dyDescent="0.25">
      <c r="O989795" s="9"/>
    </row>
    <row r="989816" spans="15:15" x14ac:dyDescent="0.25">
      <c r="O989816" s="9"/>
    </row>
    <row r="989837" spans="15:15" x14ac:dyDescent="0.25">
      <c r="O989837" s="9"/>
    </row>
    <row r="989858" spans="15:15" x14ac:dyDescent="0.25">
      <c r="O989858" s="9"/>
    </row>
    <row r="989879" spans="15:15" x14ac:dyDescent="0.25">
      <c r="O989879" s="9"/>
    </row>
    <row r="989900" spans="15:15" x14ac:dyDescent="0.25">
      <c r="O989900" s="9"/>
    </row>
    <row r="989921" spans="15:15" x14ac:dyDescent="0.25">
      <c r="O989921" s="9"/>
    </row>
    <row r="989942" spans="15:15" x14ac:dyDescent="0.25">
      <c r="O989942" s="9"/>
    </row>
    <row r="989963" spans="15:15" x14ac:dyDescent="0.25">
      <c r="O989963" s="9"/>
    </row>
    <row r="989984" spans="15:15" x14ac:dyDescent="0.25">
      <c r="O989984" s="9"/>
    </row>
    <row r="990005" spans="15:15" x14ac:dyDescent="0.25">
      <c r="O990005" s="9"/>
    </row>
    <row r="990026" spans="15:15" x14ac:dyDescent="0.25">
      <c r="O990026" s="9"/>
    </row>
    <row r="990047" spans="15:15" x14ac:dyDescent="0.25">
      <c r="O990047" s="9"/>
    </row>
    <row r="990068" spans="15:15" x14ac:dyDescent="0.25">
      <c r="O990068" s="9"/>
    </row>
    <row r="990089" spans="15:15" x14ac:dyDescent="0.25">
      <c r="O990089" s="9"/>
    </row>
    <row r="990110" spans="15:15" x14ac:dyDescent="0.25">
      <c r="O990110" s="9"/>
    </row>
    <row r="990131" spans="15:15" x14ac:dyDescent="0.25">
      <c r="O990131" s="9"/>
    </row>
    <row r="990152" spans="15:15" x14ac:dyDescent="0.25">
      <c r="O990152" s="9"/>
    </row>
    <row r="990173" spans="15:15" x14ac:dyDescent="0.25">
      <c r="O990173" s="9"/>
    </row>
    <row r="990194" spans="15:15" x14ac:dyDescent="0.25">
      <c r="O990194" s="9"/>
    </row>
    <row r="990215" spans="15:15" x14ac:dyDescent="0.25">
      <c r="O990215" s="9"/>
    </row>
    <row r="990236" spans="15:15" x14ac:dyDescent="0.25">
      <c r="O990236" s="9"/>
    </row>
    <row r="990257" spans="15:15" x14ac:dyDescent="0.25">
      <c r="O990257" s="9"/>
    </row>
    <row r="990278" spans="15:15" x14ac:dyDescent="0.25">
      <c r="O990278" s="9"/>
    </row>
    <row r="990299" spans="15:15" x14ac:dyDescent="0.25">
      <c r="O990299" s="9"/>
    </row>
    <row r="990320" spans="15:15" x14ac:dyDescent="0.25">
      <c r="O990320" s="9"/>
    </row>
    <row r="990341" spans="15:15" x14ac:dyDescent="0.25">
      <c r="O990341" s="9"/>
    </row>
    <row r="990362" spans="15:15" x14ac:dyDescent="0.25">
      <c r="O990362" s="9"/>
    </row>
    <row r="990383" spans="15:15" x14ac:dyDescent="0.25">
      <c r="O990383" s="9"/>
    </row>
    <row r="990404" spans="15:15" x14ac:dyDescent="0.25">
      <c r="O990404" s="9"/>
    </row>
    <row r="990425" spans="15:15" x14ac:dyDescent="0.25">
      <c r="O990425" s="9"/>
    </row>
    <row r="990446" spans="15:15" x14ac:dyDescent="0.25">
      <c r="O990446" s="9"/>
    </row>
    <row r="990467" spans="15:15" x14ac:dyDescent="0.25">
      <c r="O990467" s="9"/>
    </row>
    <row r="990488" spans="15:15" x14ac:dyDescent="0.25">
      <c r="O990488" s="9"/>
    </row>
    <row r="990509" spans="15:15" x14ac:dyDescent="0.25">
      <c r="O990509" s="9"/>
    </row>
    <row r="990530" spans="15:15" x14ac:dyDescent="0.25">
      <c r="O990530" s="9"/>
    </row>
    <row r="990551" spans="15:15" x14ac:dyDescent="0.25">
      <c r="O990551" s="9"/>
    </row>
    <row r="990572" spans="15:15" x14ac:dyDescent="0.25">
      <c r="O990572" s="9"/>
    </row>
    <row r="990593" spans="15:15" x14ac:dyDescent="0.25">
      <c r="O990593" s="9"/>
    </row>
    <row r="990614" spans="15:15" x14ac:dyDescent="0.25">
      <c r="O990614" s="9"/>
    </row>
    <row r="990635" spans="15:15" x14ac:dyDescent="0.25">
      <c r="O990635" s="9"/>
    </row>
    <row r="990656" spans="15:15" x14ac:dyDescent="0.25">
      <c r="O990656" s="9"/>
    </row>
    <row r="990677" spans="15:15" x14ac:dyDescent="0.25">
      <c r="O990677" s="9"/>
    </row>
    <row r="990698" spans="15:15" x14ac:dyDescent="0.25">
      <c r="O990698" s="9"/>
    </row>
    <row r="990719" spans="15:15" x14ac:dyDescent="0.25">
      <c r="O990719" s="9"/>
    </row>
    <row r="990740" spans="15:15" x14ac:dyDescent="0.25">
      <c r="O990740" s="9"/>
    </row>
    <row r="990761" spans="15:15" x14ac:dyDescent="0.25">
      <c r="O990761" s="9"/>
    </row>
    <row r="990782" spans="15:15" x14ac:dyDescent="0.25">
      <c r="O990782" s="9"/>
    </row>
    <row r="990803" spans="15:15" x14ac:dyDescent="0.25">
      <c r="O990803" s="9"/>
    </row>
    <row r="990824" spans="15:15" x14ac:dyDescent="0.25">
      <c r="O990824" s="9"/>
    </row>
    <row r="990845" spans="15:15" x14ac:dyDescent="0.25">
      <c r="O990845" s="9"/>
    </row>
    <row r="990866" spans="15:15" x14ac:dyDescent="0.25">
      <c r="O990866" s="9"/>
    </row>
    <row r="990887" spans="15:15" x14ac:dyDescent="0.25">
      <c r="O990887" s="9"/>
    </row>
    <row r="990908" spans="15:15" x14ac:dyDescent="0.25">
      <c r="O990908" s="9"/>
    </row>
    <row r="990929" spans="15:15" x14ac:dyDescent="0.25">
      <c r="O990929" s="9"/>
    </row>
    <row r="990950" spans="15:15" x14ac:dyDescent="0.25">
      <c r="O990950" s="9"/>
    </row>
    <row r="990971" spans="15:15" x14ac:dyDescent="0.25">
      <c r="O990971" s="9"/>
    </row>
    <row r="990992" spans="15:15" x14ac:dyDescent="0.25">
      <c r="O990992" s="9"/>
    </row>
    <row r="991013" spans="15:15" x14ac:dyDescent="0.25">
      <c r="O991013" s="9"/>
    </row>
    <row r="991034" spans="15:15" x14ac:dyDescent="0.25">
      <c r="O991034" s="9"/>
    </row>
    <row r="991055" spans="15:15" x14ac:dyDescent="0.25">
      <c r="O991055" s="9"/>
    </row>
    <row r="991076" spans="15:15" x14ac:dyDescent="0.25">
      <c r="O991076" s="9"/>
    </row>
    <row r="991097" spans="15:15" x14ac:dyDescent="0.25">
      <c r="O991097" s="9"/>
    </row>
    <row r="991118" spans="15:15" x14ac:dyDescent="0.25">
      <c r="O991118" s="9"/>
    </row>
    <row r="991139" spans="15:15" x14ac:dyDescent="0.25">
      <c r="O991139" s="9"/>
    </row>
    <row r="991160" spans="15:15" x14ac:dyDescent="0.25">
      <c r="O991160" s="9"/>
    </row>
    <row r="991181" spans="15:15" x14ac:dyDescent="0.25">
      <c r="O991181" s="9"/>
    </row>
    <row r="991202" spans="15:15" x14ac:dyDescent="0.25">
      <c r="O991202" s="9"/>
    </row>
    <row r="991223" spans="15:15" x14ac:dyDescent="0.25">
      <c r="O991223" s="9"/>
    </row>
    <row r="991244" spans="15:15" x14ac:dyDescent="0.25">
      <c r="O991244" s="9"/>
    </row>
    <row r="991265" spans="15:15" x14ac:dyDescent="0.25">
      <c r="O991265" s="9"/>
    </row>
    <row r="991286" spans="15:15" x14ac:dyDescent="0.25">
      <c r="O991286" s="9"/>
    </row>
    <row r="991307" spans="15:15" x14ac:dyDescent="0.25">
      <c r="O991307" s="9"/>
    </row>
    <row r="991328" spans="15:15" x14ac:dyDescent="0.25">
      <c r="O991328" s="9"/>
    </row>
    <row r="991349" spans="15:15" x14ac:dyDescent="0.25">
      <c r="O991349" s="9"/>
    </row>
    <row r="991370" spans="15:15" x14ac:dyDescent="0.25">
      <c r="O991370" s="9"/>
    </row>
    <row r="991391" spans="15:15" x14ac:dyDescent="0.25">
      <c r="O991391" s="9"/>
    </row>
    <row r="991412" spans="15:15" x14ac:dyDescent="0.25">
      <c r="O991412" s="9"/>
    </row>
    <row r="991433" spans="15:15" x14ac:dyDescent="0.25">
      <c r="O991433" s="9"/>
    </row>
    <row r="991454" spans="15:15" x14ac:dyDescent="0.25">
      <c r="O991454" s="9"/>
    </row>
    <row r="991475" spans="15:15" x14ac:dyDescent="0.25">
      <c r="O991475" s="9"/>
    </row>
    <row r="991496" spans="15:15" x14ac:dyDescent="0.25">
      <c r="O991496" s="9"/>
    </row>
    <row r="991517" spans="15:15" x14ac:dyDescent="0.25">
      <c r="O991517" s="9"/>
    </row>
    <row r="991538" spans="15:15" x14ac:dyDescent="0.25">
      <c r="O991538" s="9"/>
    </row>
    <row r="991559" spans="15:15" x14ac:dyDescent="0.25">
      <c r="O991559" s="9"/>
    </row>
    <row r="991580" spans="15:15" x14ac:dyDescent="0.25">
      <c r="O991580" s="9"/>
    </row>
    <row r="991601" spans="15:15" x14ac:dyDescent="0.25">
      <c r="O991601" s="9"/>
    </row>
    <row r="991622" spans="15:15" x14ac:dyDescent="0.25">
      <c r="O991622" s="9"/>
    </row>
    <row r="991643" spans="15:15" x14ac:dyDescent="0.25">
      <c r="O991643" s="9"/>
    </row>
    <row r="991664" spans="15:15" x14ac:dyDescent="0.25">
      <c r="O991664" s="9"/>
    </row>
    <row r="991685" spans="15:15" x14ac:dyDescent="0.25">
      <c r="O991685" s="9"/>
    </row>
    <row r="991706" spans="15:15" x14ac:dyDescent="0.25">
      <c r="O991706" s="9"/>
    </row>
    <row r="991727" spans="15:15" x14ac:dyDescent="0.25">
      <c r="O991727" s="9"/>
    </row>
    <row r="991748" spans="15:15" x14ac:dyDescent="0.25">
      <c r="O991748" s="9"/>
    </row>
    <row r="991769" spans="15:15" x14ac:dyDescent="0.25">
      <c r="O991769" s="9"/>
    </row>
    <row r="991790" spans="15:15" x14ac:dyDescent="0.25">
      <c r="O991790" s="9"/>
    </row>
    <row r="991811" spans="15:15" x14ac:dyDescent="0.25">
      <c r="O991811" s="9"/>
    </row>
    <row r="991832" spans="15:15" x14ac:dyDescent="0.25">
      <c r="O991832" s="9"/>
    </row>
    <row r="991853" spans="15:15" x14ac:dyDescent="0.25">
      <c r="O991853" s="9"/>
    </row>
    <row r="991874" spans="15:15" x14ac:dyDescent="0.25">
      <c r="O991874" s="9"/>
    </row>
    <row r="991895" spans="15:15" x14ac:dyDescent="0.25">
      <c r="O991895" s="9"/>
    </row>
    <row r="991916" spans="15:15" x14ac:dyDescent="0.25">
      <c r="O991916" s="9"/>
    </row>
    <row r="991937" spans="15:15" x14ac:dyDescent="0.25">
      <c r="O991937" s="9"/>
    </row>
    <row r="991958" spans="15:15" x14ac:dyDescent="0.25">
      <c r="O991958" s="9"/>
    </row>
    <row r="991979" spans="15:15" x14ac:dyDescent="0.25">
      <c r="O991979" s="9"/>
    </row>
    <row r="992000" spans="15:15" x14ac:dyDescent="0.25">
      <c r="O992000" s="9"/>
    </row>
    <row r="992021" spans="15:15" x14ac:dyDescent="0.25">
      <c r="O992021" s="9"/>
    </row>
    <row r="992042" spans="15:15" x14ac:dyDescent="0.25">
      <c r="O992042" s="9"/>
    </row>
    <row r="992063" spans="15:15" x14ac:dyDescent="0.25">
      <c r="O992063" s="9"/>
    </row>
    <row r="992084" spans="15:15" x14ac:dyDescent="0.25">
      <c r="O992084" s="9"/>
    </row>
    <row r="992105" spans="15:15" x14ac:dyDescent="0.25">
      <c r="O992105" s="9"/>
    </row>
    <row r="992126" spans="15:15" x14ac:dyDescent="0.25">
      <c r="O992126" s="9"/>
    </row>
    <row r="992147" spans="15:15" x14ac:dyDescent="0.25">
      <c r="O992147" s="9"/>
    </row>
    <row r="992168" spans="15:15" x14ac:dyDescent="0.25">
      <c r="O992168" s="9"/>
    </row>
    <row r="992189" spans="15:15" x14ac:dyDescent="0.25">
      <c r="O992189" s="9"/>
    </row>
    <row r="992210" spans="15:15" x14ac:dyDescent="0.25">
      <c r="O992210" s="9"/>
    </row>
    <row r="992231" spans="15:15" x14ac:dyDescent="0.25">
      <c r="O992231" s="9"/>
    </row>
    <row r="992252" spans="15:15" x14ac:dyDescent="0.25">
      <c r="O992252" s="9"/>
    </row>
    <row r="992273" spans="15:15" x14ac:dyDescent="0.25">
      <c r="O992273" s="9"/>
    </row>
    <row r="992294" spans="15:15" x14ac:dyDescent="0.25">
      <c r="O992294" s="9"/>
    </row>
    <row r="992315" spans="15:15" x14ac:dyDescent="0.25">
      <c r="O992315" s="9"/>
    </row>
    <row r="992336" spans="15:15" x14ac:dyDescent="0.25">
      <c r="O992336" s="9"/>
    </row>
    <row r="992357" spans="15:15" x14ac:dyDescent="0.25">
      <c r="O992357" s="9"/>
    </row>
    <row r="992378" spans="15:15" x14ac:dyDescent="0.25">
      <c r="O992378" s="9"/>
    </row>
    <row r="992399" spans="15:15" x14ac:dyDescent="0.25">
      <c r="O992399" s="9"/>
    </row>
    <row r="992420" spans="15:15" x14ac:dyDescent="0.25">
      <c r="O992420" s="9"/>
    </row>
    <row r="992441" spans="15:15" x14ac:dyDescent="0.25">
      <c r="O992441" s="9"/>
    </row>
    <row r="992462" spans="15:15" x14ac:dyDescent="0.25">
      <c r="O992462" s="9"/>
    </row>
    <row r="992483" spans="15:15" x14ac:dyDescent="0.25">
      <c r="O992483" s="9"/>
    </row>
    <row r="992504" spans="15:15" x14ac:dyDescent="0.25">
      <c r="O992504" s="9"/>
    </row>
    <row r="992525" spans="15:15" x14ac:dyDescent="0.25">
      <c r="O992525" s="9"/>
    </row>
    <row r="992546" spans="15:15" x14ac:dyDescent="0.25">
      <c r="O992546" s="9"/>
    </row>
    <row r="992567" spans="15:15" x14ac:dyDescent="0.25">
      <c r="O992567" s="9"/>
    </row>
    <row r="992588" spans="15:15" x14ac:dyDescent="0.25">
      <c r="O992588" s="9"/>
    </row>
    <row r="992609" spans="15:15" x14ac:dyDescent="0.25">
      <c r="O992609" s="9"/>
    </row>
    <row r="992630" spans="15:15" x14ac:dyDescent="0.25">
      <c r="O992630" s="9"/>
    </row>
    <row r="992651" spans="15:15" x14ac:dyDescent="0.25">
      <c r="O992651" s="9"/>
    </row>
    <row r="992672" spans="15:15" x14ac:dyDescent="0.25">
      <c r="O992672" s="9"/>
    </row>
    <row r="992693" spans="15:15" x14ac:dyDescent="0.25">
      <c r="O992693" s="9"/>
    </row>
    <row r="992714" spans="15:15" x14ac:dyDescent="0.25">
      <c r="O992714" s="9"/>
    </row>
    <row r="992735" spans="15:15" x14ac:dyDescent="0.25">
      <c r="O992735" s="9"/>
    </row>
    <row r="992756" spans="15:15" x14ac:dyDescent="0.25">
      <c r="O992756" s="9"/>
    </row>
    <row r="992777" spans="15:15" x14ac:dyDescent="0.25">
      <c r="O992777" s="9"/>
    </row>
    <row r="992798" spans="15:15" x14ac:dyDescent="0.25">
      <c r="O992798" s="9"/>
    </row>
    <row r="992819" spans="15:15" x14ac:dyDescent="0.25">
      <c r="O992819" s="9"/>
    </row>
    <row r="992840" spans="15:15" x14ac:dyDescent="0.25">
      <c r="O992840" s="9"/>
    </row>
    <row r="992861" spans="15:15" x14ac:dyDescent="0.25">
      <c r="O992861" s="9"/>
    </row>
    <row r="992882" spans="15:15" x14ac:dyDescent="0.25">
      <c r="O992882" s="9"/>
    </row>
    <row r="992903" spans="15:15" x14ac:dyDescent="0.25">
      <c r="O992903" s="9"/>
    </row>
    <row r="992924" spans="15:15" x14ac:dyDescent="0.25">
      <c r="O992924" s="9"/>
    </row>
    <row r="992945" spans="15:15" x14ac:dyDescent="0.25">
      <c r="O992945" s="9"/>
    </row>
    <row r="992966" spans="15:15" x14ac:dyDescent="0.25">
      <c r="O992966" s="9"/>
    </row>
    <row r="992987" spans="15:15" x14ac:dyDescent="0.25">
      <c r="O992987" s="9"/>
    </row>
    <row r="993008" spans="15:15" x14ac:dyDescent="0.25">
      <c r="O993008" s="9"/>
    </row>
    <row r="993029" spans="15:15" x14ac:dyDescent="0.25">
      <c r="O993029" s="9"/>
    </row>
    <row r="993050" spans="15:15" x14ac:dyDescent="0.25">
      <c r="O993050" s="9"/>
    </row>
    <row r="993071" spans="15:15" x14ac:dyDescent="0.25">
      <c r="O993071" s="9"/>
    </row>
    <row r="993092" spans="15:15" x14ac:dyDescent="0.25">
      <c r="O993092" s="9"/>
    </row>
    <row r="993113" spans="15:15" x14ac:dyDescent="0.25">
      <c r="O993113" s="9"/>
    </row>
    <row r="993134" spans="15:15" x14ac:dyDescent="0.25">
      <c r="O993134" s="9"/>
    </row>
    <row r="993155" spans="15:15" x14ac:dyDescent="0.25">
      <c r="O993155" s="9"/>
    </row>
    <row r="993176" spans="15:15" x14ac:dyDescent="0.25">
      <c r="O993176" s="9"/>
    </row>
    <row r="993197" spans="15:15" x14ac:dyDescent="0.25">
      <c r="O993197" s="9"/>
    </row>
    <row r="993218" spans="15:15" x14ac:dyDescent="0.25">
      <c r="O993218" s="9"/>
    </row>
    <row r="993239" spans="15:15" x14ac:dyDescent="0.25">
      <c r="O993239" s="9"/>
    </row>
    <row r="993260" spans="15:15" x14ac:dyDescent="0.25">
      <c r="O993260" s="9"/>
    </row>
    <row r="993281" spans="15:15" x14ac:dyDescent="0.25">
      <c r="O993281" s="9"/>
    </row>
    <row r="993302" spans="15:15" x14ac:dyDescent="0.25">
      <c r="O993302" s="9"/>
    </row>
    <row r="993323" spans="15:15" x14ac:dyDescent="0.25">
      <c r="O993323" s="9"/>
    </row>
    <row r="993344" spans="15:15" x14ac:dyDescent="0.25">
      <c r="O993344" s="9"/>
    </row>
    <row r="993365" spans="15:15" x14ac:dyDescent="0.25">
      <c r="O993365" s="9"/>
    </row>
    <row r="993386" spans="15:15" x14ac:dyDescent="0.25">
      <c r="O993386" s="9"/>
    </row>
    <row r="993407" spans="15:15" x14ac:dyDescent="0.25">
      <c r="O993407" s="9"/>
    </row>
    <row r="993428" spans="15:15" x14ac:dyDescent="0.25">
      <c r="O993428" s="9"/>
    </row>
    <row r="993449" spans="15:15" x14ac:dyDescent="0.25">
      <c r="O993449" s="9"/>
    </row>
    <row r="993470" spans="15:15" x14ac:dyDescent="0.25">
      <c r="O993470" s="9"/>
    </row>
    <row r="993491" spans="15:15" x14ac:dyDescent="0.25">
      <c r="O993491" s="9"/>
    </row>
    <row r="993512" spans="15:15" x14ac:dyDescent="0.25">
      <c r="O993512" s="9"/>
    </row>
    <row r="993533" spans="15:15" x14ac:dyDescent="0.25">
      <c r="O993533" s="9"/>
    </row>
    <row r="993554" spans="15:15" x14ac:dyDescent="0.25">
      <c r="O993554" s="9"/>
    </row>
    <row r="993575" spans="15:15" x14ac:dyDescent="0.25">
      <c r="O993575" s="9"/>
    </row>
    <row r="993596" spans="15:15" x14ac:dyDescent="0.25">
      <c r="O993596" s="9"/>
    </row>
    <row r="993617" spans="15:15" x14ac:dyDescent="0.25">
      <c r="O993617" s="9"/>
    </row>
    <row r="993638" spans="15:15" x14ac:dyDescent="0.25">
      <c r="O993638" s="9"/>
    </row>
    <row r="993659" spans="15:15" x14ac:dyDescent="0.25">
      <c r="O993659" s="9"/>
    </row>
    <row r="993680" spans="15:15" x14ac:dyDescent="0.25">
      <c r="O993680" s="9"/>
    </row>
    <row r="993701" spans="15:15" x14ac:dyDescent="0.25">
      <c r="O993701" s="9"/>
    </row>
    <row r="993722" spans="15:15" x14ac:dyDescent="0.25">
      <c r="O993722" s="9"/>
    </row>
    <row r="993743" spans="15:15" x14ac:dyDescent="0.25">
      <c r="O993743" s="9"/>
    </row>
    <row r="993764" spans="15:15" x14ac:dyDescent="0.25">
      <c r="O993764" s="9"/>
    </row>
    <row r="993785" spans="15:15" x14ac:dyDescent="0.25">
      <c r="O993785" s="9"/>
    </row>
    <row r="993806" spans="15:15" x14ac:dyDescent="0.25">
      <c r="O993806" s="9"/>
    </row>
    <row r="993827" spans="15:15" x14ac:dyDescent="0.25">
      <c r="O993827" s="9"/>
    </row>
    <row r="993848" spans="15:15" x14ac:dyDescent="0.25">
      <c r="O993848" s="9"/>
    </row>
    <row r="993869" spans="15:15" x14ac:dyDescent="0.25">
      <c r="O993869" s="9"/>
    </row>
    <row r="993890" spans="15:15" x14ac:dyDescent="0.25">
      <c r="O993890" s="9"/>
    </row>
    <row r="993911" spans="15:15" x14ac:dyDescent="0.25">
      <c r="O993911" s="9"/>
    </row>
    <row r="993932" spans="15:15" x14ac:dyDescent="0.25">
      <c r="O993932" s="9"/>
    </row>
    <row r="993953" spans="15:15" x14ac:dyDescent="0.25">
      <c r="O993953" s="9"/>
    </row>
    <row r="993974" spans="15:15" x14ac:dyDescent="0.25">
      <c r="O993974" s="9"/>
    </row>
    <row r="993995" spans="15:15" x14ac:dyDescent="0.25">
      <c r="O993995" s="9"/>
    </row>
    <row r="994016" spans="15:15" x14ac:dyDescent="0.25">
      <c r="O994016" s="9"/>
    </row>
    <row r="994037" spans="15:15" x14ac:dyDescent="0.25">
      <c r="O994037" s="9"/>
    </row>
    <row r="994058" spans="15:15" x14ac:dyDescent="0.25">
      <c r="O994058" s="9"/>
    </row>
    <row r="994079" spans="15:15" x14ac:dyDescent="0.25">
      <c r="O994079" s="9"/>
    </row>
    <row r="994100" spans="15:15" x14ac:dyDescent="0.25">
      <c r="O994100" s="9"/>
    </row>
    <row r="994121" spans="15:15" x14ac:dyDescent="0.25">
      <c r="O994121" s="9"/>
    </row>
    <row r="994142" spans="15:15" x14ac:dyDescent="0.25">
      <c r="O994142" s="9"/>
    </row>
    <row r="994163" spans="15:15" x14ac:dyDescent="0.25">
      <c r="O994163" s="9"/>
    </row>
    <row r="994184" spans="15:15" x14ac:dyDescent="0.25">
      <c r="O994184" s="9"/>
    </row>
    <row r="994205" spans="15:15" x14ac:dyDescent="0.25">
      <c r="O994205" s="9"/>
    </row>
    <row r="994226" spans="15:15" x14ac:dyDescent="0.25">
      <c r="O994226" s="9"/>
    </row>
    <row r="994247" spans="15:15" x14ac:dyDescent="0.25">
      <c r="O994247" s="9"/>
    </row>
    <row r="994268" spans="15:15" x14ac:dyDescent="0.25">
      <c r="O994268" s="9"/>
    </row>
    <row r="994289" spans="15:15" x14ac:dyDescent="0.25">
      <c r="O994289" s="9"/>
    </row>
    <row r="994310" spans="15:15" x14ac:dyDescent="0.25">
      <c r="O994310" s="9"/>
    </row>
    <row r="994331" spans="15:15" x14ac:dyDescent="0.25">
      <c r="O994331" s="9"/>
    </row>
    <row r="994352" spans="15:15" x14ac:dyDescent="0.25">
      <c r="O994352" s="9"/>
    </row>
    <row r="994373" spans="15:15" x14ac:dyDescent="0.25">
      <c r="O994373" s="9"/>
    </row>
    <row r="994394" spans="15:15" x14ac:dyDescent="0.25">
      <c r="O994394" s="9"/>
    </row>
    <row r="994415" spans="15:15" x14ac:dyDescent="0.25">
      <c r="O994415" s="9"/>
    </row>
    <row r="994436" spans="15:15" x14ac:dyDescent="0.25">
      <c r="O994436" s="9"/>
    </row>
    <row r="994457" spans="15:15" x14ac:dyDescent="0.25">
      <c r="O994457" s="9"/>
    </row>
    <row r="994478" spans="15:15" x14ac:dyDescent="0.25">
      <c r="O994478" s="9"/>
    </row>
    <row r="994499" spans="15:15" x14ac:dyDescent="0.25">
      <c r="O994499" s="9"/>
    </row>
    <row r="994520" spans="15:15" x14ac:dyDescent="0.25">
      <c r="O994520" s="9"/>
    </row>
    <row r="994541" spans="15:15" x14ac:dyDescent="0.25">
      <c r="O994541" s="9"/>
    </row>
    <row r="994562" spans="15:15" x14ac:dyDescent="0.25">
      <c r="O994562" s="9"/>
    </row>
    <row r="994583" spans="15:15" x14ac:dyDescent="0.25">
      <c r="O994583" s="9"/>
    </row>
    <row r="994604" spans="15:15" x14ac:dyDescent="0.25">
      <c r="O994604" s="9"/>
    </row>
    <row r="994625" spans="15:15" x14ac:dyDescent="0.25">
      <c r="O994625" s="9"/>
    </row>
    <row r="994646" spans="15:15" x14ac:dyDescent="0.25">
      <c r="O994646" s="9"/>
    </row>
    <row r="994667" spans="15:15" x14ac:dyDescent="0.25">
      <c r="O994667" s="9"/>
    </row>
    <row r="994688" spans="15:15" x14ac:dyDescent="0.25">
      <c r="O994688" s="9"/>
    </row>
    <row r="994709" spans="15:15" x14ac:dyDescent="0.25">
      <c r="O994709" s="9"/>
    </row>
    <row r="994730" spans="15:15" x14ac:dyDescent="0.25">
      <c r="O994730" s="9"/>
    </row>
    <row r="994751" spans="15:15" x14ac:dyDescent="0.25">
      <c r="O994751" s="9"/>
    </row>
    <row r="994772" spans="15:15" x14ac:dyDescent="0.25">
      <c r="O994772" s="9"/>
    </row>
    <row r="994793" spans="15:15" x14ac:dyDescent="0.25">
      <c r="O994793" s="9"/>
    </row>
    <row r="994814" spans="15:15" x14ac:dyDescent="0.25">
      <c r="O994814" s="9"/>
    </row>
    <row r="994835" spans="15:15" x14ac:dyDescent="0.25">
      <c r="O994835" s="9"/>
    </row>
    <row r="994856" spans="15:15" x14ac:dyDescent="0.25">
      <c r="O994856" s="9"/>
    </row>
    <row r="994877" spans="15:15" x14ac:dyDescent="0.25">
      <c r="O994877" s="9"/>
    </row>
    <row r="994898" spans="15:15" x14ac:dyDescent="0.25">
      <c r="O994898" s="9"/>
    </row>
    <row r="994919" spans="15:15" x14ac:dyDescent="0.25">
      <c r="O994919" s="9"/>
    </row>
    <row r="994940" spans="15:15" x14ac:dyDescent="0.25">
      <c r="O994940" s="9"/>
    </row>
    <row r="994961" spans="15:15" x14ac:dyDescent="0.25">
      <c r="O994961" s="9"/>
    </row>
    <row r="994982" spans="15:15" x14ac:dyDescent="0.25">
      <c r="O994982" s="9"/>
    </row>
    <row r="995003" spans="15:15" x14ac:dyDescent="0.25">
      <c r="O995003" s="9"/>
    </row>
    <row r="995024" spans="15:15" x14ac:dyDescent="0.25">
      <c r="O995024" s="9"/>
    </row>
    <row r="995045" spans="15:15" x14ac:dyDescent="0.25">
      <c r="O995045" s="9"/>
    </row>
    <row r="995066" spans="15:15" x14ac:dyDescent="0.25">
      <c r="O995066" s="9"/>
    </row>
    <row r="995087" spans="15:15" x14ac:dyDescent="0.25">
      <c r="O995087" s="9"/>
    </row>
    <row r="995108" spans="15:15" x14ac:dyDescent="0.25">
      <c r="O995108" s="9"/>
    </row>
    <row r="995129" spans="15:15" x14ac:dyDescent="0.25">
      <c r="O995129" s="9"/>
    </row>
    <row r="995150" spans="15:15" x14ac:dyDescent="0.25">
      <c r="O995150" s="9"/>
    </row>
    <row r="995171" spans="15:15" x14ac:dyDescent="0.25">
      <c r="O995171" s="9"/>
    </row>
    <row r="995192" spans="15:15" x14ac:dyDescent="0.25">
      <c r="O995192" s="9"/>
    </row>
    <row r="995213" spans="15:15" x14ac:dyDescent="0.25">
      <c r="O995213" s="9"/>
    </row>
    <row r="995234" spans="15:15" x14ac:dyDescent="0.25">
      <c r="O995234" s="9"/>
    </row>
    <row r="995255" spans="15:15" x14ac:dyDescent="0.25">
      <c r="O995255" s="9"/>
    </row>
    <row r="995276" spans="15:15" x14ac:dyDescent="0.25">
      <c r="O995276" s="9"/>
    </row>
    <row r="995297" spans="15:15" x14ac:dyDescent="0.25">
      <c r="O995297" s="9"/>
    </row>
    <row r="995318" spans="15:15" x14ac:dyDescent="0.25">
      <c r="O995318" s="9"/>
    </row>
    <row r="995339" spans="15:15" x14ac:dyDescent="0.25">
      <c r="O995339" s="9"/>
    </row>
    <row r="995360" spans="15:15" x14ac:dyDescent="0.25">
      <c r="O995360" s="9"/>
    </row>
    <row r="995381" spans="15:15" x14ac:dyDescent="0.25">
      <c r="O995381" s="9"/>
    </row>
    <row r="995402" spans="15:15" x14ac:dyDescent="0.25">
      <c r="O995402" s="9"/>
    </row>
    <row r="995423" spans="15:15" x14ac:dyDescent="0.25">
      <c r="O995423" s="9"/>
    </row>
    <row r="995444" spans="15:15" x14ac:dyDescent="0.25">
      <c r="O995444" s="9"/>
    </row>
    <row r="995465" spans="15:15" x14ac:dyDescent="0.25">
      <c r="O995465" s="9"/>
    </row>
    <row r="995486" spans="15:15" x14ac:dyDescent="0.25">
      <c r="O995486" s="9"/>
    </row>
    <row r="995507" spans="15:15" x14ac:dyDescent="0.25">
      <c r="O995507" s="9"/>
    </row>
    <row r="995528" spans="15:15" x14ac:dyDescent="0.25">
      <c r="O995528" s="9"/>
    </row>
    <row r="995549" spans="15:15" x14ac:dyDescent="0.25">
      <c r="O995549" s="9"/>
    </row>
    <row r="995570" spans="15:15" x14ac:dyDescent="0.25">
      <c r="O995570" s="9"/>
    </row>
    <row r="995591" spans="15:15" x14ac:dyDescent="0.25">
      <c r="O995591" s="9"/>
    </row>
    <row r="995612" spans="15:15" x14ac:dyDescent="0.25">
      <c r="O995612" s="9"/>
    </row>
    <row r="995633" spans="15:15" x14ac:dyDescent="0.25">
      <c r="O995633" s="9"/>
    </row>
    <row r="995654" spans="15:15" x14ac:dyDescent="0.25">
      <c r="O995654" s="9"/>
    </row>
    <row r="995675" spans="15:15" x14ac:dyDescent="0.25">
      <c r="O995675" s="9"/>
    </row>
    <row r="995696" spans="15:15" x14ac:dyDescent="0.25">
      <c r="O995696" s="9"/>
    </row>
    <row r="995717" spans="15:15" x14ac:dyDescent="0.25">
      <c r="O995717" s="9"/>
    </row>
    <row r="995738" spans="15:15" x14ac:dyDescent="0.25">
      <c r="O995738" s="9"/>
    </row>
    <row r="995759" spans="15:15" x14ac:dyDescent="0.25">
      <c r="O995759" s="9"/>
    </row>
    <row r="995780" spans="15:15" x14ac:dyDescent="0.25">
      <c r="O995780" s="9"/>
    </row>
    <row r="995801" spans="15:15" x14ac:dyDescent="0.25">
      <c r="O995801" s="9"/>
    </row>
    <row r="995822" spans="15:15" x14ac:dyDescent="0.25">
      <c r="O995822" s="9"/>
    </row>
    <row r="995843" spans="15:15" x14ac:dyDescent="0.25">
      <c r="O995843" s="9"/>
    </row>
    <row r="995864" spans="15:15" x14ac:dyDescent="0.25">
      <c r="O995864" s="9"/>
    </row>
    <row r="995885" spans="15:15" x14ac:dyDescent="0.25">
      <c r="O995885" s="9"/>
    </row>
    <row r="995906" spans="15:15" x14ac:dyDescent="0.25">
      <c r="O995906" s="9"/>
    </row>
    <row r="995927" spans="15:15" x14ac:dyDescent="0.25">
      <c r="O995927" s="9"/>
    </row>
    <row r="995948" spans="15:15" x14ac:dyDescent="0.25">
      <c r="O995948" s="9"/>
    </row>
    <row r="995969" spans="15:15" x14ac:dyDescent="0.25">
      <c r="O995969" s="9"/>
    </row>
    <row r="995990" spans="15:15" x14ac:dyDescent="0.25">
      <c r="O995990" s="9"/>
    </row>
    <row r="996011" spans="15:15" x14ac:dyDescent="0.25">
      <c r="O996011" s="9"/>
    </row>
    <row r="996032" spans="15:15" x14ac:dyDescent="0.25">
      <c r="O996032" s="9"/>
    </row>
    <row r="996053" spans="15:15" x14ac:dyDescent="0.25">
      <c r="O996053" s="9"/>
    </row>
    <row r="996074" spans="15:15" x14ac:dyDescent="0.25">
      <c r="O996074" s="9"/>
    </row>
    <row r="996095" spans="15:15" x14ac:dyDescent="0.25">
      <c r="O996095" s="9"/>
    </row>
    <row r="996116" spans="15:15" x14ac:dyDescent="0.25">
      <c r="O996116" s="9"/>
    </row>
    <row r="996137" spans="15:15" x14ac:dyDescent="0.25">
      <c r="O996137" s="9"/>
    </row>
    <row r="996158" spans="15:15" x14ac:dyDescent="0.25">
      <c r="O996158" s="9"/>
    </row>
    <row r="996179" spans="15:15" x14ac:dyDescent="0.25">
      <c r="O996179" s="9"/>
    </row>
    <row r="996200" spans="15:15" x14ac:dyDescent="0.25">
      <c r="O996200" s="9"/>
    </row>
    <row r="996221" spans="15:15" x14ac:dyDescent="0.25">
      <c r="O996221" s="9"/>
    </row>
    <row r="996242" spans="15:15" x14ac:dyDescent="0.25">
      <c r="O996242" s="9"/>
    </row>
    <row r="996263" spans="15:15" x14ac:dyDescent="0.25">
      <c r="O996263" s="9"/>
    </row>
    <row r="996284" spans="15:15" x14ac:dyDescent="0.25">
      <c r="O996284" s="9"/>
    </row>
    <row r="996305" spans="15:15" x14ac:dyDescent="0.25">
      <c r="O996305" s="9"/>
    </row>
    <row r="996326" spans="15:15" x14ac:dyDescent="0.25">
      <c r="O996326" s="9"/>
    </row>
    <row r="996347" spans="15:15" x14ac:dyDescent="0.25">
      <c r="O996347" s="9"/>
    </row>
    <row r="996368" spans="15:15" x14ac:dyDescent="0.25">
      <c r="O996368" s="9"/>
    </row>
    <row r="996389" spans="15:15" x14ac:dyDescent="0.25">
      <c r="O996389" s="9"/>
    </row>
    <row r="996410" spans="15:15" x14ac:dyDescent="0.25">
      <c r="O996410" s="9"/>
    </row>
    <row r="996431" spans="15:15" x14ac:dyDescent="0.25">
      <c r="O996431" s="9"/>
    </row>
    <row r="996452" spans="15:15" x14ac:dyDescent="0.25">
      <c r="O996452" s="9"/>
    </row>
    <row r="996473" spans="15:15" x14ac:dyDescent="0.25">
      <c r="O996473" s="9"/>
    </row>
    <row r="996494" spans="15:15" x14ac:dyDescent="0.25">
      <c r="O996494" s="9"/>
    </row>
    <row r="996515" spans="15:15" x14ac:dyDescent="0.25">
      <c r="O996515" s="9"/>
    </row>
    <row r="996536" spans="15:15" x14ac:dyDescent="0.25">
      <c r="O996536" s="9"/>
    </row>
    <row r="996557" spans="15:15" x14ac:dyDescent="0.25">
      <c r="O996557" s="9"/>
    </row>
    <row r="996578" spans="15:15" x14ac:dyDescent="0.25">
      <c r="O996578" s="9"/>
    </row>
    <row r="996599" spans="15:15" x14ac:dyDescent="0.25">
      <c r="O996599" s="9"/>
    </row>
    <row r="996620" spans="15:15" x14ac:dyDescent="0.25">
      <c r="O996620" s="9"/>
    </row>
    <row r="996641" spans="15:15" x14ac:dyDescent="0.25">
      <c r="O996641" s="9"/>
    </row>
    <row r="996662" spans="15:15" x14ac:dyDescent="0.25">
      <c r="O996662" s="9"/>
    </row>
    <row r="996683" spans="15:15" x14ac:dyDescent="0.25">
      <c r="O996683" s="9"/>
    </row>
    <row r="996704" spans="15:15" x14ac:dyDescent="0.25">
      <c r="O996704" s="9"/>
    </row>
    <row r="996725" spans="15:15" x14ac:dyDescent="0.25">
      <c r="O996725" s="9"/>
    </row>
    <row r="996746" spans="15:15" x14ac:dyDescent="0.25">
      <c r="O996746" s="9"/>
    </row>
    <row r="996767" spans="15:15" x14ac:dyDescent="0.25">
      <c r="O996767" s="9"/>
    </row>
    <row r="996788" spans="15:15" x14ac:dyDescent="0.25">
      <c r="O996788" s="9"/>
    </row>
    <row r="996809" spans="15:15" x14ac:dyDescent="0.25">
      <c r="O996809" s="9"/>
    </row>
    <row r="996830" spans="15:15" x14ac:dyDescent="0.25">
      <c r="O996830" s="9"/>
    </row>
    <row r="996851" spans="15:15" x14ac:dyDescent="0.25">
      <c r="O996851" s="9"/>
    </row>
    <row r="996872" spans="15:15" x14ac:dyDescent="0.25">
      <c r="O996872" s="9"/>
    </row>
    <row r="996893" spans="15:15" x14ac:dyDescent="0.25">
      <c r="O996893" s="9"/>
    </row>
    <row r="996914" spans="15:15" x14ac:dyDescent="0.25">
      <c r="O996914" s="9"/>
    </row>
    <row r="996935" spans="15:15" x14ac:dyDescent="0.25">
      <c r="O996935" s="9"/>
    </row>
    <row r="996956" spans="15:15" x14ac:dyDescent="0.25">
      <c r="O996956" s="9"/>
    </row>
    <row r="996977" spans="15:15" x14ac:dyDescent="0.25">
      <c r="O996977" s="9"/>
    </row>
    <row r="996998" spans="15:15" x14ac:dyDescent="0.25">
      <c r="O996998" s="9"/>
    </row>
    <row r="997019" spans="15:15" x14ac:dyDescent="0.25">
      <c r="O997019" s="9"/>
    </row>
    <row r="997040" spans="15:15" x14ac:dyDescent="0.25">
      <c r="O997040" s="9"/>
    </row>
    <row r="997061" spans="15:15" x14ac:dyDescent="0.25">
      <c r="O997061" s="9"/>
    </row>
    <row r="997082" spans="15:15" x14ac:dyDescent="0.25">
      <c r="O997082" s="9"/>
    </row>
    <row r="997103" spans="15:15" x14ac:dyDescent="0.25">
      <c r="O997103" s="9"/>
    </row>
    <row r="997124" spans="15:15" x14ac:dyDescent="0.25">
      <c r="O997124" s="9"/>
    </row>
    <row r="997145" spans="15:15" x14ac:dyDescent="0.25">
      <c r="O997145" s="9"/>
    </row>
    <row r="997166" spans="15:15" x14ac:dyDescent="0.25">
      <c r="O997166" s="9"/>
    </row>
    <row r="997187" spans="15:15" x14ac:dyDescent="0.25">
      <c r="O997187" s="9"/>
    </row>
    <row r="997208" spans="15:15" x14ac:dyDescent="0.25">
      <c r="O997208" s="9"/>
    </row>
    <row r="997229" spans="15:15" x14ac:dyDescent="0.25">
      <c r="O997229" s="9"/>
    </row>
    <row r="997250" spans="15:15" x14ac:dyDescent="0.25">
      <c r="O997250" s="9"/>
    </row>
    <row r="997271" spans="15:15" x14ac:dyDescent="0.25">
      <c r="O997271" s="9"/>
    </row>
    <row r="997292" spans="15:15" x14ac:dyDescent="0.25">
      <c r="O997292" s="9"/>
    </row>
    <row r="997313" spans="15:15" x14ac:dyDescent="0.25">
      <c r="O997313" s="9"/>
    </row>
    <row r="997334" spans="15:15" x14ac:dyDescent="0.25">
      <c r="O997334" s="9"/>
    </row>
    <row r="997355" spans="15:15" x14ac:dyDescent="0.25">
      <c r="O997355" s="9"/>
    </row>
    <row r="997376" spans="15:15" x14ac:dyDescent="0.25">
      <c r="O997376" s="9"/>
    </row>
    <row r="997397" spans="15:15" x14ac:dyDescent="0.25">
      <c r="O997397" s="9"/>
    </row>
    <row r="997418" spans="15:15" x14ac:dyDescent="0.25">
      <c r="O997418" s="9"/>
    </row>
    <row r="997439" spans="15:15" x14ac:dyDescent="0.25">
      <c r="O997439" s="9"/>
    </row>
    <row r="997460" spans="15:15" x14ac:dyDescent="0.25">
      <c r="O997460" s="9"/>
    </row>
    <row r="997481" spans="15:15" x14ac:dyDescent="0.25">
      <c r="O997481" s="9"/>
    </row>
    <row r="997502" spans="15:15" x14ac:dyDescent="0.25">
      <c r="O997502" s="9"/>
    </row>
    <row r="997523" spans="15:15" x14ac:dyDescent="0.25">
      <c r="O997523" s="9"/>
    </row>
    <row r="997544" spans="15:15" x14ac:dyDescent="0.25">
      <c r="O997544" s="9"/>
    </row>
    <row r="997565" spans="15:15" x14ac:dyDescent="0.25">
      <c r="O997565" s="9"/>
    </row>
    <row r="997586" spans="15:15" x14ac:dyDescent="0.25">
      <c r="O997586" s="9"/>
    </row>
    <row r="997607" spans="15:15" x14ac:dyDescent="0.25">
      <c r="O997607" s="9"/>
    </row>
    <row r="997628" spans="15:15" x14ac:dyDescent="0.25">
      <c r="O997628" s="9"/>
    </row>
    <row r="997649" spans="15:15" x14ac:dyDescent="0.25">
      <c r="O997649" s="9"/>
    </row>
    <row r="997670" spans="15:15" x14ac:dyDescent="0.25">
      <c r="O997670" s="9"/>
    </row>
    <row r="997691" spans="15:15" x14ac:dyDescent="0.25">
      <c r="O997691" s="9"/>
    </row>
    <row r="997712" spans="15:15" x14ac:dyDescent="0.25">
      <c r="O997712" s="9"/>
    </row>
    <row r="997733" spans="15:15" x14ac:dyDescent="0.25">
      <c r="O997733" s="9"/>
    </row>
    <row r="997754" spans="15:15" x14ac:dyDescent="0.25">
      <c r="O997754" s="9"/>
    </row>
    <row r="997775" spans="15:15" x14ac:dyDescent="0.25">
      <c r="O997775" s="9"/>
    </row>
    <row r="997796" spans="15:15" x14ac:dyDescent="0.25">
      <c r="O997796" s="9"/>
    </row>
    <row r="997817" spans="15:15" x14ac:dyDescent="0.25">
      <c r="O997817" s="9"/>
    </row>
    <row r="997838" spans="15:15" x14ac:dyDescent="0.25">
      <c r="O997838" s="9"/>
    </row>
    <row r="997859" spans="15:15" x14ac:dyDescent="0.25">
      <c r="O997859" s="9"/>
    </row>
    <row r="997880" spans="15:15" x14ac:dyDescent="0.25">
      <c r="O997880" s="9"/>
    </row>
    <row r="997901" spans="15:15" x14ac:dyDescent="0.25">
      <c r="O997901" s="9"/>
    </row>
    <row r="997922" spans="15:15" x14ac:dyDescent="0.25">
      <c r="O997922" s="9"/>
    </row>
    <row r="997943" spans="15:15" x14ac:dyDescent="0.25">
      <c r="O997943" s="9"/>
    </row>
    <row r="997964" spans="15:15" x14ac:dyDescent="0.25">
      <c r="O997964" s="9"/>
    </row>
    <row r="997985" spans="15:15" x14ac:dyDescent="0.25">
      <c r="O997985" s="9"/>
    </row>
    <row r="998006" spans="15:15" x14ac:dyDescent="0.25">
      <c r="O998006" s="9"/>
    </row>
    <row r="998027" spans="15:15" x14ac:dyDescent="0.25">
      <c r="O998027" s="9"/>
    </row>
    <row r="998048" spans="15:15" x14ac:dyDescent="0.25">
      <c r="O998048" s="9"/>
    </row>
    <row r="998069" spans="15:15" x14ac:dyDescent="0.25">
      <c r="O998069" s="9"/>
    </row>
    <row r="998090" spans="15:15" x14ac:dyDescent="0.25">
      <c r="O998090" s="9"/>
    </row>
    <row r="998111" spans="15:15" x14ac:dyDescent="0.25">
      <c r="O998111" s="9"/>
    </row>
    <row r="998132" spans="15:15" x14ac:dyDescent="0.25">
      <c r="O998132" s="9"/>
    </row>
    <row r="998153" spans="15:15" x14ac:dyDescent="0.25">
      <c r="O998153" s="9"/>
    </row>
    <row r="998174" spans="15:15" x14ac:dyDescent="0.25">
      <c r="O998174" s="9"/>
    </row>
    <row r="998195" spans="15:15" x14ac:dyDescent="0.25">
      <c r="O998195" s="9"/>
    </row>
    <row r="998216" spans="15:15" x14ac:dyDescent="0.25">
      <c r="O998216" s="9"/>
    </row>
    <row r="998237" spans="15:15" x14ac:dyDescent="0.25">
      <c r="O998237" s="9"/>
    </row>
    <row r="998258" spans="15:15" x14ac:dyDescent="0.25">
      <c r="O998258" s="9"/>
    </row>
    <row r="998279" spans="15:15" x14ac:dyDescent="0.25">
      <c r="O998279" s="9"/>
    </row>
    <row r="998300" spans="15:15" x14ac:dyDescent="0.25">
      <c r="O998300" s="9"/>
    </row>
    <row r="998321" spans="15:15" x14ac:dyDescent="0.25">
      <c r="O998321" s="9"/>
    </row>
    <row r="998342" spans="15:15" x14ac:dyDescent="0.25">
      <c r="O998342" s="9"/>
    </row>
    <row r="998363" spans="15:15" x14ac:dyDescent="0.25">
      <c r="O998363" s="9"/>
    </row>
    <row r="998384" spans="15:15" x14ac:dyDescent="0.25">
      <c r="O998384" s="9"/>
    </row>
    <row r="998405" spans="15:15" x14ac:dyDescent="0.25">
      <c r="O998405" s="9"/>
    </row>
    <row r="998426" spans="15:15" x14ac:dyDescent="0.25">
      <c r="O998426" s="9"/>
    </row>
    <row r="998447" spans="15:15" x14ac:dyDescent="0.25">
      <c r="O998447" s="9"/>
    </row>
    <row r="998468" spans="15:15" x14ac:dyDescent="0.25">
      <c r="O998468" s="9"/>
    </row>
    <row r="998489" spans="15:15" x14ac:dyDescent="0.25">
      <c r="O998489" s="9"/>
    </row>
    <row r="998510" spans="15:15" x14ac:dyDescent="0.25">
      <c r="O998510" s="9"/>
    </row>
    <row r="998531" spans="15:15" x14ac:dyDescent="0.25">
      <c r="O998531" s="9"/>
    </row>
    <row r="998552" spans="15:15" x14ac:dyDescent="0.25">
      <c r="O998552" s="9"/>
    </row>
    <row r="998573" spans="15:15" x14ac:dyDescent="0.25">
      <c r="O998573" s="9"/>
    </row>
    <row r="998594" spans="15:15" x14ac:dyDescent="0.25">
      <c r="O998594" s="9"/>
    </row>
    <row r="998615" spans="15:15" x14ac:dyDescent="0.25">
      <c r="O998615" s="9"/>
    </row>
    <row r="998636" spans="15:15" x14ac:dyDescent="0.25">
      <c r="O998636" s="9"/>
    </row>
    <row r="998657" spans="15:15" x14ac:dyDescent="0.25">
      <c r="O998657" s="9"/>
    </row>
    <row r="998678" spans="15:15" x14ac:dyDescent="0.25">
      <c r="O998678" s="9"/>
    </row>
    <row r="998699" spans="15:15" x14ac:dyDescent="0.25">
      <c r="O998699" s="9"/>
    </row>
    <row r="998720" spans="15:15" x14ac:dyDescent="0.25">
      <c r="O998720" s="9"/>
    </row>
    <row r="998741" spans="15:15" x14ac:dyDescent="0.25">
      <c r="O998741" s="9"/>
    </row>
    <row r="998762" spans="15:15" x14ac:dyDescent="0.25">
      <c r="O998762" s="9"/>
    </row>
    <row r="998783" spans="15:15" x14ac:dyDescent="0.25">
      <c r="O998783" s="9"/>
    </row>
    <row r="998804" spans="15:15" x14ac:dyDescent="0.25">
      <c r="O998804" s="9"/>
    </row>
    <row r="998825" spans="15:15" x14ac:dyDescent="0.25">
      <c r="O998825" s="9"/>
    </row>
    <row r="998846" spans="15:15" x14ac:dyDescent="0.25">
      <c r="O998846" s="9"/>
    </row>
    <row r="998867" spans="15:15" x14ac:dyDescent="0.25">
      <c r="O998867" s="9"/>
    </row>
    <row r="998888" spans="15:15" x14ac:dyDescent="0.25">
      <c r="O998888" s="9"/>
    </row>
    <row r="998909" spans="15:15" x14ac:dyDescent="0.25">
      <c r="O998909" s="9"/>
    </row>
    <row r="998930" spans="15:15" x14ac:dyDescent="0.25">
      <c r="O998930" s="9"/>
    </row>
    <row r="998951" spans="15:15" x14ac:dyDescent="0.25">
      <c r="O998951" s="9"/>
    </row>
    <row r="998972" spans="15:15" x14ac:dyDescent="0.25">
      <c r="O998972" s="9"/>
    </row>
    <row r="998993" spans="15:15" x14ac:dyDescent="0.25">
      <c r="O998993" s="9"/>
    </row>
    <row r="999014" spans="15:15" x14ac:dyDescent="0.25">
      <c r="O999014" s="9"/>
    </row>
    <row r="999035" spans="15:15" x14ac:dyDescent="0.25">
      <c r="O999035" s="9"/>
    </row>
    <row r="999056" spans="15:15" x14ac:dyDescent="0.25">
      <c r="O999056" s="9"/>
    </row>
    <row r="999077" spans="15:15" x14ac:dyDescent="0.25">
      <c r="O999077" s="9"/>
    </row>
    <row r="999098" spans="15:15" x14ac:dyDescent="0.25">
      <c r="O999098" s="9"/>
    </row>
    <row r="999119" spans="15:15" x14ac:dyDescent="0.25">
      <c r="O999119" s="9"/>
    </row>
    <row r="999140" spans="15:15" x14ac:dyDescent="0.25">
      <c r="O999140" s="9"/>
    </row>
    <row r="999161" spans="15:15" x14ac:dyDescent="0.25">
      <c r="O999161" s="9"/>
    </row>
    <row r="999182" spans="15:15" x14ac:dyDescent="0.25">
      <c r="O999182" s="9"/>
    </row>
    <row r="999203" spans="15:15" x14ac:dyDescent="0.25">
      <c r="O999203" s="9"/>
    </row>
    <row r="999224" spans="15:15" x14ac:dyDescent="0.25">
      <c r="O999224" s="9"/>
    </row>
    <row r="999245" spans="15:15" x14ac:dyDescent="0.25">
      <c r="O999245" s="9"/>
    </row>
    <row r="999266" spans="15:15" x14ac:dyDescent="0.25">
      <c r="O999266" s="9"/>
    </row>
    <row r="999287" spans="15:15" x14ac:dyDescent="0.25">
      <c r="O999287" s="9"/>
    </row>
    <row r="999308" spans="15:15" x14ac:dyDescent="0.25">
      <c r="O999308" s="9"/>
    </row>
    <row r="999329" spans="15:15" x14ac:dyDescent="0.25">
      <c r="O999329" s="9"/>
    </row>
    <row r="999350" spans="15:15" x14ac:dyDescent="0.25">
      <c r="O999350" s="9"/>
    </row>
    <row r="999371" spans="15:15" x14ac:dyDescent="0.25">
      <c r="O999371" s="9"/>
    </row>
    <row r="999392" spans="15:15" x14ac:dyDescent="0.25">
      <c r="O999392" s="9"/>
    </row>
    <row r="999413" spans="15:15" x14ac:dyDescent="0.25">
      <c r="O999413" s="9"/>
    </row>
    <row r="999434" spans="15:15" x14ac:dyDescent="0.25">
      <c r="O999434" s="9"/>
    </row>
    <row r="999455" spans="15:15" x14ac:dyDescent="0.25">
      <c r="O999455" s="9"/>
    </row>
    <row r="999476" spans="15:15" x14ac:dyDescent="0.25">
      <c r="O999476" s="9"/>
    </row>
    <row r="999497" spans="15:15" x14ac:dyDescent="0.25">
      <c r="O999497" s="9"/>
    </row>
    <row r="999518" spans="15:15" x14ac:dyDescent="0.25">
      <c r="O999518" s="9"/>
    </row>
    <row r="999539" spans="15:15" x14ac:dyDescent="0.25">
      <c r="O999539" s="9"/>
    </row>
    <row r="999560" spans="15:15" x14ac:dyDescent="0.25">
      <c r="O999560" s="9"/>
    </row>
    <row r="999581" spans="15:15" x14ac:dyDescent="0.25">
      <c r="O999581" s="9"/>
    </row>
    <row r="999602" spans="15:15" x14ac:dyDescent="0.25">
      <c r="O999602" s="9"/>
    </row>
    <row r="999623" spans="15:15" x14ac:dyDescent="0.25">
      <c r="O999623" s="9"/>
    </row>
    <row r="999644" spans="15:15" x14ac:dyDescent="0.25">
      <c r="O999644" s="9"/>
    </row>
    <row r="999665" spans="15:15" x14ac:dyDescent="0.25">
      <c r="O999665" s="9"/>
    </row>
    <row r="999686" spans="15:15" x14ac:dyDescent="0.25">
      <c r="O999686" s="9"/>
    </row>
    <row r="999707" spans="15:15" x14ac:dyDescent="0.25">
      <c r="O999707" s="9"/>
    </row>
    <row r="999728" spans="15:15" x14ac:dyDescent="0.25">
      <c r="O999728" s="9"/>
    </row>
    <row r="999749" spans="15:15" x14ac:dyDescent="0.25">
      <c r="O999749" s="9"/>
    </row>
    <row r="999770" spans="15:15" x14ac:dyDescent="0.25">
      <c r="O999770" s="9"/>
    </row>
    <row r="999791" spans="15:15" x14ac:dyDescent="0.25">
      <c r="O999791" s="9"/>
    </row>
    <row r="999812" spans="15:15" x14ac:dyDescent="0.25">
      <c r="O999812" s="9"/>
    </row>
    <row r="999833" spans="15:15" x14ac:dyDescent="0.25">
      <c r="O999833" s="9"/>
    </row>
    <row r="999854" spans="15:15" x14ac:dyDescent="0.25">
      <c r="O999854" s="9"/>
    </row>
    <row r="999875" spans="15:15" x14ac:dyDescent="0.25">
      <c r="O999875" s="9"/>
    </row>
    <row r="999896" spans="15:15" x14ac:dyDescent="0.25">
      <c r="O999896" s="9"/>
    </row>
    <row r="999917" spans="15:15" x14ac:dyDescent="0.25">
      <c r="O999917" s="9"/>
    </row>
    <row r="999938" spans="15:15" x14ac:dyDescent="0.25">
      <c r="O999938" s="9"/>
    </row>
    <row r="999959" spans="15:15" x14ac:dyDescent="0.25">
      <c r="O999959" s="9"/>
    </row>
    <row r="999980" spans="15:15" x14ac:dyDescent="0.25">
      <c r="O999980" s="9"/>
    </row>
    <row r="1000001" spans="15:15" x14ac:dyDescent="0.25">
      <c r="O1000001" s="9"/>
    </row>
    <row r="1000022" spans="15:15" x14ac:dyDescent="0.25">
      <c r="O1000022" s="9"/>
    </row>
    <row r="1000043" spans="15:15" x14ac:dyDescent="0.25">
      <c r="O1000043" s="9"/>
    </row>
    <row r="1000064" spans="15:15" x14ac:dyDescent="0.25">
      <c r="O1000064" s="9"/>
    </row>
    <row r="1000085" spans="15:15" x14ac:dyDescent="0.25">
      <c r="O1000085" s="9"/>
    </row>
    <row r="1000106" spans="15:15" x14ac:dyDescent="0.25">
      <c r="O1000106" s="9"/>
    </row>
    <row r="1000127" spans="15:15" x14ac:dyDescent="0.25">
      <c r="O1000127" s="9"/>
    </row>
    <row r="1000148" spans="15:15" x14ac:dyDescent="0.25">
      <c r="O1000148" s="9"/>
    </row>
    <row r="1000169" spans="15:15" x14ac:dyDescent="0.25">
      <c r="O1000169" s="9"/>
    </row>
    <row r="1000190" spans="15:15" x14ac:dyDescent="0.25">
      <c r="O1000190" s="9"/>
    </row>
    <row r="1000211" spans="15:15" x14ac:dyDescent="0.25">
      <c r="O1000211" s="9"/>
    </row>
    <row r="1000232" spans="15:15" x14ac:dyDescent="0.25">
      <c r="O1000232" s="9"/>
    </row>
    <row r="1000253" spans="15:15" x14ac:dyDescent="0.25">
      <c r="O1000253" s="9"/>
    </row>
    <row r="1000274" spans="15:15" x14ac:dyDescent="0.25">
      <c r="O1000274" s="9"/>
    </row>
    <row r="1000295" spans="15:15" x14ac:dyDescent="0.25">
      <c r="O1000295" s="9"/>
    </row>
    <row r="1000316" spans="15:15" x14ac:dyDescent="0.25">
      <c r="O1000316" s="9"/>
    </row>
    <row r="1000337" spans="15:15" x14ac:dyDescent="0.25">
      <c r="O1000337" s="9"/>
    </row>
    <row r="1000358" spans="15:15" x14ac:dyDescent="0.25">
      <c r="O1000358" s="9"/>
    </row>
    <row r="1000379" spans="15:15" x14ac:dyDescent="0.25">
      <c r="O1000379" s="9"/>
    </row>
    <row r="1000400" spans="15:15" x14ac:dyDescent="0.25">
      <c r="O1000400" s="9"/>
    </row>
    <row r="1000421" spans="15:15" x14ac:dyDescent="0.25">
      <c r="O1000421" s="9"/>
    </row>
    <row r="1000442" spans="15:15" x14ac:dyDescent="0.25">
      <c r="O1000442" s="9"/>
    </row>
    <row r="1000463" spans="15:15" x14ac:dyDescent="0.25">
      <c r="O1000463" s="9"/>
    </row>
    <row r="1000484" spans="15:15" x14ac:dyDescent="0.25">
      <c r="O1000484" s="9"/>
    </row>
    <row r="1000505" spans="15:15" x14ac:dyDescent="0.25">
      <c r="O1000505" s="9"/>
    </row>
    <row r="1000526" spans="15:15" x14ac:dyDescent="0.25">
      <c r="O1000526" s="9"/>
    </row>
    <row r="1000547" spans="15:15" x14ac:dyDescent="0.25">
      <c r="O1000547" s="9"/>
    </row>
    <row r="1000568" spans="15:15" x14ac:dyDescent="0.25">
      <c r="O1000568" s="9"/>
    </row>
    <row r="1000589" spans="15:15" x14ac:dyDescent="0.25">
      <c r="O1000589" s="9"/>
    </row>
    <row r="1000610" spans="15:15" x14ac:dyDescent="0.25">
      <c r="O1000610" s="9"/>
    </row>
    <row r="1000631" spans="15:15" x14ac:dyDescent="0.25">
      <c r="O1000631" s="9"/>
    </row>
    <row r="1000652" spans="15:15" x14ac:dyDescent="0.25">
      <c r="O1000652" s="9"/>
    </row>
    <row r="1000673" spans="15:15" x14ac:dyDescent="0.25">
      <c r="O1000673" s="9"/>
    </row>
    <row r="1000694" spans="15:15" x14ac:dyDescent="0.25">
      <c r="O1000694" s="9"/>
    </row>
    <row r="1000715" spans="15:15" x14ac:dyDescent="0.25">
      <c r="O1000715" s="9"/>
    </row>
    <row r="1000736" spans="15:15" x14ac:dyDescent="0.25">
      <c r="O1000736" s="9"/>
    </row>
    <row r="1000757" spans="15:15" x14ac:dyDescent="0.25">
      <c r="O1000757" s="9"/>
    </row>
    <row r="1000778" spans="15:15" x14ac:dyDescent="0.25">
      <c r="O1000778" s="9"/>
    </row>
    <row r="1000799" spans="15:15" x14ac:dyDescent="0.25">
      <c r="O1000799" s="9"/>
    </row>
    <row r="1000820" spans="15:15" x14ac:dyDescent="0.25">
      <c r="O1000820" s="9"/>
    </row>
    <row r="1000841" spans="15:15" x14ac:dyDescent="0.25">
      <c r="O1000841" s="9"/>
    </row>
    <row r="1000862" spans="15:15" x14ac:dyDescent="0.25">
      <c r="O1000862" s="9"/>
    </row>
    <row r="1000883" spans="15:15" x14ac:dyDescent="0.25">
      <c r="O1000883" s="9"/>
    </row>
    <row r="1000904" spans="15:15" x14ac:dyDescent="0.25">
      <c r="O1000904" s="9"/>
    </row>
    <row r="1000925" spans="15:15" x14ac:dyDescent="0.25">
      <c r="O1000925" s="9"/>
    </row>
    <row r="1000946" spans="15:15" x14ac:dyDescent="0.25">
      <c r="O1000946" s="9"/>
    </row>
    <row r="1000967" spans="15:15" x14ac:dyDescent="0.25">
      <c r="O1000967" s="9"/>
    </row>
    <row r="1000988" spans="15:15" x14ac:dyDescent="0.25">
      <c r="O1000988" s="9"/>
    </row>
    <row r="1001009" spans="15:15" x14ac:dyDescent="0.25">
      <c r="O1001009" s="9"/>
    </row>
    <row r="1001030" spans="15:15" x14ac:dyDescent="0.25">
      <c r="O1001030" s="9"/>
    </row>
    <row r="1001051" spans="15:15" x14ac:dyDescent="0.25">
      <c r="O1001051" s="9"/>
    </row>
    <row r="1001072" spans="15:15" x14ac:dyDescent="0.25">
      <c r="O1001072" s="9"/>
    </row>
    <row r="1001093" spans="15:15" x14ac:dyDescent="0.25">
      <c r="O1001093" s="9"/>
    </row>
    <row r="1001114" spans="15:15" x14ac:dyDescent="0.25">
      <c r="O1001114" s="9"/>
    </row>
    <row r="1001135" spans="15:15" x14ac:dyDescent="0.25">
      <c r="O1001135" s="9"/>
    </row>
    <row r="1001156" spans="15:15" x14ac:dyDescent="0.25">
      <c r="O1001156" s="9"/>
    </row>
    <row r="1001177" spans="15:15" x14ac:dyDescent="0.25">
      <c r="O1001177" s="9"/>
    </row>
    <row r="1001198" spans="15:15" x14ac:dyDescent="0.25">
      <c r="O1001198" s="9"/>
    </row>
    <row r="1001219" spans="15:15" x14ac:dyDescent="0.25">
      <c r="O1001219" s="9"/>
    </row>
    <row r="1001240" spans="15:15" x14ac:dyDescent="0.25">
      <c r="O1001240" s="9"/>
    </row>
    <row r="1001261" spans="15:15" x14ac:dyDescent="0.25">
      <c r="O1001261" s="9"/>
    </row>
    <row r="1001282" spans="15:15" x14ac:dyDescent="0.25">
      <c r="O1001282" s="9"/>
    </row>
    <row r="1001303" spans="15:15" x14ac:dyDescent="0.25">
      <c r="O1001303" s="9"/>
    </row>
    <row r="1001324" spans="15:15" x14ac:dyDescent="0.25">
      <c r="O1001324" s="9"/>
    </row>
    <row r="1001345" spans="15:15" x14ac:dyDescent="0.25">
      <c r="O1001345" s="9"/>
    </row>
    <row r="1001366" spans="15:15" x14ac:dyDescent="0.25">
      <c r="O1001366" s="9"/>
    </row>
    <row r="1001387" spans="15:15" x14ac:dyDescent="0.25">
      <c r="O1001387" s="9"/>
    </row>
    <row r="1001408" spans="15:15" x14ac:dyDescent="0.25">
      <c r="O1001408" s="9"/>
    </row>
    <row r="1001429" spans="15:15" x14ac:dyDescent="0.25">
      <c r="O1001429" s="9"/>
    </row>
    <row r="1001450" spans="15:15" x14ac:dyDescent="0.25">
      <c r="O1001450" s="9"/>
    </row>
    <row r="1001471" spans="15:15" x14ac:dyDescent="0.25">
      <c r="O1001471" s="9"/>
    </row>
    <row r="1001492" spans="15:15" x14ac:dyDescent="0.25">
      <c r="O1001492" s="9"/>
    </row>
    <row r="1001513" spans="15:15" x14ac:dyDescent="0.25">
      <c r="O1001513" s="9"/>
    </row>
    <row r="1001534" spans="15:15" x14ac:dyDescent="0.25">
      <c r="O1001534" s="9"/>
    </row>
    <row r="1001555" spans="15:15" x14ac:dyDescent="0.25">
      <c r="O1001555" s="9"/>
    </row>
    <row r="1001576" spans="15:15" x14ac:dyDescent="0.25">
      <c r="O1001576" s="9"/>
    </row>
    <row r="1001597" spans="15:15" x14ac:dyDescent="0.25">
      <c r="O1001597" s="9"/>
    </row>
    <row r="1001618" spans="15:15" x14ac:dyDescent="0.25">
      <c r="O1001618" s="9"/>
    </row>
    <row r="1001639" spans="15:15" x14ac:dyDescent="0.25">
      <c r="O1001639" s="9"/>
    </row>
    <row r="1001660" spans="15:15" x14ac:dyDescent="0.25">
      <c r="O1001660" s="9"/>
    </row>
    <row r="1001681" spans="15:15" x14ac:dyDescent="0.25">
      <c r="O1001681" s="9"/>
    </row>
    <row r="1001702" spans="15:15" x14ac:dyDescent="0.25">
      <c r="O1001702" s="9"/>
    </row>
    <row r="1001723" spans="15:15" x14ac:dyDescent="0.25">
      <c r="O1001723" s="9"/>
    </row>
    <row r="1001744" spans="15:15" x14ac:dyDescent="0.25">
      <c r="O1001744" s="9"/>
    </row>
    <row r="1001765" spans="15:15" x14ac:dyDescent="0.25">
      <c r="O1001765" s="9"/>
    </row>
    <row r="1001786" spans="15:15" x14ac:dyDescent="0.25">
      <c r="O1001786" s="9"/>
    </row>
    <row r="1001807" spans="15:15" x14ac:dyDescent="0.25">
      <c r="O1001807" s="9"/>
    </row>
    <row r="1001828" spans="15:15" x14ac:dyDescent="0.25">
      <c r="O1001828" s="9"/>
    </row>
    <row r="1001849" spans="15:15" x14ac:dyDescent="0.25">
      <c r="O1001849" s="9"/>
    </row>
    <row r="1001870" spans="15:15" x14ac:dyDescent="0.25">
      <c r="O1001870" s="9"/>
    </row>
    <row r="1001891" spans="15:15" x14ac:dyDescent="0.25">
      <c r="O1001891" s="9"/>
    </row>
    <row r="1001912" spans="15:15" x14ac:dyDescent="0.25">
      <c r="O1001912" s="9"/>
    </row>
    <row r="1001933" spans="15:15" x14ac:dyDescent="0.25">
      <c r="O1001933" s="9"/>
    </row>
    <row r="1001954" spans="15:15" x14ac:dyDescent="0.25">
      <c r="O1001954" s="9"/>
    </row>
    <row r="1001975" spans="15:15" x14ac:dyDescent="0.25">
      <c r="O1001975" s="9"/>
    </row>
    <row r="1001996" spans="15:15" x14ac:dyDescent="0.25">
      <c r="O1001996" s="9"/>
    </row>
    <row r="1002017" spans="15:15" x14ac:dyDescent="0.25">
      <c r="O1002017" s="9"/>
    </row>
    <row r="1002038" spans="15:15" x14ac:dyDescent="0.25">
      <c r="O1002038" s="9"/>
    </row>
    <row r="1002059" spans="15:15" x14ac:dyDescent="0.25">
      <c r="O1002059" s="9"/>
    </row>
    <row r="1002080" spans="15:15" x14ac:dyDescent="0.25">
      <c r="O1002080" s="9"/>
    </row>
    <row r="1002101" spans="15:15" x14ac:dyDescent="0.25">
      <c r="O1002101" s="9"/>
    </row>
    <row r="1002122" spans="15:15" x14ac:dyDescent="0.25">
      <c r="O1002122" s="9"/>
    </row>
    <row r="1002143" spans="15:15" x14ac:dyDescent="0.25">
      <c r="O1002143" s="9"/>
    </row>
    <row r="1002164" spans="15:15" x14ac:dyDescent="0.25">
      <c r="O1002164" s="9"/>
    </row>
    <row r="1002185" spans="15:15" x14ac:dyDescent="0.25">
      <c r="O1002185" s="9"/>
    </row>
    <row r="1002206" spans="15:15" x14ac:dyDescent="0.25">
      <c r="O1002206" s="9"/>
    </row>
    <row r="1002227" spans="15:15" x14ac:dyDescent="0.25">
      <c r="O1002227" s="9"/>
    </row>
    <row r="1002248" spans="15:15" x14ac:dyDescent="0.25">
      <c r="O1002248" s="9"/>
    </row>
    <row r="1002269" spans="15:15" x14ac:dyDescent="0.25">
      <c r="O1002269" s="9"/>
    </row>
    <row r="1002290" spans="15:15" x14ac:dyDescent="0.25">
      <c r="O1002290" s="9"/>
    </row>
    <row r="1002311" spans="15:15" x14ac:dyDescent="0.25">
      <c r="O1002311" s="9"/>
    </row>
    <row r="1002332" spans="15:15" x14ac:dyDescent="0.25">
      <c r="O1002332" s="9"/>
    </row>
    <row r="1002353" spans="15:15" x14ac:dyDescent="0.25">
      <c r="O1002353" s="9"/>
    </row>
    <row r="1002374" spans="15:15" x14ac:dyDescent="0.25">
      <c r="O1002374" s="9"/>
    </row>
    <row r="1002395" spans="15:15" x14ac:dyDescent="0.25">
      <c r="O1002395" s="9"/>
    </row>
    <row r="1002416" spans="15:15" x14ac:dyDescent="0.25">
      <c r="O1002416" s="9"/>
    </row>
    <row r="1002437" spans="15:15" x14ac:dyDescent="0.25">
      <c r="O1002437" s="9"/>
    </row>
    <row r="1002458" spans="15:15" x14ac:dyDescent="0.25">
      <c r="O1002458" s="9"/>
    </row>
    <row r="1002479" spans="15:15" x14ac:dyDescent="0.25">
      <c r="O1002479" s="9"/>
    </row>
    <row r="1002500" spans="15:15" x14ac:dyDescent="0.25">
      <c r="O1002500" s="9"/>
    </row>
    <row r="1002521" spans="15:15" x14ac:dyDescent="0.25">
      <c r="O1002521" s="9"/>
    </row>
    <row r="1002542" spans="15:15" x14ac:dyDescent="0.25">
      <c r="O1002542" s="9"/>
    </row>
    <row r="1002563" spans="15:15" x14ac:dyDescent="0.25">
      <c r="O1002563" s="9"/>
    </row>
    <row r="1002584" spans="15:15" x14ac:dyDescent="0.25">
      <c r="O1002584" s="9"/>
    </row>
    <row r="1002605" spans="15:15" x14ac:dyDescent="0.25">
      <c r="O1002605" s="9"/>
    </row>
    <row r="1002626" spans="15:15" x14ac:dyDescent="0.25">
      <c r="O1002626" s="9"/>
    </row>
    <row r="1002647" spans="15:15" x14ac:dyDescent="0.25">
      <c r="O1002647" s="9"/>
    </row>
    <row r="1002668" spans="15:15" x14ac:dyDescent="0.25">
      <c r="O1002668" s="9"/>
    </row>
    <row r="1002689" spans="15:15" x14ac:dyDescent="0.25">
      <c r="O1002689" s="9"/>
    </row>
    <row r="1002710" spans="15:15" x14ac:dyDescent="0.25">
      <c r="O1002710" s="9"/>
    </row>
    <row r="1002731" spans="15:15" x14ac:dyDescent="0.25">
      <c r="O1002731" s="9"/>
    </row>
    <row r="1002752" spans="15:15" x14ac:dyDescent="0.25">
      <c r="O1002752" s="9"/>
    </row>
    <row r="1002773" spans="15:15" x14ac:dyDescent="0.25">
      <c r="O1002773" s="9"/>
    </row>
    <row r="1002794" spans="15:15" x14ac:dyDescent="0.25">
      <c r="O1002794" s="9"/>
    </row>
    <row r="1002815" spans="15:15" x14ac:dyDescent="0.25">
      <c r="O1002815" s="9"/>
    </row>
    <row r="1002836" spans="15:15" x14ac:dyDescent="0.25">
      <c r="O1002836" s="9"/>
    </row>
    <row r="1002857" spans="15:15" x14ac:dyDescent="0.25">
      <c r="O1002857" s="9"/>
    </row>
    <row r="1002878" spans="15:15" x14ac:dyDescent="0.25">
      <c r="O1002878" s="9"/>
    </row>
    <row r="1002899" spans="15:15" x14ac:dyDescent="0.25">
      <c r="O1002899" s="9"/>
    </row>
    <row r="1002920" spans="15:15" x14ac:dyDescent="0.25">
      <c r="O1002920" s="9"/>
    </row>
    <row r="1002941" spans="15:15" x14ac:dyDescent="0.25">
      <c r="O1002941" s="9"/>
    </row>
    <row r="1002962" spans="15:15" x14ac:dyDescent="0.25">
      <c r="O1002962" s="9"/>
    </row>
    <row r="1002983" spans="15:15" x14ac:dyDescent="0.25">
      <c r="O1002983" s="9"/>
    </row>
    <row r="1003004" spans="15:15" x14ac:dyDescent="0.25">
      <c r="O1003004" s="9"/>
    </row>
    <row r="1003025" spans="15:15" x14ac:dyDescent="0.25">
      <c r="O1003025" s="9"/>
    </row>
    <row r="1003046" spans="15:15" x14ac:dyDescent="0.25">
      <c r="O1003046" s="9"/>
    </row>
    <row r="1003067" spans="15:15" x14ac:dyDescent="0.25">
      <c r="O1003067" s="9"/>
    </row>
    <row r="1003088" spans="15:15" x14ac:dyDescent="0.25">
      <c r="O1003088" s="9"/>
    </row>
    <row r="1003109" spans="15:15" x14ac:dyDescent="0.25">
      <c r="O1003109" s="9"/>
    </row>
    <row r="1003130" spans="15:15" x14ac:dyDescent="0.25">
      <c r="O1003130" s="9"/>
    </row>
    <row r="1003151" spans="15:15" x14ac:dyDescent="0.25">
      <c r="O1003151" s="9"/>
    </row>
    <row r="1003172" spans="15:15" x14ac:dyDescent="0.25">
      <c r="O1003172" s="9"/>
    </row>
    <row r="1003193" spans="15:15" x14ac:dyDescent="0.25">
      <c r="O1003193" s="9"/>
    </row>
    <row r="1003214" spans="15:15" x14ac:dyDescent="0.25">
      <c r="O1003214" s="9"/>
    </row>
    <row r="1003235" spans="15:15" x14ac:dyDescent="0.25">
      <c r="O1003235" s="9"/>
    </row>
    <row r="1003256" spans="15:15" x14ac:dyDescent="0.25">
      <c r="O1003256" s="9"/>
    </row>
    <row r="1003277" spans="15:15" x14ac:dyDescent="0.25">
      <c r="O1003277" s="9"/>
    </row>
    <row r="1003298" spans="15:15" x14ac:dyDescent="0.25">
      <c r="O1003298" s="9"/>
    </row>
    <row r="1003319" spans="15:15" x14ac:dyDescent="0.25">
      <c r="O1003319" s="9"/>
    </row>
    <row r="1003340" spans="15:15" x14ac:dyDescent="0.25">
      <c r="O1003340" s="9"/>
    </row>
    <row r="1003361" spans="15:15" x14ac:dyDescent="0.25">
      <c r="O1003361" s="9"/>
    </row>
    <row r="1003382" spans="15:15" x14ac:dyDescent="0.25">
      <c r="O1003382" s="9"/>
    </row>
    <row r="1003403" spans="15:15" x14ac:dyDescent="0.25">
      <c r="O1003403" s="9"/>
    </row>
    <row r="1003424" spans="15:15" x14ac:dyDescent="0.25">
      <c r="O1003424" s="9"/>
    </row>
    <row r="1003445" spans="15:15" x14ac:dyDescent="0.25">
      <c r="O1003445" s="9"/>
    </row>
    <row r="1003466" spans="15:15" x14ac:dyDescent="0.25">
      <c r="O1003466" s="9"/>
    </row>
    <row r="1003487" spans="15:15" x14ac:dyDescent="0.25">
      <c r="O1003487" s="9"/>
    </row>
    <row r="1003508" spans="15:15" x14ac:dyDescent="0.25">
      <c r="O1003508" s="9"/>
    </row>
    <row r="1003529" spans="15:15" x14ac:dyDescent="0.25">
      <c r="O1003529" s="9"/>
    </row>
    <row r="1003550" spans="15:15" x14ac:dyDescent="0.25">
      <c r="O1003550" s="9"/>
    </row>
    <row r="1003571" spans="15:15" x14ac:dyDescent="0.25">
      <c r="O1003571" s="9"/>
    </row>
    <row r="1003592" spans="15:15" x14ac:dyDescent="0.25">
      <c r="O1003592" s="9"/>
    </row>
    <row r="1003613" spans="15:15" x14ac:dyDescent="0.25">
      <c r="O1003613" s="9"/>
    </row>
    <row r="1003634" spans="15:15" x14ac:dyDescent="0.25">
      <c r="O1003634" s="9"/>
    </row>
    <row r="1003655" spans="15:15" x14ac:dyDescent="0.25">
      <c r="O1003655" s="9"/>
    </row>
    <row r="1003676" spans="15:15" x14ac:dyDescent="0.25">
      <c r="O1003676" s="9"/>
    </row>
    <row r="1003697" spans="15:15" x14ac:dyDescent="0.25">
      <c r="O1003697" s="9"/>
    </row>
    <row r="1003718" spans="15:15" x14ac:dyDescent="0.25">
      <c r="O1003718" s="9"/>
    </row>
    <row r="1003739" spans="15:15" x14ac:dyDescent="0.25">
      <c r="O1003739" s="9"/>
    </row>
    <row r="1003760" spans="15:15" x14ac:dyDescent="0.25">
      <c r="O1003760" s="9"/>
    </row>
    <row r="1003781" spans="15:15" x14ac:dyDescent="0.25">
      <c r="O1003781" s="9"/>
    </row>
    <row r="1003802" spans="15:15" x14ac:dyDescent="0.25">
      <c r="O1003802" s="9"/>
    </row>
    <row r="1003823" spans="15:15" x14ac:dyDescent="0.25">
      <c r="O1003823" s="9"/>
    </row>
    <row r="1003844" spans="15:15" x14ac:dyDescent="0.25">
      <c r="O1003844" s="9"/>
    </row>
    <row r="1003865" spans="15:15" x14ac:dyDescent="0.25">
      <c r="O1003865" s="9"/>
    </row>
    <row r="1003886" spans="15:15" x14ac:dyDescent="0.25">
      <c r="O1003886" s="9"/>
    </row>
    <row r="1003907" spans="15:15" x14ac:dyDescent="0.25">
      <c r="O1003907" s="9"/>
    </row>
    <row r="1003928" spans="15:15" x14ac:dyDescent="0.25">
      <c r="O1003928" s="9"/>
    </row>
    <row r="1003949" spans="15:15" x14ac:dyDescent="0.25">
      <c r="O1003949" s="9"/>
    </row>
    <row r="1003970" spans="15:15" x14ac:dyDescent="0.25">
      <c r="O1003970" s="9"/>
    </row>
    <row r="1003991" spans="15:15" x14ac:dyDescent="0.25">
      <c r="O1003991" s="9"/>
    </row>
    <row r="1004012" spans="15:15" x14ac:dyDescent="0.25">
      <c r="O1004012" s="9"/>
    </row>
    <row r="1004033" spans="15:15" x14ac:dyDescent="0.25">
      <c r="O1004033" s="9"/>
    </row>
    <row r="1004054" spans="15:15" x14ac:dyDescent="0.25">
      <c r="O1004054" s="9"/>
    </row>
    <row r="1004075" spans="15:15" x14ac:dyDescent="0.25">
      <c r="O1004075" s="9"/>
    </row>
    <row r="1004096" spans="15:15" x14ac:dyDescent="0.25">
      <c r="O1004096" s="9"/>
    </row>
    <row r="1004117" spans="15:15" x14ac:dyDescent="0.25">
      <c r="O1004117" s="9"/>
    </row>
    <row r="1004138" spans="15:15" x14ac:dyDescent="0.25">
      <c r="O1004138" s="9"/>
    </row>
    <row r="1004159" spans="15:15" x14ac:dyDescent="0.25">
      <c r="O1004159" s="9"/>
    </row>
    <row r="1004180" spans="15:15" x14ac:dyDescent="0.25">
      <c r="O1004180" s="9"/>
    </row>
    <row r="1004201" spans="15:15" x14ac:dyDescent="0.25">
      <c r="O1004201" s="9"/>
    </row>
    <row r="1004222" spans="15:15" x14ac:dyDescent="0.25">
      <c r="O1004222" s="9"/>
    </row>
    <row r="1004243" spans="15:15" x14ac:dyDescent="0.25">
      <c r="O1004243" s="9"/>
    </row>
    <row r="1004264" spans="15:15" x14ac:dyDescent="0.25">
      <c r="O1004264" s="9"/>
    </row>
    <row r="1004285" spans="15:15" x14ac:dyDescent="0.25">
      <c r="O1004285" s="9"/>
    </row>
    <row r="1004306" spans="15:15" x14ac:dyDescent="0.25">
      <c r="O1004306" s="9"/>
    </row>
    <row r="1004327" spans="15:15" x14ac:dyDescent="0.25">
      <c r="O1004327" s="9"/>
    </row>
    <row r="1004348" spans="15:15" x14ac:dyDescent="0.25">
      <c r="O1004348" s="9"/>
    </row>
    <row r="1004369" spans="15:15" x14ac:dyDescent="0.25">
      <c r="O1004369" s="9"/>
    </row>
    <row r="1004390" spans="15:15" x14ac:dyDescent="0.25">
      <c r="O1004390" s="9"/>
    </row>
    <row r="1004411" spans="15:15" x14ac:dyDescent="0.25">
      <c r="O1004411" s="9"/>
    </row>
    <row r="1004432" spans="15:15" x14ac:dyDescent="0.25">
      <c r="O1004432" s="9"/>
    </row>
    <row r="1004453" spans="15:15" x14ac:dyDescent="0.25">
      <c r="O1004453" s="9"/>
    </row>
    <row r="1004474" spans="15:15" x14ac:dyDescent="0.25">
      <c r="O1004474" s="9"/>
    </row>
    <row r="1004495" spans="15:15" x14ac:dyDescent="0.25">
      <c r="O1004495" s="9"/>
    </row>
    <row r="1004516" spans="15:15" x14ac:dyDescent="0.25">
      <c r="O1004516" s="9"/>
    </row>
    <row r="1004537" spans="15:15" x14ac:dyDescent="0.25">
      <c r="O1004537" s="9"/>
    </row>
    <row r="1004558" spans="15:15" x14ac:dyDescent="0.25">
      <c r="O1004558" s="9"/>
    </row>
    <row r="1004579" spans="15:15" x14ac:dyDescent="0.25">
      <c r="O1004579" s="9"/>
    </row>
    <row r="1004600" spans="15:15" x14ac:dyDescent="0.25">
      <c r="O1004600" s="9"/>
    </row>
    <row r="1004621" spans="15:15" x14ac:dyDescent="0.25">
      <c r="O1004621" s="9"/>
    </row>
    <row r="1004642" spans="15:15" x14ac:dyDescent="0.25">
      <c r="O1004642" s="9"/>
    </row>
    <row r="1004663" spans="15:15" x14ac:dyDescent="0.25">
      <c r="O1004663" s="9"/>
    </row>
    <row r="1004684" spans="15:15" x14ac:dyDescent="0.25">
      <c r="O1004684" s="9"/>
    </row>
    <row r="1004705" spans="15:15" x14ac:dyDescent="0.25">
      <c r="O1004705" s="9"/>
    </row>
    <row r="1004726" spans="15:15" x14ac:dyDescent="0.25">
      <c r="O1004726" s="9"/>
    </row>
    <row r="1004747" spans="15:15" x14ac:dyDescent="0.25">
      <c r="O1004747" s="9"/>
    </row>
    <row r="1004768" spans="15:15" x14ac:dyDescent="0.25">
      <c r="O1004768" s="9"/>
    </row>
    <row r="1004789" spans="15:15" x14ac:dyDescent="0.25">
      <c r="O1004789" s="9"/>
    </row>
    <row r="1004810" spans="15:15" x14ac:dyDescent="0.25">
      <c r="O1004810" s="9"/>
    </row>
    <row r="1004831" spans="15:15" x14ac:dyDescent="0.25">
      <c r="O1004831" s="9"/>
    </row>
    <row r="1004852" spans="15:15" x14ac:dyDescent="0.25">
      <c r="O1004852" s="9"/>
    </row>
    <row r="1004873" spans="15:15" x14ac:dyDescent="0.25">
      <c r="O1004873" s="9"/>
    </row>
    <row r="1004894" spans="15:15" x14ac:dyDescent="0.25">
      <c r="O1004894" s="9"/>
    </row>
    <row r="1004915" spans="15:15" x14ac:dyDescent="0.25">
      <c r="O1004915" s="9"/>
    </row>
    <row r="1004936" spans="15:15" x14ac:dyDescent="0.25">
      <c r="O1004936" s="9"/>
    </row>
    <row r="1004957" spans="15:15" x14ac:dyDescent="0.25">
      <c r="O1004957" s="9"/>
    </row>
    <row r="1004978" spans="15:15" x14ac:dyDescent="0.25">
      <c r="O1004978" s="9"/>
    </row>
    <row r="1004999" spans="15:15" x14ac:dyDescent="0.25">
      <c r="O1004999" s="9"/>
    </row>
    <row r="1005020" spans="15:15" x14ac:dyDescent="0.25">
      <c r="O1005020" s="9"/>
    </row>
    <row r="1005041" spans="15:15" x14ac:dyDescent="0.25">
      <c r="O1005041" s="9"/>
    </row>
    <row r="1005062" spans="15:15" x14ac:dyDescent="0.25">
      <c r="O1005062" s="9"/>
    </row>
    <row r="1005083" spans="15:15" x14ac:dyDescent="0.25">
      <c r="O1005083" s="9"/>
    </row>
    <row r="1005104" spans="15:15" x14ac:dyDescent="0.25">
      <c r="O1005104" s="9"/>
    </row>
    <row r="1005125" spans="15:15" x14ac:dyDescent="0.25">
      <c r="O1005125" s="9"/>
    </row>
    <row r="1005146" spans="15:15" x14ac:dyDescent="0.25">
      <c r="O1005146" s="9"/>
    </row>
    <row r="1005167" spans="15:15" x14ac:dyDescent="0.25">
      <c r="O1005167" s="9"/>
    </row>
    <row r="1005188" spans="15:15" x14ac:dyDescent="0.25">
      <c r="O1005188" s="9"/>
    </row>
    <row r="1005209" spans="15:15" x14ac:dyDescent="0.25">
      <c r="O1005209" s="9"/>
    </row>
    <row r="1005230" spans="15:15" x14ac:dyDescent="0.25">
      <c r="O1005230" s="9"/>
    </row>
    <row r="1005251" spans="15:15" x14ac:dyDescent="0.25">
      <c r="O1005251" s="9"/>
    </row>
    <row r="1005272" spans="15:15" x14ac:dyDescent="0.25">
      <c r="O1005272" s="9"/>
    </row>
    <row r="1005293" spans="15:15" x14ac:dyDescent="0.25">
      <c r="O1005293" s="9"/>
    </row>
    <row r="1005314" spans="15:15" x14ac:dyDescent="0.25">
      <c r="O1005314" s="9"/>
    </row>
    <row r="1005335" spans="15:15" x14ac:dyDescent="0.25">
      <c r="O1005335" s="9"/>
    </row>
    <row r="1005356" spans="15:15" x14ac:dyDescent="0.25">
      <c r="O1005356" s="9"/>
    </row>
    <row r="1005377" spans="15:15" x14ac:dyDescent="0.25">
      <c r="O1005377" s="9"/>
    </row>
    <row r="1005398" spans="15:15" x14ac:dyDescent="0.25">
      <c r="O1005398" s="9"/>
    </row>
    <row r="1005419" spans="15:15" x14ac:dyDescent="0.25">
      <c r="O1005419" s="9"/>
    </row>
    <row r="1005440" spans="15:15" x14ac:dyDescent="0.25">
      <c r="O1005440" s="9"/>
    </row>
    <row r="1005461" spans="15:15" x14ac:dyDescent="0.25">
      <c r="O1005461" s="9"/>
    </row>
    <row r="1005482" spans="15:15" x14ac:dyDescent="0.25">
      <c r="O1005482" s="9"/>
    </row>
    <row r="1005503" spans="15:15" x14ac:dyDescent="0.25">
      <c r="O1005503" s="9"/>
    </row>
    <row r="1005524" spans="15:15" x14ac:dyDescent="0.25">
      <c r="O1005524" s="9"/>
    </row>
    <row r="1005545" spans="15:15" x14ac:dyDescent="0.25">
      <c r="O1005545" s="9"/>
    </row>
    <row r="1005566" spans="15:15" x14ac:dyDescent="0.25">
      <c r="O1005566" s="9"/>
    </row>
    <row r="1005587" spans="15:15" x14ac:dyDescent="0.25">
      <c r="O1005587" s="9"/>
    </row>
    <row r="1005608" spans="15:15" x14ac:dyDescent="0.25">
      <c r="O1005608" s="9"/>
    </row>
    <row r="1005629" spans="15:15" x14ac:dyDescent="0.25">
      <c r="O1005629" s="9"/>
    </row>
    <row r="1005650" spans="15:15" x14ac:dyDescent="0.25">
      <c r="O1005650" s="9"/>
    </row>
    <row r="1005671" spans="15:15" x14ac:dyDescent="0.25">
      <c r="O1005671" s="9"/>
    </row>
    <row r="1005692" spans="15:15" x14ac:dyDescent="0.25">
      <c r="O1005692" s="9"/>
    </row>
    <row r="1005713" spans="15:15" x14ac:dyDescent="0.25">
      <c r="O1005713" s="9"/>
    </row>
    <row r="1005734" spans="15:15" x14ac:dyDescent="0.25">
      <c r="O1005734" s="9"/>
    </row>
    <row r="1005755" spans="15:15" x14ac:dyDescent="0.25">
      <c r="O1005755" s="9"/>
    </row>
    <row r="1005776" spans="15:15" x14ac:dyDescent="0.25">
      <c r="O1005776" s="9"/>
    </row>
    <row r="1005797" spans="15:15" x14ac:dyDescent="0.25">
      <c r="O1005797" s="9"/>
    </row>
    <row r="1005818" spans="15:15" x14ac:dyDescent="0.25">
      <c r="O1005818" s="9"/>
    </row>
    <row r="1005839" spans="15:15" x14ac:dyDescent="0.25">
      <c r="O1005839" s="9"/>
    </row>
    <row r="1005860" spans="15:15" x14ac:dyDescent="0.25">
      <c r="O1005860" s="9"/>
    </row>
    <row r="1005881" spans="15:15" x14ac:dyDescent="0.25">
      <c r="O1005881" s="9"/>
    </row>
    <row r="1005902" spans="15:15" x14ac:dyDescent="0.25">
      <c r="O1005902" s="9"/>
    </row>
    <row r="1005923" spans="15:15" x14ac:dyDescent="0.25">
      <c r="O1005923" s="9"/>
    </row>
    <row r="1005944" spans="15:15" x14ac:dyDescent="0.25">
      <c r="O1005944" s="9"/>
    </row>
    <row r="1005965" spans="15:15" x14ac:dyDescent="0.25">
      <c r="O1005965" s="9"/>
    </row>
    <row r="1005986" spans="15:15" x14ac:dyDescent="0.25">
      <c r="O1005986" s="9"/>
    </row>
    <row r="1006007" spans="15:15" x14ac:dyDescent="0.25">
      <c r="O1006007" s="9"/>
    </row>
    <row r="1006028" spans="15:15" x14ac:dyDescent="0.25">
      <c r="O1006028" s="9"/>
    </row>
    <row r="1006049" spans="15:15" x14ac:dyDescent="0.25">
      <c r="O1006049" s="9"/>
    </row>
    <row r="1006070" spans="15:15" x14ac:dyDescent="0.25">
      <c r="O1006070" s="9"/>
    </row>
    <row r="1006091" spans="15:15" x14ac:dyDescent="0.25">
      <c r="O1006091" s="9"/>
    </row>
    <row r="1006112" spans="15:15" x14ac:dyDescent="0.25">
      <c r="O1006112" s="9"/>
    </row>
    <row r="1006133" spans="15:15" x14ac:dyDescent="0.25">
      <c r="O1006133" s="9"/>
    </row>
    <row r="1006154" spans="15:15" x14ac:dyDescent="0.25">
      <c r="O1006154" s="9"/>
    </row>
    <row r="1006175" spans="15:15" x14ac:dyDescent="0.25">
      <c r="O1006175" s="9"/>
    </row>
    <row r="1006196" spans="15:15" x14ac:dyDescent="0.25">
      <c r="O1006196" s="9"/>
    </row>
    <row r="1006217" spans="15:15" x14ac:dyDescent="0.25">
      <c r="O1006217" s="9"/>
    </row>
    <row r="1006238" spans="15:15" x14ac:dyDescent="0.25">
      <c r="O1006238" s="9"/>
    </row>
    <row r="1006259" spans="15:15" x14ac:dyDescent="0.25">
      <c r="O1006259" s="9"/>
    </row>
    <row r="1006280" spans="15:15" x14ac:dyDescent="0.25">
      <c r="O1006280" s="9"/>
    </row>
    <row r="1006301" spans="15:15" x14ac:dyDescent="0.25">
      <c r="O1006301" s="9"/>
    </row>
    <row r="1006322" spans="15:15" x14ac:dyDescent="0.25">
      <c r="O1006322" s="9"/>
    </row>
    <row r="1006343" spans="15:15" x14ac:dyDescent="0.25">
      <c r="O1006343" s="9"/>
    </row>
    <row r="1006364" spans="15:15" x14ac:dyDescent="0.25">
      <c r="O1006364" s="9"/>
    </row>
    <row r="1006385" spans="15:15" x14ac:dyDescent="0.25">
      <c r="O1006385" s="9"/>
    </row>
    <row r="1006406" spans="15:15" x14ac:dyDescent="0.25">
      <c r="O1006406" s="9"/>
    </row>
    <row r="1006427" spans="15:15" x14ac:dyDescent="0.25">
      <c r="O1006427" s="9"/>
    </row>
    <row r="1006448" spans="15:15" x14ac:dyDescent="0.25">
      <c r="O1006448" s="9"/>
    </row>
    <row r="1006469" spans="15:15" x14ac:dyDescent="0.25">
      <c r="O1006469" s="9"/>
    </row>
    <row r="1006490" spans="15:15" x14ac:dyDescent="0.25">
      <c r="O1006490" s="9"/>
    </row>
    <row r="1006511" spans="15:15" x14ac:dyDescent="0.25">
      <c r="O1006511" s="9"/>
    </row>
    <row r="1006532" spans="15:15" x14ac:dyDescent="0.25">
      <c r="O1006532" s="9"/>
    </row>
    <row r="1006553" spans="15:15" x14ac:dyDescent="0.25">
      <c r="O1006553" s="9"/>
    </row>
    <row r="1006574" spans="15:15" x14ac:dyDescent="0.25">
      <c r="O1006574" s="9"/>
    </row>
    <row r="1006595" spans="15:15" x14ac:dyDescent="0.25">
      <c r="O1006595" s="9"/>
    </row>
    <row r="1006616" spans="15:15" x14ac:dyDescent="0.25">
      <c r="O1006616" s="9"/>
    </row>
    <row r="1006637" spans="15:15" x14ac:dyDescent="0.25">
      <c r="O1006637" s="9"/>
    </row>
    <row r="1006658" spans="15:15" x14ac:dyDescent="0.25">
      <c r="O1006658" s="9"/>
    </row>
    <row r="1006679" spans="15:15" x14ac:dyDescent="0.25">
      <c r="O1006679" s="9"/>
    </row>
    <row r="1006700" spans="15:15" x14ac:dyDescent="0.25">
      <c r="O1006700" s="9"/>
    </row>
    <row r="1006721" spans="15:15" x14ac:dyDescent="0.25">
      <c r="O1006721" s="9"/>
    </row>
    <row r="1006742" spans="15:15" x14ac:dyDescent="0.25">
      <c r="O1006742" s="9"/>
    </row>
    <row r="1006763" spans="15:15" x14ac:dyDescent="0.25">
      <c r="O1006763" s="9"/>
    </row>
    <row r="1006784" spans="15:15" x14ac:dyDescent="0.25">
      <c r="O1006784" s="9"/>
    </row>
    <row r="1006805" spans="15:15" x14ac:dyDescent="0.25">
      <c r="O1006805" s="9"/>
    </row>
    <row r="1006826" spans="15:15" x14ac:dyDescent="0.25">
      <c r="O1006826" s="9"/>
    </row>
    <row r="1006847" spans="15:15" x14ac:dyDescent="0.25">
      <c r="O1006847" s="9"/>
    </row>
    <row r="1006868" spans="15:15" x14ac:dyDescent="0.25">
      <c r="O1006868" s="9"/>
    </row>
    <row r="1006889" spans="15:15" x14ac:dyDescent="0.25">
      <c r="O1006889" s="9"/>
    </row>
    <row r="1006910" spans="15:15" x14ac:dyDescent="0.25">
      <c r="O1006910" s="9"/>
    </row>
    <row r="1006931" spans="15:15" x14ac:dyDescent="0.25">
      <c r="O1006931" s="9"/>
    </row>
    <row r="1006952" spans="15:15" x14ac:dyDescent="0.25">
      <c r="O1006952" s="9"/>
    </row>
    <row r="1006973" spans="15:15" x14ac:dyDescent="0.25">
      <c r="O1006973" s="9"/>
    </row>
    <row r="1006994" spans="15:15" x14ac:dyDescent="0.25">
      <c r="O1006994" s="9"/>
    </row>
    <row r="1007015" spans="15:15" x14ac:dyDescent="0.25">
      <c r="O1007015" s="9"/>
    </row>
    <row r="1007036" spans="15:15" x14ac:dyDescent="0.25">
      <c r="O1007036" s="9"/>
    </row>
    <row r="1007057" spans="15:15" x14ac:dyDescent="0.25">
      <c r="O1007057" s="9"/>
    </row>
    <row r="1007078" spans="15:15" x14ac:dyDescent="0.25">
      <c r="O1007078" s="9"/>
    </row>
    <row r="1007099" spans="15:15" x14ac:dyDescent="0.25">
      <c r="O1007099" s="9"/>
    </row>
    <row r="1007120" spans="15:15" x14ac:dyDescent="0.25">
      <c r="O1007120" s="9"/>
    </row>
    <row r="1007141" spans="15:15" x14ac:dyDescent="0.25">
      <c r="O1007141" s="9"/>
    </row>
    <row r="1007162" spans="15:15" x14ac:dyDescent="0.25">
      <c r="O1007162" s="9"/>
    </row>
    <row r="1007183" spans="15:15" x14ac:dyDescent="0.25">
      <c r="O1007183" s="9"/>
    </row>
    <row r="1007204" spans="15:15" x14ac:dyDescent="0.25">
      <c r="O1007204" s="9"/>
    </row>
    <row r="1007225" spans="15:15" x14ac:dyDescent="0.25">
      <c r="O1007225" s="9"/>
    </row>
    <row r="1007246" spans="15:15" x14ac:dyDescent="0.25">
      <c r="O1007246" s="9"/>
    </row>
    <row r="1007267" spans="15:15" x14ac:dyDescent="0.25">
      <c r="O1007267" s="9"/>
    </row>
    <row r="1007288" spans="15:15" x14ac:dyDescent="0.25">
      <c r="O1007288" s="9"/>
    </row>
    <row r="1007309" spans="15:15" x14ac:dyDescent="0.25">
      <c r="O1007309" s="9"/>
    </row>
    <row r="1007330" spans="15:15" x14ac:dyDescent="0.25">
      <c r="O1007330" s="9"/>
    </row>
    <row r="1007351" spans="15:15" x14ac:dyDescent="0.25">
      <c r="O1007351" s="9"/>
    </row>
    <row r="1007372" spans="15:15" x14ac:dyDescent="0.25">
      <c r="O1007372" s="9"/>
    </row>
    <row r="1007393" spans="15:15" x14ac:dyDescent="0.25">
      <c r="O1007393" s="9"/>
    </row>
    <row r="1007414" spans="15:15" x14ac:dyDescent="0.25">
      <c r="O1007414" s="9"/>
    </row>
    <row r="1007435" spans="15:15" x14ac:dyDescent="0.25">
      <c r="O1007435" s="9"/>
    </row>
    <row r="1007456" spans="15:15" x14ac:dyDescent="0.25">
      <c r="O1007456" s="9"/>
    </row>
    <row r="1007477" spans="15:15" x14ac:dyDescent="0.25">
      <c r="O1007477" s="9"/>
    </row>
    <row r="1007498" spans="15:15" x14ac:dyDescent="0.25">
      <c r="O1007498" s="9"/>
    </row>
    <row r="1007519" spans="15:15" x14ac:dyDescent="0.25">
      <c r="O1007519" s="9"/>
    </row>
    <row r="1007540" spans="15:15" x14ac:dyDescent="0.25">
      <c r="O1007540" s="9"/>
    </row>
    <row r="1007561" spans="15:15" x14ac:dyDescent="0.25">
      <c r="O1007561" s="9"/>
    </row>
    <row r="1007582" spans="15:15" x14ac:dyDescent="0.25">
      <c r="O1007582" s="9"/>
    </row>
    <row r="1007603" spans="15:15" x14ac:dyDescent="0.25">
      <c r="O1007603" s="9"/>
    </row>
    <row r="1007624" spans="15:15" x14ac:dyDescent="0.25">
      <c r="O1007624" s="9"/>
    </row>
    <row r="1007645" spans="15:15" x14ac:dyDescent="0.25">
      <c r="O1007645" s="9"/>
    </row>
    <row r="1007666" spans="15:15" x14ac:dyDescent="0.25">
      <c r="O1007666" s="9"/>
    </row>
    <row r="1007687" spans="15:15" x14ac:dyDescent="0.25">
      <c r="O1007687" s="9"/>
    </row>
    <row r="1007708" spans="15:15" x14ac:dyDescent="0.25">
      <c r="O1007708" s="9"/>
    </row>
    <row r="1007729" spans="15:15" x14ac:dyDescent="0.25">
      <c r="O1007729" s="9"/>
    </row>
    <row r="1007750" spans="15:15" x14ac:dyDescent="0.25">
      <c r="O1007750" s="9"/>
    </row>
    <row r="1007771" spans="15:15" x14ac:dyDescent="0.25">
      <c r="O1007771" s="9"/>
    </row>
    <row r="1007792" spans="15:15" x14ac:dyDescent="0.25">
      <c r="O1007792" s="9"/>
    </row>
    <row r="1007813" spans="15:15" x14ac:dyDescent="0.25">
      <c r="O1007813" s="9"/>
    </row>
    <row r="1007834" spans="15:15" x14ac:dyDescent="0.25">
      <c r="O1007834" s="9"/>
    </row>
    <row r="1007855" spans="15:15" x14ac:dyDescent="0.25">
      <c r="O1007855" s="9"/>
    </row>
    <row r="1007876" spans="15:15" x14ac:dyDescent="0.25">
      <c r="O1007876" s="9"/>
    </row>
    <row r="1007897" spans="15:15" x14ac:dyDescent="0.25">
      <c r="O1007897" s="9"/>
    </row>
    <row r="1007918" spans="15:15" x14ac:dyDescent="0.25">
      <c r="O1007918" s="9"/>
    </row>
    <row r="1007939" spans="15:15" x14ac:dyDescent="0.25">
      <c r="O1007939" s="9"/>
    </row>
    <row r="1007960" spans="15:15" x14ac:dyDescent="0.25">
      <c r="O1007960" s="9"/>
    </row>
    <row r="1007981" spans="15:15" x14ac:dyDescent="0.25">
      <c r="O1007981" s="9"/>
    </row>
    <row r="1008002" spans="15:15" x14ac:dyDescent="0.25">
      <c r="O1008002" s="9"/>
    </row>
    <row r="1008023" spans="15:15" x14ac:dyDescent="0.25">
      <c r="O1008023" s="9"/>
    </row>
    <row r="1008044" spans="15:15" x14ac:dyDescent="0.25">
      <c r="O1008044" s="9"/>
    </row>
    <row r="1008065" spans="15:15" x14ac:dyDescent="0.25">
      <c r="O1008065" s="9"/>
    </row>
    <row r="1008086" spans="15:15" x14ac:dyDescent="0.25">
      <c r="O1008086" s="9"/>
    </row>
    <row r="1008107" spans="15:15" x14ac:dyDescent="0.25">
      <c r="O1008107" s="9"/>
    </row>
    <row r="1008128" spans="15:15" x14ac:dyDescent="0.25">
      <c r="O1008128" s="9"/>
    </row>
    <row r="1008149" spans="15:15" x14ac:dyDescent="0.25">
      <c r="O1008149" s="9"/>
    </row>
    <row r="1008170" spans="15:15" x14ac:dyDescent="0.25">
      <c r="O1008170" s="9"/>
    </row>
    <row r="1008191" spans="15:15" x14ac:dyDescent="0.25">
      <c r="O1008191" s="9"/>
    </row>
    <row r="1008212" spans="15:15" x14ac:dyDescent="0.25">
      <c r="O1008212" s="9"/>
    </row>
    <row r="1008233" spans="15:15" x14ac:dyDescent="0.25">
      <c r="O1008233" s="9"/>
    </row>
    <row r="1008254" spans="15:15" x14ac:dyDescent="0.25">
      <c r="O1008254" s="9"/>
    </row>
    <row r="1008275" spans="15:15" x14ac:dyDescent="0.25">
      <c r="O1008275" s="9"/>
    </row>
    <row r="1008296" spans="15:15" x14ac:dyDescent="0.25">
      <c r="O1008296" s="9"/>
    </row>
    <row r="1008317" spans="15:15" x14ac:dyDescent="0.25">
      <c r="O1008317" s="9"/>
    </row>
    <row r="1008338" spans="15:15" x14ac:dyDescent="0.25">
      <c r="O1008338" s="9"/>
    </row>
    <row r="1008359" spans="15:15" x14ac:dyDescent="0.25">
      <c r="O1008359" s="9"/>
    </row>
    <row r="1008380" spans="15:15" x14ac:dyDescent="0.25">
      <c r="O1008380" s="9"/>
    </row>
    <row r="1008401" spans="15:15" x14ac:dyDescent="0.25">
      <c r="O1008401" s="9"/>
    </row>
    <row r="1008422" spans="15:15" x14ac:dyDescent="0.25">
      <c r="O1008422" s="9"/>
    </row>
    <row r="1008443" spans="15:15" x14ac:dyDescent="0.25">
      <c r="O1008443" s="9"/>
    </row>
    <row r="1008464" spans="15:15" x14ac:dyDescent="0.25">
      <c r="O1008464" s="9"/>
    </row>
    <row r="1008485" spans="15:15" x14ac:dyDescent="0.25">
      <c r="O1008485" s="9"/>
    </row>
    <row r="1008506" spans="15:15" x14ac:dyDescent="0.25">
      <c r="O1008506" s="9"/>
    </row>
    <row r="1008527" spans="15:15" x14ac:dyDescent="0.25">
      <c r="O1008527" s="9"/>
    </row>
    <row r="1008548" spans="15:15" x14ac:dyDescent="0.25">
      <c r="O1008548" s="9"/>
    </row>
    <row r="1008569" spans="15:15" x14ac:dyDescent="0.25">
      <c r="O1008569" s="9"/>
    </row>
    <row r="1008590" spans="15:15" x14ac:dyDescent="0.25">
      <c r="O1008590" s="9"/>
    </row>
    <row r="1008611" spans="15:15" x14ac:dyDescent="0.25">
      <c r="O1008611" s="9"/>
    </row>
    <row r="1008632" spans="15:15" x14ac:dyDescent="0.25">
      <c r="O1008632" s="9"/>
    </row>
    <row r="1008653" spans="15:15" x14ac:dyDescent="0.25">
      <c r="O1008653" s="9"/>
    </row>
    <row r="1008674" spans="15:15" x14ac:dyDescent="0.25">
      <c r="O1008674" s="9"/>
    </row>
    <row r="1008695" spans="15:15" x14ac:dyDescent="0.25">
      <c r="O1008695" s="9"/>
    </row>
    <row r="1008716" spans="15:15" x14ac:dyDescent="0.25">
      <c r="O1008716" s="9"/>
    </row>
    <row r="1008737" spans="15:15" x14ac:dyDescent="0.25">
      <c r="O1008737" s="9"/>
    </row>
    <row r="1008758" spans="15:15" x14ac:dyDescent="0.25">
      <c r="O1008758" s="9"/>
    </row>
    <row r="1008779" spans="15:15" x14ac:dyDescent="0.25">
      <c r="O1008779" s="9"/>
    </row>
    <row r="1008800" spans="15:15" x14ac:dyDescent="0.25">
      <c r="O1008800" s="9"/>
    </row>
    <row r="1008821" spans="15:15" x14ac:dyDescent="0.25">
      <c r="O1008821" s="9"/>
    </row>
    <row r="1008842" spans="15:15" x14ac:dyDescent="0.25">
      <c r="O1008842" s="9"/>
    </row>
    <row r="1008863" spans="15:15" x14ac:dyDescent="0.25">
      <c r="O1008863" s="9"/>
    </row>
    <row r="1008884" spans="15:15" x14ac:dyDescent="0.25">
      <c r="O1008884" s="9"/>
    </row>
    <row r="1008905" spans="15:15" x14ac:dyDescent="0.25">
      <c r="O1008905" s="9"/>
    </row>
    <row r="1008926" spans="15:15" x14ac:dyDescent="0.25">
      <c r="O1008926" s="9"/>
    </row>
    <row r="1008947" spans="15:15" x14ac:dyDescent="0.25">
      <c r="O1008947" s="9"/>
    </row>
    <row r="1008968" spans="15:15" x14ac:dyDescent="0.25">
      <c r="O1008968" s="9"/>
    </row>
    <row r="1008989" spans="15:15" x14ac:dyDescent="0.25">
      <c r="O1008989" s="9"/>
    </row>
    <row r="1009010" spans="15:15" x14ac:dyDescent="0.25">
      <c r="O1009010" s="9"/>
    </row>
    <row r="1009031" spans="15:15" x14ac:dyDescent="0.25">
      <c r="O1009031" s="9"/>
    </row>
    <row r="1009052" spans="15:15" x14ac:dyDescent="0.25">
      <c r="O1009052" s="9"/>
    </row>
    <row r="1009073" spans="15:15" x14ac:dyDescent="0.25">
      <c r="O1009073" s="9"/>
    </row>
    <row r="1009094" spans="15:15" x14ac:dyDescent="0.25">
      <c r="O1009094" s="9"/>
    </row>
    <row r="1009115" spans="15:15" x14ac:dyDescent="0.25">
      <c r="O1009115" s="9"/>
    </row>
    <row r="1009136" spans="15:15" x14ac:dyDescent="0.25">
      <c r="O1009136" s="9"/>
    </row>
    <row r="1009157" spans="15:15" x14ac:dyDescent="0.25">
      <c r="O1009157" s="9"/>
    </row>
    <row r="1009178" spans="15:15" x14ac:dyDescent="0.25">
      <c r="O1009178" s="9"/>
    </row>
    <row r="1009199" spans="15:15" x14ac:dyDescent="0.25">
      <c r="O1009199" s="9"/>
    </row>
    <row r="1009220" spans="15:15" x14ac:dyDescent="0.25">
      <c r="O1009220" s="9"/>
    </row>
    <row r="1009241" spans="15:15" x14ac:dyDescent="0.25">
      <c r="O1009241" s="9"/>
    </row>
    <row r="1009262" spans="15:15" x14ac:dyDescent="0.25">
      <c r="O1009262" s="9"/>
    </row>
    <row r="1009283" spans="15:15" x14ac:dyDescent="0.25">
      <c r="O1009283" s="9"/>
    </row>
    <row r="1009304" spans="15:15" x14ac:dyDescent="0.25">
      <c r="O1009304" s="9"/>
    </row>
    <row r="1009325" spans="15:15" x14ac:dyDescent="0.25">
      <c r="O1009325" s="9"/>
    </row>
    <row r="1009346" spans="15:15" x14ac:dyDescent="0.25">
      <c r="O1009346" s="9"/>
    </row>
    <row r="1009367" spans="15:15" x14ac:dyDescent="0.25">
      <c r="O1009367" s="9"/>
    </row>
    <row r="1009388" spans="15:15" x14ac:dyDescent="0.25">
      <c r="O1009388" s="9"/>
    </row>
    <row r="1009409" spans="15:15" x14ac:dyDescent="0.25">
      <c r="O1009409" s="9"/>
    </row>
    <row r="1009430" spans="15:15" x14ac:dyDescent="0.25">
      <c r="O1009430" s="9"/>
    </row>
    <row r="1009451" spans="15:15" x14ac:dyDescent="0.25">
      <c r="O1009451" s="9"/>
    </row>
    <row r="1009472" spans="15:15" x14ac:dyDescent="0.25">
      <c r="O1009472" s="9"/>
    </row>
    <row r="1009493" spans="15:15" x14ac:dyDescent="0.25">
      <c r="O1009493" s="9"/>
    </row>
    <row r="1009514" spans="15:15" x14ac:dyDescent="0.25">
      <c r="O1009514" s="9"/>
    </row>
    <row r="1009535" spans="15:15" x14ac:dyDescent="0.25">
      <c r="O1009535" s="9"/>
    </row>
    <row r="1009556" spans="15:15" x14ac:dyDescent="0.25">
      <c r="O1009556" s="9"/>
    </row>
    <row r="1009577" spans="15:15" x14ac:dyDescent="0.25">
      <c r="O1009577" s="9"/>
    </row>
    <row r="1009598" spans="15:15" x14ac:dyDescent="0.25">
      <c r="O1009598" s="9"/>
    </row>
    <row r="1009619" spans="15:15" x14ac:dyDescent="0.25">
      <c r="O1009619" s="9"/>
    </row>
    <row r="1009640" spans="15:15" x14ac:dyDescent="0.25">
      <c r="O1009640" s="9"/>
    </row>
    <row r="1009661" spans="15:15" x14ac:dyDescent="0.25">
      <c r="O1009661" s="9"/>
    </row>
    <row r="1009682" spans="15:15" x14ac:dyDescent="0.25">
      <c r="O1009682" s="9"/>
    </row>
    <row r="1009703" spans="15:15" x14ac:dyDescent="0.25">
      <c r="O1009703" s="9"/>
    </row>
    <row r="1009724" spans="15:15" x14ac:dyDescent="0.25">
      <c r="O1009724" s="9"/>
    </row>
    <row r="1009745" spans="15:15" x14ac:dyDescent="0.25">
      <c r="O1009745" s="9"/>
    </row>
    <row r="1009766" spans="15:15" x14ac:dyDescent="0.25">
      <c r="O1009766" s="9"/>
    </row>
    <row r="1009787" spans="15:15" x14ac:dyDescent="0.25">
      <c r="O1009787" s="9"/>
    </row>
    <row r="1009808" spans="15:15" x14ac:dyDescent="0.25">
      <c r="O1009808" s="9"/>
    </row>
    <row r="1009829" spans="15:15" x14ac:dyDescent="0.25">
      <c r="O1009829" s="9"/>
    </row>
    <row r="1009850" spans="15:15" x14ac:dyDescent="0.25">
      <c r="O1009850" s="9"/>
    </row>
    <row r="1009871" spans="15:15" x14ac:dyDescent="0.25">
      <c r="O1009871" s="9"/>
    </row>
    <row r="1009892" spans="15:15" x14ac:dyDescent="0.25">
      <c r="O1009892" s="9"/>
    </row>
    <row r="1009913" spans="15:15" x14ac:dyDescent="0.25">
      <c r="O1009913" s="9"/>
    </row>
    <row r="1009934" spans="15:15" x14ac:dyDescent="0.25">
      <c r="O1009934" s="9"/>
    </row>
    <row r="1009955" spans="15:15" x14ac:dyDescent="0.25">
      <c r="O1009955" s="9"/>
    </row>
    <row r="1009976" spans="15:15" x14ac:dyDescent="0.25">
      <c r="O1009976" s="9"/>
    </row>
    <row r="1009997" spans="15:15" x14ac:dyDescent="0.25">
      <c r="O1009997" s="9"/>
    </row>
    <row r="1010018" spans="15:15" x14ac:dyDescent="0.25">
      <c r="O1010018" s="9"/>
    </row>
    <row r="1010039" spans="15:15" x14ac:dyDescent="0.25">
      <c r="O1010039" s="9"/>
    </row>
    <row r="1010060" spans="15:15" x14ac:dyDescent="0.25">
      <c r="O1010060" s="9"/>
    </row>
    <row r="1010081" spans="15:15" x14ac:dyDescent="0.25">
      <c r="O1010081" s="9"/>
    </row>
    <row r="1010102" spans="15:15" x14ac:dyDescent="0.25">
      <c r="O1010102" s="9"/>
    </row>
    <row r="1010123" spans="15:15" x14ac:dyDescent="0.25">
      <c r="O1010123" s="9"/>
    </row>
    <row r="1010144" spans="15:15" x14ac:dyDescent="0.25">
      <c r="O1010144" s="9"/>
    </row>
    <row r="1010165" spans="15:15" x14ac:dyDescent="0.25">
      <c r="O1010165" s="9"/>
    </row>
    <row r="1010186" spans="15:15" x14ac:dyDescent="0.25">
      <c r="O1010186" s="9"/>
    </row>
    <row r="1010207" spans="15:15" x14ac:dyDescent="0.25">
      <c r="O1010207" s="9"/>
    </row>
    <row r="1010228" spans="15:15" x14ac:dyDescent="0.25">
      <c r="O1010228" s="9"/>
    </row>
    <row r="1010249" spans="15:15" x14ac:dyDescent="0.25">
      <c r="O1010249" s="9"/>
    </row>
    <row r="1010270" spans="15:15" x14ac:dyDescent="0.25">
      <c r="O1010270" s="9"/>
    </row>
    <row r="1010291" spans="15:15" x14ac:dyDescent="0.25">
      <c r="O1010291" s="9"/>
    </row>
    <row r="1010312" spans="15:15" x14ac:dyDescent="0.25">
      <c r="O1010312" s="9"/>
    </row>
    <row r="1010333" spans="15:15" x14ac:dyDescent="0.25">
      <c r="O1010333" s="9"/>
    </row>
    <row r="1010354" spans="15:15" x14ac:dyDescent="0.25">
      <c r="O1010354" s="9"/>
    </row>
    <row r="1010375" spans="15:15" x14ac:dyDescent="0.25">
      <c r="O1010375" s="9"/>
    </row>
    <row r="1010396" spans="15:15" x14ac:dyDescent="0.25">
      <c r="O1010396" s="9"/>
    </row>
    <row r="1010417" spans="15:15" x14ac:dyDescent="0.25">
      <c r="O1010417" s="9"/>
    </row>
    <row r="1010438" spans="15:15" x14ac:dyDescent="0.25">
      <c r="O1010438" s="9"/>
    </row>
    <row r="1010459" spans="15:15" x14ac:dyDescent="0.25">
      <c r="O1010459" s="9"/>
    </row>
    <row r="1010480" spans="15:15" x14ac:dyDescent="0.25">
      <c r="O1010480" s="9"/>
    </row>
    <row r="1010501" spans="15:15" x14ac:dyDescent="0.25">
      <c r="O1010501" s="9"/>
    </row>
    <row r="1010522" spans="15:15" x14ac:dyDescent="0.25">
      <c r="O1010522" s="9"/>
    </row>
    <row r="1010543" spans="15:15" x14ac:dyDescent="0.25">
      <c r="O1010543" s="9"/>
    </row>
    <row r="1010564" spans="15:15" x14ac:dyDescent="0.25">
      <c r="O1010564" s="9"/>
    </row>
    <row r="1010585" spans="15:15" x14ac:dyDescent="0.25">
      <c r="O1010585" s="9"/>
    </row>
    <row r="1010606" spans="15:15" x14ac:dyDescent="0.25">
      <c r="O1010606" s="9"/>
    </row>
    <row r="1010627" spans="15:15" x14ac:dyDescent="0.25">
      <c r="O1010627" s="9"/>
    </row>
    <row r="1010648" spans="15:15" x14ac:dyDescent="0.25">
      <c r="O1010648" s="9"/>
    </row>
    <row r="1010669" spans="15:15" x14ac:dyDescent="0.25">
      <c r="O1010669" s="9"/>
    </row>
    <row r="1010690" spans="15:15" x14ac:dyDescent="0.25">
      <c r="O1010690" s="9"/>
    </row>
    <row r="1010711" spans="15:15" x14ac:dyDescent="0.25">
      <c r="O1010711" s="9"/>
    </row>
    <row r="1010732" spans="15:15" x14ac:dyDescent="0.25">
      <c r="O1010732" s="9"/>
    </row>
    <row r="1010753" spans="15:15" x14ac:dyDescent="0.25">
      <c r="O1010753" s="9"/>
    </row>
    <row r="1010774" spans="15:15" x14ac:dyDescent="0.25">
      <c r="O1010774" s="9"/>
    </row>
    <row r="1010795" spans="15:15" x14ac:dyDescent="0.25">
      <c r="O1010795" s="9"/>
    </row>
    <row r="1010816" spans="15:15" x14ac:dyDescent="0.25">
      <c r="O1010816" s="9"/>
    </row>
    <row r="1010837" spans="15:15" x14ac:dyDescent="0.25">
      <c r="O1010837" s="9"/>
    </row>
    <row r="1010858" spans="15:15" x14ac:dyDescent="0.25">
      <c r="O1010858" s="9"/>
    </row>
    <row r="1010879" spans="15:15" x14ac:dyDescent="0.25">
      <c r="O1010879" s="9"/>
    </row>
    <row r="1010900" spans="15:15" x14ac:dyDescent="0.25">
      <c r="O1010900" s="9"/>
    </row>
    <row r="1010921" spans="15:15" x14ac:dyDescent="0.25">
      <c r="O1010921" s="9"/>
    </row>
    <row r="1010942" spans="15:15" x14ac:dyDescent="0.25">
      <c r="O1010942" s="9"/>
    </row>
    <row r="1010963" spans="15:15" x14ac:dyDescent="0.25">
      <c r="O1010963" s="9"/>
    </row>
    <row r="1010984" spans="15:15" x14ac:dyDescent="0.25">
      <c r="O1010984" s="9"/>
    </row>
    <row r="1011005" spans="15:15" x14ac:dyDescent="0.25">
      <c r="O1011005" s="9"/>
    </row>
    <row r="1011026" spans="15:15" x14ac:dyDescent="0.25">
      <c r="O1011026" s="9"/>
    </row>
    <row r="1011047" spans="15:15" x14ac:dyDescent="0.25">
      <c r="O1011047" s="9"/>
    </row>
    <row r="1011068" spans="15:15" x14ac:dyDescent="0.25">
      <c r="O1011068" s="9"/>
    </row>
    <row r="1011089" spans="15:15" x14ac:dyDescent="0.25">
      <c r="O1011089" s="9"/>
    </row>
    <row r="1011110" spans="15:15" x14ac:dyDescent="0.25">
      <c r="O1011110" s="9"/>
    </row>
    <row r="1011131" spans="15:15" x14ac:dyDescent="0.25">
      <c r="O1011131" s="9"/>
    </row>
    <row r="1011152" spans="15:15" x14ac:dyDescent="0.25">
      <c r="O1011152" s="9"/>
    </row>
    <row r="1011173" spans="15:15" x14ac:dyDescent="0.25">
      <c r="O1011173" s="9"/>
    </row>
    <row r="1011194" spans="15:15" x14ac:dyDescent="0.25">
      <c r="O1011194" s="9"/>
    </row>
    <row r="1011215" spans="15:15" x14ac:dyDescent="0.25">
      <c r="O1011215" s="9"/>
    </row>
    <row r="1011236" spans="15:15" x14ac:dyDescent="0.25">
      <c r="O1011236" s="9"/>
    </row>
    <row r="1011257" spans="15:15" x14ac:dyDescent="0.25">
      <c r="O1011257" s="9"/>
    </row>
    <row r="1011278" spans="15:15" x14ac:dyDescent="0.25">
      <c r="O1011278" s="9"/>
    </row>
    <row r="1011299" spans="15:15" x14ac:dyDescent="0.25">
      <c r="O1011299" s="9"/>
    </row>
    <row r="1011320" spans="15:15" x14ac:dyDescent="0.25">
      <c r="O1011320" s="9"/>
    </row>
    <row r="1011341" spans="15:15" x14ac:dyDescent="0.25">
      <c r="O1011341" s="9"/>
    </row>
    <row r="1011362" spans="15:15" x14ac:dyDescent="0.25">
      <c r="O1011362" s="9"/>
    </row>
    <row r="1011383" spans="15:15" x14ac:dyDescent="0.25">
      <c r="O1011383" s="9"/>
    </row>
    <row r="1011404" spans="15:15" x14ac:dyDescent="0.25">
      <c r="O1011404" s="9"/>
    </row>
    <row r="1011425" spans="15:15" x14ac:dyDescent="0.25">
      <c r="O1011425" s="9"/>
    </row>
    <row r="1011446" spans="15:15" x14ac:dyDescent="0.25">
      <c r="O1011446" s="9"/>
    </row>
    <row r="1011467" spans="15:15" x14ac:dyDescent="0.25">
      <c r="O1011467" s="9"/>
    </row>
    <row r="1011488" spans="15:15" x14ac:dyDescent="0.25">
      <c r="O1011488" s="9"/>
    </row>
    <row r="1011509" spans="15:15" x14ac:dyDescent="0.25">
      <c r="O1011509" s="9"/>
    </row>
    <row r="1011530" spans="15:15" x14ac:dyDescent="0.25">
      <c r="O1011530" s="9"/>
    </row>
    <row r="1011551" spans="15:15" x14ac:dyDescent="0.25">
      <c r="O1011551" s="9"/>
    </row>
    <row r="1011572" spans="15:15" x14ac:dyDescent="0.25">
      <c r="O1011572" s="9"/>
    </row>
    <row r="1011593" spans="15:15" x14ac:dyDescent="0.25">
      <c r="O1011593" s="9"/>
    </row>
    <row r="1011614" spans="15:15" x14ac:dyDescent="0.25">
      <c r="O1011614" s="9"/>
    </row>
    <row r="1011635" spans="15:15" x14ac:dyDescent="0.25">
      <c r="O1011635" s="9"/>
    </row>
    <row r="1011656" spans="15:15" x14ac:dyDescent="0.25">
      <c r="O1011656" s="9"/>
    </row>
    <row r="1011677" spans="15:15" x14ac:dyDescent="0.25">
      <c r="O1011677" s="9"/>
    </row>
    <row r="1011698" spans="15:15" x14ac:dyDescent="0.25">
      <c r="O1011698" s="9"/>
    </row>
    <row r="1011719" spans="15:15" x14ac:dyDescent="0.25">
      <c r="O1011719" s="9"/>
    </row>
    <row r="1011740" spans="15:15" x14ac:dyDescent="0.25">
      <c r="O1011740" s="9"/>
    </row>
    <row r="1011761" spans="15:15" x14ac:dyDescent="0.25">
      <c r="O1011761" s="9"/>
    </row>
    <row r="1011782" spans="15:15" x14ac:dyDescent="0.25">
      <c r="O1011782" s="9"/>
    </row>
    <row r="1011803" spans="15:15" x14ac:dyDescent="0.25">
      <c r="O1011803" s="9"/>
    </row>
    <row r="1011824" spans="15:15" x14ac:dyDescent="0.25">
      <c r="O1011824" s="9"/>
    </row>
    <row r="1011845" spans="15:15" x14ac:dyDescent="0.25">
      <c r="O1011845" s="9"/>
    </row>
    <row r="1011866" spans="15:15" x14ac:dyDescent="0.25">
      <c r="O1011866" s="9"/>
    </row>
    <row r="1011887" spans="15:15" x14ac:dyDescent="0.25">
      <c r="O1011887" s="9"/>
    </row>
    <row r="1011908" spans="15:15" x14ac:dyDescent="0.25">
      <c r="O1011908" s="9"/>
    </row>
    <row r="1011929" spans="15:15" x14ac:dyDescent="0.25">
      <c r="O1011929" s="9"/>
    </row>
    <row r="1011950" spans="15:15" x14ac:dyDescent="0.25">
      <c r="O1011950" s="9"/>
    </row>
    <row r="1011971" spans="15:15" x14ac:dyDescent="0.25">
      <c r="O1011971" s="9"/>
    </row>
    <row r="1011992" spans="15:15" x14ac:dyDescent="0.25">
      <c r="O1011992" s="9"/>
    </row>
    <row r="1012013" spans="15:15" x14ac:dyDescent="0.25">
      <c r="O1012013" s="9"/>
    </row>
    <row r="1012034" spans="15:15" x14ac:dyDescent="0.25">
      <c r="O1012034" s="9"/>
    </row>
    <row r="1012055" spans="15:15" x14ac:dyDescent="0.25">
      <c r="O1012055" s="9"/>
    </row>
    <row r="1012076" spans="15:15" x14ac:dyDescent="0.25">
      <c r="O1012076" s="9"/>
    </row>
    <row r="1012097" spans="15:15" x14ac:dyDescent="0.25">
      <c r="O1012097" s="9"/>
    </row>
    <row r="1012118" spans="15:15" x14ac:dyDescent="0.25">
      <c r="O1012118" s="9"/>
    </row>
    <row r="1012139" spans="15:15" x14ac:dyDescent="0.25">
      <c r="O1012139" s="9"/>
    </row>
    <row r="1012160" spans="15:15" x14ac:dyDescent="0.25">
      <c r="O1012160" s="9"/>
    </row>
    <row r="1012181" spans="15:15" x14ac:dyDescent="0.25">
      <c r="O1012181" s="9"/>
    </row>
    <row r="1012202" spans="15:15" x14ac:dyDescent="0.25">
      <c r="O1012202" s="9"/>
    </row>
    <row r="1012223" spans="15:15" x14ac:dyDescent="0.25">
      <c r="O1012223" s="9"/>
    </row>
    <row r="1012244" spans="15:15" x14ac:dyDescent="0.25">
      <c r="O1012244" s="9"/>
    </row>
    <row r="1012265" spans="15:15" x14ac:dyDescent="0.25">
      <c r="O1012265" s="9"/>
    </row>
    <row r="1012286" spans="15:15" x14ac:dyDescent="0.25">
      <c r="O1012286" s="9"/>
    </row>
    <row r="1012307" spans="15:15" x14ac:dyDescent="0.25">
      <c r="O1012307" s="9"/>
    </row>
    <row r="1012328" spans="15:15" x14ac:dyDescent="0.25">
      <c r="O1012328" s="9"/>
    </row>
    <row r="1012349" spans="15:15" x14ac:dyDescent="0.25">
      <c r="O1012349" s="9"/>
    </row>
    <row r="1012370" spans="15:15" x14ac:dyDescent="0.25">
      <c r="O1012370" s="9"/>
    </row>
    <row r="1012391" spans="15:15" x14ac:dyDescent="0.25">
      <c r="O1012391" s="9"/>
    </row>
    <row r="1012412" spans="15:15" x14ac:dyDescent="0.25">
      <c r="O1012412" s="9"/>
    </row>
    <row r="1012433" spans="15:15" x14ac:dyDescent="0.25">
      <c r="O1012433" s="9"/>
    </row>
    <row r="1012454" spans="15:15" x14ac:dyDescent="0.25">
      <c r="O1012454" s="9"/>
    </row>
    <row r="1012475" spans="15:15" x14ac:dyDescent="0.25">
      <c r="O1012475" s="9"/>
    </row>
    <row r="1012496" spans="15:15" x14ac:dyDescent="0.25">
      <c r="O1012496" s="9"/>
    </row>
    <row r="1012517" spans="15:15" x14ac:dyDescent="0.25">
      <c r="O1012517" s="9"/>
    </row>
    <row r="1012538" spans="15:15" x14ac:dyDescent="0.25">
      <c r="O1012538" s="9"/>
    </row>
    <row r="1012559" spans="15:15" x14ac:dyDescent="0.25">
      <c r="O1012559" s="9"/>
    </row>
    <row r="1012580" spans="15:15" x14ac:dyDescent="0.25">
      <c r="O1012580" s="9"/>
    </row>
    <row r="1012601" spans="15:15" x14ac:dyDescent="0.25">
      <c r="O1012601" s="9"/>
    </row>
    <row r="1012622" spans="15:15" x14ac:dyDescent="0.25">
      <c r="O1012622" s="9"/>
    </row>
    <row r="1012643" spans="15:15" x14ac:dyDescent="0.25">
      <c r="O1012643" s="9"/>
    </row>
    <row r="1012664" spans="15:15" x14ac:dyDescent="0.25">
      <c r="O1012664" s="9"/>
    </row>
    <row r="1012685" spans="15:15" x14ac:dyDescent="0.25">
      <c r="O1012685" s="9"/>
    </row>
    <row r="1012706" spans="15:15" x14ac:dyDescent="0.25">
      <c r="O1012706" s="9"/>
    </row>
    <row r="1012727" spans="15:15" x14ac:dyDescent="0.25">
      <c r="O1012727" s="9"/>
    </row>
    <row r="1012748" spans="15:15" x14ac:dyDescent="0.25">
      <c r="O1012748" s="9"/>
    </row>
    <row r="1012769" spans="15:15" x14ac:dyDescent="0.25">
      <c r="O1012769" s="9"/>
    </row>
    <row r="1012790" spans="15:15" x14ac:dyDescent="0.25">
      <c r="O1012790" s="9"/>
    </row>
    <row r="1012811" spans="15:15" x14ac:dyDescent="0.25">
      <c r="O1012811" s="9"/>
    </row>
    <row r="1012832" spans="15:15" x14ac:dyDescent="0.25">
      <c r="O1012832" s="9"/>
    </row>
    <row r="1012853" spans="15:15" x14ac:dyDescent="0.25">
      <c r="O1012853" s="9"/>
    </row>
    <row r="1012874" spans="15:15" x14ac:dyDescent="0.25">
      <c r="O1012874" s="9"/>
    </row>
    <row r="1012895" spans="15:15" x14ac:dyDescent="0.25">
      <c r="O1012895" s="9"/>
    </row>
    <row r="1012916" spans="15:15" x14ac:dyDescent="0.25">
      <c r="O1012916" s="9"/>
    </row>
    <row r="1012937" spans="15:15" x14ac:dyDescent="0.25">
      <c r="O1012937" s="9"/>
    </row>
    <row r="1012958" spans="15:15" x14ac:dyDescent="0.25">
      <c r="O1012958" s="9"/>
    </row>
    <row r="1012979" spans="15:15" x14ac:dyDescent="0.25">
      <c r="O1012979" s="9"/>
    </row>
    <row r="1013000" spans="15:15" x14ac:dyDescent="0.25">
      <c r="O1013000" s="9"/>
    </row>
    <row r="1013021" spans="15:15" x14ac:dyDescent="0.25">
      <c r="O1013021" s="9"/>
    </row>
    <row r="1013042" spans="15:15" x14ac:dyDescent="0.25">
      <c r="O1013042" s="9"/>
    </row>
    <row r="1013063" spans="15:15" x14ac:dyDescent="0.25">
      <c r="O1013063" s="9"/>
    </row>
    <row r="1013084" spans="15:15" x14ac:dyDescent="0.25">
      <c r="O1013084" s="9"/>
    </row>
    <row r="1013105" spans="15:15" x14ac:dyDescent="0.25">
      <c r="O1013105" s="9"/>
    </row>
    <row r="1013126" spans="15:15" x14ac:dyDescent="0.25">
      <c r="O1013126" s="9"/>
    </row>
    <row r="1013147" spans="15:15" x14ac:dyDescent="0.25">
      <c r="O1013147" s="9"/>
    </row>
    <row r="1013168" spans="15:15" x14ac:dyDescent="0.25">
      <c r="O1013168" s="9"/>
    </row>
    <row r="1013189" spans="15:15" x14ac:dyDescent="0.25">
      <c r="O1013189" s="9"/>
    </row>
    <row r="1013210" spans="15:15" x14ac:dyDescent="0.25">
      <c r="O1013210" s="9"/>
    </row>
    <row r="1013231" spans="15:15" x14ac:dyDescent="0.25">
      <c r="O1013231" s="9"/>
    </row>
    <row r="1013252" spans="15:15" x14ac:dyDescent="0.25">
      <c r="O1013252" s="9"/>
    </row>
    <row r="1013273" spans="15:15" x14ac:dyDescent="0.25">
      <c r="O1013273" s="9"/>
    </row>
    <row r="1013294" spans="15:15" x14ac:dyDescent="0.25">
      <c r="O1013294" s="9"/>
    </row>
    <row r="1013315" spans="15:15" x14ac:dyDescent="0.25">
      <c r="O1013315" s="9"/>
    </row>
    <row r="1013336" spans="15:15" x14ac:dyDescent="0.25">
      <c r="O1013336" s="9"/>
    </row>
    <row r="1013357" spans="15:15" x14ac:dyDescent="0.25">
      <c r="O1013357" s="9"/>
    </row>
    <row r="1013378" spans="15:15" x14ac:dyDescent="0.25">
      <c r="O1013378" s="9"/>
    </row>
    <row r="1013399" spans="15:15" x14ac:dyDescent="0.25">
      <c r="O1013399" s="9"/>
    </row>
    <row r="1013420" spans="15:15" x14ac:dyDescent="0.25">
      <c r="O1013420" s="9"/>
    </row>
    <row r="1013441" spans="15:15" x14ac:dyDescent="0.25">
      <c r="O1013441" s="9"/>
    </row>
    <row r="1013462" spans="15:15" x14ac:dyDescent="0.25">
      <c r="O1013462" s="9"/>
    </row>
    <row r="1013483" spans="15:15" x14ac:dyDescent="0.25">
      <c r="O1013483" s="9"/>
    </row>
    <row r="1013504" spans="15:15" x14ac:dyDescent="0.25">
      <c r="O1013504" s="9"/>
    </row>
    <row r="1013525" spans="15:15" x14ac:dyDescent="0.25">
      <c r="O1013525" s="9"/>
    </row>
    <row r="1013546" spans="15:15" x14ac:dyDescent="0.25">
      <c r="O1013546" s="9"/>
    </row>
    <row r="1013567" spans="15:15" x14ac:dyDescent="0.25">
      <c r="O1013567" s="9"/>
    </row>
    <row r="1013588" spans="15:15" x14ac:dyDescent="0.25">
      <c r="O1013588" s="9"/>
    </row>
    <row r="1013609" spans="15:15" x14ac:dyDescent="0.25">
      <c r="O1013609" s="9"/>
    </row>
    <row r="1013630" spans="15:15" x14ac:dyDescent="0.25">
      <c r="O1013630" s="9"/>
    </row>
    <row r="1013651" spans="15:15" x14ac:dyDescent="0.25">
      <c r="O1013651" s="9"/>
    </row>
    <row r="1013672" spans="15:15" x14ac:dyDescent="0.25">
      <c r="O1013672" s="9"/>
    </row>
    <row r="1013693" spans="15:15" x14ac:dyDescent="0.25">
      <c r="O1013693" s="9"/>
    </row>
    <row r="1013714" spans="15:15" x14ac:dyDescent="0.25">
      <c r="O1013714" s="9"/>
    </row>
    <row r="1013735" spans="15:15" x14ac:dyDescent="0.25">
      <c r="O1013735" s="9"/>
    </row>
    <row r="1013756" spans="15:15" x14ac:dyDescent="0.25">
      <c r="O1013756" s="9"/>
    </row>
    <row r="1013777" spans="15:15" x14ac:dyDescent="0.25">
      <c r="O1013777" s="9"/>
    </row>
    <row r="1013798" spans="15:15" x14ac:dyDescent="0.25">
      <c r="O1013798" s="9"/>
    </row>
    <row r="1013819" spans="15:15" x14ac:dyDescent="0.25">
      <c r="O1013819" s="9"/>
    </row>
    <row r="1013840" spans="15:15" x14ac:dyDescent="0.25">
      <c r="O1013840" s="9"/>
    </row>
    <row r="1013861" spans="15:15" x14ac:dyDescent="0.25">
      <c r="O1013861" s="9"/>
    </row>
    <row r="1013882" spans="15:15" x14ac:dyDescent="0.25">
      <c r="O1013882" s="9"/>
    </row>
    <row r="1013903" spans="15:15" x14ac:dyDescent="0.25">
      <c r="O1013903" s="9"/>
    </row>
    <row r="1013924" spans="15:15" x14ac:dyDescent="0.25">
      <c r="O1013924" s="9"/>
    </row>
    <row r="1013945" spans="15:15" x14ac:dyDescent="0.25">
      <c r="O1013945" s="9"/>
    </row>
    <row r="1013966" spans="15:15" x14ac:dyDescent="0.25">
      <c r="O1013966" s="9"/>
    </row>
    <row r="1013987" spans="15:15" x14ac:dyDescent="0.25">
      <c r="O1013987" s="9"/>
    </row>
    <row r="1014008" spans="15:15" x14ac:dyDescent="0.25">
      <c r="O1014008" s="9"/>
    </row>
    <row r="1014029" spans="15:15" x14ac:dyDescent="0.25">
      <c r="O1014029" s="9"/>
    </row>
    <row r="1014050" spans="15:15" x14ac:dyDescent="0.25">
      <c r="O1014050" s="9"/>
    </row>
    <row r="1014071" spans="15:15" x14ac:dyDescent="0.25">
      <c r="O1014071" s="9"/>
    </row>
    <row r="1014092" spans="15:15" x14ac:dyDescent="0.25">
      <c r="O1014092" s="9"/>
    </row>
    <row r="1014113" spans="15:15" x14ac:dyDescent="0.25">
      <c r="O1014113" s="9"/>
    </row>
    <row r="1014134" spans="15:15" x14ac:dyDescent="0.25">
      <c r="O1014134" s="9"/>
    </row>
    <row r="1014155" spans="15:15" x14ac:dyDescent="0.25">
      <c r="O1014155" s="9"/>
    </row>
    <row r="1014176" spans="15:15" x14ac:dyDescent="0.25">
      <c r="O1014176" s="9"/>
    </row>
    <row r="1014197" spans="15:15" x14ac:dyDescent="0.25">
      <c r="O1014197" s="9"/>
    </row>
    <row r="1014218" spans="15:15" x14ac:dyDescent="0.25">
      <c r="O1014218" s="9"/>
    </row>
    <row r="1014239" spans="15:15" x14ac:dyDescent="0.25">
      <c r="O1014239" s="9"/>
    </row>
    <row r="1014260" spans="15:15" x14ac:dyDescent="0.25">
      <c r="O1014260" s="9"/>
    </row>
    <row r="1014281" spans="15:15" x14ac:dyDescent="0.25">
      <c r="O1014281" s="9"/>
    </row>
    <row r="1014302" spans="15:15" x14ac:dyDescent="0.25">
      <c r="O1014302" s="9"/>
    </row>
    <row r="1014323" spans="15:15" x14ac:dyDescent="0.25">
      <c r="O1014323" s="9"/>
    </row>
    <row r="1014344" spans="15:15" x14ac:dyDescent="0.25">
      <c r="O1014344" s="9"/>
    </row>
    <row r="1014365" spans="15:15" x14ac:dyDescent="0.25">
      <c r="O1014365" s="9"/>
    </row>
    <row r="1014386" spans="15:15" x14ac:dyDescent="0.25">
      <c r="O1014386" s="9"/>
    </row>
    <row r="1014407" spans="15:15" x14ac:dyDescent="0.25">
      <c r="O1014407" s="9"/>
    </row>
    <row r="1014428" spans="15:15" x14ac:dyDescent="0.25">
      <c r="O1014428" s="9"/>
    </row>
    <row r="1014449" spans="15:15" x14ac:dyDescent="0.25">
      <c r="O1014449" s="9"/>
    </row>
    <row r="1014470" spans="15:15" x14ac:dyDescent="0.25">
      <c r="O1014470" s="9"/>
    </row>
    <row r="1014491" spans="15:15" x14ac:dyDescent="0.25">
      <c r="O1014491" s="9"/>
    </row>
    <row r="1014512" spans="15:15" x14ac:dyDescent="0.25">
      <c r="O1014512" s="9"/>
    </row>
    <row r="1014533" spans="15:15" x14ac:dyDescent="0.25">
      <c r="O1014533" s="9"/>
    </row>
    <row r="1014554" spans="15:15" x14ac:dyDescent="0.25">
      <c r="O1014554" s="9"/>
    </row>
    <row r="1014575" spans="15:15" x14ac:dyDescent="0.25">
      <c r="O1014575" s="9"/>
    </row>
    <row r="1014596" spans="15:15" x14ac:dyDescent="0.25">
      <c r="O1014596" s="9"/>
    </row>
    <row r="1014617" spans="15:15" x14ac:dyDescent="0.25">
      <c r="O1014617" s="9"/>
    </row>
    <row r="1014638" spans="15:15" x14ac:dyDescent="0.25">
      <c r="O1014638" s="9"/>
    </row>
    <row r="1014659" spans="15:15" x14ac:dyDescent="0.25">
      <c r="O1014659" s="9"/>
    </row>
    <row r="1014680" spans="15:15" x14ac:dyDescent="0.25">
      <c r="O1014680" s="9"/>
    </row>
    <row r="1014701" spans="15:15" x14ac:dyDescent="0.25">
      <c r="O1014701" s="9"/>
    </row>
    <row r="1014722" spans="15:15" x14ac:dyDescent="0.25">
      <c r="O1014722" s="9"/>
    </row>
    <row r="1014743" spans="15:15" x14ac:dyDescent="0.25">
      <c r="O1014743" s="9"/>
    </row>
    <row r="1014764" spans="15:15" x14ac:dyDescent="0.25">
      <c r="O1014764" s="9"/>
    </row>
    <row r="1014785" spans="15:15" x14ac:dyDescent="0.25">
      <c r="O1014785" s="9"/>
    </row>
    <row r="1014806" spans="15:15" x14ac:dyDescent="0.25">
      <c r="O1014806" s="9"/>
    </row>
    <row r="1014827" spans="15:15" x14ac:dyDescent="0.25">
      <c r="O1014827" s="9"/>
    </row>
    <row r="1014848" spans="15:15" x14ac:dyDescent="0.25">
      <c r="O1014848" s="9"/>
    </row>
    <row r="1014869" spans="15:15" x14ac:dyDescent="0.25">
      <c r="O1014869" s="9"/>
    </row>
    <row r="1014890" spans="15:15" x14ac:dyDescent="0.25">
      <c r="O1014890" s="9"/>
    </row>
    <row r="1014911" spans="15:15" x14ac:dyDescent="0.25">
      <c r="O1014911" s="9"/>
    </row>
    <row r="1014932" spans="15:15" x14ac:dyDescent="0.25">
      <c r="O1014932" s="9"/>
    </row>
    <row r="1014953" spans="15:15" x14ac:dyDescent="0.25">
      <c r="O1014953" s="9"/>
    </row>
    <row r="1014974" spans="15:15" x14ac:dyDescent="0.25">
      <c r="O1014974" s="9"/>
    </row>
    <row r="1014995" spans="15:15" x14ac:dyDescent="0.25">
      <c r="O1014995" s="9"/>
    </row>
    <row r="1015016" spans="15:15" x14ac:dyDescent="0.25">
      <c r="O1015016" s="9"/>
    </row>
    <row r="1015037" spans="15:15" x14ac:dyDescent="0.25">
      <c r="O1015037" s="9"/>
    </row>
    <row r="1015058" spans="15:15" x14ac:dyDescent="0.25">
      <c r="O1015058" s="9"/>
    </row>
    <row r="1015079" spans="15:15" x14ac:dyDescent="0.25">
      <c r="O1015079" s="9"/>
    </row>
    <row r="1015100" spans="15:15" x14ac:dyDescent="0.25">
      <c r="O1015100" s="9"/>
    </row>
    <row r="1015121" spans="15:15" x14ac:dyDescent="0.25">
      <c r="O1015121" s="9"/>
    </row>
    <row r="1015142" spans="15:15" x14ac:dyDescent="0.25">
      <c r="O1015142" s="9"/>
    </row>
    <row r="1015163" spans="15:15" x14ac:dyDescent="0.25">
      <c r="O1015163" s="9"/>
    </row>
    <row r="1015184" spans="15:15" x14ac:dyDescent="0.25">
      <c r="O1015184" s="9"/>
    </row>
    <row r="1015205" spans="15:15" x14ac:dyDescent="0.25">
      <c r="O1015205" s="9"/>
    </row>
    <row r="1015226" spans="15:15" x14ac:dyDescent="0.25">
      <c r="O1015226" s="9"/>
    </row>
    <row r="1015247" spans="15:15" x14ac:dyDescent="0.25">
      <c r="O1015247" s="9"/>
    </row>
    <row r="1015268" spans="15:15" x14ac:dyDescent="0.25">
      <c r="O1015268" s="9"/>
    </row>
    <row r="1015289" spans="15:15" x14ac:dyDescent="0.25">
      <c r="O1015289" s="9"/>
    </row>
    <row r="1015310" spans="15:15" x14ac:dyDescent="0.25">
      <c r="O1015310" s="9"/>
    </row>
    <row r="1015331" spans="15:15" x14ac:dyDescent="0.25">
      <c r="O1015331" s="9"/>
    </row>
    <row r="1015352" spans="15:15" x14ac:dyDescent="0.25">
      <c r="O1015352" s="9"/>
    </row>
    <row r="1015373" spans="15:15" x14ac:dyDescent="0.25">
      <c r="O1015373" s="9"/>
    </row>
    <row r="1015394" spans="15:15" x14ac:dyDescent="0.25">
      <c r="O1015394" s="9"/>
    </row>
    <row r="1015415" spans="15:15" x14ac:dyDescent="0.25">
      <c r="O1015415" s="9"/>
    </row>
    <row r="1015436" spans="15:15" x14ac:dyDescent="0.25">
      <c r="O1015436" s="9"/>
    </row>
    <row r="1015457" spans="15:15" x14ac:dyDescent="0.25">
      <c r="O1015457" s="9"/>
    </row>
    <row r="1015478" spans="15:15" x14ac:dyDescent="0.25">
      <c r="O1015478" s="9"/>
    </row>
    <row r="1015499" spans="15:15" x14ac:dyDescent="0.25">
      <c r="O1015499" s="9"/>
    </row>
    <row r="1015520" spans="15:15" x14ac:dyDescent="0.25">
      <c r="O1015520" s="9"/>
    </row>
    <row r="1015541" spans="15:15" x14ac:dyDescent="0.25">
      <c r="O1015541" s="9"/>
    </row>
    <row r="1015562" spans="15:15" x14ac:dyDescent="0.25">
      <c r="O1015562" s="9"/>
    </row>
    <row r="1015583" spans="15:15" x14ac:dyDescent="0.25">
      <c r="O1015583" s="9"/>
    </row>
    <row r="1015604" spans="15:15" x14ac:dyDescent="0.25">
      <c r="O1015604" s="9"/>
    </row>
    <row r="1015625" spans="15:15" x14ac:dyDescent="0.25">
      <c r="O1015625" s="9"/>
    </row>
    <row r="1015646" spans="15:15" x14ac:dyDescent="0.25">
      <c r="O1015646" s="9"/>
    </row>
    <row r="1015667" spans="15:15" x14ac:dyDescent="0.25">
      <c r="O1015667" s="9"/>
    </row>
    <row r="1015688" spans="15:15" x14ac:dyDescent="0.25">
      <c r="O1015688" s="9"/>
    </row>
    <row r="1015709" spans="15:15" x14ac:dyDescent="0.25">
      <c r="O1015709" s="9"/>
    </row>
    <row r="1015730" spans="15:15" x14ac:dyDescent="0.25">
      <c r="O1015730" s="9"/>
    </row>
    <row r="1015751" spans="15:15" x14ac:dyDescent="0.25">
      <c r="O1015751" s="9"/>
    </row>
    <row r="1015772" spans="15:15" x14ac:dyDescent="0.25">
      <c r="O1015772" s="9"/>
    </row>
    <row r="1015793" spans="15:15" x14ac:dyDescent="0.25">
      <c r="O1015793" s="9"/>
    </row>
    <row r="1015814" spans="15:15" x14ac:dyDescent="0.25">
      <c r="O1015814" s="9"/>
    </row>
    <row r="1015835" spans="15:15" x14ac:dyDescent="0.25">
      <c r="O1015835" s="9"/>
    </row>
    <row r="1015856" spans="15:15" x14ac:dyDescent="0.25">
      <c r="O1015856" s="9"/>
    </row>
    <row r="1015877" spans="15:15" x14ac:dyDescent="0.25">
      <c r="O1015877" s="9"/>
    </row>
    <row r="1015898" spans="15:15" x14ac:dyDescent="0.25">
      <c r="O1015898" s="9"/>
    </row>
    <row r="1015919" spans="15:15" x14ac:dyDescent="0.25">
      <c r="O1015919" s="9"/>
    </row>
    <row r="1015940" spans="15:15" x14ac:dyDescent="0.25">
      <c r="O1015940" s="9"/>
    </row>
    <row r="1015961" spans="15:15" x14ac:dyDescent="0.25">
      <c r="O1015961" s="9"/>
    </row>
    <row r="1015982" spans="15:15" x14ac:dyDescent="0.25">
      <c r="O1015982" s="9"/>
    </row>
    <row r="1016003" spans="15:15" x14ac:dyDescent="0.25">
      <c r="O1016003" s="9"/>
    </row>
    <row r="1016024" spans="15:15" x14ac:dyDescent="0.25">
      <c r="O1016024" s="9"/>
    </row>
    <row r="1016045" spans="15:15" x14ac:dyDescent="0.25">
      <c r="O1016045" s="9"/>
    </row>
    <row r="1016066" spans="15:15" x14ac:dyDescent="0.25">
      <c r="O1016066" s="9"/>
    </row>
    <row r="1016087" spans="15:15" x14ac:dyDescent="0.25">
      <c r="O1016087" s="9"/>
    </row>
    <row r="1016108" spans="15:15" x14ac:dyDescent="0.25">
      <c r="O1016108" s="9"/>
    </row>
    <row r="1016129" spans="15:15" x14ac:dyDescent="0.25">
      <c r="O1016129" s="9"/>
    </row>
    <row r="1016150" spans="15:15" x14ac:dyDescent="0.25">
      <c r="O1016150" s="9"/>
    </row>
    <row r="1016171" spans="15:15" x14ac:dyDescent="0.25">
      <c r="O1016171" s="9"/>
    </row>
    <row r="1016192" spans="15:15" x14ac:dyDescent="0.25">
      <c r="O1016192" s="9"/>
    </row>
    <row r="1016213" spans="15:15" x14ac:dyDescent="0.25">
      <c r="O1016213" s="9"/>
    </row>
    <row r="1016234" spans="15:15" x14ac:dyDescent="0.25">
      <c r="O1016234" s="9"/>
    </row>
    <row r="1016255" spans="15:15" x14ac:dyDescent="0.25">
      <c r="O1016255" s="9"/>
    </row>
    <row r="1016276" spans="15:15" x14ac:dyDescent="0.25">
      <c r="O1016276" s="9"/>
    </row>
    <row r="1016297" spans="15:15" x14ac:dyDescent="0.25">
      <c r="O1016297" s="9"/>
    </row>
    <row r="1016318" spans="15:15" x14ac:dyDescent="0.25">
      <c r="O1016318" s="9"/>
    </row>
    <row r="1016339" spans="15:15" x14ac:dyDescent="0.25">
      <c r="O1016339" s="9"/>
    </row>
    <row r="1016360" spans="15:15" x14ac:dyDescent="0.25">
      <c r="O1016360" s="9"/>
    </row>
    <row r="1016381" spans="15:15" x14ac:dyDescent="0.25">
      <c r="O1016381" s="9"/>
    </row>
    <row r="1016402" spans="15:15" x14ac:dyDescent="0.25">
      <c r="O1016402" s="9"/>
    </row>
    <row r="1016423" spans="15:15" x14ac:dyDescent="0.25">
      <c r="O1016423" s="9"/>
    </row>
    <row r="1016444" spans="15:15" x14ac:dyDescent="0.25">
      <c r="O1016444" s="9"/>
    </row>
    <row r="1016465" spans="15:15" x14ac:dyDescent="0.25">
      <c r="O1016465" s="9"/>
    </row>
    <row r="1016486" spans="15:15" x14ac:dyDescent="0.25">
      <c r="O1016486" s="9"/>
    </row>
    <row r="1016507" spans="15:15" x14ac:dyDescent="0.25">
      <c r="O1016507" s="9"/>
    </row>
    <row r="1016528" spans="15:15" x14ac:dyDescent="0.25">
      <c r="O1016528" s="9"/>
    </row>
    <row r="1016549" spans="15:15" x14ac:dyDescent="0.25">
      <c r="O1016549" s="9"/>
    </row>
    <row r="1016570" spans="15:15" x14ac:dyDescent="0.25">
      <c r="O1016570" s="9"/>
    </row>
    <row r="1016591" spans="15:15" x14ac:dyDescent="0.25">
      <c r="O1016591" s="9"/>
    </row>
    <row r="1016612" spans="15:15" x14ac:dyDescent="0.25">
      <c r="O1016612" s="9"/>
    </row>
    <row r="1016633" spans="15:15" x14ac:dyDescent="0.25">
      <c r="O1016633" s="9"/>
    </row>
    <row r="1016654" spans="15:15" x14ac:dyDescent="0.25">
      <c r="O1016654" s="9"/>
    </row>
    <row r="1016675" spans="15:15" x14ac:dyDescent="0.25">
      <c r="O1016675" s="9"/>
    </row>
    <row r="1016696" spans="15:15" x14ac:dyDescent="0.25">
      <c r="O1016696" s="9"/>
    </row>
    <row r="1016717" spans="15:15" x14ac:dyDescent="0.25">
      <c r="O1016717" s="9"/>
    </row>
    <row r="1016738" spans="15:15" x14ac:dyDescent="0.25">
      <c r="O1016738" s="9"/>
    </row>
    <row r="1016759" spans="15:15" x14ac:dyDescent="0.25">
      <c r="O1016759" s="9"/>
    </row>
    <row r="1016780" spans="15:15" x14ac:dyDescent="0.25">
      <c r="O1016780" s="9"/>
    </row>
    <row r="1016801" spans="15:15" x14ac:dyDescent="0.25">
      <c r="O1016801" s="9"/>
    </row>
    <row r="1016822" spans="15:15" x14ac:dyDescent="0.25">
      <c r="O1016822" s="9"/>
    </row>
    <row r="1016843" spans="15:15" x14ac:dyDescent="0.25">
      <c r="O1016843" s="9"/>
    </row>
    <row r="1016864" spans="15:15" x14ac:dyDescent="0.25">
      <c r="O1016864" s="9"/>
    </row>
    <row r="1016885" spans="15:15" x14ac:dyDescent="0.25">
      <c r="O1016885" s="9"/>
    </row>
    <row r="1016906" spans="15:15" x14ac:dyDescent="0.25">
      <c r="O1016906" s="9"/>
    </row>
    <row r="1016927" spans="15:15" x14ac:dyDescent="0.25">
      <c r="O1016927" s="9"/>
    </row>
    <row r="1016948" spans="15:15" x14ac:dyDescent="0.25">
      <c r="O1016948" s="9"/>
    </row>
    <row r="1016969" spans="15:15" x14ac:dyDescent="0.25">
      <c r="O1016969" s="9"/>
    </row>
    <row r="1016990" spans="15:15" x14ac:dyDescent="0.25">
      <c r="O1016990" s="9"/>
    </row>
    <row r="1017011" spans="15:15" x14ac:dyDescent="0.25">
      <c r="O1017011" s="9"/>
    </row>
    <row r="1017032" spans="15:15" x14ac:dyDescent="0.25">
      <c r="O1017032" s="9"/>
    </row>
    <row r="1017053" spans="15:15" x14ac:dyDescent="0.25">
      <c r="O1017053" s="9"/>
    </row>
    <row r="1017074" spans="15:15" x14ac:dyDescent="0.25">
      <c r="O1017074" s="9"/>
    </row>
    <row r="1017095" spans="15:15" x14ac:dyDescent="0.25">
      <c r="O1017095" s="9"/>
    </row>
    <row r="1017116" spans="15:15" x14ac:dyDescent="0.25">
      <c r="O1017116" s="9"/>
    </row>
    <row r="1017137" spans="15:15" x14ac:dyDescent="0.25">
      <c r="O1017137" s="9"/>
    </row>
    <row r="1017158" spans="15:15" x14ac:dyDescent="0.25">
      <c r="O1017158" s="9"/>
    </row>
    <row r="1017179" spans="15:15" x14ac:dyDescent="0.25">
      <c r="O1017179" s="9"/>
    </row>
    <row r="1017200" spans="15:15" x14ac:dyDescent="0.25">
      <c r="O1017200" s="9"/>
    </row>
    <row r="1017221" spans="15:15" x14ac:dyDescent="0.25">
      <c r="O1017221" s="9"/>
    </row>
    <row r="1017242" spans="15:15" x14ac:dyDescent="0.25">
      <c r="O1017242" s="9"/>
    </row>
    <row r="1017263" spans="15:15" x14ac:dyDescent="0.25">
      <c r="O1017263" s="9"/>
    </row>
    <row r="1017284" spans="15:15" x14ac:dyDescent="0.25">
      <c r="O1017284" s="9"/>
    </row>
    <row r="1017305" spans="15:15" x14ac:dyDescent="0.25">
      <c r="O1017305" s="9"/>
    </row>
    <row r="1017326" spans="15:15" x14ac:dyDescent="0.25">
      <c r="O1017326" s="9"/>
    </row>
    <row r="1017347" spans="15:15" x14ac:dyDescent="0.25">
      <c r="O1017347" s="9"/>
    </row>
    <row r="1017368" spans="15:15" x14ac:dyDescent="0.25">
      <c r="O1017368" s="9"/>
    </row>
    <row r="1017389" spans="15:15" x14ac:dyDescent="0.25">
      <c r="O1017389" s="9"/>
    </row>
    <row r="1017410" spans="15:15" x14ac:dyDescent="0.25">
      <c r="O1017410" s="9"/>
    </row>
    <row r="1017431" spans="15:15" x14ac:dyDescent="0.25">
      <c r="O1017431" s="9"/>
    </row>
    <row r="1017452" spans="15:15" x14ac:dyDescent="0.25">
      <c r="O1017452" s="9"/>
    </row>
    <row r="1017473" spans="15:15" x14ac:dyDescent="0.25">
      <c r="O1017473" s="9"/>
    </row>
    <row r="1017494" spans="15:15" x14ac:dyDescent="0.25">
      <c r="O1017494" s="9"/>
    </row>
    <row r="1017515" spans="15:15" x14ac:dyDescent="0.25">
      <c r="O1017515" s="9"/>
    </row>
    <row r="1017536" spans="15:15" x14ac:dyDescent="0.25">
      <c r="O1017536" s="9"/>
    </row>
    <row r="1017557" spans="15:15" x14ac:dyDescent="0.25">
      <c r="O1017557" s="9"/>
    </row>
    <row r="1017578" spans="15:15" x14ac:dyDescent="0.25">
      <c r="O1017578" s="9"/>
    </row>
    <row r="1017599" spans="15:15" x14ac:dyDescent="0.25">
      <c r="O1017599" s="9"/>
    </row>
    <row r="1017620" spans="15:15" x14ac:dyDescent="0.25">
      <c r="O1017620" s="9"/>
    </row>
    <row r="1017641" spans="15:15" x14ac:dyDescent="0.25">
      <c r="O1017641" s="9"/>
    </row>
    <row r="1017662" spans="15:15" x14ac:dyDescent="0.25">
      <c r="O1017662" s="9"/>
    </row>
    <row r="1017683" spans="15:15" x14ac:dyDescent="0.25">
      <c r="O1017683" s="9"/>
    </row>
    <row r="1017704" spans="15:15" x14ac:dyDescent="0.25">
      <c r="O1017704" s="9"/>
    </row>
    <row r="1017725" spans="15:15" x14ac:dyDescent="0.25">
      <c r="O1017725" s="9"/>
    </row>
    <row r="1017746" spans="15:15" x14ac:dyDescent="0.25">
      <c r="O1017746" s="9"/>
    </row>
    <row r="1017767" spans="15:15" x14ac:dyDescent="0.25">
      <c r="O1017767" s="9"/>
    </row>
    <row r="1017788" spans="15:15" x14ac:dyDescent="0.25">
      <c r="O1017788" s="9"/>
    </row>
    <row r="1017809" spans="15:15" x14ac:dyDescent="0.25">
      <c r="O1017809" s="9"/>
    </row>
    <row r="1017830" spans="15:15" x14ac:dyDescent="0.25">
      <c r="O1017830" s="9"/>
    </row>
    <row r="1017851" spans="15:15" x14ac:dyDescent="0.25">
      <c r="O1017851" s="9"/>
    </row>
    <row r="1017872" spans="15:15" x14ac:dyDescent="0.25">
      <c r="O1017872" s="9"/>
    </row>
    <row r="1017893" spans="15:15" x14ac:dyDescent="0.25">
      <c r="O1017893" s="9"/>
    </row>
    <row r="1017914" spans="15:15" x14ac:dyDescent="0.25">
      <c r="O1017914" s="9"/>
    </row>
    <row r="1017935" spans="15:15" x14ac:dyDescent="0.25">
      <c r="O1017935" s="9"/>
    </row>
    <row r="1017956" spans="15:15" x14ac:dyDescent="0.25">
      <c r="O1017956" s="9"/>
    </row>
    <row r="1017977" spans="15:15" x14ac:dyDescent="0.25">
      <c r="O1017977" s="9"/>
    </row>
    <row r="1017998" spans="15:15" x14ac:dyDescent="0.25">
      <c r="O1017998" s="9"/>
    </row>
    <row r="1018019" spans="15:15" x14ac:dyDescent="0.25">
      <c r="O1018019" s="9"/>
    </row>
    <row r="1018040" spans="15:15" x14ac:dyDescent="0.25">
      <c r="O1018040" s="9"/>
    </row>
    <row r="1018061" spans="15:15" x14ac:dyDescent="0.25">
      <c r="O1018061" s="9"/>
    </row>
    <row r="1018082" spans="15:15" x14ac:dyDescent="0.25">
      <c r="O1018082" s="9"/>
    </row>
    <row r="1018103" spans="15:15" x14ac:dyDescent="0.25">
      <c r="O1018103" s="9"/>
    </row>
    <row r="1018124" spans="15:15" x14ac:dyDescent="0.25">
      <c r="O1018124" s="9"/>
    </row>
    <row r="1018145" spans="15:15" x14ac:dyDescent="0.25">
      <c r="O1018145" s="9"/>
    </row>
    <row r="1018166" spans="15:15" x14ac:dyDescent="0.25">
      <c r="O1018166" s="9"/>
    </row>
    <row r="1018187" spans="15:15" x14ac:dyDescent="0.25">
      <c r="O1018187" s="9"/>
    </row>
    <row r="1018208" spans="15:15" x14ac:dyDescent="0.25">
      <c r="O1018208" s="9"/>
    </row>
    <row r="1018229" spans="15:15" x14ac:dyDescent="0.25">
      <c r="O1018229" s="9"/>
    </row>
    <row r="1018250" spans="15:15" x14ac:dyDescent="0.25">
      <c r="O1018250" s="9"/>
    </row>
    <row r="1018271" spans="15:15" x14ac:dyDescent="0.25">
      <c r="O1018271" s="9"/>
    </row>
    <row r="1018292" spans="15:15" x14ac:dyDescent="0.25">
      <c r="O1018292" s="9"/>
    </row>
    <row r="1018313" spans="15:15" x14ac:dyDescent="0.25">
      <c r="O1018313" s="9"/>
    </row>
    <row r="1018334" spans="15:15" x14ac:dyDescent="0.25">
      <c r="O1018334" s="9"/>
    </row>
    <row r="1018355" spans="15:15" x14ac:dyDescent="0.25">
      <c r="O1018355" s="9"/>
    </row>
    <row r="1018376" spans="15:15" x14ac:dyDescent="0.25">
      <c r="O1018376" s="9"/>
    </row>
    <row r="1018397" spans="15:15" x14ac:dyDescent="0.25">
      <c r="O1018397" s="9"/>
    </row>
    <row r="1018418" spans="15:15" x14ac:dyDescent="0.25">
      <c r="O1018418" s="9"/>
    </row>
    <row r="1018439" spans="15:15" x14ac:dyDescent="0.25">
      <c r="O1018439" s="9"/>
    </row>
    <row r="1018460" spans="15:15" x14ac:dyDescent="0.25">
      <c r="O1018460" s="9"/>
    </row>
    <row r="1018481" spans="15:15" x14ac:dyDescent="0.25">
      <c r="O1018481" s="9"/>
    </row>
    <row r="1018502" spans="15:15" x14ac:dyDescent="0.25">
      <c r="O1018502" s="9"/>
    </row>
    <row r="1018523" spans="15:15" x14ac:dyDescent="0.25">
      <c r="O1018523" s="9"/>
    </row>
    <row r="1018544" spans="15:15" x14ac:dyDescent="0.25">
      <c r="O1018544" s="9"/>
    </row>
    <row r="1018565" spans="15:15" x14ac:dyDescent="0.25">
      <c r="O1018565" s="9"/>
    </row>
    <row r="1018586" spans="15:15" x14ac:dyDescent="0.25">
      <c r="O1018586" s="9"/>
    </row>
    <row r="1018607" spans="15:15" x14ac:dyDescent="0.25">
      <c r="O1018607" s="9"/>
    </row>
    <row r="1018628" spans="15:15" x14ac:dyDescent="0.25">
      <c r="O1018628" s="9"/>
    </row>
    <row r="1018649" spans="15:15" x14ac:dyDescent="0.25">
      <c r="O1018649" s="9"/>
    </row>
    <row r="1018670" spans="15:15" x14ac:dyDescent="0.25">
      <c r="O1018670" s="9"/>
    </row>
    <row r="1018691" spans="15:15" x14ac:dyDescent="0.25">
      <c r="O1018691" s="9"/>
    </row>
    <row r="1018712" spans="15:15" x14ac:dyDescent="0.25">
      <c r="O1018712" s="9"/>
    </row>
    <row r="1018733" spans="15:15" x14ac:dyDescent="0.25">
      <c r="O1018733" s="9"/>
    </row>
    <row r="1018754" spans="15:15" x14ac:dyDescent="0.25">
      <c r="O1018754" s="9"/>
    </row>
    <row r="1018775" spans="15:15" x14ac:dyDescent="0.25">
      <c r="O1018775" s="9"/>
    </row>
    <row r="1018796" spans="15:15" x14ac:dyDescent="0.25">
      <c r="O1018796" s="9"/>
    </row>
    <row r="1018817" spans="15:15" x14ac:dyDescent="0.25">
      <c r="O1018817" s="9"/>
    </row>
    <row r="1018838" spans="15:15" x14ac:dyDescent="0.25">
      <c r="O1018838" s="9"/>
    </row>
    <row r="1018859" spans="15:15" x14ac:dyDescent="0.25">
      <c r="O1018859" s="9"/>
    </row>
    <row r="1018880" spans="15:15" x14ac:dyDescent="0.25">
      <c r="O1018880" s="9"/>
    </row>
    <row r="1018901" spans="15:15" x14ac:dyDescent="0.25">
      <c r="O1018901" s="9"/>
    </row>
    <row r="1018922" spans="15:15" x14ac:dyDescent="0.25">
      <c r="O1018922" s="9"/>
    </row>
    <row r="1018943" spans="15:15" x14ac:dyDescent="0.25">
      <c r="O1018943" s="9"/>
    </row>
    <row r="1018964" spans="15:15" x14ac:dyDescent="0.25">
      <c r="O1018964" s="9"/>
    </row>
    <row r="1018985" spans="15:15" x14ac:dyDescent="0.25">
      <c r="O1018985" s="9"/>
    </row>
    <row r="1019006" spans="15:15" x14ac:dyDescent="0.25">
      <c r="O1019006" s="9"/>
    </row>
    <row r="1019027" spans="15:15" x14ac:dyDescent="0.25">
      <c r="O1019027" s="9"/>
    </row>
    <row r="1019048" spans="15:15" x14ac:dyDescent="0.25">
      <c r="O1019048" s="9"/>
    </row>
    <row r="1019069" spans="15:15" x14ac:dyDescent="0.25">
      <c r="O1019069" s="9"/>
    </row>
    <row r="1019090" spans="15:15" x14ac:dyDescent="0.25">
      <c r="O1019090" s="9"/>
    </row>
    <row r="1019111" spans="15:15" x14ac:dyDescent="0.25">
      <c r="O1019111" s="9"/>
    </row>
    <row r="1019132" spans="15:15" x14ac:dyDescent="0.25">
      <c r="O1019132" s="9"/>
    </row>
    <row r="1019153" spans="15:15" x14ac:dyDescent="0.25">
      <c r="O1019153" s="9"/>
    </row>
    <row r="1019174" spans="15:15" x14ac:dyDescent="0.25">
      <c r="O1019174" s="9"/>
    </row>
    <row r="1019195" spans="15:15" x14ac:dyDescent="0.25">
      <c r="O1019195" s="9"/>
    </row>
    <row r="1019216" spans="15:15" x14ac:dyDescent="0.25">
      <c r="O1019216" s="9"/>
    </row>
    <row r="1019237" spans="15:15" x14ac:dyDescent="0.25">
      <c r="O1019237" s="9"/>
    </row>
    <row r="1019258" spans="15:15" x14ac:dyDescent="0.25">
      <c r="O1019258" s="9"/>
    </row>
    <row r="1019279" spans="15:15" x14ac:dyDescent="0.25">
      <c r="O1019279" s="9"/>
    </row>
    <row r="1019300" spans="15:15" x14ac:dyDescent="0.25">
      <c r="O1019300" s="9"/>
    </row>
    <row r="1019321" spans="15:15" x14ac:dyDescent="0.25">
      <c r="O1019321" s="9"/>
    </row>
    <row r="1019342" spans="15:15" x14ac:dyDescent="0.25">
      <c r="O1019342" s="9"/>
    </row>
    <row r="1019363" spans="15:15" x14ac:dyDescent="0.25">
      <c r="O1019363" s="9"/>
    </row>
    <row r="1019384" spans="15:15" x14ac:dyDescent="0.25">
      <c r="O1019384" s="9"/>
    </row>
    <row r="1019405" spans="15:15" x14ac:dyDescent="0.25">
      <c r="O1019405" s="9"/>
    </row>
    <row r="1019426" spans="15:15" x14ac:dyDescent="0.25">
      <c r="O1019426" s="9"/>
    </row>
    <row r="1019447" spans="15:15" x14ac:dyDescent="0.25">
      <c r="O1019447" s="9"/>
    </row>
    <row r="1019468" spans="15:15" x14ac:dyDescent="0.25">
      <c r="O1019468" s="9"/>
    </row>
    <row r="1019489" spans="15:15" x14ac:dyDescent="0.25">
      <c r="O1019489" s="9"/>
    </row>
    <row r="1019510" spans="15:15" x14ac:dyDescent="0.25">
      <c r="O1019510" s="9"/>
    </row>
    <row r="1019531" spans="15:15" x14ac:dyDescent="0.25">
      <c r="O1019531" s="9"/>
    </row>
    <row r="1019552" spans="15:15" x14ac:dyDescent="0.25">
      <c r="O1019552" s="9"/>
    </row>
    <row r="1019573" spans="15:15" x14ac:dyDescent="0.25">
      <c r="O1019573" s="9"/>
    </row>
    <row r="1019594" spans="15:15" x14ac:dyDescent="0.25">
      <c r="O1019594" s="9"/>
    </row>
    <row r="1019615" spans="15:15" x14ac:dyDescent="0.25">
      <c r="O1019615" s="9"/>
    </row>
    <row r="1019636" spans="15:15" x14ac:dyDescent="0.25">
      <c r="O1019636" s="9"/>
    </row>
    <row r="1019657" spans="15:15" x14ac:dyDescent="0.25">
      <c r="O1019657" s="9"/>
    </row>
    <row r="1019678" spans="15:15" x14ac:dyDescent="0.25">
      <c r="O1019678" s="9"/>
    </row>
    <row r="1019699" spans="15:15" x14ac:dyDescent="0.25">
      <c r="O1019699" s="9"/>
    </row>
    <row r="1019720" spans="15:15" x14ac:dyDescent="0.25">
      <c r="O1019720" s="9"/>
    </row>
    <row r="1019741" spans="15:15" x14ac:dyDescent="0.25">
      <c r="O1019741" s="9"/>
    </row>
    <row r="1019762" spans="15:15" x14ac:dyDescent="0.25">
      <c r="O1019762" s="9"/>
    </row>
    <row r="1019783" spans="15:15" x14ac:dyDescent="0.25">
      <c r="O1019783" s="9"/>
    </row>
    <row r="1019804" spans="15:15" x14ac:dyDescent="0.25">
      <c r="O1019804" s="9"/>
    </row>
    <row r="1019825" spans="15:15" x14ac:dyDescent="0.25">
      <c r="O1019825" s="9"/>
    </row>
    <row r="1019846" spans="15:15" x14ac:dyDescent="0.25">
      <c r="O1019846" s="9"/>
    </row>
    <row r="1019867" spans="15:15" x14ac:dyDescent="0.25">
      <c r="O1019867" s="9"/>
    </row>
    <row r="1019888" spans="15:15" x14ac:dyDescent="0.25">
      <c r="O1019888" s="9"/>
    </row>
    <row r="1019909" spans="15:15" x14ac:dyDescent="0.25">
      <c r="O1019909" s="9"/>
    </row>
    <row r="1019930" spans="15:15" x14ac:dyDescent="0.25">
      <c r="O1019930" s="9"/>
    </row>
    <row r="1019951" spans="15:15" x14ac:dyDescent="0.25">
      <c r="O1019951" s="9"/>
    </row>
    <row r="1019972" spans="15:15" x14ac:dyDescent="0.25">
      <c r="O1019972" s="9"/>
    </row>
    <row r="1019993" spans="15:15" x14ac:dyDescent="0.25">
      <c r="O1019993" s="9"/>
    </row>
    <row r="1020014" spans="15:15" x14ac:dyDescent="0.25">
      <c r="O1020014" s="9"/>
    </row>
    <row r="1020035" spans="15:15" x14ac:dyDescent="0.25">
      <c r="O1020035" s="9"/>
    </row>
    <row r="1020056" spans="15:15" x14ac:dyDescent="0.25">
      <c r="O1020056" s="9"/>
    </row>
    <row r="1020077" spans="15:15" x14ac:dyDescent="0.25">
      <c r="O1020077" s="9"/>
    </row>
    <row r="1020098" spans="15:15" x14ac:dyDescent="0.25">
      <c r="O1020098" s="9"/>
    </row>
    <row r="1020119" spans="15:15" x14ac:dyDescent="0.25">
      <c r="O1020119" s="9"/>
    </row>
    <row r="1020140" spans="15:15" x14ac:dyDescent="0.25">
      <c r="O1020140" s="9"/>
    </row>
    <row r="1020161" spans="15:15" x14ac:dyDescent="0.25">
      <c r="O1020161" s="9"/>
    </row>
    <row r="1020182" spans="15:15" x14ac:dyDescent="0.25">
      <c r="O1020182" s="9"/>
    </row>
    <row r="1020203" spans="15:15" x14ac:dyDescent="0.25">
      <c r="O1020203" s="9"/>
    </row>
    <row r="1020224" spans="15:15" x14ac:dyDescent="0.25">
      <c r="O1020224" s="9"/>
    </row>
    <row r="1020245" spans="15:15" x14ac:dyDescent="0.25">
      <c r="O1020245" s="9"/>
    </row>
    <row r="1020266" spans="15:15" x14ac:dyDescent="0.25">
      <c r="O1020266" s="9"/>
    </row>
    <row r="1020287" spans="15:15" x14ac:dyDescent="0.25">
      <c r="O1020287" s="9"/>
    </row>
    <row r="1020308" spans="15:15" x14ac:dyDescent="0.25">
      <c r="O1020308" s="9"/>
    </row>
    <row r="1020329" spans="15:15" x14ac:dyDescent="0.25">
      <c r="O1020329" s="9"/>
    </row>
    <row r="1020350" spans="15:15" x14ac:dyDescent="0.25">
      <c r="O1020350" s="9"/>
    </row>
    <row r="1020371" spans="15:15" x14ac:dyDescent="0.25">
      <c r="O1020371" s="9"/>
    </row>
    <row r="1020392" spans="15:15" x14ac:dyDescent="0.25">
      <c r="O1020392" s="9"/>
    </row>
    <row r="1020413" spans="15:15" x14ac:dyDescent="0.25">
      <c r="O1020413" s="9"/>
    </row>
    <row r="1020434" spans="15:15" x14ac:dyDescent="0.25">
      <c r="O1020434" s="9"/>
    </row>
    <row r="1020455" spans="15:15" x14ac:dyDescent="0.25">
      <c r="O1020455" s="9"/>
    </row>
    <row r="1020476" spans="15:15" x14ac:dyDescent="0.25">
      <c r="O1020476" s="9"/>
    </row>
    <row r="1020497" spans="15:15" x14ac:dyDescent="0.25">
      <c r="O1020497" s="9"/>
    </row>
    <row r="1020518" spans="15:15" x14ac:dyDescent="0.25">
      <c r="O1020518" s="9"/>
    </row>
    <row r="1020539" spans="15:15" x14ac:dyDescent="0.25">
      <c r="O1020539" s="9"/>
    </row>
    <row r="1020560" spans="15:15" x14ac:dyDescent="0.25">
      <c r="O1020560" s="9"/>
    </row>
    <row r="1020581" spans="15:15" x14ac:dyDescent="0.25">
      <c r="O1020581" s="9"/>
    </row>
    <row r="1020602" spans="15:15" x14ac:dyDescent="0.25">
      <c r="O1020602" s="9"/>
    </row>
    <row r="1020623" spans="15:15" x14ac:dyDescent="0.25">
      <c r="O1020623" s="9"/>
    </row>
    <row r="1020644" spans="15:15" x14ac:dyDescent="0.25">
      <c r="O1020644" s="9"/>
    </row>
    <row r="1020665" spans="15:15" x14ac:dyDescent="0.25">
      <c r="O1020665" s="9"/>
    </row>
    <row r="1020686" spans="15:15" x14ac:dyDescent="0.25">
      <c r="O1020686" s="9"/>
    </row>
    <row r="1020707" spans="15:15" x14ac:dyDescent="0.25">
      <c r="O1020707" s="9"/>
    </row>
    <row r="1020728" spans="15:15" x14ac:dyDescent="0.25">
      <c r="O1020728" s="9"/>
    </row>
    <row r="1020749" spans="15:15" x14ac:dyDescent="0.25">
      <c r="O1020749" s="9"/>
    </row>
    <row r="1020770" spans="15:15" x14ac:dyDescent="0.25">
      <c r="O1020770" s="9"/>
    </row>
    <row r="1020791" spans="15:15" x14ac:dyDescent="0.25">
      <c r="O1020791" s="9"/>
    </row>
    <row r="1020812" spans="15:15" x14ac:dyDescent="0.25">
      <c r="O1020812" s="9"/>
    </row>
    <row r="1020833" spans="15:15" x14ac:dyDescent="0.25">
      <c r="O1020833" s="9"/>
    </row>
    <row r="1020854" spans="15:15" x14ac:dyDescent="0.25">
      <c r="O1020854" s="9"/>
    </row>
    <row r="1020875" spans="15:15" x14ac:dyDescent="0.25">
      <c r="O1020875" s="9"/>
    </row>
    <row r="1020896" spans="15:15" x14ac:dyDescent="0.25">
      <c r="O1020896" s="9"/>
    </row>
    <row r="1020917" spans="15:15" x14ac:dyDescent="0.25">
      <c r="O1020917" s="9"/>
    </row>
    <row r="1020938" spans="15:15" x14ac:dyDescent="0.25">
      <c r="O1020938" s="9"/>
    </row>
    <row r="1020959" spans="15:15" x14ac:dyDescent="0.25">
      <c r="O1020959" s="9"/>
    </row>
    <row r="1020980" spans="15:15" x14ac:dyDescent="0.25">
      <c r="O1020980" s="9"/>
    </row>
    <row r="1021001" spans="15:15" x14ac:dyDescent="0.25">
      <c r="O1021001" s="9"/>
    </row>
    <row r="1021022" spans="15:15" x14ac:dyDescent="0.25">
      <c r="O1021022" s="9"/>
    </row>
    <row r="1021043" spans="15:15" x14ac:dyDescent="0.25">
      <c r="O1021043" s="9"/>
    </row>
    <row r="1021064" spans="15:15" x14ac:dyDescent="0.25">
      <c r="O1021064" s="9"/>
    </row>
    <row r="1021085" spans="15:15" x14ac:dyDescent="0.25">
      <c r="O1021085" s="9"/>
    </row>
    <row r="1021106" spans="15:15" x14ac:dyDescent="0.25">
      <c r="O1021106" s="9"/>
    </row>
    <row r="1021127" spans="15:15" x14ac:dyDescent="0.25">
      <c r="O1021127" s="9"/>
    </row>
    <row r="1021148" spans="15:15" x14ac:dyDescent="0.25">
      <c r="O1021148" s="9"/>
    </row>
    <row r="1021169" spans="15:15" x14ac:dyDescent="0.25">
      <c r="O1021169" s="9"/>
    </row>
    <row r="1021190" spans="15:15" x14ac:dyDescent="0.25">
      <c r="O1021190" s="9"/>
    </row>
    <row r="1021211" spans="15:15" x14ac:dyDescent="0.25">
      <c r="O1021211" s="9"/>
    </row>
    <row r="1021232" spans="15:15" x14ac:dyDescent="0.25">
      <c r="O1021232" s="9"/>
    </row>
    <row r="1021253" spans="15:15" x14ac:dyDescent="0.25">
      <c r="O1021253" s="9"/>
    </row>
    <row r="1021274" spans="15:15" x14ac:dyDescent="0.25">
      <c r="O1021274" s="9"/>
    </row>
    <row r="1021295" spans="15:15" x14ac:dyDescent="0.25">
      <c r="O1021295" s="9"/>
    </row>
    <row r="1021316" spans="15:15" x14ac:dyDescent="0.25">
      <c r="O1021316" s="9"/>
    </row>
    <row r="1021337" spans="15:15" x14ac:dyDescent="0.25">
      <c r="O1021337" s="9"/>
    </row>
    <row r="1021358" spans="15:15" x14ac:dyDescent="0.25">
      <c r="O1021358" s="9"/>
    </row>
    <row r="1021379" spans="15:15" x14ac:dyDescent="0.25">
      <c r="O1021379" s="9"/>
    </row>
    <row r="1021400" spans="15:15" x14ac:dyDescent="0.25">
      <c r="O1021400" s="9"/>
    </row>
    <row r="1021421" spans="15:15" x14ac:dyDescent="0.25">
      <c r="O1021421" s="9"/>
    </row>
    <row r="1021442" spans="15:15" x14ac:dyDescent="0.25">
      <c r="O1021442" s="9"/>
    </row>
    <row r="1021463" spans="15:15" x14ac:dyDescent="0.25">
      <c r="O1021463" s="9"/>
    </row>
    <row r="1021484" spans="15:15" x14ac:dyDescent="0.25">
      <c r="O1021484" s="9"/>
    </row>
    <row r="1021505" spans="15:15" x14ac:dyDescent="0.25">
      <c r="O1021505" s="9"/>
    </row>
    <row r="1021526" spans="15:15" x14ac:dyDescent="0.25">
      <c r="O1021526" s="9"/>
    </row>
    <row r="1021547" spans="15:15" x14ac:dyDescent="0.25">
      <c r="O1021547" s="9"/>
    </row>
    <row r="1021568" spans="15:15" x14ac:dyDescent="0.25">
      <c r="O1021568" s="9"/>
    </row>
    <row r="1021589" spans="15:15" x14ac:dyDescent="0.25">
      <c r="O1021589" s="9"/>
    </row>
    <row r="1021610" spans="15:15" x14ac:dyDescent="0.25">
      <c r="O1021610" s="9"/>
    </row>
    <row r="1021631" spans="15:15" x14ac:dyDescent="0.25">
      <c r="O1021631" s="9"/>
    </row>
    <row r="1021652" spans="15:15" x14ac:dyDescent="0.25">
      <c r="O1021652" s="9"/>
    </row>
    <row r="1021673" spans="15:15" x14ac:dyDescent="0.25">
      <c r="O1021673" s="9"/>
    </row>
    <row r="1021694" spans="15:15" x14ac:dyDescent="0.25">
      <c r="O1021694" s="9"/>
    </row>
    <row r="1021715" spans="15:15" x14ac:dyDescent="0.25">
      <c r="O1021715" s="9"/>
    </row>
    <row r="1021736" spans="15:15" x14ac:dyDescent="0.25">
      <c r="O1021736" s="9"/>
    </row>
    <row r="1021757" spans="15:15" x14ac:dyDescent="0.25">
      <c r="O1021757" s="9"/>
    </row>
    <row r="1021778" spans="15:15" x14ac:dyDescent="0.25">
      <c r="O1021778" s="9"/>
    </row>
    <row r="1021799" spans="15:15" x14ac:dyDescent="0.25">
      <c r="O1021799" s="9"/>
    </row>
    <row r="1021820" spans="15:15" x14ac:dyDescent="0.25">
      <c r="O1021820" s="9"/>
    </row>
    <row r="1021841" spans="15:15" x14ac:dyDescent="0.25">
      <c r="O1021841" s="9"/>
    </row>
    <row r="1021862" spans="15:15" x14ac:dyDescent="0.25">
      <c r="O1021862" s="9"/>
    </row>
    <row r="1021883" spans="15:15" x14ac:dyDescent="0.25">
      <c r="O1021883" s="9"/>
    </row>
    <row r="1021904" spans="15:15" x14ac:dyDescent="0.25">
      <c r="O1021904" s="9"/>
    </row>
    <row r="1021925" spans="15:15" x14ac:dyDescent="0.25">
      <c r="O1021925" s="9"/>
    </row>
    <row r="1021946" spans="15:15" x14ac:dyDescent="0.25">
      <c r="O1021946" s="9"/>
    </row>
    <row r="1021967" spans="15:15" x14ac:dyDescent="0.25">
      <c r="O1021967" s="9"/>
    </row>
    <row r="1021988" spans="15:15" x14ac:dyDescent="0.25">
      <c r="O1021988" s="9"/>
    </row>
    <row r="1022009" spans="15:15" x14ac:dyDescent="0.25">
      <c r="O1022009" s="9"/>
    </row>
    <row r="1022030" spans="15:15" x14ac:dyDescent="0.25">
      <c r="O1022030" s="9"/>
    </row>
    <row r="1022051" spans="15:15" x14ac:dyDescent="0.25">
      <c r="O1022051" s="9"/>
    </row>
    <row r="1022072" spans="15:15" x14ac:dyDescent="0.25">
      <c r="O1022072" s="9"/>
    </row>
    <row r="1022093" spans="15:15" x14ac:dyDescent="0.25">
      <c r="O1022093" s="9"/>
    </row>
    <row r="1022114" spans="15:15" x14ac:dyDescent="0.25">
      <c r="O1022114" s="9"/>
    </row>
    <row r="1022135" spans="15:15" x14ac:dyDescent="0.25">
      <c r="O1022135" s="9"/>
    </row>
    <row r="1022156" spans="15:15" x14ac:dyDescent="0.25">
      <c r="O1022156" s="9"/>
    </row>
    <row r="1022177" spans="15:15" x14ac:dyDescent="0.25">
      <c r="O1022177" s="9"/>
    </row>
    <row r="1022198" spans="15:15" x14ac:dyDescent="0.25">
      <c r="O1022198" s="9"/>
    </row>
    <row r="1022219" spans="15:15" x14ac:dyDescent="0.25">
      <c r="O1022219" s="9"/>
    </row>
    <row r="1022240" spans="15:15" x14ac:dyDescent="0.25">
      <c r="O1022240" s="9"/>
    </row>
    <row r="1022261" spans="15:15" x14ac:dyDescent="0.25">
      <c r="O1022261" s="9"/>
    </row>
    <row r="1022282" spans="15:15" x14ac:dyDescent="0.25">
      <c r="O1022282" s="9"/>
    </row>
    <row r="1022303" spans="15:15" x14ac:dyDescent="0.25">
      <c r="O1022303" s="9"/>
    </row>
    <row r="1022324" spans="15:15" x14ac:dyDescent="0.25">
      <c r="O1022324" s="9"/>
    </row>
    <row r="1022345" spans="15:15" x14ac:dyDescent="0.25">
      <c r="O1022345" s="9"/>
    </row>
    <row r="1022366" spans="15:15" x14ac:dyDescent="0.25">
      <c r="O1022366" s="9"/>
    </row>
    <row r="1022387" spans="15:15" x14ac:dyDescent="0.25">
      <c r="O1022387" s="9"/>
    </row>
    <row r="1022408" spans="15:15" x14ac:dyDescent="0.25">
      <c r="O1022408" s="9"/>
    </row>
    <row r="1022429" spans="15:15" x14ac:dyDescent="0.25">
      <c r="O1022429" s="9"/>
    </row>
    <row r="1022450" spans="15:15" x14ac:dyDescent="0.25">
      <c r="O1022450" s="9"/>
    </row>
    <row r="1022471" spans="15:15" x14ac:dyDescent="0.25">
      <c r="O1022471" s="9"/>
    </row>
    <row r="1022492" spans="15:15" x14ac:dyDescent="0.25">
      <c r="O1022492" s="9"/>
    </row>
    <row r="1022513" spans="15:15" x14ac:dyDescent="0.25">
      <c r="O1022513" s="9"/>
    </row>
    <row r="1022534" spans="15:15" x14ac:dyDescent="0.25">
      <c r="O1022534" s="9"/>
    </row>
    <row r="1022555" spans="15:15" x14ac:dyDescent="0.25">
      <c r="O1022555" s="9"/>
    </row>
    <row r="1022576" spans="15:15" x14ac:dyDescent="0.25">
      <c r="O1022576" s="9"/>
    </row>
    <row r="1022597" spans="15:15" x14ac:dyDescent="0.25">
      <c r="O1022597" s="9"/>
    </row>
    <row r="1022618" spans="15:15" x14ac:dyDescent="0.25">
      <c r="O1022618" s="9"/>
    </row>
    <row r="1022639" spans="15:15" x14ac:dyDescent="0.25">
      <c r="O1022639" s="9"/>
    </row>
    <row r="1022660" spans="15:15" x14ac:dyDescent="0.25">
      <c r="O1022660" s="9"/>
    </row>
    <row r="1022681" spans="15:15" x14ac:dyDescent="0.25">
      <c r="O1022681" s="9"/>
    </row>
    <row r="1022702" spans="15:15" x14ac:dyDescent="0.25">
      <c r="O1022702" s="9"/>
    </row>
    <row r="1022723" spans="15:15" x14ac:dyDescent="0.25">
      <c r="O1022723" s="9"/>
    </row>
    <row r="1022744" spans="15:15" x14ac:dyDescent="0.25">
      <c r="O1022744" s="9"/>
    </row>
    <row r="1022765" spans="15:15" x14ac:dyDescent="0.25">
      <c r="O1022765" s="9"/>
    </row>
    <row r="1022786" spans="15:15" x14ac:dyDescent="0.25">
      <c r="O1022786" s="9"/>
    </row>
    <row r="1022807" spans="15:15" x14ac:dyDescent="0.25">
      <c r="O1022807" s="9"/>
    </row>
    <row r="1022828" spans="15:15" x14ac:dyDescent="0.25">
      <c r="O1022828" s="9"/>
    </row>
    <row r="1022849" spans="15:15" x14ac:dyDescent="0.25">
      <c r="O1022849" s="9"/>
    </row>
    <row r="1022870" spans="15:15" x14ac:dyDescent="0.25">
      <c r="O1022870" s="9"/>
    </row>
    <row r="1022891" spans="15:15" x14ac:dyDescent="0.25">
      <c r="O1022891" s="9"/>
    </row>
    <row r="1022912" spans="15:15" x14ac:dyDescent="0.25">
      <c r="O1022912" s="9"/>
    </row>
    <row r="1022933" spans="15:15" x14ac:dyDescent="0.25">
      <c r="O1022933" s="9"/>
    </row>
    <row r="1022954" spans="15:15" x14ac:dyDescent="0.25">
      <c r="O1022954" s="9"/>
    </row>
    <row r="1022975" spans="15:15" x14ac:dyDescent="0.25">
      <c r="O1022975" s="9"/>
    </row>
    <row r="1022996" spans="15:15" x14ac:dyDescent="0.25">
      <c r="O1022996" s="9"/>
    </row>
    <row r="1023017" spans="15:15" x14ac:dyDescent="0.25">
      <c r="O1023017" s="9"/>
    </row>
    <row r="1023038" spans="15:15" x14ac:dyDescent="0.25">
      <c r="O1023038" s="9"/>
    </row>
    <row r="1023059" spans="15:15" x14ac:dyDescent="0.25">
      <c r="O1023059" s="9"/>
    </row>
    <row r="1023080" spans="15:15" x14ac:dyDescent="0.25">
      <c r="O1023080" s="9"/>
    </row>
    <row r="1023101" spans="15:15" x14ac:dyDescent="0.25">
      <c r="O1023101" s="9"/>
    </row>
    <row r="1023122" spans="15:15" x14ac:dyDescent="0.25">
      <c r="O1023122" s="9"/>
    </row>
    <row r="1023143" spans="15:15" x14ac:dyDescent="0.25">
      <c r="O1023143" s="9"/>
    </row>
    <row r="1023164" spans="15:15" x14ac:dyDescent="0.25">
      <c r="O1023164" s="9"/>
    </row>
    <row r="1023185" spans="15:15" x14ac:dyDescent="0.25">
      <c r="O1023185" s="9"/>
    </row>
    <row r="1023206" spans="15:15" x14ac:dyDescent="0.25">
      <c r="O1023206" s="9"/>
    </row>
    <row r="1023227" spans="15:15" x14ac:dyDescent="0.25">
      <c r="O1023227" s="9"/>
    </row>
    <row r="1023248" spans="15:15" x14ac:dyDescent="0.25">
      <c r="O1023248" s="9"/>
    </row>
    <row r="1023269" spans="15:15" x14ac:dyDescent="0.25">
      <c r="O1023269" s="9"/>
    </row>
    <row r="1023290" spans="15:15" x14ac:dyDescent="0.25">
      <c r="O1023290" s="9"/>
    </row>
    <row r="1023311" spans="15:15" x14ac:dyDescent="0.25">
      <c r="O1023311" s="9"/>
    </row>
    <row r="1023332" spans="15:15" x14ac:dyDescent="0.25">
      <c r="O1023332" s="9"/>
    </row>
    <row r="1023353" spans="15:15" x14ac:dyDescent="0.25">
      <c r="O1023353" s="9"/>
    </row>
    <row r="1023374" spans="15:15" x14ac:dyDescent="0.25">
      <c r="O1023374" s="9"/>
    </row>
    <row r="1023395" spans="15:15" x14ac:dyDescent="0.25">
      <c r="O1023395" s="9"/>
    </row>
    <row r="1023416" spans="15:15" x14ac:dyDescent="0.25">
      <c r="O1023416" s="9"/>
    </row>
    <row r="1023437" spans="15:15" x14ac:dyDescent="0.25">
      <c r="O1023437" s="9"/>
    </row>
    <row r="1023458" spans="15:15" x14ac:dyDescent="0.25">
      <c r="O1023458" s="9"/>
    </row>
    <row r="1023479" spans="15:15" x14ac:dyDescent="0.25">
      <c r="O1023479" s="9"/>
    </row>
    <row r="1023500" spans="15:15" x14ac:dyDescent="0.25">
      <c r="O1023500" s="9"/>
    </row>
    <row r="1023521" spans="15:15" x14ac:dyDescent="0.25">
      <c r="O1023521" s="9"/>
    </row>
    <row r="1023542" spans="15:15" x14ac:dyDescent="0.25">
      <c r="O1023542" s="9"/>
    </row>
    <row r="1023563" spans="15:15" x14ac:dyDescent="0.25">
      <c r="O1023563" s="9"/>
    </row>
    <row r="1023584" spans="15:15" x14ac:dyDescent="0.25">
      <c r="O1023584" s="9"/>
    </row>
    <row r="1023605" spans="15:15" x14ac:dyDescent="0.25">
      <c r="O1023605" s="9"/>
    </row>
    <row r="1023626" spans="15:15" x14ac:dyDescent="0.25">
      <c r="O1023626" s="9"/>
    </row>
    <row r="1023647" spans="15:15" x14ac:dyDescent="0.25">
      <c r="O1023647" s="9"/>
    </row>
    <row r="1023668" spans="15:15" x14ac:dyDescent="0.25">
      <c r="O1023668" s="9"/>
    </row>
    <row r="1023689" spans="15:15" x14ac:dyDescent="0.25">
      <c r="O1023689" s="9"/>
    </row>
    <row r="1023710" spans="15:15" x14ac:dyDescent="0.25">
      <c r="O1023710" s="9"/>
    </row>
    <row r="1023731" spans="15:15" x14ac:dyDescent="0.25">
      <c r="O1023731" s="9"/>
    </row>
    <row r="1023752" spans="15:15" x14ac:dyDescent="0.25">
      <c r="O1023752" s="9"/>
    </row>
    <row r="1023773" spans="15:15" x14ac:dyDescent="0.25">
      <c r="O1023773" s="9"/>
    </row>
    <row r="1023794" spans="15:15" x14ac:dyDescent="0.25">
      <c r="O1023794" s="9"/>
    </row>
    <row r="1023815" spans="15:15" x14ac:dyDescent="0.25">
      <c r="O1023815" s="9"/>
    </row>
    <row r="1023836" spans="15:15" x14ac:dyDescent="0.25">
      <c r="O1023836" s="9"/>
    </row>
    <row r="1023857" spans="15:15" x14ac:dyDescent="0.25">
      <c r="O1023857" s="9"/>
    </row>
    <row r="1023878" spans="15:15" x14ac:dyDescent="0.25">
      <c r="O1023878" s="9"/>
    </row>
    <row r="1023899" spans="15:15" x14ac:dyDescent="0.25">
      <c r="O1023899" s="9"/>
    </row>
    <row r="1023920" spans="15:15" x14ac:dyDescent="0.25">
      <c r="O1023920" s="9"/>
    </row>
    <row r="1023941" spans="15:15" x14ac:dyDescent="0.25">
      <c r="O1023941" s="9"/>
    </row>
    <row r="1023962" spans="15:15" x14ac:dyDescent="0.25">
      <c r="O1023962" s="9"/>
    </row>
    <row r="1023983" spans="15:15" x14ac:dyDescent="0.25">
      <c r="O1023983" s="9"/>
    </row>
    <row r="1024004" spans="15:15" x14ac:dyDescent="0.25">
      <c r="O1024004" s="9"/>
    </row>
    <row r="1024025" spans="15:15" x14ac:dyDescent="0.25">
      <c r="O1024025" s="9"/>
    </row>
    <row r="1024046" spans="15:15" x14ac:dyDescent="0.25">
      <c r="O1024046" s="9"/>
    </row>
    <row r="1024067" spans="15:15" x14ac:dyDescent="0.25">
      <c r="O1024067" s="9"/>
    </row>
    <row r="1024088" spans="15:15" x14ac:dyDescent="0.25">
      <c r="O1024088" s="9"/>
    </row>
    <row r="1024109" spans="15:15" x14ac:dyDescent="0.25">
      <c r="O1024109" s="9"/>
    </row>
    <row r="1024130" spans="15:15" x14ac:dyDescent="0.25">
      <c r="O1024130" s="9"/>
    </row>
    <row r="1024151" spans="15:15" x14ac:dyDescent="0.25">
      <c r="O1024151" s="9"/>
    </row>
    <row r="1024172" spans="15:15" x14ac:dyDescent="0.25">
      <c r="O1024172" s="9"/>
    </row>
    <row r="1024193" spans="15:15" x14ac:dyDescent="0.25">
      <c r="O1024193" s="9"/>
    </row>
    <row r="1024214" spans="15:15" x14ac:dyDescent="0.25">
      <c r="O1024214" s="9"/>
    </row>
    <row r="1024235" spans="15:15" x14ac:dyDescent="0.25">
      <c r="O1024235" s="9"/>
    </row>
    <row r="1024256" spans="15:15" x14ac:dyDescent="0.25">
      <c r="O1024256" s="9"/>
    </row>
    <row r="1024277" spans="15:15" x14ac:dyDescent="0.25">
      <c r="O1024277" s="9"/>
    </row>
    <row r="1024298" spans="15:15" x14ac:dyDescent="0.25">
      <c r="O1024298" s="9"/>
    </row>
    <row r="1024319" spans="15:15" x14ac:dyDescent="0.25">
      <c r="O1024319" s="9"/>
    </row>
    <row r="1024340" spans="15:15" x14ac:dyDescent="0.25">
      <c r="O1024340" s="9"/>
    </row>
    <row r="1024361" spans="15:15" x14ac:dyDescent="0.25">
      <c r="O1024361" s="9"/>
    </row>
    <row r="1024382" spans="15:15" x14ac:dyDescent="0.25">
      <c r="O1024382" s="9"/>
    </row>
    <row r="1024403" spans="15:15" x14ac:dyDescent="0.25">
      <c r="O1024403" s="9"/>
    </row>
    <row r="1024424" spans="15:15" x14ac:dyDescent="0.25">
      <c r="O1024424" s="9"/>
    </row>
    <row r="1024445" spans="15:15" x14ac:dyDescent="0.25">
      <c r="O1024445" s="9"/>
    </row>
    <row r="1024466" spans="15:15" x14ac:dyDescent="0.25">
      <c r="O1024466" s="9"/>
    </row>
    <row r="1024487" spans="15:15" x14ac:dyDescent="0.25">
      <c r="O1024487" s="9"/>
    </row>
    <row r="1024508" spans="15:15" x14ac:dyDescent="0.25">
      <c r="O1024508" s="9"/>
    </row>
    <row r="1024529" spans="15:15" x14ac:dyDescent="0.25">
      <c r="O1024529" s="9"/>
    </row>
    <row r="1024550" spans="15:15" x14ac:dyDescent="0.25">
      <c r="O1024550" s="9"/>
    </row>
    <row r="1024571" spans="15:15" x14ac:dyDescent="0.25">
      <c r="O1024571" s="9"/>
    </row>
    <row r="1024592" spans="15:15" x14ac:dyDescent="0.25">
      <c r="O1024592" s="9"/>
    </row>
    <row r="1024613" spans="15:15" x14ac:dyDescent="0.25">
      <c r="O1024613" s="9"/>
    </row>
    <row r="1024634" spans="15:15" x14ac:dyDescent="0.25">
      <c r="O1024634" s="9"/>
    </row>
    <row r="1024655" spans="15:15" x14ac:dyDescent="0.25">
      <c r="O1024655" s="9"/>
    </row>
    <row r="1024676" spans="15:15" x14ac:dyDescent="0.25">
      <c r="O1024676" s="9"/>
    </row>
    <row r="1024697" spans="15:15" x14ac:dyDescent="0.25">
      <c r="O1024697" s="9"/>
    </row>
    <row r="1024718" spans="15:15" x14ac:dyDescent="0.25">
      <c r="O1024718" s="9"/>
    </row>
    <row r="1024739" spans="15:15" x14ac:dyDescent="0.25">
      <c r="O1024739" s="9"/>
    </row>
    <row r="1024760" spans="15:15" x14ac:dyDescent="0.25">
      <c r="O1024760" s="9"/>
    </row>
    <row r="1024781" spans="15:15" x14ac:dyDescent="0.25">
      <c r="O1024781" s="9"/>
    </row>
    <row r="1024802" spans="15:15" x14ac:dyDescent="0.25">
      <c r="O1024802" s="9"/>
    </row>
    <row r="1024823" spans="15:15" x14ac:dyDescent="0.25">
      <c r="O1024823" s="9"/>
    </row>
    <row r="1024844" spans="15:15" x14ac:dyDescent="0.25">
      <c r="O1024844" s="9"/>
    </row>
    <row r="1024865" spans="15:15" x14ac:dyDescent="0.25">
      <c r="O1024865" s="9"/>
    </row>
    <row r="1024886" spans="15:15" x14ac:dyDescent="0.25">
      <c r="O1024886" s="9"/>
    </row>
    <row r="1024907" spans="15:15" x14ac:dyDescent="0.25">
      <c r="O1024907" s="9"/>
    </row>
    <row r="1024928" spans="15:15" x14ac:dyDescent="0.25">
      <c r="O1024928" s="9"/>
    </row>
    <row r="1024949" spans="15:15" x14ac:dyDescent="0.25">
      <c r="O1024949" s="9"/>
    </row>
    <row r="1024970" spans="15:15" x14ac:dyDescent="0.25">
      <c r="O1024970" s="9"/>
    </row>
    <row r="1024991" spans="15:15" x14ac:dyDescent="0.25">
      <c r="O1024991" s="9"/>
    </row>
    <row r="1025012" spans="15:15" x14ac:dyDescent="0.25">
      <c r="O1025012" s="9"/>
    </row>
    <row r="1025033" spans="15:15" x14ac:dyDescent="0.25">
      <c r="O1025033" s="9"/>
    </row>
    <row r="1025054" spans="15:15" x14ac:dyDescent="0.25">
      <c r="O1025054" s="9"/>
    </row>
    <row r="1025075" spans="15:15" x14ac:dyDescent="0.25">
      <c r="O1025075" s="9"/>
    </row>
    <row r="1025096" spans="15:15" x14ac:dyDescent="0.25">
      <c r="O1025096" s="9"/>
    </row>
    <row r="1025117" spans="15:15" x14ac:dyDescent="0.25">
      <c r="O1025117" s="9"/>
    </row>
    <row r="1025138" spans="15:15" x14ac:dyDescent="0.25">
      <c r="O1025138" s="9"/>
    </row>
    <row r="1025159" spans="15:15" x14ac:dyDescent="0.25">
      <c r="O1025159" s="9"/>
    </row>
    <row r="1025180" spans="15:15" x14ac:dyDescent="0.25">
      <c r="O1025180" s="9"/>
    </row>
    <row r="1025201" spans="15:15" x14ac:dyDescent="0.25">
      <c r="O1025201" s="9"/>
    </row>
    <row r="1025222" spans="15:15" x14ac:dyDescent="0.25">
      <c r="O1025222" s="9"/>
    </row>
    <row r="1025243" spans="15:15" x14ac:dyDescent="0.25">
      <c r="O1025243" s="9"/>
    </row>
    <row r="1025264" spans="15:15" x14ac:dyDescent="0.25">
      <c r="O1025264" s="9"/>
    </row>
    <row r="1025285" spans="15:15" x14ac:dyDescent="0.25">
      <c r="O1025285" s="9"/>
    </row>
    <row r="1025306" spans="15:15" x14ac:dyDescent="0.25">
      <c r="O1025306" s="9"/>
    </row>
    <row r="1025327" spans="15:15" x14ac:dyDescent="0.25">
      <c r="O1025327" s="9"/>
    </row>
    <row r="1025348" spans="15:15" x14ac:dyDescent="0.25">
      <c r="O1025348" s="9"/>
    </row>
    <row r="1025369" spans="15:15" x14ac:dyDescent="0.25">
      <c r="O1025369" s="9"/>
    </row>
    <row r="1025390" spans="15:15" x14ac:dyDescent="0.25">
      <c r="O1025390" s="9"/>
    </row>
    <row r="1025411" spans="15:15" x14ac:dyDescent="0.25">
      <c r="O1025411" s="9"/>
    </row>
    <row r="1025432" spans="15:15" x14ac:dyDescent="0.25">
      <c r="O1025432" s="9"/>
    </row>
    <row r="1025453" spans="15:15" x14ac:dyDescent="0.25">
      <c r="O1025453" s="9"/>
    </row>
    <row r="1025474" spans="15:15" x14ac:dyDescent="0.25">
      <c r="O1025474" s="9"/>
    </row>
    <row r="1025495" spans="15:15" x14ac:dyDescent="0.25">
      <c r="O1025495" s="9"/>
    </row>
    <row r="1025516" spans="15:15" x14ac:dyDescent="0.25">
      <c r="O1025516" s="9"/>
    </row>
    <row r="1025537" spans="15:15" x14ac:dyDescent="0.25">
      <c r="O1025537" s="9"/>
    </row>
    <row r="1025558" spans="15:15" x14ac:dyDescent="0.25">
      <c r="O1025558" s="9"/>
    </row>
    <row r="1025579" spans="15:15" x14ac:dyDescent="0.25">
      <c r="O1025579" s="9"/>
    </row>
    <row r="1025600" spans="15:15" x14ac:dyDescent="0.25">
      <c r="O1025600" s="9"/>
    </row>
    <row r="1025621" spans="15:15" x14ac:dyDescent="0.25">
      <c r="O1025621" s="9"/>
    </row>
    <row r="1025642" spans="15:15" x14ac:dyDescent="0.25">
      <c r="O1025642" s="9"/>
    </row>
    <row r="1025663" spans="15:15" x14ac:dyDescent="0.25">
      <c r="O1025663" s="9"/>
    </row>
    <row r="1025684" spans="15:15" x14ac:dyDescent="0.25">
      <c r="O1025684" s="9"/>
    </row>
    <row r="1025705" spans="15:15" x14ac:dyDescent="0.25">
      <c r="O1025705" s="9"/>
    </row>
    <row r="1025726" spans="15:15" x14ac:dyDescent="0.25">
      <c r="O1025726" s="9"/>
    </row>
    <row r="1025747" spans="15:15" x14ac:dyDescent="0.25">
      <c r="O1025747" s="9"/>
    </row>
    <row r="1025768" spans="15:15" x14ac:dyDescent="0.25">
      <c r="O1025768" s="9"/>
    </row>
    <row r="1025789" spans="15:15" x14ac:dyDescent="0.25">
      <c r="O1025789" s="9"/>
    </row>
    <row r="1025810" spans="15:15" x14ac:dyDescent="0.25">
      <c r="O1025810" s="9"/>
    </row>
    <row r="1025831" spans="15:15" x14ac:dyDescent="0.25">
      <c r="O1025831" s="9"/>
    </row>
    <row r="1025852" spans="15:15" x14ac:dyDescent="0.25">
      <c r="O1025852" s="9"/>
    </row>
    <row r="1025873" spans="15:15" x14ac:dyDescent="0.25">
      <c r="O1025873" s="9"/>
    </row>
    <row r="1025894" spans="15:15" x14ac:dyDescent="0.25">
      <c r="O1025894" s="9"/>
    </row>
    <row r="1025915" spans="15:15" x14ac:dyDescent="0.25">
      <c r="O1025915" s="9"/>
    </row>
    <row r="1025936" spans="15:15" x14ac:dyDescent="0.25">
      <c r="O1025936" s="9"/>
    </row>
    <row r="1025957" spans="15:15" x14ac:dyDescent="0.25">
      <c r="O1025957" s="9"/>
    </row>
    <row r="1025978" spans="15:15" x14ac:dyDescent="0.25">
      <c r="O1025978" s="9"/>
    </row>
    <row r="1025999" spans="15:15" x14ac:dyDescent="0.25">
      <c r="O1025999" s="9"/>
    </row>
    <row r="1026020" spans="15:15" x14ac:dyDescent="0.25">
      <c r="O1026020" s="9"/>
    </row>
    <row r="1026041" spans="15:15" x14ac:dyDescent="0.25">
      <c r="O1026041" s="9"/>
    </row>
    <row r="1026062" spans="15:15" x14ac:dyDescent="0.25">
      <c r="O1026062" s="9"/>
    </row>
    <row r="1026083" spans="15:15" x14ac:dyDescent="0.25">
      <c r="O1026083" s="9"/>
    </row>
    <row r="1026104" spans="15:15" x14ac:dyDescent="0.25">
      <c r="O1026104" s="9"/>
    </row>
    <row r="1026125" spans="15:15" x14ac:dyDescent="0.25">
      <c r="O1026125" s="9"/>
    </row>
    <row r="1026146" spans="15:15" x14ac:dyDescent="0.25">
      <c r="O1026146" s="9"/>
    </row>
    <row r="1026167" spans="15:15" x14ac:dyDescent="0.25">
      <c r="O1026167" s="9"/>
    </row>
    <row r="1026188" spans="15:15" x14ac:dyDescent="0.25">
      <c r="O1026188" s="9"/>
    </row>
    <row r="1026209" spans="15:15" x14ac:dyDescent="0.25">
      <c r="O1026209" s="9"/>
    </row>
    <row r="1026230" spans="15:15" x14ac:dyDescent="0.25">
      <c r="O1026230" s="9"/>
    </row>
    <row r="1026251" spans="15:15" x14ac:dyDescent="0.25">
      <c r="O1026251" s="9"/>
    </row>
    <row r="1026272" spans="15:15" x14ac:dyDescent="0.25">
      <c r="O1026272" s="9"/>
    </row>
    <row r="1026293" spans="15:15" x14ac:dyDescent="0.25">
      <c r="O1026293" s="9"/>
    </row>
    <row r="1026314" spans="15:15" x14ac:dyDescent="0.25">
      <c r="O1026314" s="9"/>
    </row>
    <row r="1026335" spans="15:15" x14ac:dyDescent="0.25">
      <c r="O1026335" s="9"/>
    </row>
    <row r="1026356" spans="15:15" x14ac:dyDescent="0.25">
      <c r="O1026356" s="9"/>
    </row>
    <row r="1026377" spans="15:15" x14ac:dyDescent="0.25">
      <c r="O1026377" s="9"/>
    </row>
    <row r="1026398" spans="15:15" x14ac:dyDescent="0.25">
      <c r="O1026398" s="9"/>
    </row>
    <row r="1026419" spans="15:15" x14ac:dyDescent="0.25">
      <c r="O1026419" s="9"/>
    </row>
    <row r="1026440" spans="15:15" x14ac:dyDescent="0.25">
      <c r="O1026440" s="9"/>
    </row>
    <row r="1026461" spans="15:15" x14ac:dyDescent="0.25">
      <c r="O1026461" s="9"/>
    </row>
    <row r="1026482" spans="15:15" x14ac:dyDescent="0.25">
      <c r="O1026482" s="9"/>
    </row>
    <row r="1026503" spans="15:15" x14ac:dyDescent="0.25">
      <c r="O1026503" s="9"/>
    </row>
    <row r="1026524" spans="15:15" x14ac:dyDescent="0.25">
      <c r="O1026524" s="9"/>
    </row>
    <row r="1026545" spans="15:15" x14ac:dyDescent="0.25">
      <c r="O1026545" s="9"/>
    </row>
    <row r="1026566" spans="15:15" x14ac:dyDescent="0.25">
      <c r="O1026566" s="9"/>
    </row>
    <row r="1026587" spans="15:15" x14ac:dyDescent="0.25">
      <c r="O1026587" s="9"/>
    </row>
    <row r="1026608" spans="15:15" x14ac:dyDescent="0.25">
      <c r="O1026608" s="9"/>
    </row>
    <row r="1026629" spans="15:15" x14ac:dyDescent="0.25">
      <c r="O1026629" s="9"/>
    </row>
    <row r="1026650" spans="15:15" x14ac:dyDescent="0.25">
      <c r="O1026650" s="9"/>
    </row>
    <row r="1026671" spans="15:15" x14ac:dyDescent="0.25">
      <c r="O1026671" s="9"/>
    </row>
    <row r="1026692" spans="15:15" x14ac:dyDescent="0.25">
      <c r="O1026692" s="9"/>
    </row>
    <row r="1026713" spans="15:15" x14ac:dyDescent="0.25">
      <c r="O1026713" s="9"/>
    </row>
    <row r="1026734" spans="15:15" x14ac:dyDescent="0.25">
      <c r="O1026734" s="9"/>
    </row>
    <row r="1026755" spans="15:15" x14ac:dyDescent="0.25">
      <c r="O1026755" s="9"/>
    </row>
    <row r="1026776" spans="15:15" x14ac:dyDescent="0.25">
      <c r="O1026776" s="9"/>
    </row>
    <row r="1026797" spans="15:15" x14ac:dyDescent="0.25">
      <c r="O1026797" s="9"/>
    </row>
    <row r="1026818" spans="15:15" x14ac:dyDescent="0.25">
      <c r="O1026818" s="9"/>
    </row>
    <row r="1026839" spans="15:15" x14ac:dyDescent="0.25">
      <c r="O1026839" s="9"/>
    </row>
    <row r="1026860" spans="15:15" x14ac:dyDescent="0.25">
      <c r="O1026860" s="9"/>
    </row>
    <row r="1026881" spans="15:15" x14ac:dyDescent="0.25">
      <c r="O1026881" s="9"/>
    </row>
    <row r="1026902" spans="15:15" x14ac:dyDescent="0.25">
      <c r="O1026902" s="9"/>
    </row>
    <row r="1026923" spans="15:15" x14ac:dyDescent="0.25">
      <c r="O1026923" s="9"/>
    </row>
    <row r="1026944" spans="15:15" x14ac:dyDescent="0.25">
      <c r="O1026944" s="9"/>
    </row>
    <row r="1026965" spans="15:15" x14ac:dyDescent="0.25">
      <c r="O1026965" s="9"/>
    </row>
    <row r="1026986" spans="15:15" x14ac:dyDescent="0.25">
      <c r="O1026986" s="9"/>
    </row>
    <row r="1027007" spans="15:15" x14ac:dyDescent="0.25">
      <c r="O1027007" s="9"/>
    </row>
    <row r="1027028" spans="15:15" x14ac:dyDescent="0.25">
      <c r="O1027028" s="9"/>
    </row>
    <row r="1027049" spans="15:15" x14ac:dyDescent="0.25">
      <c r="O1027049" s="9"/>
    </row>
    <row r="1027070" spans="15:15" x14ac:dyDescent="0.25">
      <c r="O1027070" s="9"/>
    </row>
    <row r="1027091" spans="15:15" x14ac:dyDescent="0.25">
      <c r="O1027091" s="9"/>
    </row>
    <row r="1027112" spans="15:15" x14ac:dyDescent="0.25">
      <c r="O1027112" s="9"/>
    </row>
    <row r="1027133" spans="15:15" x14ac:dyDescent="0.25">
      <c r="O1027133" s="9"/>
    </row>
    <row r="1027154" spans="15:15" x14ac:dyDescent="0.25">
      <c r="O1027154" s="9"/>
    </row>
    <row r="1027175" spans="15:15" x14ac:dyDescent="0.25">
      <c r="O1027175" s="9"/>
    </row>
    <row r="1027196" spans="15:15" x14ac:dyDescent="0.25">
      <c r="O1027196" s="9"/>
    </row>
    <row r="1027217" spans="15:15" x14ac:dyDescent="0.25">
      <c r="O1027217" s="9"/>
    </row>
    <row r="1027238" spans="15:15" x14ac:dyDescent="0.25">
      <c r="O1027238" s="9"/>
    </row>
    <row r="1027259" spans="15:15" x14ac:dyDescent="0.25">
      <c r="O1027259" s="9"/>
    </row>
    <row r="1027280" spans="15:15" x14ac:dyDescent="0.25">
      <c r="O1027280" s="9"/>
    </row>
    <row r="1027301" spans="15:15" x14ac:dyDescent="0.25">
      <c r="O1027301" s="9"/>
    </row>
    <row r="1027322" spans="15:15" x14ac:dyDescent="0.25">
      <c r="O1027322" s="9"/>
    </row>
    <row r="1027343" spans="15:15" x14ac:dyDescent="0.25">
      <c r="O1027343" s="9"/>
    </row>
    <row r="1027364" spans="15:15" x14ac:dyDescent="0.25">
      <c r="O1027364" s="9"/>
    </row>
    <row r="1027385" spans="15:15" x14ac:dyDescent="0.25">
      <c r="O1027385" s="9"/>
    </row>
    <row r="1027406" spans="15:15" x14ac:dyDescent="0.25">
      <c r="O1027406" s="9"/>
    </row>
    <row r="1027427" spans="15:15" x14ac:dyDescent="0.25">
      <c r="O1027427" s="9"/>
    </row>
    <row r="1027448" spans="15:15" x14ac:dyDescent="0.25">
      <c r="O1027448" s="9"/>
    </row>
    <row r="1027469" spans="15:15" x14ac:dyDescent="0.25">
      <c r="O1027469" s="9"/>
    </row>
    <row r="1027490" spans="15:15" x14ac:dyDescent="0.25">
      <c r="O1027490" s="9"/>
    </row>
    <row r="1027511" spans="15:15" x14ac:dyDescent="0.25">
      <c r="O1027511" s="9"/>
    </row>
    <row r="1027532" spans="15:15" x14ac:dyDescent="0.25">
      <c r="O1027532" s="9"/>
    </row>
    <row r="1027553" spans="15:15" x14ac:dyDescent="0.25">
      <c r="O1027553" s="9"/>
    </row>
    <row r="1027574" spans="15:15" x14ac:dyDescent="0.25">
      <c r="O1027574" s="9"/>
    </row>
    <row r="1027595" spans="15:15" x14ac:dyDescent="0.25">
      <c r="O1027595" s="9"/>
    </row>
    <row r="1027616" spans="15:15" x14ac:dyDescent="0.25">
      <c r="O1027616" s="9"/>
    </row>
    <row r="1027637" spans="15:15" x14ac:dyDescent="0.25">
      <c r="O1027637" s="9"/>
    </row>
    <row r="1027658" spans="15:15" x14ac:dyDescent="0.25">
      <c r="O1027658" s="9"/>
    </row>
    <row r="1027679" spans="15:15" x14ac:dyDescent="0.25">
      <c r="O1027679" s="9"/>
    </row>
    <row r="1027700" spans="15:15" x14ac:dyDescent="0.25">
      <c r="O1027700" s="9"/>
    </row>
    <row r="1027721" spans="15:15" x14ac:dyDescent="0.25">
      <c r="O1027721" s="9"/>
    </row>
    <row r="1027742" spans="15:15" x14ac:dyDescent="0.25">
      <c r="O1027742" s="9"/>
    </row>
    <row r="1027763" spans="15:15" x14ac:dyDescent="0.25">
      <c r="O1027763" s="9"/>
    </row>
    <row r="1027784" spans="15:15" x14ac:dyDescent="0.25">
      <c r="O1027784" s="9"/>
    </row>
    <row r="1027805" spans="15:15" x14ac:dyDescent="0.25">
      <c r="O1027805" s="9"/>
    </row>
    <row r="1027826" spans="15:15" x14ac:dyDescent="0.25">
      <c r="O1027826" s="9"/>
    </row>
    <row r="1027847" spans="15:15" x14ac:dyDescent="0.25">
      <c r="O1027847" s="9"/>
    </row>
    <row r="1027868" spans="15:15" x14ac:dyDescent="0.25">
      <c r="O1027868" s="9"/>
    </row>
    <row r="1027889" spans="15:15" x14ac:dyDescent="0.25">
      <c r="O1027889" s="9"/>
    </row>
    <row r="1027910" spans="15:15" x14ac:dyDescent="0.25">
      <c r="O1027910" s="9"/>
    </row>
    <row r="1027931" spans="15:15" x14ac:dyDescent="0.25">
      <c r="O1027931" s="9"/>
    </row>
    <row r="1027952" spans="15:15" x14ac:dyDescent="0.25">
      <c r="O1027952" s="9"/>
    </row>
    <row r="1027973" spans="15:15" x14ac:dyDescent="0.25">
      <c r="O1027973" s="9"/>
    </row>
    <row r="1027994" spans="15:15" x14ac:dyDescent="0.25">
      <c r="O1027994" s="9"/>
    </row>
    <row r="1028015" spans="15:15" x14ac:dyDescent="0.25">
      <c r="O1028015" s="9"/>
    </row>
    <row r="1028036" spans="15:15" x14ac:dyDescent="0.25">
      <c r="O1028036" s="9"/>
    </row>
    <row r="1028057" spans="15:15" x14ac:dyDescent="0.25">
      <c r="O1028057" s="9"/>
    </row>
    <row r="1028078" spans="15:15" x14ac:dyDescent="0.25">
      <c r="O1028078" s="9"/>
    </row>
    <row r="1028099" spans="15:15" x14ac:dyDescent="0.25">
      <c r="O1028099" s="9"/>
    </row>
    <row r="1028120" spans="15:15" x14ac:dyDescent="0.25">
      <c r="O1028120" s="9"/>
    </row>
    <row r="1028141" spans="15:15" x14ac:dyDescent="0.25">
      <c r="O1028141" s="9"/>
    </row>
    <row r="1028162" spans="15:15" x14ac:dyDescent="0.25">
      <c r="O1028162" s="9"/>
    </row>
    <row r="1028183" spans="15:15" x14ac:dyDescent="0.25">
      <c r="O1028183" s="9"/>
    </row>
    <row r="1028204" spans="15:15" x14ac:dyDescent="0.25">
      <c r="O1028204" s="9"/>
    </row>
    <row r="1028225" spans="15:15" x14ac:dyDescent="0.25">
      <c r="O1028225" s="9"/>
    </row>
    <row r="1028246" spans="15:15" x14ac:dyDescent="0.25">
      <c r="O1028246" s="9"/>
    </row>
    <row r="1028267" spans="15:15" x14ac:dyDescent="0.25">
      <c r="O1028267" s="9"/>
    </row>
    <row r="1028288" spans="15:15" x14ac:dyDescent="0.25">
      <c r="O1028288" s="9"/>
    </row>
    <row r="1028309" spans="15:15" x14ac:dyDescent="0.25">
      <c r="O1028309" s="9"/>
    </row>
    <row r="1028330" spans="15:15" x14ac:dyDescent="0.25">
      <c r="O1028330" s="9"/>
    </row>
    <row r="1028351" spans="15:15" x14ac:dyDescent="0.25">
      <c r="O1028351" s="9"/>
    </row>
    <row r="1028372" spans="15:15" x14ac:dyDescent="0.25">
      <c r="O1028372" s="9"/>
    </row>
    <row r="1028393" spans="15:15" x14ac:dyDescent="0.25">
      <c r="O1028393" s="9"/>
    </row>
    <row r="1028414" spans="15:15" x14ac:dyDescent="0.25">
      <c r="O1028414" s="9"/>
    </row>
    <row r="1028435" spans="15:15" x14ac:dyDescent="0.25">
      <c r="O1028435" s="9"/>
    </row>
    <row r="1028456" spans="15:15" x14ac:dyDescent="0.25">
      <c r="O1028456" s="9"/>
    </row>
    <row r="1028477" spans="15:15" x14ac:dyDescent="0.25">
      <c r="O1028477" s="9"/>
    </row>
    <row r="1028498" spans="15:15" x14ac:dyDescent="0.25">
      <c r="O1028498" s="9"/>
    </row>
    <row r="1028519" spans="15:15" x14ac:dyDescent="0.25">
      <c r="O1028519" s="9"/>
    </row>
    <row r="1028540" spans="15:15" x14ac:dyDescent="0.25">
      <c r="O1028540" s="9"/>
    </row>
    <row r="1028561" spans="15:15" x14ac:dyDescent="0.25">
      <c r="O1028561" s="9"/>
    </row>
    <row r="1028582" spans="15:15" x14ac:dyDescent="0.25">
      <c r="O1028582" s="9"/>
    </row>
    <row r="1028603" spans="15:15" x14ac:dyDescent="0.25">
      <c r="O1028603" s="9"/>
    </row>
    <row r="1028624" spans="15:15" x14ac:dyDescent="0.25">
      <c r="O1028624" s="9"/>
    </row>
    <row r="1028645" spans="15:15" x14ac:dyDescent="0.25">
      <c r="O1028645" s="9"/>
    </row>
    <row r="1028666" spans="15:15" x14ac:dyDescent="0.25">
      <c r="O1028666" s="9"/>
    </row>
    <row r="1028687" spans="15:15" x14ac:dyDescent="0.25">
      <c r="O1028687" s="9"/>
    </row>
    <row r="1028708" spans="15:15" x14ac:dyDescent="0.25">
      <c r="O1028708" s="9"/>
    </row>
    <row r="1028729" spans="15:15" x14ac:dyDescent="0.25">
      <c r="O1028729" s="9"/>
    </row>
    <row r="1028750" spans="15:15" x14ac:dyDescent="0.25">
      <c r="O1028750" s="9"/>
    </row>
    <row r="1028771" spans="15:15" x14ac:dyDescent="0.25">
      <c r="O1028771" s="9"/>
    </row>
    <row r="1028792" spans="15:15" x14ac:dyDescent="0.25">
      <c r="O1028792" s="9"/>
    </row>
    <row r="1028813" spans="15:15" x14ac:dyDescent="0.25">
      <c r="O1028813" s="9"/>
    </row>
    <row r="1028834" spans="15:15" x14ac:dyDescent="0.25">
      <c r="O1028834" s="9"/>
    </row>
    <row r="1028855" spans="15:15" x14ac:dyDescent="0.25">
      <c r="O1028855" s="9"/>
    </row>
    <row r="1028876" spans="15:15" x14ac:dyDescent="0.25">
      <c r="O1028876" s="9"/>
    </row>
    <row r="1028897" spans="15:15" x14ac:dyDescent="0.25">
      <c r="O1028897" s="9"/>
    </row>
    <row r="1028918" spans="15:15" x14ac:dyDescent="0.25">
      <c r="O1028918" s="9"/>
    </row>
    <row r="1028939" spans="15:15" x14ac:dyDescent="0.25">
      <c r="O1028939" s="9"/>
    </row>
    <row r="1028960" spans="15:15" x14ac:dyDescent="0.25">
      <c r="O1028960" s="9"/>
    </row>
    <row r="1028981" spans="15:15" x14ac:dyDescent="0.25">
      <c r="O1028981" s="9"/>
    </row>
    <row r="1029002" spans="15:15" x14ac:dyDescent="0.25">
      <c r="O1029002" s="9"/>
    </row>
    <row r="1029023" spans="15:15" x14ac:dyDescent="0.25">
      <c r="O1029023" s="9"/>
    </row>
    <row r="1029044" spans="15:15" x14ac:dyDescent="0.25">
      <c r="O1029044" s="9"/>
    </row>
    <row r="1029065" spans="15:15" x14ac:dyDescent="0.25">
      <c r="O1029065" s="9"/>
    </row>
    <row r="1029086" spans="15:15" x14ac:dyDescent="0.25">
      <c r="O1029086" s="9"/>
    </row>
    <row r="1029107" spans="15:15" x14ac:dyDescent="0.25">
      <c r="O1029107" s="9"/>
    </row>
    <row r="1029128" spans="15:15" x14ac:dyDescent="0.25">
      <c r="O1029128" s="9"/>
    </row>
    <row r="1029149" spans="15:15" x14ac:dyDescent="0.25">
      <c r="O1029149" s="9"/>
    </row>
    <row r="1029170" spans="15:15" x14ac:dyDescent="0.25">
      <c r="O1029170" s="9"/>
    </row>
    <row r="1029191" spans="15:15" x14ac:dyDescent="0.25">
      <c r="O1029191" s="9"/>
    </row>
    <row r="1029212" spans="15:15" x14ac:dyDescent="0.25">
      <c r="O1029212" s="9"/>
    </row>
    <row r="1029233" spans="15:15" x14ac:dyDescent="0.25">
      <c r="O1029233" s="9"/>
    </row>
    <row r="1029254" spans="15:15" x14ac:dyDescent="0.25">
      <c r="O1029254" s="9"/>
    </row>
    <row r="1029275" spans="15:15" x14ac:dyDescent="0.25">
      <c r="O1029275" s="9"/>
    </row>
    <row r="1029296" spans="15:15" x14ac:dyDescent="0.25">
      <c r="O1029296" s="9"/>
    </row>
    <row r="1029317" spans="15:15" x14ac:dyDescent="0.25">
      <c r="O1029317" s="9"/>
    </row>
    <row r="1029338" spans="15:15" x14ac:dyDescent="0.25">
      <c r="O1029338" s="9"/>
    </row>
    <row r="1029359" spans="15:15" x14ac:dyDescent="0.25">
      <c r="O1029359" s="9"/>
    </row>
    <row r="1029380" spans="15:15" x14ac:dyDescent="0.25">
      <c r="O1029380" s="9"/>
    </row>
    <row r="1029401" spans="15:15" x14ac:dyDescent="0.25">
      <c r="O1029401" s="9"/>
    </row>
    <row r="1029422" spans="15:15" x14ac:dyDescent="0.25">
      <c r="O1029422" s="9"/>
    </row>
    <row r="1029443" spans="15:15" x14ac:dyDescent="0.25">
      <c r="O1029443" s="9"/>
    </row>
    <row r="1029464" spans="15:15" x14ac:dyDescent="0.25">
      <c r="O1029464" s="9"/>
    </row>
    <row r="1029485" spans="15:15" x14ac:dyDescent="0.25">
      <c r="O1029485" s="9"/>
    </row>
    <row r="1029506" spans="15:15" x14ac:dyDescent="0.25">
      <c r="O1029506" s="9"/>
    </row>
    <row r="1029527" spans="15:15" x14ac:dyDescent="0.25">
      <c r="O1029527" s="9"/>
    </row>
    <row r="1029548" spans="15:15" x14ac:dyDescent="0.25">
      <c r="O1029548" s="9"/>
    </row>
    <row r="1029569" spans="15:15" x14ac:dyDescent="0.25">
      <c r="O1029569" s="9"/>
    </row>
    <row r="1029590" spans="15:15" x14ac:dyDescent="0.25">
      <c r="O1029590" s="9"/>
    </row>
    <row r="1029611" spans="15:15" x14ac:dyDescent="0.25">
      <c r="O1029611" s="9"/>
    </row>
    <row r="1029632" spans="15:15" x14ac:dyDescent="0.25">
      <c r="O1029632" s="9"/>
    </row>
    <row r="1029653" spans="15:15" x14ac:dyDescent="0.25">
      <c r="O1029653" s="9"/>
    </row>
    <row r="1029674" spans="15:15" x14ac:dyDescent="0.25">
      <c r="O1029674" s="9"/>
    </row>
    <row r="1029695" spans="15:15" x14ac:dyDescent="0.25">
      <c r="O1029695" s="9"/>
    </row>
    <row r="1029716" spans="15:15" x14ac:dyDescent="0.25">
      <c r="O1029716" s="9"/>
    </row>
    <row r="1029737" spans="15:15" x14ac:dyDescent="0.25">
      <c r="O1029737" s="9"/>
    </row>
    <row r="1029758" spans="15:15" x14ac:dyDescent="0.25">
      <c r="O1029758" s="9"/>
    </row>
    <row r="1029779" spans="15:15" x14ac:dyDescent="0.25">
      <c r="O1029779" s="9"/>
    </row>
    <row r="1029800" spans="15:15" x14ac:dyDescent="0.25">
      <c r="O1029800" s="9"/>
    </row>
    <row r="1029821" spans="15:15" x14ac:dyDescent="0.25">
      <c r="O1029821" s="9"/>
    </row>
    <row r="1029842" spans="15:15" x14ac:dyDescent="0.25">
      <c r="O1029842" s="9"/>
    </row>
    <row r="1029863" spans="15:15" x14ac:dyDescent="0.25">
      <c r="O1029863" s="9"/>
    </row>
    <row r="1029884" spans="15:15" x14ac:dyDescent="0.25">
      <c r="O1029884" s="9"/>
    </row>
    <row r="1029905" spans="15:15" x14ac:dyDescent="0.25">
      <c r="O1029905" s="9"/>
    </row>
    <row r="1029926" spans="15:15" x14ac:dyDescent="0.25">
      <c r="O1029926" s="9"/>
    </row>
    <row r="1029947" spans="15:15" x14ac:dyDescent="0.25">
      <c r="O1029947" s="9"/>
    </row>
    <row r="1029968" spans="15:15" x14ac:dyDescent="0.25">
      <c r="O1029968" s="9"/>
    </row>
    <row r="1029989" spans="15:15" x14ac:dyDescent="0.25">
      <c r="O1029989" s="9"/>
    </row>
    <row r="1030010" spans="15:15" x14ac:dyDescent="0.25">
      <c r="O1030010" s="9"/>
    </row>
    <row r="1030031" spans="15:15" x14ac:dyDescent="0.25">
      <c r="O1030031" s="9"/>
    </row>
    <row r="1030052" spans="15:15" x14ac:dyDescent="0.25">
      <c r="O1030052" s="9"/>
    </row>
    <row r="1030073" spans="15:15" x14ac:dyDescent="0.25">
      <c r="O1030073" s="9"/>
    </row>
    <row r="1030094" spans="15:15" x14ac:dyDescent="0.25">
      <c r="O1030094" s="9"/>
    </row>
    <row r="1030115" spans="15:15" x14ac:dyDescent="0.25">
      <c r="O1030115" s="9"/>
    </row>
    <row r="1030136" spans="15:15" x14ac:dyDescent="0.25">
      <c r="O1030136" s="9"/>
    </row>
    <row r="1030157" spans="15:15" x14ac:dyDescent="0.25">
      <c r="O1030157" s="9"/>
    </row>
    <row r="1030178" spans="15:15" x14ac:dyDescent="0.25">
      <c r="O1030178" s="9"/>
    </row>
    <row r="1030199" spans="15:15" x14ac:dyDescent="0.25">
      <c r="O1030199" s="9"/>
    </row>
    <row r="1030220" spans="15:15" x14ac:dyDescent="0.25">
      <c r="O1030220" s="9"/>
    </row>
    <row r="1030241" spans="15:15" x14ac:dyDescent="0.25">
      <c r="O1030241" s="9"/>
    </row>
    <row r="1030262" spans="15:15" x14ac:dyDescent="0.25">
      <c r="O1030262" s="9"/>
    </row>
    <row r="1030283" spans="15:15" x14ac:dyDescent="0.25">
      <c r="O1030283" s="9"/>
    </row>
    <row r="1030304" spans="15:15" x14ac:dyDescent="0.25">
      <c r="O1030304" s="9"/>
    </row>
    <row r="1030325" spans="15:15" x14ac:dyDescent="0.25">
      <c r="O1030325" s="9"/>
    </row>
    <row r="1030346" spans="15:15" x14ac:dyDescent="0.25">
      <c r="O1030346" s="9"/>
    </row>
    <row r="1030367" spans="15:15" x14ac:dyDescent="0.25">
      <c r="O1030367" s="9"/>
    </row>
    <row r="1030388" spans="15:15" x14ac:dyDescent="0.25">
      <c r="O1030388" s="9"/>
    </row>
    <row r="1030409" spans="15:15" x14ac:dyDescent="0.25">
      <c r="O1030409" s="9"/>
    </row>
    <row r="1030430" spans="15:15" x14ac:dyDescent="0.25">
      <c r="O1030430" s="9"/>
    </row>
    <row r="1030451" spans="15:15" x14ac:dyDescent="0.25">
      <c r="O1030451" s="9"/>
    </row>
    <row r="1030472" spans="15:15" x14ac:dyDescent="0.25">
      <c r="O1030472" s="9"/>
    </row>
    <row r="1030493" spans="15:15" x14ac:dyDescent="0.25">
      <c r="O1030493" s="9"/>
    </row>
    <row r="1030514" spans="15:15" x14ac:dyDescent="0.25">
      <c r="O1030514" s="9"/>
    </row>
    <row r="1030535" spans="15:15" x14ac:dyDescent="0.25">
      <c r="O1030535" s="9"/>
    </row>
    <row r="1030556" spans="15:15" x14ac:dyDescent="0.25">
      <c r="O1030556" s="9"/>
    </row>
    <row r="1030577" spans="15:15" x14ac:dyDescent="0.25">
      <c r="O1030577" s="9"/>
    </row>
    <row r="1030598" spans="15:15" x14ac:dyDescent="0.25">
      <c r="O1030598" s="9"/>
    </row>
    <row r="1030619" spans="15:15" x14ac:dyDescent="0.25">
      <c r="O1030619" s="9"/>
    </row>
    <row r="1030640" spans="15:15" x14ac:dyDescent="0.25">
      <c r="O1030640" s="9"/>
    </row>
    <row r="1030661" spans="15:15" x14ac:dyDescent="0.25">
      <c r="O1030661" s="9"/>
    </row>
    <row r="1030682" spans="15:15" x14ac:dyDescent="0.25">
      <c r="O1030682" s="9"/>
    </row>
    <row r="1030703" spans="15:15" x14ac:dyDescent="0.25">
      <c r="O1030703" s="9"/>
    </row>
    <row r="1030724" spans="15:15" x14ac:dyDescent="0.25">
      <c r="O1030724" s="9"/>
    </row>
    <row r="1030745" spans="15:15" x14ac:dyDescent="0.25">
      <c r="O1030745" s="9"/>
    </row>
    <row r="1030766" spans="15:15" x14ac:dyDescent="0.25">
      <c r="O1030766" s="9"/>
    </row>
    <row r="1030787" spans="15:15" x14ac:dyDescent="0.25">
      <c r="O1030787" s="9"/>
    </row>
    <row r="1030808" spans="15:15" x14ac:dyDescent="0.25">
      <c r="O1030808" s="9"/>
    </row>
    <row r="1030829" spans="15:15" x14ac:dyDescent="0.25">
      <c r="O1030829" s="9"/>
    </row>
    <row r="1030850" spans="15:15" x14ac:dyDescent="0.25">
      <c r="O1030850" s="9"/>
    </row>
    <row r="1030871" spans="15:15" x14ac:dyDescent="0.25">
      <c r="O1030871" s="9"/>
    </row>
    <row r="1030892" spans="15:15" x14ac:dyDescent="0.25">
      <c r="O1030892" s="9"/>
    </row>
    <row r="1030913" spans="15:15" x14ac:dyDescent="0.25">
      <c r="O1030913" s="9"/>
    </row>
    <row r="1030934" spans="15:15" x14ac:dyDescent="0.25">
      <c r="O1030934" s="9"/>
    </row>
    <row r="1030955" spans="15:15" x14ac:dyDescent="0.25">
      <c r="O1030955" s="9"/>
    </row>
    <row r="1030976" spans="15:15" x14ac:dyDescent="0.25">
      <c r="O1030976" s="9"/>
    </row>
    <row r="1030997" spans="15:15" x14ac:dyDescent="0.25">
      <c r="O1030997" s="9"/>
    </row>
    <row r="1031018" spans="15:15" x14ac:dyDescent="0.25">
      <c r="O1031018" s="9"/>
    </row>
    <row r="1031039" spans="15:15" x14ac:dyDescent="0.25">
      <c r="O1031039" s="9"/>
    </row>
    <row r="1031060" spans="15:15" x14ac:dyDescent="0.25">
      <c r="O1031060" s="9"/>
    </row>
    <row r="1031081" spans="15:15" x14ac:dyDescent="0.25">
      <c r="O1031081" s="9"/>
    </row>
    <row r="1031102" spans="15:15" x14ac:dyDescent="0.25">
      <c r="O1031102" s="9"/>
    </row>
    <row r="1031123" spans="15:15" x14ac:dyDescent="0.25">
      <c r="O1031123" s="9"/>
    </row>
    <row r="1031144" spans="15:15" x14ac:dyDescent="0.25">
      <c r="O1031144" s="9"/>
    </row>
    <row r="1031165" spans="15:15" x14ac:dyDescent="0.25">
      <c r="O1031165" s="9"/>
    </row>
    <row r="1031186" spans="15:15" x14ac:dyDescent="0.25">
      <c r="O1031186" s="9"/>
    </row>
    <row r="1031207" spans="15:15" x14ac:dyDescent="0.25">
      <c r="O1031207" s="9"/>
    </row>
    <row r="1031228" spans="15:15" x14ac:dyDescent="0.25">
      <c r="O1031228" s="9"/>
    </row>
    <row r="1031249" spans="15:15" x14ac:dyDescent="0.25">
      <c r="O1031249" s="9"/>
    </row>
    <row r="1031270" spans="15:15" x14ac:dyDescent="0.25">
      <c r="O1031270" s="9"/>
    </row>
    <row r="1031291" spans="15:15" x14ac:dyDescent="0.25">
      <c r="O1031291" s="9"/>
    </row>
    <row r="1031312" spans="15:15" x14ac:dyDescent="0.25">
      <c r="O1031312" s="9"/>
    </row>
    <row r="1031333" spans="15:15" x14ac:dyDescent="0.25">
      <c r="O1031333" s="9"/>
    </row>
    <row r="1031354" spans="15:15" x14ac:dyDescent="0.25">
      <c r="O1031354" s="9"/>
    </row>
    <row r="1031375" spans="15:15" x14ac:dyDescent="0.25">
      <c r="O1031375" s="9"/>
    </row>
    <row r="1031396" spans="15:15" x14ac:dyDescent="0.25">
      <c r="O1031396" s="9"/>
    </row>
    <row r="1031417" spans="15:15" x14ac:dyDescent="0.25">
      <c r="O1031417" s="9"/>
    </row>
    <row r="1031438" spans="15:15" x14ac:dyDescent="0.25">
      <c r="O1031438" s="9"/>
    </row>
    <row r="1031459" spans="15:15" x14ac:dyDescent="0.25">
      <c r="O1031459" s="9"/>
    </row>
    <row r="1031480" spans="15:15" x14ac:dyDescent="0.25">
      <c r="O1031480" s="9"/>
    </row>
    <row r="1031501" spans="15:15" x14ac:dyDescent="0.25">
      <c r="O1031501" s="9"/>
    </row>
    <row r="1031522" spans="15:15" x14ac:dyDescent="0.25">
      <c r="O1031522" s="9"/>
    </row>
    <row r="1031543" spans="15:15" x14ac:dyDescent="0.25">
      <c r="O1031543" s="9"/>
    </row>
    <row r="1031564" spans="15:15" x14ac:dyDescent="0.25">
      <c r="O1031564" s="9"/>
    </row>
    <row r="1031585" spans="15:15" x14ac:dyDescent="0.25">
      <c r="O1031585" s="9"/>
    </row>
    <row r="1031606" spans="15:15" x14ac:dyDescent="0.25">
      <c r="O1031606" s="9"/>
    </row>
    <row r="1031627" spans="15:15" x14ac:dyDescent="0.25">
      <c r="O1031627" s="9"/>
    </row>
    <row r="1031648" spans="15:15" x14ac:dyDescent="0.25">
      <c r="O1031648" s="9"/>
    </row>
    <row r="1031669" spans="15:15" x14ac:dyDescent="0.25">
      <c r="O1031669" s="9"/>
    </row>
    <row r="1031690" spans="15:15" x14ac:dyDescent="0.25">
      <c r="O1031690" s="9"/>
    </row>
    <row r="1031711" spans="15:15" x14ac:dyDescent="0.25">
      <c r="O1031711" s="9"/>
    </row>
    <row r="1031732" spans="15:15" x14ac:dyDescent="0.25">
      <c r="O1031732" s="9"/>
    </row>
    <row r="1031753" spans="15:15" x14ac:dyDescent="0.25">
      <c r="O1031753" s="9"/>
    </row>
    <row r="1031774" spans="15:15" x14ac:dyDescent="0.25">
      <c r="O1031774" s="9"/>
    </row>
    <row r="1031795" spans="15:15" x14ac:dyDescent="0.25">
      <c r="O1031795" s="9"/>
    </row>
    <row r="1031816" spans="15:15" x14ac:dyDescent="0.25">
      <c r="O1031816" s="9"/>
    </row>
    <row r="1031837" spans="15:15" x14ac:dyDescent="0.25">
      <c r="O1031837" s="9"/>
    </row>
    <row r="1031858" spans="15:15" x14ac:dyDescent="0.25">
      <c r="O1031858" s="9"/>
    </row>
    <row r="1031879" spans="15:15" x14ac:dyDescent="0.25">
      <c r="O1031879" s="9"/>
    </row>
    <row r="1031900" spans="15:15" x14ac:dyDescent="0.25">
      <c r="O1031900" s="9"/>
    </row>
    <row r="1031921" spans="15:15" x14ac:dyDescent="0.25">
      <c r="O1031921" s="9"/>
    </row>
    <row r="1031942" spans="15:15" x14ac:dyDescent="0.25">
      <c r="O1031942" s="9"/>
    </row>
    <row r="1031963" spans="15:15" x14ac:dyDescent="0.25">
      <c r="O1031963" s="9"/>
    </row>
    <row r="1031984" spans="15:15" x14ac:dyDescent="0.25">
      <c r="O1031984" s="9"/>
    </row>
    <row r="1032005" spans="15:15" x14ac:dyDescent="0.25">
      <c r="O1032005" s="9"/>
    </row>
    <row r="1032026" spans="15:15" x14ac:dyDescent="0.25">
      <c r="O1032026" s="9"/>
    </row>
    <row r="1032047" spans="15:15" x14ac:dyDescent="0.25">
      <c r="O1032047" s="9"/>
    </row>
    <row r="1032068" spans="15:15" x14ac:dyDescent="0.25">
      <c r="O1032068" s="9"/>
    </row>
    <row r="1032089" spans="15:15" x14ac:dyDescent="0.25">
      <c r="O1032089" s="9"/>
    </row>
    <row r="1032110" spans="15:15" x14ac:dyDescent="0.25">
      <c r="O1032110" s="9"/>
    </row>
    <row r="1032131" spans="15:15" x14ac:dyDescent="0.25">
      <c r="O1032131" s="9"/>
    </row>
    <row r="1032152" spans="15:15" x14ac:dyDescent="0.25">
      <c r="O1032152" s="9"/>
    </row>
    <row r="1032173" spans="15:15" x14ac:dyDescent="0.25">
      <c r="O1032173" s="9"/>
    </row>
    <row r="1032194" spans="15:15" x14ac:dyDescent="0.25">
      <c r="O1032194" s="9"/>
    </row>
    <row r="1032215" spans="15:15" x14ac:dyDescent="0.25">
      <c r="O1032215" s="9"/>
    </row>
    <row r="1032236" spans="15:15" x14ac:dyDescent="0.25">
      <c r="O1032236" s="9"/>
    </row>
    <row r="1032257" spans="15:15" x14ac:dyDescent="0.25">
      <c r="O1032257" s="9"/>
    </row>
    <row r="1032278" spans="15:15" x14ac:dyDescent="0.25">
      <c r="O1032278" s="9"/>
    </row>
    <row r="1032299" spans="15:15" x14ac:dyDescent="0.25">
      <c r="O1032299" s="9"/>
    </row>
    <row r="1032320" spans="15:15" x14ac:dyDescent="0.25">
      <c r="O1032320" s="9"/>
    </row>
    <row r="1032341" spans="15:15" x14ac:dyDescent="0.25">
      <c r="O1032341" s="9"/>
    </row>
    <row r="1032362" spans="15:15" x14ac:dyDescent="0.25">
      <c r="O1032362" s="9"/>
    </row>
    <row r="1032383" spans="15:15" x14ac:dyDescent="0.25">
      <c r="O1032383" s="9"/>
    </row>
    <row r="1032404" spans="15:15" x14ac:dyDescent="0.25">
      <c r="O1032404" s="9"/>
    </row>
    <row r="1032425" spans="15:15" x14ac:dyDescent="0.25">
      <c r="O1032425" s="9"/>
    </row>
    <row r="1032446" spans="15:15" x14ac:dyDescent="0.25">
      <c r="O1032446" s="9"/>
    </row>
    <row r="1032467" spans="15:15" x14ac:dyDescent="0.25">
      <c r="O1032467" s="9"/>
    </row>
    <row r="1032488" spans="15:15" x14ac:dyDescent="0.25">
      <c r="O1032488" s="9"/>
    </row>
    <row r="1032509" spans="15:15" x14ac:dyDescent="0.25">
      <c r="O1032509" s="9"/>
    </row>
    <row r="1032530" spans="15:15" x14ac:dyDescent="0.25">
      <c r="O1032530" s="9"/>
    </row>
    <row r="1032551" spans="15:15" x14ac:dyDescent="0.25">
      <c r="O1032551" s="9"/>
    </row>
    <row r="1032572" spans="15:15" x14ac:dyDescent="0.25">
      <c r="O1032572" s="9"/>
    </row>
    <row r="1032593" spans="15:15" x14ac:dyDescent="0.25">
      <c r="O1032593" s="9"/>
    </row>
    <row r="1032614" spans="15:15" x14ac:dyDescent="0.25">
      <c r="O1032614" s="9"/>
    </row>
    <row r="1032635" spans="15:15" x14ac:dyDescent="0.25">
      <c r="O1032635" s="9"/>
    </row>
    <row r="1032656" spans="15:15" x14ac:dyDescent="0.25">
      <c r="O1032656" s="9"/>
    </row>
    <row r="1032677" spans="15:15" x14ac:dyDescent="0.25">
      <c r="O1032677" s="9"/>
    </row>
    <row r="1032698" spans="15:15" x14ac:dyDescent="0.25">
      <c r="O1032698" s="9"/>
    </row>
    <row r="1032719" spans="15:15" x14ac:dyDescent="0.25">
      <c r="O1032719" s="9"/>
    </row>
    <row r="1032740" spans="15:15" x14ac:dyDescent="0.25">
      <c r="O1032740" s="9"/>
    </row>
    <row r="1032761" spans="15:15" x14ac:dyDescent="0.25">
      <c r="O1032761" s="9"/>
    </row>
    <row r="1032782" spans="15:15" x14ac:dyDescent="0.25">
      <c r="O1032782" s="9"/>
    </row>
    <row r="1032803" spans="15:15" x14ac:dyDescent="0.25">
      <c r="O1032803" s="9"/>
    </row>
    <row r="1032824" spans="15:15" x14ac:dyDescent="0.25">
      <c r="O1032824" s="9"/>
    </row>
    <row r="1032845" spans="15:15" x14ac:dyDescent="0.25">
      <c r="O1032845" s="9"/>
    </row>
    <row r="1032866" spans="15:15" x14ac:dyDescent="0.25">
      <c r="O1032866" s="9"/>
    </row>
    <row r="1032887" spans="15:15" x14ac:dyDescent="0.25">
      <c r="O1032887" s="9"/>
    </row>
    <row r="1032908" spans="15:15" x14ac:dyDescent="0.25">
      <c r="O1032908" s="9"/>
    </row>
    <row r="1032929" spans="15:15" x14ac:dyDescent="0.25">
      <c r="O1032929" s="9"/>
    </row>
    <row r="1032950" spans="15:15" x14ac:dyDescent="0.25">
      <c r="O1032950" s="9"/>
    </row>
    <row r="1032971" spans="15:15" x14ac:dyDescent="0.25">
      <c r="O1032971" s="9"/>
    </row>
    <row r="1032992" spans="15:15" x14ac:dyDescent="0.25">
      <c r="O1032992" s="9"/>
    </row>
    <row r="1033013" spans="15:15" x14ac:dyDescent="0.25">
      <c r="O1033013" s="9"/>
    </row>
    <row r="1033034" spans="15:15" x14ac:dyDescent="0.25">
      <c r="O1033034" s="9"/>
    </row>
    <row r="1033055" spans="15:15" x14ac:dyDescent="0.25">
      <c r="O1033055" s="9"/>
    </row>
    <row r="1033076" spans="15:15" x14ac:dyDescent="0.25">
      <c r="O1033076" s="9"/>
    </row>
    <row r="1033097" spans="15:15" x14ac:dyDescent="0.25">
      <c r="O1033097" s="9"/>
    </row>
    <row r="1033118" spans="15:15" x14ac:dyDescent="0.25">
      <c r="O1033118" s="9"/>
    </row>
    <row r="1033139" spans="15:15" x14ac:dyDescent="0.25">
      <c r="O1033139" s="9"/>
    </row>
    <row r="1033160" spans="15:15" x14ac:dyDescent="0.25">
      <c r="O1033160" s="9"/>
    </row>
    <row r="1033181" spans="15:15" x14ac:dyDescent="0.25">
      <c r="O1033181" s="9"/>
    </row>
    <row r="1033202" spans="15:15" x14ac:dyDescent="0.25">
      <c r="O1033202" s="9"/>
    </row>
    <row r="1033223" spans="15:15" x14ac:dyDescent="0.25">
      <c r="O1033223" s="9"/>
    </row>
    <row r="1033244" spans="15:15" x14ac:dyDescent="0.25">
      <c r="O1033244" s="9"/>
    </row>
    <row r="1033265" spans="15:15" x14ac:dyDescent="0.25">
      <c r="O1033265" s="9"/>
    </row>
    <row r="1033286" spans="15:15" x14ac:dyDescent="0.25">
      <c r="O1033286" s="9"/>
    </row>
    <row r="1033307" spans="15:15" x14ac:dyDescent="0.25">
      <c r="O1033307" s="9"/>
    </row>
    <row r="1033328" spans="15:15" x14ac:dyDescent="0.25">
      <c r="O1033328" s="9"/>
    </row>
    <row r="1033349" spans="15:15" x14ac:dyDescent="0.25">
      <c r="O1033349" s="9"/>
    </row>
    <row r="1033370" spans="15:15" x14ac:dyDescent="0.25">
      <c r="O1033370" s="9"/>
    </row>
    <row r="1033391" spans="15:15" x14ac:dyDescent="0.25">
      <c r="O1033391" s="9"/>
    </row>
    <row r="1033412" spans="15:15" x14ac:dyDescent="0.25">
      <c r="O1033412" s="9"/>
    </row>
    <row r="1033433" spans="15:15" x14ac:dyDescent="0.25">
      <c r="O1033433" s="9"/>
    </row>
    <row r="1033454" spans="15:15" x14ac:dyDescent="0.25">
      <c r="O1033454" s="9"/>
    </row>
    <row r="1033475" spans="15:15" x14ac:dyDescent="0.25">
      <c r="O1033475" s="9"/>
    </row>
    <row r="1033496" spans="15:15" x14ac:dyDescent="0.25">
      <c r="O1033496" s="9"/>
    </row>
    <row r="1033517" spans="15:15" x14ac:dyDescent="0.25">
      <c r="O1033517" s="9"/>
    </row>
    <row r="1033538" spans="15:15" x14ac:dyDescent="0.25">
      <c r="O1033538" s="9"/>
    </row>
    <row r="1033559" spans="15:15" x14ac:dyDescent="0.25">
      <c r="O1033559" s="9"/>
    </row>
    <row r="1033580" spans="15:15" x14ac:dyDescent="0.25">
      <c r="O1033580" s="9"/>
    </row>
    <row r="1033601" spans="15:15" x14ac:dyDescent="0.25">
      <c r="O1033601" s="9"/>
    </row>
    <row r="1033622" spans="15:15" x14ac:dyDescent="0.25">
      <c r="O1033622" s="9"/>
    </row>
    <row r="1033643" spans="15:15" x14ac:dyDescent="0.25">
      <c r="O1033643" s="9"/>
    </row>
    <row r="1033664" spans="15:15" x14ac:dyDescent="0.25">
      <c r="O1033664" s="9"/>
    </row>
    <row r="1033685" spans="15:15" x14ac:dyDescent="0.25">
      <c r="O1033685" s="9"/>
    </row>
    <row r="1033706" spans="15:15" x14ac:dyDescent="0.25">
      <c r="O1033706" s="9"/>
    </row>
    <row r="1033727" spans="15:15" x14ac:dyDescent="0.25">
      <c r="O1033727" s="9"/>
    </row>
    <row r="1033748" spans="15:15" x14ac:dyDescent="0.25">
      <c r="O1033748" s="9"/>
    </row>
    <row r="1033769" spans="15:15" x14ac:dyDescent="0.25">
      <c r="O1033769" s="9"/>
    </row>
    <row r="1033790" spans="15:15" x14ac:dyDescent="0.25">
      <c r="O1033790" s="9"/>
    </row>
    <row r="1033811" spans="15:15" x14ac:dyDescent="0.25">
      <c r="O1033811" s="9"/>
    </row>
    <row r="1033832" spans="15:15" x14ac:dyDescent="0.25">
      <c r="O1033832" s="9"/>
    </row>
    <row r="1033853" spans="15:15" x14ac:dyDescent="0.25">
      <c r="O1033853" s="9"/>
    </row>
    <row r="1033874" spans="15:15" x14ac:dyDescent="0.25">
      <c r="O1033874" s="9"/>
    </row>
    <row r="1033895" spans="15:15" x14ac:dyDescent="0.25">
      <c r="O1033895" s="9"/>
    </row>
    <row r="1033916" spans="15:15" x14ac:dyDescent="0.25">
      <c r="O1033916" s="9"/>
    </row>
    <row r="1033937" spans="15:15" x14ac:dyDescent="0.25">
      <c r="O1033937" s="9"/>
    </row>
    <row r="1033958" spans="15:15" x14ac:dyDescent="0.25">
      <c r="O1033958" s="9"/>
    </row>
    <row r="1033979" spans="15:15" x14ac:dyDescent="0.25">
      <c r="O1033979" s="9"/>
    </row>
    <row r="1034000" spans="15:15" x14ac:dyDescent="0.25">
      <c r="O1034000" s="9"/>
    </row>
    <row r="1034021" spans="15:15" x14ac:dyDescent="0.25">
      <c r="O1034021" s="9"/>
    </row>
    <row r="1034042" spans="15:15" x14ac:dyDescent="0.25">
      <c r="O1034042" s="9"/>
    </row>
    <row r="1034063" spans="15:15" x14ac:dyDescent="0.25">
      <c r="O1034063" s="9"/>
    </row>
    <row r="1034084" spans="15:15" x14ac:dyDescent="0.25">
      <c r="O1034084" s="9"/>
    </row>
    <row r="1034105" spans="15:15" x14ac:dyDescent="0.25">
      <c r="O1034105" s="9"/>
    </row>
    <row r="1034126" spans="15:15" x14ac:dyDescent="0.25">
      <c r="O1034126" s="9"/>
    </row>
    <row r="1034147" spans="15:15" x14ac:dyDescent="0.25">
      <c r="O1034147" s="9"/>
    </row>
    <row r="1034168" spans="15:15" x14ac:dyDescent="0.25">
      <c r="O1034168" s="9"/>
    </row>
    <row r="1034189" spans="15:15" x14ac:dyDescent="0.25">
      <c r="O1034189" s="9"/>
    </row>
    <row r="1034210" spans="15:15" x14ac:dyDescent="0.25">
      <c r="O1034210" s="9"/>
    </row>
    <row r="1034231" spans="15:15" x14ac:dyDescent="0.25">
      <c r="O1034231" s="9"/>
    </row>
    <row r="1034252" spans="15:15" x14ac:dyDescent="0.25">
      <c r="O1034252" s="9"/>
    </row>
    <row r="1034273" spans="15:15" x14ac:dyDescent="0.25">
      <c r="O1034273" s="9"/>
    </row>
    <row r="1034294" spans="15:15" x14ac:dyDescent="0.25">
      <c r="O1034294" s="9"/>
    </row>
    <row r="1034315" spans="15:15" x14ac:dyDescent="0.25">
      <c r="O1034315" s="9"/>
    </row>
    <row r="1034336" spans="15:15" x14ac:dyDescent="0.25">
      <c r="O1034336" s="9"/>
    </row>
    <row r="1034357" spans="15:15" x14ac:dyDescent="0.25">
      <c r="O1034357" s="9"/>
    </row>
    <row r="1034378" spans="15:15" x14ac:dyDescent="0.25">
      <c r="O1034378" s="9"/>
    </row>
    <row r="1034399" spans="15:15" x14ac:dyDescent="0.25">
      <c r="O1034399" s="9"/>
    </row>
    <row r="1034420" spans="15:15" x14ac:dyDescent="0.25">
      <c r="O1034420" s="9"/>
    </row>
    <row r="1034441" spans="15:15" x14ac:dyDescent="0.25">
      <c r="O1034441" s="9"/>
    </row>
    <row r="1034462" spans="15:15" x14ac:dyDescent="0.25">
      <c r="O1034462" s="9"/>
    </row>
    <row r="1034483" spans="15:15" x14ac:dyDescent="0.25">
      <c r="O1034483" s="9"/>
    </row>
    <row r="1034504" spans="15:15" x14ac:dyDescent="0.25">
      <c r="O1034504" s="9"/>
    </row>
    <row r="1034525" spans="15:15" x14ac:dyDescent="0.25">
      <c r="O1034525" s="9"/>
    </row>
    <row r="1034546" spans="15:15" x14ac:dyDescent="0.25">
      <c r="O1034546" s="9"/>
    </row>
    <row r="1034567" spans="15:15" x14ac:dyDescent="0.25">
      <c r="O1034567" s="9"/>
    </row>
    <row r="1034588" spans="15:15" x14ac:dyDescent="0.25">
      <c r="O1034588" s="9"/>
    </row>
    <row r="1034609" spans="15:15" x14ac:dyDescent="0.25">
      <c r="O1034609" s="9"/>
    </row>
    <row r="1034630" spans="15:15" x14ac:dyDescent="0.25">
      <c r="O1034630" s="9"/>
    </row>
    <row r="1034651" spans="15:15" x14ac:dyDescent="0.25">
      <c r="O1034651" s="9"/>
    </row>
    <row r="1034672" spans="15:15" x14ac:dyDescent="0.25">
      <c r="O1034672" s="9"/>
    </row>
    <row r="1034693" spans="15:15" x14ac:dyDescent="0.25">
      <c r="O1034693" s="9"/>
    </row>
    <row r="1034714" spans="15:15" x14ac:dyDescent="0.25">
      <c r="O1034714" s="9"/>
    </row>
    <row r="1034735" spans="15:15" x14ac:dyDescent="0.25">
      <c r="O1034735" s="9"/>
    </row>
    <row r="1034756" spans="15:15" x14ac:dyDescent="0.25">
      <c r="O1034756" s="9"/>
    </row>
    <row r="1034777" spans="15:15" x14ac:dyDescent="0.25">
      <c r="O1034777" s="9"/>
    </row>
    <row r="1034798" spans="15:15" x14ac:dyDescent="0.25">
      <c r="O1034798" s="9"/>
    </row>
    <row r="1034819" spans="15:15" x14ac:dyDescent="0.25">
      <c r="O1034819" s="9"/>
    </row>
    <row r="1034840" spans="15:15" x14ac:dyDescent="0.25">
      <c r="O1034840" s="9"/>
    </row>
    <row r="1034861" spans="15:15" x14ac:dyDescent="0.25">
      <c r="O1034861" s="9"/>
    </row>
    <row r="1034882" spans="15:15" x14ac:dyDescent="0.25">
      <c r="O1034882" s="9"/>
    </row>
    <row r="1034903" spans="15:15" x14ac:dyDescent="0.25">
      <c r="O1034903" s="9"/>
    </row>
    <row r="1034924" spans="15:15" x14ac:dyDescent="0.25">
      <c r="O1034924" s="9"/>
    </row>
    <row r="1034945" spans="15:15" x14ac:dyDescent="0.25">
      <c r="O1034945" s="9"/>
    </row>
    <row r="1034966" spans="15:15" x14ac:dyDescent="0.25">
      <c r="O1034966" s="9"/>
    </row>
    <row r="1034987" spans="15:15" x14ac:dyDescent="0.25">
      <c r="O1034987" s="9"/>
    </row>
    <row r="1035008" spans="15:15" x14ac:dyDescent="0.25">
      <c r="O1035008" s="9"/>
    </row>
    <row r="1035029" spans="15:15" x14ac:dyDescent="0.25">
      <c r="O1035029" s="9"/>
    </row>
    <row r="1035050" spans="15:15" x14ac:dyDescent="0.25">
      <c r="O1035050" s="9"/>
    </row>
    <row r="1035071" spans="15:15" x14ac:dyDescent="0.25">
      <c r="O1035071" s="9"/>
    </row>
    <row r="1035092" spans="15:15" x14ac:dyDescent="0.25">
      <c r="O1035092" s="9"/>
    </row>
    <row r="1035113" spans="15:15" x14ac:dyDescent="0.25">
      <c r="O1035113" s="9"/>
    </row>
    <row r="1035134" spans="15:15" x14ac:dyDescent="0.25">
      <c r="O1035134" s="9"/>
    </row>
    <row r="1035155" spans="15:15" x14ac:dyDescent="0.25">
      <c r="O1035155" s="9"/>
    </row>
    <row r="1035176" spans="15:15" x14ac:dyDescent="0.25">
      <c r="O1035176" s="9"/>
    </row>
    <row r="1035197" spans="15:15" x14ac:dyDescent="0.25">
      <c r="O1035197" s="9"/>
    </row>
    <row r="1035218" spans="15:15" x14ac:dyDescent="0.25">
      <c r="O1035218" s="9"/>
    </row>
    <row r="1035239" spans="15:15" x14ac:dyDescent="0.25">
      <c r="O1035239" s="9"/>
    </row>
    <row r="1035260" spans="15:15" x14ac:dyDescent="0.25">
      <c r="O1035260" s="9"/>
    </row>
    <row r="1035281" spans="15:15" x14ac:dyDescent="0.25">
      <c r="O1035281" s="9"/>
    </row>
    <row r="1035302" spans="15:15" x14ac:dyDescent="0.25">
      <c r="O1035302" s="9"/>
    </row>
    <row r="1035323" spans="15:15" x14ac:dyDescent="0.25">
      <c r="O1035323" s="9"/>
    </row>
    <row r="1035344" spans="15:15" x14ac:dyDescent="0.25">
      <c r="O1035344" s="9"/>
    </row>
    <row r="1035365" spans="15:15" x14ac:dyDescent="0.25">
      <c r="O1035365" s="9"/>
    </row>
    <row r="1035386" spans="15:15" x14ac:dyDescent="0.25">
      <c r="O1035386" s="9"/>
    </row>
    <row r="1035407" spans="15:15" x14ac:dyDescent="0.25">
      <c r="O1035407" s="9"/>
    </row>
    <row r="1035428" spans="15:15" x14ac:dyDescent="0.25">
      <c r="O1035428" s="9"/>
    </row>
    <row r="1035449" spans="15:15" x14ac:dyDescent="0.25">
      <c r="O1035449" s="9"/>
    </row>
    <row r="1035470" spans="15:15" x14ac:dyDescent="0.25">
      <c r="O1035470" s="9"/>
    </row>
    <row r="1035491" spans="15:15" x14ac:dyDescent="0.25">
      <c r="O1035491" s="9"/>
    </row>
    <row r="1035512" spans="15:15" x14ac:dyDescent="0.25">
      <c r="O1035512" s="9"/>
    </row>
    <row r="1035533" spans="15:15" x14ac:dyDescent="0.25">
      <c r="O1035533" s="9"/>
    </row>
    <row r="1035554" spans="15:15" x14ac:dyDescent="0.25">
      <c r="O1035554" s="9"/>
    </row>
    <row r="1035575" spans="15:15" x14ac:dyDescent="0.25">
      <c r="O1035575" s="9"/>
    </row>
    <row r="1035596" spans="15:15" x14ac:dyDescent="0.25">
      <c r="O1035596" s="9"/>
    </row>
    <row r="1035617" spans="15:15" x14ac:dyDescent="0.25">
      <c r="O1035617" s="9"/>
    </row>
    <row r="1035638" spans="15:15" x14ac:dyDescent="0.25">
      <c r="O1035638" s="9"/>
    </row>
    <row r="1035659" spans="15:15" x14ac:dyDescent="0.25">
      <c r="O1035659" s="9"/>
    </row>
    <row r="1035680" spans="15:15" x14ac:dyDescent="0.25">
      <c r="O1035680" s="9"/>
    </row>
    <row r="1035701" spans="15:15" x14ac:dyDescent="0.25">
      <c r="O1035701" s="9"/>
    </row>
    <row r="1035722" spans="15:15" x14ac:dyDescent="0.25">
      <c r="O1035722" s="9"/>
    </row>
    <row r="1035743" spans="15:15" x14ac:dyDescent="0.25">
      <c r="O1035743" s="9"/>
    </row>
    <row r="1035764" spans="15:15" x14ac:dyDescent="0.25">
      <c r="O1035764" s="9"/>
    </row>
    <row r="1035785" spans="15:15" x14ac:dyDescent="0.25">
      <c r="O1035785" s="9"/>
    </row>
    <row r="1035806" spans="15:15" x14ac:dyDescent="0.25">
      <c r="O1035806" s="9"/>
    </row>
    <row r="1035827" spans="15:15" x14ac:dyDescent="0.25">
      <c r="O1035827" s="9"/>
    </row>
    <row r="1035848" spans="15:15" x14ac:dyDescent="0.25">
      <c r="O1035848" s="9"/>
    </row>
    <row r="1035869" spans="15:15" x14ac:dyDescent="0.25">
      <c r="O1035869" s="9"/>
    </row>
    <row r="1035890" spans="15:15" x14ac:dyDescent="0.25">
      <c r="O1035890" s="9"/>
    </row>
    <row r="1035911" spans="15:15" x14ac:dyDescent="0.25">
      <c r="O1035911" s="9"/>
    </row>
    <row r="1035932" spans="15:15" x14ac:dyDescent="0.25">
      <c r="O1035932" s="9"/>
    </row>
    <row r="1035953" spans="15:15" x14ac:dyDescent="0.25">
      <c r="O1035953" s="9"/>
    </row>
    <row r="1035974" spans="15:15" x14ac:dyDescent="0.25">
      <c r="O1035974" s="9"/>
    </row>
    <row r="1035995" spans="15:15" x14ac:dyDescent="0.25">
      <c r="O1035995" s="9"/>
    </row>
    <row r="1036016" spans="15:15" x14ac:dyDescent="0.25">
      <c r="O1036016" s="9"/>
    </row>
    <row r="1036037" spans="15:15" x14ac:dyDescent="0.25">
      <c r="O1036037" s="9"/>
    </row>
    <row r="1036058" spans="15:15" x14ac:dyDescent="0.25">
      <c r="O1036058" s="9"/>
    </row>
    <row r="1036079" spans="15:15" x14ac:dyDescent="0.25">
      <c r="O1036079" s="9"/>
    </row>
    <row r="1036100" spans="15:15" x14ac:dyDescent="0.25">
      <c r="O1036100" s="9"/>
    </row>
    <row r="1036121" spans="15:15" x14ac:dyDescent="0.25">
      <c r="O1036121" s="9"/>
    </row>
    <row r="1036142" spans="15:15" x14ac:dyDescent="0.25">
      <c r="O1036142" s="9"/>
    </row>
    <row r="1036163" spans="15:15" x14ac:dyDescent="0.25">
      <c r="O1036163" s="9"/>
    </row>
    <row r="1036184" spans="15:15" x14ac:dyDescent="0.25">
      <c r="O1036184" s="9"/>
    </row>
    <row r="1036205" spans="15:15" x14ac:dyDescent="0.25">
      <c r="O1036205" s="9"/>
    </row>
    <row r="1036226" spans="15:15" x14ac:dyDescent="0.25">
      <c r="O1036226" s="9"/>
    </row>
    <row r="1036247" spans="15:15" x14ac:dyDescent="0.25">
      <c r="O1036247" s="9"/>
    </row>
    <row r="1036268" spans="15:15" x14ac:dyDescent="0.25">
      <c r="O1036268" s="9"/>
    </row>
    <row r="1036289" spans="15:15" x14ac:dyDescent="0.25">
      <c r="O1036289" s="9"/>
    </row>
    <row r="1036310" spans="15:15" x14ac:dyDescent="0.25">
      <c r="O1036310" s="9"/>
    </row>
    <row r="1036331" spans="15:15" x14ac:dyDescent="0.25">
      <c r="O1036331" s="9"/>
    </row>
    <row r="1036352" spans="15:15" x14ac:dyDescent="0.25">
      <c r="O1036352" s="9"/>
    </row>
    <row r="1036373" spans="15:15" x14ac:dyDescent="0.25">
      <c r="O1036373" s="9"/>
    </row>
    <row r="1036394" spans="15:15" x14ac:dyDescent="0.25">
      <c r="O1036394" s="9"/>
    </row>
    <row r="1036415" spans="15:15" x14ac:dyDescent="0.25">
      <c r="O1036415" s="9"/>
    </row>
    <row r="1036436" spans="15:15" x14ac:dyDescent="0.25">
      <c r="O1036436" s="9"/>
    </row>
    <row r="1036457" spans="15:15" x14ac:dyDescent="0.25">
      <c r="O1036457" s="9"/>
    </row>
    <row r="1036478" spans="15:15" x14ac:dyDescent="0.25">
      <c r="O1036478" s="9"/>
    </row>
    <row r="1036499" spans="15:15" x14ac:dyDescent="0.25">
      <c r="O1036499" s="9"/>
    </row>
    <row r="1036520" spans="15:15" x14ac:dyDescent="0.25">
      <c r="O1036520" s="9"/>
    </row>
    <row r="1036541" spans="15:15" x14ac:dyDescent="0.25">
      <c r="O1036541" s="9"/>
    </row>
    <row r="1036562" spans="15:15" x14ac:dyDescent="0.25">
      <c r="O1036562" s="9"/>
    </row>
    <row r="1036583" spans="15:15" x14ac:dyDescent="0.25">
      <c r="O1036583" s="9"/>
    </row>
    <row r="1036604" spans="15:15" x14ac:dyDescent="0.25">
      <c r="O1036604" s="9"/>
    </row>
    <row r="1036625" spans="15:15" x14ac:dyDescent="0.25">
      <c r="O1036625" s="9"/>
    </row>
    <row r="1036646" spans="15:15" x14ac:dyDescent="0.25">
      <c r="O1036646" s="9"/>
    </row>
    <row r="1036667" spans="15:15" x14ac:dyDescent="0.25">
      <c r="O1036667" s="9"/>
    </row>
    <row r="1036688" spans="15:15" x14ac:dyDescent="0.25">
      <c r="O1036688" s="9"/>
    </row>
    <row r="1036709" spans="15:15" x14ac:dyDescent="0.25">
      <c r="O1036709" s="9"/>
    </row>
    <row r="1036730" spans="15:15" x14ac:dyDescent="0.25">
      <c r="O1036730" s="9"/>
    </row>
    <row r="1036751" spans="15:15" x14ac:dyDescent="0.25">
      <c r="O1036751" s="9"/>
    </row>
    <row r="1036772" spans="15:15" x14ac:dyDescent="0.25">
      <c r="O1036772" s="9"/>
    </row>
    <row r="1036793" spans="15:15" x14ac:dyDescent="0.25">
      <c r="O1036793" s="9"/>
    </row>
    <row r="1036814" spans="15:15" x14ac:dyDescent="0.25">
      <c r="O1036814" s="9"/>
    </row>
    <row r="1036835" spans="15:15" x14ac:dyDescent="0.25">
      <c r="O1036835" s="9"/>
    </row>
    <row r="1036856" spans="15:15" x14ac:dyDescent="0.25">
      <c r="O1036856" s="9"/>
    </row>
    <row r="1036877" spans="15:15" x14ac:dyDescent="0.25">
      <c r="O1036877" s="9"/>
    </row>
    <row r="1036898" spans="15:15" x14ac:dyDescent="0.25">
      <c r="O1036898" s="9"/>
    </row>
    <row r="1036919" spans="15:15" x14ac:dyDescent="0.25">
      <c r="O1036919" s="9"/>
    </row>
    <row r="1036940" spans="15:15" x14ac:dyDescent="0.25">
      <c r="O1036940" s="9"/>
    </row>
    <row r="1036961" spans="15:15" x14ac:dyDescent="0.25">
      <c r="O1036961" s="9"/>
    </row>
    <row r="1036982" spans="15:15" x14ac:dyDescent="0.25">
      <c r="O1036982" s="9"/>
    </row>
    <row r="1037003" spans="15:15" x14ac:dyDescent="0.25">
      <c r="O1037003" s="9"/>
    </row>
    <row r="1037024" spans="15:15" x14ac:dyDescent="0.25">
      <c r="O1037024" s="9"/>
    </row>
    <row r="1037045" spans="15:15" x14ac:dyDescent="0.25">
      <c r="O1037045" s="9"/>
    </row>
    <row r="1037066" spans="15:15" x14ac:dyDescent="0.25">
      <c r="O1037066" s="9"/>
    </row>
    <row r="1037087" spans="15:15" x14ac:dyDescent="0.25">
      <c r="O1037087" s="9"/>
    </row>
    <row r="1037108" spans="15:15" x14ac:dyDescent="0.25">
      <c r="O1037108" s="9"/>
    </row>
    <row r="1037129" spans="15:15" x14ac:dyDescent="0.25">
      <c r="O1037129" s="9"/>
    </row>
    <row r="1037150" spans="15:15" x14ac:dyDescent="0.25">
      <c r="O1037150" s="9"/>
    </row>
    <row r="1037171" spans="15:15" x14ac:dyDescent="0.25">
      <c r="O1037171" s="9"/>
    </row>
    <row r="1037192" spans="15:15" x14ac:dyDescent="0.25">
      <c r="O1037192" s="9"/>
    </row>
    <row r="1037213" spans="15:15" x14ac:dyDescent="0.25">
      <c r="O1037213" s="9"/>
    </row>
    <row r="1037234" spans="15:15" x14ac:dyDescent="0.25">
      <c r="O1037234" s="9"/>
    </row>
    <row r="1037255" spans="15:15" x14ac:dyDescent="0.25">
      <c r="O1037255" s="9"/>
    </row>
    <row r="1037276" spans="15:15" x14ac:dyDescent="0.25">
      <c r="O1037276" s="9"/>
    </row>
    <row r="1037297" spans="15:15" x14ac:dyDescent="0.25">
      <c r="O1037297" s="9"/>
    </row>
    <row r="1037318" spans="15:15" x14ac:dyDescent="0.25">
      <c r="O1037318" s="9"/>
    </row>
    <row r="1037339" spans="15:15" x14ac:dyDescent="0.25">
      <c r="O1037339" s="9"/>
    </row>
    <row r="1037360" spans="15:15" x14ac:dyDescent="0.25">
      <c r="O1037360" s="9"/>
    </row>
    <row r="1037381" spans="15:15" x14ac:dyDescent="0.25">
      <c r="O1037381" s="9"/>
    </row>
    <row r="1037402" spans="15:15" x14ac:dyDescent="0.25">
      <c r="O1037402" s="9"/>
    </row>
    <row r="1037423" spans="15:15" x14ac:dyDescent="0.25">
      <c r="O1037423" s="9"/>
    </row>
    <row r="1037444" spans="15:15" x14ac:dyDescent="0.25">
      <c r="O1037444" s="9"/>
    </row>
    <row r="1037465" spans="15:15" x14ac:dyDescent="0.25">
      <c r="O1037465" s="9"/>
    </row>
    <row r="1037486" spans="15:15" x14ac:dyDescent="0.25">
      <c r="O1037486" s="9"/>
    </row>
    <row r="1037507" spans="15:15" x14ac:dyDescent="0.25">
      <c r="O1037507" s="9"/>
    </row>
    <row r="1037528" spans="15:15" x14ac:dyDescent="0.25">
      <c r="O1037528" s="9"/>
    </row>
    <row r="1037549" spans="15:15" x14ac:dyDescent="0.25">
      <c r="O1037549" s="9"/>
    </row>
    <row r="1037570" spans="15:15" x14ac:dyDescent="0.25">
      <c r="O1037570" s="9"/>
    </row>
    <row r="1037591" spans="15:15" x14ac:dyDescent="0.25">
      <c r="O1037591" s="9"/>
    </row>
    <row r="1037612" spans="15:15" x14ac:dyDescent="0.25">
      <c r="O1037612" s="9"/>
    </row>
    <row r="1037633" spans="15:15" x14ac:dyDescent="0.25">
      <c r="O1037633" s="9"/>
    </row>
    <row r="1037654" spans="15:15" x14ac:dyDescent="0.25">
      <c r="O1037654" s="9"/>
    </row>
    <row r="1037675" spans="15:15" x14ac:dyDescent="0.25">
      <c r="O1037675" s="9"/>
    </row>
    <row r="1037696" spans="15:15" x14ac:dyDescent="0.25">
      <c r="O1037696" s="9"/>
    </row>
    <row r="1037717" spans="15:15" x14ac:dyDescent="0.25">
      <c r="O1037717" s="9"/>
    </row>
    <row r="1037738" spans="15:15" x14ac:dyDescent="0.25">
      <c r="O1037738" s="9"/>
    </row>
    <row r="1037759" spans="15:15" x14ac:dyDescent="0.25">
      <c r="O1037759" s="9"/>
    </row>
    <row r="1037780" spans="15:15" x14ac:dyDescent="0.25">
      <c r="O1037780" s="9"/>
    </row>
    <row r="1037801" spans="15:15" x14ac:dyDescent="0.25">
      <c r="O1037801" s="9"/>
    </row>
    <row r="1037822" spans="15:15" x14ac:dyDescent="0.25">
      <c r="O1037822" s="9"/>
    </row>
    <row r="1037843" spans="15:15" x14ac:dyDescent="0.25">
      <c r="O1037843" s="9"/>
    </row>
    <row r="1037864" spans="15:15" x14ac:dyDescent="0.25">
      <c r="O1037864" s="9"/>
    </row>
    <row r="1037885" spans="15:15" x14ac:dyDescent="0.25">
      <c r="O1037885" s="9"/>
    </row>
    <row r="1037906" spans="15:15" x14ac:dyDescent="0.25">
      <c r="O1037906" s="9"/>
    </row>
    <row r="1037927" spans="15:15" x14ac:dyDescent="0.25">
      <c r="O1037927" s="9"/>
    </row>
    <row r="1037948" spans="15:15" x14ac:dyDescent="0.25">
      <c r="O1037948" s="9"/>
    </row>
    <row r="1037969" spans="15:15" x14ac:dyDescent="0.25">
      <c r="O1037969" s="9"/>
    </row>
    <row r="1037990" spans="15:15" x14ac:dyDescent="0.25">
      <c r="O1037990" s="9"/>
    </row>
    <row r="1038011" spans="15:15" x14ac:dyDescent="0.25">
      <c r="O1038011" s="9"/>
    </row>
    <row r="1038032" spans="15:15" x14ac:dyDescent="0.25">
      <c r="O1038032" s="9"/>
    </row>
    <row r="1038053" spans="15:15" x14ac:dyDescent="0.25">
      <c r="O1038053" s="9"/>
    </row>
    <row r="1038074" spans="15:15" x14ac:dyDescent="0.25">
      <c r="O1038074" s="9"/>
    </row>
    <row r="1038095" spans="15:15" x14ac:dyDescent="0.25">
      <c r="O1038095" s="9"/>
    </row>
    <row r="1038116" spans="15:15" x14ac:dyDescent="0.25">
      <c r="O1038116" s="9"/>
    </row>
    <row r="1038137" spans="15:15" x14ac:dyDescent="0.25">
      <c r="O1038137" s="9"/>
    </row>
    <row r="1038158" spans="15:15" x14ac:dyDescent="0.25">
      <c r="O1038158" s="9"/>
    </row>
    <row r="1038179" spans="15:15" x14ac:dyDescent="0.25">
      <c r="O1038179" s="9"/>
    </row>
    <row r="1038200" spans="15:15" x14ac:dyDescent="0.25">
      <c r="O1038200" s="9"/>
    </row>
    <row r="1038221" spans="15:15" x14ac:dyDescent="0.25">
      <c r="O1038221" s="9"/>
    </row>
    <row r="1038242" spans="15:15" x14ac:dyDescent="0.25">
      <c r="O1038242" s="9"/>
    </row>
    <row r="1038263" spans="15:15" x14ac:dyDescent="0.25">
      <c r="O1038263" s="9"/>
    </row>
    <row r="1038284" spans="15:15" x14ac:dyDescent="0.25">
      <c r="O1038284" s="9"/>
    </row>
    <row r="1038305" spans="15:15" x14ac:dyDescent="0.25">
      <c r="O1038305" s="9"/>
    </row>
    <row r="1038326" spans="15:15" x14ac:dyDescent="0.25">
      <c r="O1038326" s="9"/>
    </row>
    <row r="1038347" spans="15:15" x14ac:dyDescent="0.25">
      <c r="O1038347" s="9"/>
    </row>
    <row r="1038368" spans="15:15" x14ac:dyDescent="0.25">
      <c r="O1038368" s="9"/>
    </row>
    <row r="1038389" spans="15:15" x14ac:dyDescent="0.25">
      <c r="O1038389" s="9"/>
    </row>
    <row r="1038410" spans="15:15" x14ac:dyDescent="0.25">
      <c r="O1038410" s="9"/>
    </row>
    <row r="1038431" spans="15:15" x14ac:dyDescent="0.25">
      <c r="O1038431" s="9"/>
    </row>
    <row r="1038452" spans="15:15" x14ac:dyDescent="0.25">
      <c r="O1038452" s="9"/>
    </row>
    <row r="1038473" spans="15:15" x14ac:dyDescent="0.25">
      <c r="O1038473" s="9"/>
    </row>
    <row r="1038494" spans="15:15" x14ac:dyDescent="0.25">
      <c r="O1038494" s="9"/>
    </row>
    <row r="1038515" spans="15:15" x14ac:dyDescent="0.25">
      <c r="O1038515" s="9"/>
    </row>
    <row r="1038536" spans="15:15" x14ac:dyDescent="0.25">
      <c r="O1038536" s="9"/>
    </row>
    <row r="1038557" spans="15:15" x14ac:dyDescent="0.25">
      <c r="O1038557" s="9"/>
    </row>
    <row r="1038578" spans="15:15" x14ac:dyDescent="0.25">
      <c r="O1038578" s="9"/>
    </row>
    <row r="1038599" spans="15:15" x14ac:dyDescent="0.25">
      <c r="O1038599" s="9"/>
    </row>
    <row r="1038620" spans="15:15" x14ac:dyDescent="0.25">
      <c r="O1038620" s="9"/>
    </row>
    <row r="1038641" spans="15:15" x14ac:dyDescent="0.25">
      <c r="O1038641" s="9"/>
    </row>
    <row r="1038662" spans="15:15" x14ac:dyDescent="0.25">
      <c r="O1038662" s="9"/>
    </row>
    <row r="1038683" spans="15:15" x14ac:dyDescent="0.25">
      <c r="O1038683" s="9"/>
    </row>
    <row r="1038704" spans="15:15" x14ac:dyDescent="0.25">
      <c r="O1038704" s="9"/>
    </row>
    <row r="1038725" spans="15:15" x14ac:dyDescent="0.25">
      <c r="O1038725" s="9"/>
    </row>
    <row r="1038746" spans="15:15" x14ac:dyDescent="0.25">
      <c r="O1038746" s="9"/>
    </row>
    <row r="1038767" spans="15:15" x14ac:dyDescent="0.25">
      <c r="O1038767" s="9"/>
    </row>
    <row r="1038788" spans="15:15" x14ac:dyDescent="0.25">
      <c r="O1038788" s="9"/>
    </row>
    <row r="1038809" spans="15:15" x14ac:dyDescent="0.25">
      <c r="O1038809" s="9"/>
    </row>
    <row r="1038830" spans="15:15" x14ac:dyDescent="0.25">
      <c r="O1038830" s="9"/>
    </row>
    <row r="1038851" spans="15:15" x14ac:dyDescent="0.25">
      <c r="O1038851" s="9"/>
    </row>
    <row r="1038872" spans="15:15" x14ac:dyDescent="0.25">
      <c r="O1038872" s="9"/>
    </row>
    <row r="1038893" spans="15:15" x14ac:dyDescent="0.25">
      <c r="O1038893" s="9"/>
    </row>
    <row r="1038914" spans="15:15" x14ac:dyDescent="0.25">
      <c r="O1038914" s="9"/>
    </row>
    <row r="1038935" spans="15:15" x14ac:dyDescent="0.25">
      <c r="O1038935" s="9"/>
    </row>
    <row r="1038956" spans="15:15" x14ac:dyDescent="0.25">
      <c r="O1038956" s="9"/>
    </row>
    <row r="1038977" spans="15:15" x14ac:dyDescent="0.25">
      <c r="O1038977" s="9"/>
    </row>
    <row r="1038998" spans="15:15" x14ac:dyDescent="0.25">
      <c r="O1038998" s="9"/>
    </row>
    <row r="1039019" spans="15:15" x14ac:dyDescent="0.25">
      <c r="O1039019" s="9"/>
    </row>
    <row r="1039040" spans="15:15" x14ac:dyDescent="0.25">
      <c r="O1039040" s="9"/>
    </row>
    <row r="1039061" spans="15:15" x14ac:dyDescent="0.25">
      <c r="O1039061" s="9"/>
    </row>
    <row r="1039082" spans="15:15" x14ac:dyDescent="0.25">
      <c r="O1039082" s="9"/>
    </row>
    <row r="1039103" spans="15:15" x14ac:dyDescent="0.25">
      <c r="O1039103" s="9"/>
    </row>
    <row r="1039124" spans="15:15" x14ac:dyDescent="0.25">
      <c r="O1039124" s="9"/>
    </row>
    <row r="1039145" spans="15:15" x14ac:dyDescent="0.25">
      <c r="O1039145" s="9"/>
    </row>
    <row r="1039166" spans="15:15" x14ac:dyDescent="0.25">
      <c r="O1039166" s="9"/>
    </row>
    <row r="1039187" spans="15:15" x14ac:dyDescent="0.25">
      <c r="O1039187" s="9"/>
    </row>
    <row r="1039208" spans="15:15" x14ac:dyDescent="0.25">
      <c r="O1039208" s="9"/>
    </row>
    <row r="1039229" spans="15:15" x14ac:dyDescent="0.25">
      <c r="O1039229" s="9"/>
    </row>
    <row r="1039250" spans="15:15" x14ac:dyDescent="0.25">
      <c r="O1039250" s="9"/>
    </row>
    <row r="1039271" spans="15:15" x14ac:dyDescent="0.25">
      <c r="O1039271" s="9"/>
    </row>
    <row r="1039292" spans="15:15" x14ac:dyDescent="0.25">
      <c r="O1039292" s="9"/>
    </row>
    <row r="1039313" spans="15:15" x14ac:dyDescent="0.25">
      <c r="O1039313" s="9"/>
    </row>
    <row r="1039334" spans="15:15" x14ac:dyDescent="0.25">
      <c r="O1039334" s="9"/>
    </row>
    <row r="1039355" spans="15:15" x14ac:dyDescent="0.25">
      <c r="O1039355" s="9"/>
    </row>
    <row r="1039376" spans="15:15" x14ac:dyDescent="0.25">
      <c r="O1039376" s="9"/>
    </row>
    <row r="1039397" spans="15:15" x14ac:dyDescent="0.25">
      <c r="O1039397" s="9"/>
    </row>
    <row r="1039418" spans="15:15" x14ac:dyDescent="0.25">
      <c r="O1039418" s="9"/>
    </row>
    <row r="1039439" spans="15:15" x14ac:dyDescent="0.25">
      <c r="O1039439" s="9"/>
    </row>
    <row r="1039460" spans="15:15" x14ac:dyDescent="0.25">
      <c r="O1039460" s="9"/>
    </row>
    <row r="1039481" spans="15:15" x14ac:dyDescent="0.25">
      <c r="O1039481" s="9"/>
    </row>
    <row r="1039502" spans="15:15" x14ac:dyDescent="0.25">
      <c r="O1039502" s="9"/>
    </row>
    <row r="1039523" spans="15:15" x14ac:dyDescent="0.25">
      <c r="O1039523" s="9"/>
    </row>
    <row r="1039544" spans="15:15" x14ac:dyDescent="0.25">
      <c r="O1039544" s="9"/>
    </row>
    <row r="1039565" spans="15:15" x14ac:dyDescent="0.25">
      <c r="O1039565" s="9"/>
    </row>
    <row r="1039586" spans="15:15" x14ac:dyDescent="0.25">
      <c r="O1039586" s="9"/>
    </row>
    <row r="1039607" spans="15:15" x14ac:dyDescent="0.25">
      <c r="O1039607" s="9"/>
    </row>
    <row r="1039628" spans="15:15" x14ac:dyDescent="0.25">
      <c r="O1039628" s="9"/>
    </row>
    <row r="1039649" spans="15:15" x14ac:dyDescent="0.25">
      <c r="O1039649" s="9"/>
    </row>
    <row r="1039670" spans="15:15" x14ac:dyDescent="0.25">
      <c r="O1039670" s="9"/>
    </row>
    <row r="1039691" spans="15:15" x14ac:dyDescent="0.25">
      <c r="O1039691" s="9"/>
    </row>
    <row r="1039712" spans="15:15" x14ac:dyDescent="0.25">
      <c r="O1039712" s="9"/>
    </row>
    <row r="1039733" spans="15:15" x14ac:dyDescent="0.25">
      <c r="O1039733" s="9"/>
    </row>
    <row r="1039754" spans="15:15" x14ac:dyDescent="0.25">
      <c r="O1039754" s="9"/>
    </row>
    <row r="1039775" spans="15:15" x14ac:dyDescent="0.25">
      <c r="O1039775" s="9"/>
    </row>
    <row r="1039796" spans="15:15" x14ac:dyDescent="0.25">
      <c r="O1039796" s="9"/>
    </row>
    <row r="1039817" spans="15:15" x14ac:dyDescent="0.25">
      <c r="O1039817" s="9"/>
    </row>
    <row r="1039838" spans="15:15" x14ac:dyDescent="0.25">
      <c r="O1039838" s="9"/>
    </row>
    <row r="1039859" spans="15:15" x14ac:dyDescent="0.25">
      <c r="O1039859" s="9"/>
    </row>
    <row r="1039880" spans="15:15" x14ac:dyDescent="0.25">
      <c r="O1039880" s="9"/>
    </row>
    <row r="1039901" spans="15:15" x14ac:dyDescent="0.25">
      <c r="O1039901" s="9"/>
    </row>
    <row r="1039922" spans="15:15" x14ac:dyDescent="0.25">
      <c r="O1039922" s="9"/>
    </row>
    <row r="1039943" spans="15:15" x14ac:dyDescent="0.25">
      <c r="O1039943" s="9"/>
    </row>
    <row r="1039964" spans="15:15" x14ac:dyDescent="0.25">
      <c r="O1039964" s="9"/>
    </row>
    <row r="1039985" spans="15:15" x14ac:dyDescent="0.25">
      <c r="O1039985" s="9"/>
    </row>
    <row r="1040006" spans="15:15" x14ac:dyDescent="0.25">
      <c r="O1040006" s="9"/>
    </row>
    <row r="1040027" spans="15:15" x14ac:dyDescent="0.25">
      <c r="O1040027" s="9"/>
    </row>
    <row r="1040048" spans="15:15" x14ac:dyDescent="0.25">
      <c r="O1040048" s="9"/>
    </row>
    <row r="1040069" spans="15:15" x14ac:dyDescent="0.25">
      <c r="O1040069" s="9"/>
    </row>
    <row r="1040090" spans="15:15" x14ac:dyDescent="0.25">
      <c r="O1040090" s="9"/>
    </row>
    <row r="1040111" spans="15:15" x14ac:dyDescent="0.25">
      <c r="O1040111" s="9"/>
    </row>
    <row r="1040132" spans="15:15" x14ac:dyDescent="0.25">
      <c r="O1040132" s="9"/>
    </row>
    <row r="1040153" spans="15:15" x14ac:dyDescent="0.25">
      <c r="O1040153" s="9"/>
    </row>
    <row r="1040174" spans="15:15" x14ac:dyDescent="0.25">
      <c r="O1040174" s="9"/>
    </row>
    <row r="1040195" spans="15:15" x14ac:dyDescent="0.25">
      <c r="O1040195" s="9"/>
    </row>
    <row r="1040216" spans="15:15" x14ac:dyDescent="0.25">
      <c r="O1040216" s="9"/>
    </row>
    <row r="1040237" spans="15:15" x14ac:dyDescent="0.25">
      <c r="O1040237" s="9"/>
    </row>
    <row r="1040258" spans="15:15" x14ac:dyDescent="0.25">
      <c r="O1040258" s="9"/>
    </row>
    <row r="1040279" spans="15:15" x14ac:dyDescent="0.25">
      <c r="O1040279" s="9"/>
    </row>
    <row r="1040300" spans="15:15" x14ac:dyDescent="0.25">
      <c r="O1040300" s="9"/>
    </row>
    <row r="1040321" spans="15:15" x14ac:dyDescent="0.25">
      <c r="O1040321" s="9"/>
    </row>
    <row r="1040342" spans="15:15" x14ac:dyDescent="0.25">
      <c r="O1040342" s="9"/>
    </row>
    <row r="1040363" spans="15:15" x14ac:dyDescent="0.25">
      <c r="O1040363" s="9"/>
    </row>
    <row r="1040384" spans="15:15" x14ac:dyDescent="0.25">
      <c r="O1040384" s="9"/>
    </row>
    <row r="1040405" spans="15:15" x14ac:dyDescent="0.25">
      <c r="O1040405" s="9"/>
    </row>
    <row r="1040426" spans="15:15" x14ac:dyDescent="0.25">
      <c r="O1040426" s="9"/>
    </row>
    <row r="1040447" spans="15:15" x14ac:dyDescent="0.25">
      <c r="O1040447" s="9"/>
    </row>
    <row r="1040468" spans="15:15" x14ac:dyDescent="0.25">
      <c r="O1040468" s="9"/>
    </row>
    <row r="1040489" spans="15:15" x14ac:dyDescent="0.25">
      <c r="O1040489" s="9"/>
    </row>
    <row r="1040510" spans="15:15" x14ac:dyDescent="0.25">
      <c r="O1040510" s="9"/>
    </row>
    <row r="1040531" spans="15:15" x14ac:dyDescent="0.25">
      <c r="O1040531" s="9"/>
    </row>
    <row r="1040552" spans="15:15" x14ac:dyDescent="0.25">
      <c r="O1040552" s="9"/>
    </row>
    <row r="1040573" spans="15:15" x14ac:dyDescent="0.25">
      <c r="O1040573" s="9"/>
    </row>
    <row r="1040594" spans="15:15" x14ac:dyDescent="0.25">
      <c r="O1040594" s="9"/>
    </row>
    <row r="1040615" spans="15:15" x14ac:dyDescent="0.25">
      <c r="O1040615" s="9"/>
    </row>
    <row r="1040636" spans="15:15" x14ac:dyDescent="0.25">
      <c r="O1040636" s="9"/>
    </row>
    <row r="1040657" spans="15:15" x14ac:dyDescent="0.25">
      <c r="O1040657" s="9"/>
    </row>
    <row r="1040678" spans="15:15" x14ac:dyDescent="0.25">
      <c r="O1040678" s="9"/>
    </row>
    <row r="1040699" spans="15:15" x14ac:dyDescent="0.25">
      <c r="O1040699" s="9"/>
    </row>
    <row r="1040720" spans="15:15" x14ac:dyDescent="0.25">
      <c r="O1040720" s="9"/>
    </row>
    <row r="1040741" spans="15:15" x14ac:dyDescent="0.25">
      <c r="O1040741" s="9"/>
    </row>
    <row r="1040762" spans="15:15" x14ac:dyDescent="0.25">
      <c r="O1040762" s="9"/>
    </row>
    <row r="1040783" spans="15:15" x14ac:dyDescent="0.25">
      <c r="O1040783" s="9"/>
    </row>
    <row r="1040804" spans="15:15" x14ac:dyDescent="0.25">
      <c r="O1040804" s="9"/>
    </row>
    <row r="1040825" spans="15:15" x14ac:dyDescent="0.25">
      <c r="O1040825" s="9"/>
    </row>
    <row r="1040846" spans="15:15" x14ac:dyDescent="0.25">
      <c r="O1040846" s="9"/>
    </row>
    <row r="1040867" spans="15:15" x14ac:dyDescent="0.25">
      <c r="O1040867" s="9"/>
    </row>
    <row r="1040888" spans="15:15" x14ac:dyDescent="0.25">
      <c r="O1040888" s="9"/>
    </row>
    <row r="1040909" spans="15:15" x14ac:dyDescent="0.25">
      <c r="O1040909" s="9"/>
    </row>
    <row r="1040930" spans="15:15" x14ac:dyDescent="0.25">
      <c r="O1040930" s="9"/>
    </row>
    <row r="1040951" spans="15:15" x14ac:dyDescent="0.25">
      <c r="O1040951" s="9"/>
    </row>
    <row r="1040972" spans="15:15" x14ac:dyDescent="0.25">
      <c r="O1040972" s="9"/>
    </row>
    <row r="1040993" spans="15:15" x14ac:dyDescent="0.25">
      <c r="O1040993" s="9"/>
    </row>
    <row r="1041014" spans="15:15" x14ac:dyDescent="0.25">
      <c r="O1041014" s="9"/>
    </row>
    <row r="1041035" spans="15:15" x14ac:dyDescent="0.25">
      <c r="O1041035" s="9"/>
    </row>
    <row r="1041056" spans="15:15" x14ac:dyDescent="0.25">
      <c r="O1041056" s="9"/>
    </row>
    <row r="1041077" spans="15:15" x14ac:dyDescent="0.25">
      <c r="O1041077" s="9"/>
    </row>
    <row r="1041098" spans="15:15" x14ac:dyDescent="0.25">
      <c r="O1041098" s="9"/>
    </row>
    <row r="1041119" spans="15:15" x14ac:dyDescent="0.25">
      <c r="O1041119" s="9"/>
    </row>
    <row r="1041140" spans="15:15" x14ac:dyDescent="0.25">
      <c r="O1041140" s="9"/>
    </row>
    <row r="1041161" spans="15:15" x14ac:dyDescent="0.25">
      <c r="O1041161" s="9"/>
    </row>
    <row r="1041182" spans="15:15" x14ac:dyDescent="0.25">
      <c r="O1041182" s="9"/>
    </row>
    <row r="1041203" spans="15:15" x14ac:dyDescent="0.25">
      <c r="O1041203" s="9"/>
    </row>
    <row r="1041224" spans="15:15" x14ac:dyDescent="0.25">
      <c r="O1041224" s="9"/>
    </row>
    <row r="1041245" spans="15:15" x14ac:dyDescent="0.25">
      <c r="O1041245" s="9"/>
    </row>
    <row r="1041266" spans="15:15" x14ac:dyDescent="0.25">
      <c r="O1041266" s="9"/>
    </row>
    <row r="1041287" spans="15:15" x14ac:dyDescent="0.25">
      <c r="O1041287" s="9"/>
    </row>
    <row r="1041308" spans="15:15" x14ac:dyDescent="0.25">
      <c r="O1041308" s="9"/>
    </row>
    <row r="1041329" spans="15:15" x14ac:dyDescent="0.25">
      <c r="O1041329" s="9"/>
    </row>
    <row r="1041350" spans="15:15" x14ac:dyDescent="0.25">
      <c r="O1041350" s="9"/>
    </row>
    <row r="1041371" spans="15:15" x14ac:dyDescent="0.25">
      <c r="O1041371" s="9"/>
    </row>
    <row r="1041392" spans="15:15" x14ac:dyDescent="0.25">
      <c r="O1041392" s="9"/>
    </row>
    <row r="1041413" spans="15:15" x14ac:dyDescent="0.25">
      <c r="O1041413" s="9"/>
    </row>
    <row r="1041434" spans="15:15" x14ac:dyDescent="0.25">
      <c r="O1041434" s="9"/>
    </row>
    <row r="1041455" spans="15:15" x14ac:dyDescent="0.25">
      <c r="O1041455" s="9"/>
    </row>
    <row r="1041476" spans="15:15" x14ac:dyDescent="0.25">
      <c r="O1041476" s="9"/>
    </row>
    <row r="1041497" spans="15:15" x14ac:dyDescent="0.25">
      <c r="O1041497" s="9"/>
    </row>
    <row r="1041518" spans="15:15" x14ac:dyDescent="0.25">
      <c r="O1041518" s="9"/>
    </row>
    <row r="1041539" spans="15:15" x14ac:dyDescent="0.25">
      <c r="O1041539" s="9"/>
    </row>
    <row r="1041560" spans="15:15" x14ac:dyDescent="0.25">
      <c r="O1041560" s="9"/>
    </row>
    <row r="1041581" spans="15:15" x14ac:dyDescent="0.25">
      <c r="O1041581" s="9"/>
    </row>
    <row r="1041602" spans="15:15" x14ac:dyDescent="0.25">
      <c r="O1041602" s="9"/>
    </row>
    <row r="1041623" spans="15:15" x14ac:dyDescent="0.25">
      <c r="O1041623" s="9"/>
    </row>
    <row r="1041644" spans="15:15" x14ac:dyDescent="0.25">
      <c r="O1041644" s="9"/>
    </row>
    <row r="1041665" spans="15:15" x14ac:dyDescent="0.25">
      <c r="O1041665" s="9"/>
    </row>
    <row r="1041686" spans="15:15" x14ac:dyDescent="0.25">
      <c r="O1041686" s="9"/>
    </row>
    <row r="1041707" spans="15:15" x14ac:dyDescent="0.25">
      <c r="O1041707" s="9"/>
    </row>
    <row r="1041728" spans="15:15" x14ac:dyDescent="0.25">
      <c r="O1041728" s="9"/>
    </row>
    <row r="1041749" spans="15:15" x14ac:dyDescent="0.25">
      <c r="O1041749" s="9"/>
    </row>
    <row r="1041770" spans="15:15" x14ac:dyDescent="0.25">
      <c r="O1041770" s="9"/>
    </row>
    <row r="1041791" spans="15:15" x14ac:dyDescent="0.25">
      <c r="O1041791" s="9"/>
    </row>
    <row r="1041812" spans="15:15" x14ac:dyDescent="0.25">
      <c r="O1041812" s="9"/>
    </row>
    <row r="1041833" spans="15:15" x14ac:dyDescent="0.25">
      <c r="O1041833" s="9"/>
    </row>
    <row r="1041854" spans="15:15" x14ac:dyDescent="0.25">
      <c r="O1041854" s="9"/>
    </row>
    <row r="1041875" spans="15:15" x14ac:dyDescent="0.25">
      <c r="O1041875" s="9"/>
    </row>
    <row r="1041896" spans="15:15" x14ac:dyDescent="0.25">
      <c r="O1041896" s="9"/>
    </row>
    <row r="1041917" spans="15:15" x14ac:dyDescent="0.25">
      <c r="O1041917" s="9"/>
    </row>
    <row r="1041938" spans="15:15" x14ac:dyDescent="0.25">
      <c r="O1041938" s="9"/>
    </row>
    <row r="1041959" spans="15:15" x14ac:dyDescent="0.25">
      <c r="O1041959" s="9"/>
    </row>
    <row r="1041980" spans="15:15" x14ac:dyDescent="0.25">
      <c r="O1041980" s="9"/>
    </row>
    <row r="1042001" spans="15:15" x14ac:dyDescent="0.25">
      <c r="O1042001" s="9"/>
    </row>
    <row r="1042022" spans="15:15" x14ac:dyDescent="0.25">
      <c r="O1042022" s="9"/>
    </row>
    <row r="1042043" spans="15:15" x14ac:dyDescent="0.25">
      <c r="O1042043" s="9"/>
    </row>
    <row r="1042064" spans="15:15" x14ac:dyDescent="0.25">
      <c r="O1042064" s="9"/>
    </row>
    <row r="1042085" spans="15:15" x14ac:dyDescent="0.25">
      <c r="O1042085" s="9"/>
    </row>
    <row r="1042106" spans="15:15" x14ac:dyDescent="0.25">
      <c r="O1042106" s="9"/>
    </row>
    <row r="1042127" spans="15:15" x14ac:dyDescent="0.25">
      <c r="O1042127" s="9"/>
    </row>
    <row r="1042148" spans="15:15" x14ac:dyDescent="0.25">
      <c r="O1042148" s="9"/>
    </row>
    <row r="1042169" spans="15:15" x14ac:dyDescent="0.25">
      <c r="O1042169" s="9"/>
    </row>
    <row r="1042190" spans="15:15" x14ac:dyDescent="0.25">
      <c r="O1042190" s="9"/>
    </row>
    <row r="1042211" spans="15:15" x14ac:dyDescent="0.25">
      <c r="O1042211" s="9"/>
    </row>
    <row r="1042232" spans="15:15" x14ac:dyDescent="0.25">
      <c r="O1042232" s="9"/>
    </row>
    <row r="1042253" spans="15:15" x14ac:dyDescent="0.25">
      <c r="O1042253" s="9"/>
    </row>
    <row r="1042274" spans="15:15" x14ac:dyDescent="0.25">
      <c r="O1042274" s="9"/>
    </row>
    <row r="1042295" spans="15:15" x14ac:dyDescent="0.25">
      <c r="O1042295" s="9"/>
    </row>
    <row r="1042316" spans="15:15" x14ac:dyDescent="0.25">
      <c r="O1042316" s="9"/>
    </row>
    <row r="1042337" spans="15:15" x14ac:dyDescent="0.25">
      <c r="O1042337" s="9"/>
    </row>
    <row r="1042358" spans="15:15" x14ac:dyDescent="0.25">
      <c r="O1042358" s="9"/>
    </row>
    <row r="1042379" spans="15:15" x14ac:dyDescent="0.25">
      <c r="O1042379" s="9"/>
    </row>
    <row r="1042400" spans="15:15" x14ac:dyDescent="0.25">
      <c r="O1042400" s="9"/>
    </row>
    <row r="1042421" spans="15:15" x14ac:dyDescent="0.25">
      <c r="O1042421" s="9"/>
    </row>
    <row r="1042442" spans="15:15" x14ac:dyDescent="0.25">
      <c r="O1042442" s="9"/>
    </row>
    <row r="1042463" spans="15:15" x14ac:dyDescent="0.25">
      <c r="O1042463" s="9"/>
    </row>
    <row r="1042484" spans="15:15" x14ac:dyDescent="0.25">
      <c r="O1042484" s="9"/>
    </row>
    <row r="1042505" spans="15:15" x14ac:dyDescent="0.25">
      <c r="O1042505" s="9"/>
    </row>
    <row r="1042526" spans="15:15" x14ac:dyDescent="0.25">
      <c r="O1042526" s="9"/>
    </row>
    <row r="1042547" spans="15:15" x14ac:dyDescent="0.25">
      <c r="O1042547" s="9"/>
    </row>
    <row r="1042568" spans="15:15" x14ac:dyDescent="0.25">
      <c r="O1042568" s="9"/>
    </row>
    <row r="1042589" spans="15:15" x14ac:dyDescent="0.25">
      <c r="O1042589" s="9"/>
    </row>
    <row r="1042610" spans="15:15" x14ac:dyDescent="0.25">
      <c r="O1042610" s="9"/>
    </row>
    <row r="1042631" spans="15:15" x14ac:dyDescent="0.25">
      <c r="O1042631" s="9"/>
    </row>
    <row r="1042652" spans="15:15" x14ac:dyDescent="0.25">
      <c r="O1042652" s="9"/>
    </row>
    <row r="1042673" spans="15:15" x14ac:dyDescent="0.25">
      <c r="O1042673" s="9"/>
    </row>
    <row r="1042694" spans="15:15" x14ac:dyDescent="0.25">
      <c r="O1042694" s="9"/>
    </row>
    <row r="1042715" spans="15:15" x14ac:dyDescent="0.25">
      <c r="O1042715" s="9"/>
    </row>
    <row r="1042736" spans="15:15" x14ac:dyDescent="0.25">
      <c r="O1042736" s="9"/>
    </row>
    <row r="1042757" spans="15:15" x14ac:dyDescent="0.25">
      <c r="O1042757" s="9"/>
    </row>
    <row r="1042778" spans="15:15" x14ac:dyDescent="0.25">
      <c r="O1042778" s="9"/>
    </row>
    <row r="1042799" spans="15:15" x14ac:dyDescent="0.25">
      <c r="O1042799" s="9"/>
    </row>
    <row r="1042820" spans="15:15" x14ac:dyDescent="0.25">
      <c r="O1042820" s="9"/>
    </row>
    <row r="1042841" spans="15:15" x14ac:dyDescent="0.25">
      <c r="O1042841" s="9"/>
    </row>
    <row r="1042862" spans="15:15" x14ac:dyDescent="0.25">
      <c r="O1042862" s="9"/>
    </row>
    <row r="1042883" spans="15:15" x14ac:dyDescent="0.25">
      <c r="O1042883" s="9"/>
    </row>
    <row r="1042904" spans="15:15" x14ac:dyDescent="0.25">
      <c r="O1042904" s="9"/>
    </row>
    <row r="1042925" spans="15:15" x14ac:dyDescent="0.25">
      <c r="O1042925" s="9"/>
    </row>
    <row r="1042946" spans="15:15" x14ac:dyDescent="0.25">
      <c r="O1042946" s="9"/>
    </row>
    <row r="1042967" spans="15:15" x14ac:dyDescent="0.25">
      <c r="O1042967" s="9"/>
    </row>
    <row r="1042988" spans="15:15" x14ac:dyDescent="0.25">
      <c r="O1042988" s="9"/>
    </row>
    <row r="1043009" spans="15:15" x14ac:dyDescent="0.25">
      <c r="O1043009" s="9"/>
    </row>
    <row r="1043030" spans="15:15" x14ac:dyDescent="0.25">
      <c r="O1043030" s="9"/>
    </row>
    <row r="1043051" spans="15:15" x14ac:dyDescent="0.25">
      <c r="O1043051" s="9"/>
    </row>
    <row r="1043072" spans="15:15" x14ac:dyDescent="0.25">
      <c r="O1043072" s="9"/>
    </row>
    <row r="1043093" spans="15:15" x14ac:dyDescent="0.25">
      <c r="O1043093" s="9"/>
    </row>
    <row r="1043114" spans="15:15" x14ac:dyDescent="0.25">
      <c r="O1043114" s="9"/>
    </row>
    <row r="1043135" spans="15:15" x14ac:dyDescent="0.25">
      <c r="O1043135" s="9"/>
    </row>
    <row r="1043156" spans="15:15" x14ac:dyDescent="0.25">
      <c r="O1043156" s="9"/>
    </row>
    <row r="1043177" spans="15:15" x14ac:dyDescent="0.25">
      <c r="O1043177" s="9"/>
    </row>
    <row r="1043198" spans="15:15" x14ac:dyDescent="0.25">
      <c r="O1043198" s="9"/>
    </row>
    <row r="1043219" spans="15:15" x14ac:dyDescent="0.25">
      <c r="O1043219" s="9"/>
    </row>
    <row r="1043240" spans="15:15" x14ac:dyDescent="0.25">
      <c r="O1043240" s="9"/>
    </row>
    <row r="1043261" spans="15:15" x14ac:dyDescent="0.25">
      <c r="O1043261" s="9"/>
    </row>
    <row r="1043282" spans="15:15" x14ac:dyDescent="0.25">
      <c r="O1043282" s="9"/>
    </row>
    <row r="1043303" spans="15:15" x14ac:dyDescent="0.25">
      <c r="O1043303" s="9"/>
    </row>
    <row r="1043324" spans="15:15" x14ac:dyDescent="0.25">
      <c r="O1043324" s="9"/>
    </row>
    <row r="1043345" spans="15:15" x14ac:dyDescent="0.25">
      <c r="O1043345" s="9"/>
    </row>
    <row r="1043366" spans="15:15" x14ac:dyDescent="0.25">
      <c r="O1043366" s="9"/>
    </row>
    <row r="1043387" spans="15:15" x14ac:dyDescent="0.25">
      <c r="O1043387" s="9"/>
    </row>
    <row r="1043408" spans="15:15" x14ac:dyDescent="0.25">
      <c r="O1043408" s="9"/>
    </row>
    <row r="1043429" spans="15:15" x14ac:dyDescent="0.25">
      <c r="O1043429" s="9"/>
    </row>
    <row r="1043450" spans="15:15" x14ac:dyDescent="0.25">
      <c r="O1043450" s="9"/>
    </row>
    <row r="1043471" spans="15:15" x14ac:dyDescent="0.25">
      <c r="O1043471" s="9"/>
    </row>
    <row r="1043492" spans="15:15" x14ac:dyDescent="0.25">
      <c r="O1043492" s="9"/>
    </row>
    <row r="1043513" spans="15:15" x14ac:dyDescent="0.25">
      <c r="O1043513" s="9"/>
    </row>
    <row r="1043534" spans="15:15" x14ac:dyDescent="0.25">
      <c r="O1043534" s="9"/>
    </row>
    <row r="1043555" spans="15:15" x14ac:dyDescent="0.25">
      <c r="O1043555" s="9"/>
    </row>
    <row r="1043576" spans="15:15" x14ac:dyDescent="0.25">
      <c r="O1043576" s="9"/>
    </row>
    <row r="1043597" spans="15:15" x14ac:dyDescent="0.25">
      <c r="O1043597" s="9"/>
    </row>
    <row r="1043618" spans="15:15" x14ac:dyDescent="0.25">
      <c r="O1043618" s="9"/>
    </row>
    <row r="1043639" spans="15:15" x14ac:dyDescent="0.25">
      <c r="O1043639" s="9"/>
    </row>
    <row r="1043660" spans="15:15" x14ac:dyDescent="0.25">
      <c r="O1043660" s="9"/>
    </row>
    <row r="1043681" spans="15:15" x14ac:dyDescent="0.25">
      <c r="O1043681" s="9"/>
    </row>
    <row r="1043702" spans="15:15" x14ac:dyDescent="0.25">
      <c r="O1043702" s="9"/>
    </row>
    <row r="1043723" spans="15:15" x14ac:dyDescent="0.25">
      <c r="O1043723" s="9"/>
    </row>
    <row r="1043744" spans="15:15" x14ac:dyDescent="0.25">
      <c r="O1043744" s="9"/>
    </row>
    <row r="1043765" spans="15:15" x14ac:dyDescent="0.25">
      <c r="O1043765" s="9"/>
    </row>
    <row r="1043786" spans="15:15" x14ac:dyDescent="0.25">
      <c r="O1043786" s="9"/>
    </row>
    <row r="1043807" spans="15:15" x14ac:dyDescent="0.25">
      <c r="O1043807" s="9"/>
    </row>
    <row r="1043828" spans="15:15" x14ac:dyDescent="0.25">
      <c r="O1043828" s="9"/>
    </row>
    <row r="1043849" spans="15:15" x14ac:dyDescent="0.25">
      <c r="O1043849" s="9"/>
    </row>
    <row r="1043870" spans="15:15" x14ac:dyDescent="0.25">
      <c r="O1043870" s="9"/>
    </row>
    <row r="1043891" spans="15:15" x14ac:dyDescent="0.25">
      <c r="O1043891" s="9"/>
    </row>
    <row r="1043912" spans="15:15" x14ac:dyDescent="0.25">
      <c r="O1043912" s="9"/>
    </row>
    <row r="1043933" spans="15:15" x14ac:dyDescent="0.25">
      <c r="O1043933" s="9"/>
    </row>
    <row r="1043954" spans="15:15" x14ac:dyDescent="0.25">
      <c r="O1043954" s="9"/>
    </row>
    <row r="1043975" spans="15:15" x14ac:dyDescent="0.25">
      <c r="O1043975" s="9"/>
    </row>
    <row r="1043996" spans="15:15" x14ac:dyDescent="0.25">
      <c r="O1043996" s="9"/>
    </row>
    <row r="1044017" spans="15:15" x14ac:dyDescent="0.25">
      <c r="O1044017" s="9"/>
    </row>
    <row r="1044038" spans="15:15" x14ac:dyDescent="0.25">
      <c r="O1044038" s="9"/>
    </row>
    <row r="1044059" spans="15:15" x14ac:dyDescent="0.25">
      <c r="O1044059" s="9"/>
    </row>
    <row r="1044080" spans="15:15" x14ac:dyDescent="0.25">
      <c r="O1044080" s="9"/>
    </row>
    <row r="1044101" spans="15:15" x14ac:dyDescent="0.25">
      <c r="O1044101" s="9"/>
    </row>
    <row r="1044122" spans="15:15" x14ac:dyDescent="0.25">
      <c r="O1044122" s="9"/>
    </row>
    <row r="1044143" spans="15:15" x14ac:dyDescent="0.25">
      <c r="O1044143" s="9"/>
    </row>
    <row r="1044164" spans="15:15" x14ac:dyDescent="0.25">
      <c r="O1044164" s="9"/>
    </row>
    <row r="1044185" spans="15:15" x14ac:dyDescent="0.25">
      <c r="O1044185" s="9"/>
    </row>
    <row r="1044206" spans="15:15" x14ac:dyDescent="0.25">
      <c r="O1044206" s="9"/>
    </row>
    <row r="1044227" spans="15:15" x14ac:dyDescent="0.25">
      <c r="O1044227" s="9"/>
    </row>
    <row r="1044248" spans="15:15" x14ac:dyDescent="0.25">
      <c r="O1044248" s="9"/>
    </row>
    <row r="1044269" spans="15:15" x14ac:dyDescent="0.25">
      <c r="O1044269" s="9"/>
    </row>
    <row r="1044290" spans="15:15" x14ac:dyDescent="0.25">
      <c r="O1044290" s="9"/>
    </row>
    <row r="1044311" spans="15:15" x14ac:dyDescent="0.25">
      <c r="O1044311" s="9"/>
    </row>
    <row r="1044332" spans="15:15" x14ac:dyDescent="0.25">
      <c r="O1044332" s="9"/>
    </row>
    <row r="1044353" spans="15:15" x14ac:dyDescent="0.25">
      <c r="O1044353" s="9"/>
    </row>
    <row r="1044374" spans="15:15" x14ac:dyDescent="0.25">
      <c r="O1044374" s="9"/>
    </row>
    <row r="1044395" spans="15:15" x14ac:dyDescent="0.25">
      <c r="O1044395" s="9"/>
    </row>
    <row r="1044416" spans="15:15" x14ac:dyDescent="0.25">
      <c r="O1044416" s="9"/>
    </row>
    <row r="1044437" spans="15:15" x14ac:dyDescent="0.25">
      <c r="O1044437" s="9"/>
    </row>
    <row r="1044458" spans="15:15" x14ac:dyDescent="0.25">
      <c r="O1044458" s="9"/>
    </row>
    <row r="1044479" spans="15:15" x14ac:dyDescent="0.25">
      <c r="O1044479" s="9"/>
    </row>
    <row r="1044500" spans="15:15" x14ac:dyDescent="0.25">
      <c r="O1044500" s="9"/>
    </row>
    <row r="1044521" spans="15:15" x14ac:dyDescent="0.25">
      <c r="O1044521" s="9"/>
    </row>
    <row r="1044542" spans="15:15" x14ac:dyDescent="0.25">
      <c r="O1044542" s="9"/>
    </row>
    <row r="1044563" spans="15:15" x14ac:dyDescent="0.25">
      <c r="O1044563" s="9"/>
    </row>
    <row r="1044584" spans="15:15" x14ac:dyDescent="0.25">
      <c r="O1044584" s="9"/>
    </row>
    <row r="1044605" spans="15:15" x14ac:dyDescent="0.25">
      <c r="O1044605" s="9"/>
    </row>
    <row r="1044626" spans="15:15" x14ac:dyDescent="0.25">
      <c r="O1044626" s="9"/>
    </row>
    <row r="1044647" spans="15:15" x14ac:dyDescent="0.25">
      <c r="O1044647" s="9"/>
    </row>
    <row r="1044668" spans="15:15" x14ac:dyDescent="0.25">
      <c r="O1044668" s="9"/>
    </row>
    <row r="1044689" spans="15:15" x14ac:dyDescent="0.25">
      <c r="O1044689" s="9"/>
    </row>
    <row r="1044710" spans="15:15" x14ac:dyDescent="0.25">
      <c r="O1044710" s="9"/>
    </row>
    <row r="1044731" spans="15:15" x14ac:dyDescent="0.25">
      <c r="O1044731" s="9"/>
    </row>
    <row r="1044752" spans="15:15" x14ac:dyDescent="0.25">
      <c r="O1044752" s="9"/>
    </row>
    <row r="1044773" spans="15:15" x14ac:dyDescent="0.25">
      <c r="O1044773" s="9"/>
    </row>
    <row r="1044794" spans="15:15" x14ac:dyDescent="0.25">
      <c r="O1044794" s="9"/>
    </row>
    <row r="1044815" spans="15:15" x14ac:dyDescent="0.25">
      <c r="O1044815" s="9"/>
    </row>
    <row r="1044836" spans="15:15" x14ac:dyDescent="0.25">
      <c r="O1044836" s="9"/>
    </row>
    <row r="1044857" spans="15:15" x14ac:dyDescent="0.25">
      <c r="O1044857" s="9"/>
    </row>
    <row r="1044878" spans="15:15" x14ac:dyDescent="0.25">
      <c r="O1044878" s="9"/>
    </row>
    <row r="1044899" spans="15:15" x14ac:dyDescent="0.25">
      <c r="O1044899" s="9"/>
    </row>
    <row r="1044920" spans="15:15" x14ac:dyDescent="0.25">
      <c r="O1044920" s="9"/>
    </row>
    <row r="1044941" spans="15:15" x14ac:dyDescent="0.25">
      <c r="O1044941" s="9"/>
    </row>
    <row r="1044962" spans="15:15" x14ac:dyDescent="0.25">
      <c r="O1044962" s="9"/>
    </row>
    <row r="1044983" spans="15:15" x14ac:dyDescent="0.25">
      <c r="O1044983" s="9"/>
    </row>
    <row r="1045004" spans="15:15" x14ac:dyDescent="0.25">
      <c r="O1045004" s="9"/>
    </row>
    <row r="1045025" spans="15:15" x14ac:dyDescent="0.25">
      <c r="O1045025" s="9"/>
    </row>
    <row r="1045046" spans="15:15" x14ac:dyDescent="0.25">
      <c r="O1045046" s="9"/>
    </row>
    <row r="1045067" spans="15:15" x14ac:dyDescent="0.25">
      <c r="O1045067" s="9"/>
    </row>
    <row r="1045088" spans="15:15" x14ac:dyDescent="0.25">
      <c r="O1045088" s="9"/>
    </row>
    <row r="1045109" spans="15:15" x14ac:dyDescent="0.25">
      <c r="O1045109" s="9"/>
    </row>
    <row r="1045130" spans="15:15" x14ac:dyDescent="0.25">
      <c r="O1045130" s="9"/>
    </row>
    <row r="1045151" spans="15:15" x14ac:dyDescent="0.25">
      <c r="O1045151" s="9"/>
    </row>
    <row r="1045172" spans="15:15" x14ac:dyDescent="0.25">
      <c r="O1045172" s="9"/>
    </row>
    <row r="1045193" spans="15:15" x14ac:dyDescent="0.25">
      <c r="O1045193" s="9"/>
    </row>
    <row r="1045214" spans="15:15" x14ac:dyDescent="0.25">
      <c r="O1045214" s="9"/>
    </row>
    <row r="1045235" spans="15:15" x14ac:dyDescent="0.25">
      <c r="O1045235" s="9"/>
    </row>
    <row r="1045256" spans="15:15" x14ac:dyDescent="0.25">
      <c r="O1045256" s="9"/>
    </row>
    <row r="1045277" spans="15:15" x14ac:dyDescent="0.25">
      <c r="O1045277" s="9"/>
    </row>
    <row r="1045298" spans="15:15" x14ac:dyDescent="0.25">
      <c r="O1045298" s="9"/>
    </row>
    <row r="1045319" spans="15:15" x14ac:dyDescent="0.25">
      <c r="O1045319" s="9"/>
    </row>
    <row r="1045340" spans="15:15" x14ac:dyDescent="0.25">
      <c r="O1045340" s="9"/>
    </row>
    <row r="1045361" spans="15:15" x14ac:dyDescent="0.25">
      <c r="O1045361" s="9"/>
    </row>
    <row r="1045382" spans="15:15" x14ac:dyDescent="0.25">
      <c r="O1045382" s="9"/>
    </row>
    <row r="1045403" spans="15:15" x14ac:dyDescent="0.25">
      <c r="O1045403" s="9"/>
    </row>
    <row r="1045424" spans="15:15" x14ac:dyDescent="0.25">
      <c r="O1045424" s="9"/>
    </row>
    <row r="1045445" spans="15:15" x14ac:dyDescent="0.25">
      <c r="O1045445" s="9"/>
    </row>
    <row r="1045466" spans="15:15" x14ac:dyDescent="0.25">
      <c r="O1045466" s="9"/>
    </row>
    <row r="1045487" spans="15:15" x14ac:dyDescent="0.25">
      <c r="O1045487" s="9"/>
    </row>
    <row r="1045508" spans="15:15" x14ac:dyDescent="0.25">
      <c r="O1045508" s="9"/>
    </row>
    <row r="1045529" spans="15:15" x14ac:dyDescent="0.25">
      <c r="O1045529" s="9"/>
    </row>
    <row r="1045550" spans="15:15" x14ac:dyDescent="0.25">
      <c r="O1045550" s="9"/>
    </row>
    <row r="1045571" spans="15:15" x14ac:dyDescent="0.25">
      <c r="O1045571" s="9"/>
    </row>
    <row r="1045592" spans="15:15" x14ac:dyDescent="0.25">
      <c r="O1045592" s="9"/>
    </row>
    <row r="1045613" spans="15:15" x14ac:dyDescent="0.25">
      <c r="O1045613" s="9"/>
    </row>
    <row r="1045634" spans="15:15" x14ac:dyDescent="0.25">
      <c r="O1045634" s="9"/>
    </row>
    <row r="1045655" spans="15:15" x14ac:dyDescent="0.25">
      <c r="O1045655" s="9"/>
    </row>
    <row r="1045676" spans="15:15" x14ac:dyDescent="0.25">
      <c r="O1045676" s="9"/>
    </row>
    <row r="1045697" spans="15:15" x14ac:dyDescent="0.25">
      <c r="O1045697" s="9"/>
    </row>
    <row r="1045718" spans="15:15" x14ac:dyDescent="0.25">
      <c r="O1045718" s="9"/>
    </row>
    <row r="1045739" spans="15:15" x14ac:dyDescent="0.25">
      <c r="O1045739" s="9"/>
    </row>
    <row r="1045760" spans="15:15" x14ac:dyDescent="0.25">
      <c r="O1045760" s="9"/>
    </row>
    <row r="1045781" spans="15:15" x14ac:dyDescent="0.25">
      <c r="O1045781" s="9"/>
    </row>
    <row r="1045802" spans="15:15" x14ac:dyDescent="0.25">
      <c r="O1045802" s="9"/>
    </row>
    <row r="1045823" spans="15:15" x14ac:dyDescent="0.25">
      <c r="O1045823" s="9"/>
    </row>
    <row r="1045844" spans="15:15" x14ac:dyDescent="0.25">
      <c r="O1045844" s="9"/>
    </row>
    <row r="1045865" spans="15:15" x14ac:dyDescent="0.25">
      <c r="O1045865" s="9"/>
    </row>
    <row r="1045886" spans="15:15" x14ac:dyDescent="0.25">
      <c r="O1045886" s="9"/>
    </row>
    <row r="1045907" spans="15:15" x14ac:dyDescent="0.25">
      <c r="O1045907" s="9"/>
    </row>
    <row r="1045928" spans="15:15" x14ac:dyDescent="0.25">
      <c r="O1045928" s="9"/>
    </row>
    <row r="1045949" spans="15:15" x14ac:dyDescent="0.25">
      <c r="O1045949" s="9"/>
    </row>
    <row r="1045970" spans="15:15" x14ac:dyDescent="0.25">
      <c r="O1045970" s="9"/>
    </row>
    <row r="1045991" spans="15:15" x14ac:dyDescent="0.25">
      <c r="O1045991" s="9"/>
    </row>
    <row r="1046012" spans="15:15" x14ac:dyDescent="0.25">
      <c r="O1046012" s="9"/>
    </row>
    <row r="1046033" spans="15:15" x14ac:dyDescent="0.25">
      <c r="O1046033" s="9"/>
    </row>
    <row r="1046054" spans="15:15" x14ac:dyDescent="0.25">
      <c r="O1046054" s="9"/>
    </row>
    <row r="1046075" spans="15:15" x14ac:dyDescent="0.25">
      <c r="O1046075" s="9"/>
    </row>
    <row r="1046096" spans="15:15" x14ac:dyDescent="0.25">
      <c r="O1046096" s="9"/>
    </row>
    <row r="1046117" spans="15:15" x14ac:dyDescent="0.25">
      <c r="O1046117" s="9"/>
    </row>
    <row r="1046138" spans="15:15" x14ac:dyDescent="0.25">
      <c r="O1046138" s="9"/>
    </row>
    <row r="1046159" spans="15:15" x14ac:dyDescent="0.25">
      <c r="O1046159" s="9"/>
    </row>
    <row r="1046180" spans="15:15" x14ac:dyDescent="0.25">
      <c r="O1046180" s="9"/>
    </row>
    <row r="1046201" spans="15:15" x14ac:dyDescent="0.25">
      <c r="O1046201" s="9"/>
    </row>
    <row r="1046222" spans="15:15" x14ac:dyDescent="0.25">
      <c r="O1046222" s="9"/>
    </row>
    <row r="1046243" spans="15:15" x14ac:dyDescent="0.25">
      <c r="O1046243" s="9"/>
    </row>
    <row r="1046264" spans="15:15" x14ac:dyDescent="0.25">
      <c r="O1046264" s="9"/>
    </row>
    <row r="1046285" spans="15:15" x14ac:dyDescent="0.25">
      <c r="O1046285" s="9"/>
    </row>
    <row r="1046306" spans="15:15" x14ac:dyDescent="0.25">
      <c r="O1046306" s="9"/>
    </row>
    <row r="1046327" spans="15:15" x14ac:dyDescent="0.25">
      <c r="O1046327" s="9"/>
    </row>
    <row r="1046348" spans="15:15" x14ac:dyDescent="0.25">
      <c r="O1046348" s="9"/>
    </row>
    <row r="1046369" spans="15:15" x14ac:dyDescent="0.25">
      <c r="O1046369" s="9"/>
    </row>
    <row r="1046390" spans="15:15" x14ac:dyDescent="0.25">
      <c r="O1046390" s="9"/>
    </row>
    <row r="1046411" spans="15:15" x14ac:dyDescent="0.25">
      <c r="O1046411" s="9"/>
    </row>
    <row r="1046432" spans="15:15" x14ac:dyDescent="0.25">
      <c r="O1046432" s="9"/>
    </row>
    <row r="1046453" spans="15:15" x14ac:dyDescent="0.25">
      <c r="O1046453" s="9"/>
    </row>
    <row r="1046474" spans="15:15" x14ac:dyDescent="0.25">
      <c r="O1046474" s="9"/>
    </row>
    <row r="1046495" spans="15:15" x14ac:dyDescent="0.25">
      <c r="O1046495" s="9"/>
    </row>
    <row r="1046516" spans="15:15" x14ac:dyDescent="0.25">
      <c r="O1046516" s="9"/>
    </row>
    <row r="1046537" spans="15:15" x14ac:dyDescent="0.25">
      <c r="O1046537" s="9"/>
    </row>
    <row r="1046558" spans="15:15" x14ac:dyDescent="0.25">
      <c r="O1046558" s="9"/>
    </row>
    <row r="1046579" spans="15:15" x14ac:dyDescent="0.25">
      <c r="O1046579" s="9"/>
    </row>
    <row r="1046600" spans="15:15" x14ac:dyDescent="0.25">
      <c r="O1046600" s="9"/>
    </row>
    <row r="1046621" spans="15:15" x14ac:dyDescent="0.25">
      <c r="O1046621" s="9"/>
    </row>
    <row r="1046642" spans="15:15" x14ac:dyDescent="0.25">
      <c r="O1046642" s="9"/>
    </row>
    <row r="1046663" spans="15:15" x14ac:dyDescent="0.25">
      <c r="O1046663" s="9"/>
    </row>
    <row r="1046684" spans="15:15" x14ac:dyDescent="0.25">
      <c r="O1046684" s="9"/>
    </row>
    <row r="1046705" spans="15:15" x14ac:dyDescent="0.25">
      <c r="O1046705" s="9"/>
    </row>
    <row r="1046726" spans="15:15" x14ac:dyDescent="0.25">
      <c r="O1046726" s="9"/>
    </row>
    <row r="1046747" spans="15:15" x14ac:dyDescent="0.25">
      <c r="O1046747" s="9"/>
    </row>
    <row r="1046768" spans="15:15" x14ac:dyDescent="0.25">
      <c r="O1046768" s="9"/>
    </row>
    <row r="1046789" spans="15:15" x14ac:dyDescent="0.25">
      <c r="O1046789" s="9"/>
    </row>
    <row r="1046810" spans="15:15" x14ac:dyDescent="0.25">
      <c r="O1046810" s="9"/>
    </row>
    <row r="1046831" spans="15:15" x14ac:dyDescent="0.25">
      <c r="O1046831" s="9"/>
    </row>
    <row r="1046852" spans="15:15" x14ac:dyDescent="0.25">
      <c r="O1046852" s="9"/>
    </row>
    <row r="1046873" spans="15:15" x14ac:dyDescent="0.25">
      <c r="O1046873" s="9"/>
    </row>
    <row r="1046894" spans="15:15" x14ac:dyDescent="0.25">
      <c r="O1046894" s="9"/>
    </row>
    <row r="1046915" spans="15:15" x14ac:dyDescent="0.25">
      <c r="O1046915" s="9"/>
    </row>
    <row r="1046936" spans="15:15" x14ac:dyDescent="0.25">
      <c r="O1046936" s="9"/>
    </row>
    <row r="1046957" spans="15:15" x14ac:dyDescent="0.25">
      <c r="O1046957" s="9"/>
    </row>
    <row r="1046978" spans="15:15" x14ac:dyDescent="0.25">
      <c r="O1046978" s="9"/>
    </row>
    <row r="1046999" spans="15:15" x14ac:dyDescent="0.25">
      <c r="O1046999" s="9"/>
    </row>
    <row r="1047020" spans="15:15" x14ac:dyDescent="0.25">
      <c r="O1047020" s="9"/>
    </row>
    <row r="1047041" spans="15:15" x14ac:dyDescent="0.25">
      <c r="O1047041" s="9"/>
    </row>
    <row r="1047062" spans="15:15" x14ac:dyDescent="0.25">
      <c r="O1047062" s="9"/>
    </row>
    <row r="1047083" spans="15:15" x14ac:dyDescent="0.25">
      <c r="O1047083" s="9"/>
    </row>
    <row r="1047104" spans="15:15" x14ac:dyDescent="0.25">
      <c r="O1047104" s="9"/>
    </row>
    <row r="1047125" spans="15:15" x14ac:dyDescent="0.25">
      <c r="O1047125" s="9"/>
    </row>
    <row r="1047146" spans="15:15" x14ac:dyDescent="0.25">
      <c r="O1047146" s="9"/>
    </row>
    <row r="1047167" spans="15:15" x14ac:dyDescent="0.25">
      <c r="O1047167" s="9"/>
    </row>
    <row r="1047188" spans="15:15" x14ac:dyDescent="0.25">
      <c r="O1047188" s="9"/>
    </row>
    <row r="1047209" spans="15:15" x14ac:dyDescent="0.25">
      <c r="O1047209" s="9"/>
    </row>
    <row r="1047230" spans="15:15" x14ac:dyDescent="0.25">
      <c r="O1047230" s="9"/>
    </row>
    <row r="1047251" spans="15:15" x14ac:dyDescent="0.25">
      <c r="O1047251" s="9"/>
    </row>
    <row r="1047272" spans="15:15" x14ac:dyDescent="0.25">
      <c r="O1047272" s="9"/>
    </row>
    <row r="1047293" spans="15:15" x14ac:dyDescent="0.25">
      <c r="O1047293" s="9"/>
    </row>
    <row r="1047314" spans="15:15" x14ac:dyDescent="0.25">
      <c r="O1047314" s="9"/>
    </row>
    <row r="1047335" spans="15:15" x14ac:dyDescent="0.25">
      <c r="O1047335" s="9"/>
    </row>
    <row r="1047356" spans="15:15" x14ac:dyDescent="0.25">
      <c r="O1047356" s="9"/>
    </row>
    <row r="1047377" spans="15:15" x14ac:dyDescent="0.25">
      <c r="O1047377" s="9"/>
    </row>
    <row r="1047398" spans="15:15" x14ac:dyDescent="0.25">
      <c r="O1047398" s="9"/>
    </row>
    <row r="1047419" spans="15:15" x14ac:dyDescent="0.25">
      <c r="O1047419" s="9"/>
    </row>
    <row r="1047440" spans="15:15" x14ac:dyDescent="0.25">
      <c r="O1047440" s="9"/>
    </row>
    <row r="1047461" spans="15:15" x14ac:dyDescent="0.25">
      <c r="O1047461" s="9"/>
    </row>
    <row r="1047482" spans="15:15" x14ac:dyDescent="0.25">
      <c r="O1047482" s="9"/>
    </row>
    <row r="1047503" spans="15:15" x14ac:dyDescent="0.25">
      <c r="O1047503" s="9"/>
    </row>
    <row r="1047524" spans="15:15" x14ac:dyDescent="0.25">
      <c r="O1047524" s="9"/>
    </row>
    <row r="1047545" spans="15:15" x14ac:dyDescent="0.25">
      <c r="O1047545" s="9"/>
    </row>
    <row r="1047566" spans="15:15" x14ac:dyDescent="0.25">
      <c r="O1047566" s="9"/>
    </row>
    <row r="1047587" spans="15:15" x14ac:dyDescent="0.25">
      <c r="O1047587" s="9"/>
    </row>
    <row r="1047608" spans="15:15" x14ac:dyDescent="0.25">
      <c r="O1047608" s="9"/>
    </row>
    <row r="1047629" spans="15:15" x14ac:dyDescent="0.25">
      <c r="O1047629" s="9"/>
    </row>
    <row r="1047650" spans="15:15" x14ac:dyDescent="0.25">
      <c r="O1047650" s="9"/>
    </row>
    <row r="1047671" spans="15:15" x14ac:dyDescent="0.25">
      <c r="O1047671" s="9"/>
    </row>
    <row r="1047692" spans="15:15" x14ac:dyDescent="0.25">
      <c r="O1047692" s="9"/>
    </row>
    <row r="1047713" spans="15:15" x14ac:dyDescent="0.25">
      <c r="O1047713" s="9"/>
    </row>
    <row r="1047734" spans="15:15" x14ac:dyDescent="0.25">
      <c r="O1047734" s="9"/>
    </row>
    <row r="1047755" spans="15:15" x14ac:dyDescent="0.25">
      <c r="O1047755" s="9"/>
    </row>
    <row r="1047776" spans="15:15" x14ac:dyDescent="0.25">
      <c r="O1047776" s="9"/>
    </row>
    <row r="1047797" spans="15:15" x14ac:dyDescent="0.25">
      <c r="O1047797" s="9"/>
    </row>
    <row r="1047818" spans="15:15" x14ac:dyDescent="0.25">
      <c r="O1047818" s="9"/>
    </row>
    <row r="1047839" spans="15:15" x14ac:dyDescent="0.25">
      <c r="O1047839" s="9"/>
    </row>
    <row r="1047860" spans="15:15" x14ac:dyDescent="0.25">
      <c r="O1047860" s="9"/>
    </row>
    <row r="1047881" spans="15:15" x14ac:dyDescent="0.25">
      <c r="O1047881" s="9"/>
    </row>
    <row r="1047902" spans="15:15" x14ac:dyDescent="0.25">
      <c r="O1047902" s="9"/>
    </row>
    <row r="1047923" spans="15:15" x14ac:dyDescent="0.25">
      <c r="O1047923" s="9"/>
    </row>
    <row r="1047944" spans="15:15" x14ac:dyDescent="0.25">
      <c r="O1047944" s="9"/>
    </row>
    <row r="1047965" spans="15:15" x14ac:dyDescent="0.25">
      <c r="O1047965" s="9"/>
    </row>
    <row r="1047986" spans="15:15" x14ac:dyDescent="0.25">
      <c r="O1047986" s="9"/>
    </row>
    <row r="1048007" spans="15:15" x14ac:dyDescent="0.25">
      <c r="O1048007" s="9"/>
    </row>
    <row r="1048028" spans="15:15" x14ac:dyDescent="0.25">
      <c r="O1048028" s="9"/>
    </row>
    <row r="1048049" spans="15:15" x14ac:dyDescent="0.25">
      <c r="O1048049" s="9"/>
    </row>
    <row r="1048070" spans="15:15" x14ac:dyDescent="0.25">
      <c r="O1048070" s="9"/>
    </row>
    <row r="1048091" spans="15:15" x14ac:dyDescent="0.25">
      <c r="O1048091" s="9"/>
    </row>
    <row r="1048112" spans="15:15" x14ac:dyDescent="0.25">
      <c r="O1048112" s="9"/>
    </row>
    <row r="1048133" spans="15:15" x14ac:dyDescent="0.25">
      <c r="O1048133" s="9"/>
    </row>
    <row r="1048154" spans="15:15" x14ac:dyDescent="0.25">
      <c r="O1048154" s="9"/>
    </row>
    <row r="1048175" spans="15:15" x14ac:dyDescent="0.25">
      <c r="O1048175" s="9"/>
    </row>
    <row r="1048196" spans="15:15" x14ac:dyDescent="0.25">
      <c r="O1048196" s="9"/>
    </row>
    <row r="1048217" spans="15:15" x14ac:dyDescent="0.25">
      <c r="O1048217" s="9"/>
    </row>
    <row r="1048238" spans="15:15" x14ac:dyDescent="0.25">
      <c r="O1048238" s="9"/>
    </row>
    <row r="1048259" spans="15:15" x14ac:dyDescent="0.25">
      <c r="O1048259" s="9"/>
    </row>
    <row r="1048280" spans="15:15" x14ac:dyDescent="0.25">
      <c r="O1048280" s="9"/>
    </row>
    <row r="1048301" spans="15:15" x14ac:dyDescent="0.25">
      <c r="O1048301" s="9"/>
    </row>
    <row r="1048322" spans="15:15" x14ac:dyDescent="0.25">
      <c r="O1048322" s="9"/>
    </row>
    <row r="1048343" spans="15:15" x14ac:dyDescent="0.25">
      <c r="O1048343" s="9"/>
    </row>
    <row r="1048364" spans="15:15" x14ac:dyDescent="0.25">
      <c r="O1048364" s="9"/>
    </row>
    <row r="1048385" spans="15:15" x14ac:dyDescent="0.25">
      <c r="O1048385" s="9"/>
    </row>
    <row r="1048406" spans="15:15" x14ac:dyDescent="0.25">
      <c r="O1048406" s="9"/>
    </row>
    <row r="1048427" spans="15:15" x14ac:dyDescent="0.25">
      <c r="O1048427" s="9"/>
    </row>
    <row r="1048448" spans="15:15" x14ac:dyDescent="0.25">
      <c r="O1048448" s="9"/>
    </row>
    <row r="1048469" spans="15:15" x14ac:dyDescent="0.25">
      <c r="O1048469" s="9"/>
    </row>
    <row r="1048490" spans="15:15" x14ac:dyDescent="0.25">
      <c r="O1048490" s="9"/>
    </row>
    <row r="1048511" spans="15:15" x14ac:dyDescent="0.25">
      <c r="O1048511" s="9"/>
    </row>
    <row r="1048532" spans="15:15" x14ac:dyDescent="0.25">
      <c r="O1048532" s="9"/>
    </row>
    <row r="1048553" spans="15:15" x14ac:dyDescent="0.25">
      <c r="O1048553" s="9"/>
    </row>
    <row r="1048574" spans="15:15" x14ac:dyDescent="0.25">
      <c r="O1048574" s="9"/>
    </row>
  </sheetData>
  <hyperlinks>
    <hyperlink ref="B28" r:id="rId1" xr:uid="{59E9B7AE-52CB-9E4D-B140-438E057D3809}"/>
    <hyperlink ref="D28" r:id="rId2" xr:uid="{F5D2BB09-7194-7A4B-B61E-27519B5CEC4C}"/>
    <hyperlink ref="B29" r:id="rId3" xr:uid="{E50E235F-00DE-384E-A665-54B26B6196E4}"/>
    <hyperlink ref="D29" r:id="rId4" xr:uid="{4646ED81-C989-7A42-A5D2-C4742B944F19}"/>
    <hyperlink ref="A1" location="Inicio!A1" display="Inicio" xr:uid="{EF5B79B0-88E9-4B25-9E49-FF6AEDBBB327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694B0-DE3E-9047-9D90-972C9D395A16}">
  <sheetPr>
    <tabColor theme="9" tint="-0.499984740745262"/>
  </sheetPr>
  <dimension ref="A1:N193"/>
  <sheetViews>
    <sheetView showGridLines="0" zoomScale="90" zoomScaleNormal="90" zoomScaleSheetLayoutView="100" workbookViewId="0"/>
  </sheetViews>
  <sheetFormatPr defaultColWidth="8.5703125" defaultRowHeight="15" x14ac:dyDescent="0.25"/>
  <cols>
    <col min="2" max="2" width="43.42578125" bestFit="1" customWidth="1"/>
    <col min="3" max="3" width="17.5703125" bestFit="1" customWidth="1"/>
    <col min="4" max="4" width="19" bestFit="1" customWidth="1"/>
    <col min="5" max="5" width="20.140625" customWidth="1"/>
    <col min="6" max="6" width="16.85546875" customWidth="1"/>
    <col min="7" max="7" width="19" bestFit="1" customWidth="1"/>
    <col min="8" max="9" width="18.140625" bestFit="1" customWidth="1"/>
    <col min="10" max="10" width="23.140625" customWidth="1"/>
    <col min="11" max="11" width="26.28515625" customWidth="1"/>
    <col min="12" max="12" width="16.5703125" bestFit="1" customWidth="1"/>
    <col min="13" max="13" width="11.42578125" bestFit="1" customWidth="1"/>
  </cols>
  <sheetData>
    <row r="1" spans="1:14" x14ac:dyDescent="0.25">
      <c r="A1" s="879" t="s">
        <v>2821</v>
      </c>
      <c r="D1" t="s">
        <v>2173</v>
      </c>
    </row>
    <row r="2" spans="1:14" x14ac:dyDescent="0.25">
      <c r="D2" t="s">
        <v>2209</v>
      </c>
      <c r="E2">
        <v>2024</v>
      </c>
      <c r="F2">
        <v>2023</v>
      </c>
      <c r="G2">
        <v>2022</v>
      </c>
      <c r="H2">
        <v>2021</v>
      </c>
      <c r="I2">
        <v>2020</v>
      </c>
      <c r="J2">
        <v>2019</v>
      </c>
      <c r="K2">
        <v>2018</v>
      </c>
      <c r="L2">
        <v>2017</v>
      </c>
      <c r="M2">
        <v>2016</v>
      </c>
      <c r="N2">
        <v>2015</v>
      </c>
    </row>
    <row r="3" spans="1:14" ht="15.75" x14ac:dyDescent="0.25">
      <c r="B3" s="100" t="s">
        <v>3318</v>
      </c>
      <c r="C3" s="100" t="s">
        <v>3350</v>
      </c>
      <c r="D3" s="436" cm="1">
        <f t="array" ref="D3">+_xldudf_WISE($C3,$D$1,D$2)</f>
        <v>9.6956805164544094E-2</v>
      </c>
      <c r="E3" s="436" cm="1">
        <f t="array" ref="E3">+_xldudf_WISE($C3,$D$1,E$2)</f>
        <v>0.10423853130000001</v>
      </c>
      <c r="F3" s="436" cm="1">
        <f t="array" ref="F3">+_xldudf_WISE($C3,$D$1,F$2)</f>
        <v>0.13376617869999999</v>
      </c>
      <c r="G3" s="436" cm="1">
        <f t="array" ref="G3">+_xldudf_WISE($C3,$D$1,G$2)</f>
        <v>0.133931679</v>
      </c>
      <c r="H3" s="436" cm="1">
        <f t="array" ref="H3">+_xldudf_WISE($C3,$D$1,H$2)</f>
        <v>0.11691198009999999</v>
      </c>
      <c r="I3" s="436" cm="1">
        <f t="array" ref="I3">+_xldudf_WISE($C3,$D$1,I$2)</f>
        <v>5.82355554E-2</v>
      </c>
      <c r="J3" s="436" cm="1">
        <f t="array" ref="J3">+_xldudf_WISE($C3,$D$1,J$2)</f>
        <v>0.1025040524</v>
      </c>
      <c r="K3" s="436" cm="1">
        <f t="array" ref="K3">+_xldudf_WISE($C3,$D$1,K$2)</f>
        <v>0.1220119611</v>
      </c>
      <c r="L3" s="436" cm="1">
        <f t="array" ref="L3">+_xldudf_WISE($C3,$D$1,L$2)</f>
        <v>0.10371799969999999</v>
      </c>
      <c r="M3" s="436" cm="1">
        <f t="array" ref="M3">+_xldudf_WISE($C3,$D$1,M$2)</f>
        <v>9.8313214100000004E-2</v>
      </c>
      <c r="N3" s="436" cm="1">
        <f t="array" ref="N3">+_xldudf_WISE($C3,$D$1,N$2)</f>
        <v>9.2535173499999998E-2</v>
      </c>
    </row>
    <row r="4" spans="1:14" ht="15.75" x14ac:dyDescent="0.25">
      <c r="B4" s="100" t="s">
        <v>3319</v>
      </c>
      <c r="C4" s="100" t="s">
        <v>3324</v>
      </c>
      <c r="D4" s="436" cm="1">
        <f t="array" ref="D4">+_xldudf_WISE($C4,$D$1,D$2)</f>
        <v>0.22739922866814627</v>
      </c>
      <c r="E4" s="436" cm="1">
        <f t="array" ref="E4">+_xldudf_WISE($C4,$D$1,E$2)</f>
        <v>0.21799745800000001</v>
      </c>
      <c r="F4" s="436" cm="1">
        <f t="array" ref="F4">+_xldudf_WISE($C4,$D$1,F$2)</f>
        <v>0.23241444010000001</v>
      </c>
      <c r="G4" s="436" cm="1">
        <f t="array" ref="G4">+_xldudf_WISE($C4,$D$1,G$2)</f>
        <v>0.2379046269</v>
      </c>
      <c r="H4" s="436" cm="1">
        <f t="array" ref="H4">+_xldudf_WISE($C4,$D$1,H$2)</f>
        <v>0.21977410529999999</v>
      </c>
      <c r="I4" s="436" cm="1">
        <f t="array" ref="I4">+_xldudf_WISE($C4,$D$1,I$2)</f>
        <v>0.1506849082</v>
      </c>
      <c r="J4" s="436" cm="1">
        <f t="array" ref="J4">+_xldudf_WISE($C4,$D$1,J$2)</f>
        <v>0.1962131057</v>
      </c>
      <c r="K4" s="436" cm="1">
        <f t="array" ref="K4">+_xldudf_WISE($C4,$D$1,K$2)</f>
        <v>0.2249793068</v>
      </c>
      <c r="L4" s="436" cm="1">
        <f t="array" ref="L4">+_xldudf_WISE($C4,$D$1,L$2)</f>
        <v>0.25814717500000001</v>
      </c>
      <c r="M4" s="436" cm="1">
        <f t="array" ref="M4">+_xldudf_WISE($C4,$D$1,M$2)</f>
        <v>0.27416556959999999</v>
      </c>
      <c r="N4" s="436" cm="1">
        <f t="array" ref="N4">+_xldudf_WISE($C4,$D$1,N$2)</f>
        <v>0.28374625650000002</v>
      </c>
    </row>
    <row r="5" spans="1:14" ht="15.75" x14ac:dyDescent="0.25">
      <c r="B5" s="100" t="s">
        <v>3320</v>
      </c>
      <c r="C5" s="100" t="s">
        <v>3325</v>
      </c>
      <c r="D5" s="436" cm="1">
        <f t="array" ref="D5">+_xldudf_WISE($C5,$D$1,D$2)</f>
        <v>4.452068816725655E-3</v>
      </c>
      <c r="E5" s="436" cm="1">
        <f t="array" ref="E5">+_xldudf_WISE($C5,$D$1,E$2)</f>
        <v>4.4077816700000001E-2</v>
      </c>
      <c r="F5" s="436" cm="1">
        <f t="array" ref="F5">+_xldudf_WISE($C5,$D$1,F$2)</f>
        <v>9.5559558000000003E-2</v>
      </c>
      <c r="G5" s="436" cm="1">
        <f t="array" ref="G5">+_xldudf_WISE($C5,$D$1,G$2)</f>
        <v>0.14166679800000001</v>
      </c>
      <c r="H5" s="436" cm="1">
        <f t="array" ref="H5">+_xldudf_WISE($C5,$D$1,H$2)</f>
        <v>0.13550267860000001</v>
      </c>
      <c r="I5" s="436" cm="1">
        <f t="array" ref="I5">+_xldudf_WISE($C5,$D$1,I$2)</f>
        <v>0.1039332291</v>
      </c>
      <c r="J5" s="436" cm="1">
        <f t="array" ref="J5">+_xldudf_WISE($C5,$D$1,J$2)</f>
        <v>0.10704598579999999</v>
      </c>
      <c r="K5" s="436" cm="1">
        <f t="array" ref="K5">+_xldudf_WISE($C5,$D$1,K$2)</f>
        <v>0.17835182560000001</v>
      </c>
      <c r="L5" s="436" cm="1">
        <f t="array" ref="L5">+_xldudf_WISE($C5,$D$1,L$2)</f>
        <v>9.9116064399999995E-2</v>
      </c>
      <c r="M5" s="436" cm="1">
        <f t="array" ref="M5">+_xldudf_WISE($C5,$D$1,M$2)</f>
        <v>5.0471217300000003E-2</v>
      </c>
      <c r="N5" s="436" cm="1">
        <f t="array" ref="N5">+_xldudf_WISE($C5,$D$1,N$2)</f>
        <v>4.1470482699999998E-2</v>
      </c>
    </row>
    <row r="6" spans="1:14" ht="15.75" x14ac:dyDescent="0.25">
      <c r="B6" s="100" t="s">
        <v>3321</v>
      </c>
      <c r="C6" s="100" t="s">
        <v>1852</v>
      </c>
      <c r="D6" s="436" cm="1">
        <f t="array" ref="D6">+_xldudf_WISE($C6,$D$1,D$2)</f>
        <v>0.18065185162902611</v>
      </c>
      <c r="E6" s="436" cm="1">
        <f t="array" ref="E6">+_xldudf_WISE($C6,$D$1,E$2)</f>
        <v>0.19089492960000001</v>
      </c>
      <c r="F6" s="436" cm="1">
        <f t="array" ref="F6">+_xldudf_WISE($C6,$D$1,F$2)</f>
        <v>0.1969458047</v>
      </c>
      <c r="G6" s="436" cm="1">
        <f t="array" ref="G6">+_xldudf_WISE($C6,$D$1,G$2)</f>
        <v>0.12923380230000001</v>
      </c>
      <c r="H6" s="436" cm="1">
        <f t="array" ref="H6">+_xldudf_WISE($C6,$D$1,H$2)</f>
        <v>0.13472645429999999</v>
      </c>
      <c r="I6" s="436" cm="1">
        <f t="array" ref="I6">+_xldudf_WISE($C6,$D$1,I$2)</f>
        <v>0.10502381650000001</v>
      </c>
      <c r="J6" s="436" cm="1">
        <f t="array" ref="J6">+_xldudf_WISE($C6,$D$1,J$2)</f>
        <v>0.15801543309999999</v>
      </c>
      <c r="K6" s="436" cm="1">
        <f t="array" ref="K6">+_xldudf_WISE($C6,$D$1,K$2)</f>
        <v>0.1971872532</v>
      </c>
      <c r="L6" s="436" cm="1">
        <f t="array" ref="L6">+_xldudf_WISE($C6,$D$1,L$2)</f>
        <v>0.16269754419999999</v>
      </c>
      <c r="M6" s="436" cm="1">
        <f t="array" ref="M6">+_xldudf_WISE($C6,$D$1,M$2)</f>
        <v>0.1225996774</v>
      </c>
      <c r="N6" s="436" cm="1">
        <f t="array" ref="N6">+_xldudf_WISE($C6,$D$1,N$2)</f>
        <v>9.9390143299999997E-2</v>
      </c>
    </row>
    <row r="7" spans="1:14" ht="15.75" x14ac:dyDescent="0.25">
      <c r="B7" s="100" t="s">
        <v>2897</v>
      </c>
      <c r="C7" s="100" t="s">
        <v>1486</v>
      </c>
      <c r="D7" s="436" cm="1">
        <f t="array" ref="D7">+_xldudf_WISE($C7,$D$1,D$2)</f>
        <v>0.49573922251878821</v>
      </c>
      <c r="E7" s="436" cm="1">
        <f t="array" ref="E7">+_xldudf_WISE($C7,$D$1,E$2)</f>
        <v>0.44307081170000001</v>
      </c>
      <c r="F7" s="436" cm="1">
        <f t="array" ref="F7">+_xldudf_WISE($C7,$D$1,F$2)</f>
        <v>0.43389182920000002</v>
      </c>
      <c r="G7" s="436" cm="1">
        <f t="array" ref="G7">+_xldudf_WISE($C7,$D$1,G$2)</f>
        <v>0.45174761489999998</v>
      </c>
      <c r="H7" s="436" cm="1">
        <f t="array" ref="H7">+_xldudf_WISE($C7,$D$1,H$2)</f>
        <v>0.38925056180000001</v>
      </c>
      <c r="I7" s="436" cm="1">
        <f t="array" ref="I7">+_xldudf_WISE($C7,$D$1,I$2)</f>
        <v>0.2426948686</v>
      </c>
      <c r="J7" s="436" cm="1">
        <f t="array" ref="J7">+_xldudf_WISE($C7,$D$1,J$2)</f>
        <v>0.21577873710000001</v>
      </c>
      <c r="K7" s="436" cm="1">
        <f t="array" ref="K7">+_xldudf_WISE($C7,$D$1,K$2)</f>
        <v>0.2139901854</v>
      </c>
      <c r="L7" s="436" cm="1">
        <f t="array" ref="L7">+_xldudf_WISE($C7,$D$1,L$2)</f>
        <v>0.15796433609999999</v>
      </c>
      <c r="M7" s="436" cm="1">
        <f t="array" ref="M7">+_xldudf_WISE($C7,$D$1,M$2)</f>
        <v>0.17572216930000001</v>
      </c>
      <c r="N7" s="436" cm="1">
        <f t="array" ref="N7">+_xldudf_WISE($C7,$D$1,N$2)</f>
        <v>0.23760649989999999</v>
      </c>
    </row>
    <row r="8" spans="1:14" ht="15.75" x14ac:dyDescent="0.25">
      <c r="B8" s="100" t="s">
        <v>3326</v>
      </c>
      <c r="C8" s="100" t="s">
        <v>3327</v>
      </c>
      <c r="D8" s="436" cm="1">
        <f t="array" ref="D8">+_xldudf_WISE($C8,$D$1,D$2)</f>
        <v>0.10528115978166457</v>
      </c>
      <c r="E8" s="436" cm="1">
        <f t="array" ref="E8">+_xldudf_WISE($C8,$D$1,E$2)</f>
        <v>0.14314581370000001</v>
      </c>
      <c r="F8" s="436" cm="1">
        <f t="array" ref="F8">+_xldudf_WISE($C8,$D$1,F$2)</f>
        <v>0.13214038310000001</v>
      </c>
      <c r="G8" s="436" cm="1">
        <f t="array" ref="G8">+_xldudf_WISE($C8,$D$1,G$2)</f>
        <v>0.13203805769999999</v>
      </c>
      <c r="H8" s="436" cm="1">
        <f t="array" ref="H8">+_xldudf_WISE($C8,$D$1,H$2)</f>
        <v>0.12538919579999999</v>
      </c>
      <c r="I8" s="436" cm="1">
        <f t="array" ref="I8">+_xldudf_WISE($C8,$D$1,I$2)</f>
        <v>8.4149082700000002E-2</v>
      </c>
      <c r="J8" s="436" cm="1">
        <f t="array" ref="J8">+_xldudf_WISE($C8,$D$1,J$2)</f>
        <v>9.1540897900000001E-2</v>
      </c>
      <c r="K8" s="436" cm="1">
        <f t="array" ref="K8">+_xldudf_WISE($C8,$D$1,K$2)</f>
        <v>8.2453074700000004E-2</v>
      </c>
      <c r="L8" s="436" cm="1">
        <f t="array" ref="L8">+_xldudf_WISE($C8,$D$1,L$2)</f>
        <v>7.2185256099999998E-2</v>
      </c>
      <c r="M8" s="436" cm="1">
        <f t="array" ref="M8">+_xldudf_WISE($C8,$D$1,M$2)</f>
        <v>5.8532498199999998E-2</v>
      </c>
      <c r="N8" s="436" cm="1">
        <f t="array" ref="N8">+_xldudf_WISE($C8,$D$1,N$2)</f>
        <v>1.05182964E-2</v>
      </c>
    </row>
    <row r="9" spans="1:14" ht="15.75" x14ac:dyDescent="0.25">
      <c r="B9" s="100" t="s">
        <v>3328</v>
      </c>
      <c r="C9" s="100" t="s">
        <v>3351</v>
      </c>
      <c r="D9" s="436" cm="1">
        <f t="array" ref="D9">+_xldudf_WISE($C9,$D$1,D$2)</f>
        <v>4.9187158263982372E-2</v>
      </c>
      <c r="E9" s="436" cm="1">
        <f t="array" ref="E9">+_xldudf_WISE($C9,$D$1,E$2)</f>
        <v>4.3668576200000003E-2</v>
      </c>
      <c r="F9" s="436" cm="1">
        <f t="array" ref="F9">+_xldudf_WISE($C9,$D$1,F$2)</f>
        <v>3.8151904200000003E-2</v>
      </c>
      <c r="G9" s="436" cm="1">
        <f t="array" ref="G9">+_xldudf_WISE($C9,$D$1,G$2)</f>
        <v>3.3230606099999997E-2</v>
      </c>
      <c r="H9" s="436" cm="1">
        <f t="array" ref="H9">+_xldudf_WISE($C9,$D$1,H$2)</f>
        <v>3.1046594699999999E-2</v>
      </c>
      <c r="I9" s="436" cm="1">
        <f t="array" ref="I9">+_xldudf_WISE($C9,$D$1,I$2)</f>
        <v>2.79536001E-2</v>
      </c>
      <c r="J9" s="436" cm="1">
        <f t="array" ref="J9">+_xldudf_WISE($C9,$D$1,J$2)</f>
        <v>3.3559005900000001E-2</v>
      </c>
      <c r="K9" s="436" cm="1">
        <f t="array" ref="K9">+_xldudf_WISE($C9,$D$1,K$2)</f>
        <v>5.1981140600000003E-2</v>
      </c>
      <c r="L9" s="436" cm="1">
        <f t="array" ref="L9">+_xldudf_WISE($C9,$D$1,L$2)</f>
        <v>6.9015283199999999E-2</v>
      </c>
      <c r="M9" s="436" cm="1">
        <f t="array" ref="M9">+_xldudf_WISE($C9,$D$1,M$2)</f>
        <v>3.4933522000000002E-2</v>
      </c>
      <c r="N9" s="436" cm="1">
        <f t="array" ref="N9">+_xldudf_WISE($C9,$D$1,N$2)</f>
        <v>3.8173899900000002E-2</v>
      </c>
    </row>
    <row r="10" spans="1:14" ht="15.75" x14ac:dyDescent="0.25">
      <c r="B10" s="100" t="s">
        <v>3322</v>
      </c>
      <c r="C10" s="100" t="s">
        <v>3220</v>
      </c>
      <c r="D10" s="436" cm="1">
        <f t="array" ref="D10">+_xldudf_WISE($C10,$D$1,D$2)</f>
        <v>9.3602370966431037E-2</v>
      </c>
      <c r="E10" s="436" cm="1">
        <f t="array" ref="E10">+_xldudf_WISE($C10,$D$1,E$2)</f>
        <v>8.5062601900000007E-2</v>
      </c>
      <c r="F10" s="436" cm="1">
        <f t="array" ref="F10">+_xldudf_WISE($C10,$D$1,F$2)</f>
        <v>7.3536754199999999E-2</v>
      </c>
      <c r="G10" s="436" cm="1">
        <f t="array" ref="G10">+_xldudf_WISE($C10,$D$1,G$2)</f>
        <v>6.3697889399999999E-2</v>
      </c>
      <c r="H10" s="436" cm="1">
        <f t="array" ref="H10">+_xldudf_WISE($C10,$D$1,H$2)</f>
        <v>5.5682462299999999E-2</v>
      </c>
      <c r="I10" s="436" cm="1">
        <f t="array" ref="I10">+_xldudf_WISE($C10,$D$1,I$2)</f>
        <v>5.5972648700000002E-2</v>
      </c>
      <c r="J10" s="436" cm="1">
        <f t="array" ref="J10">+_xldudf_WISE($C10,$D$1,J$2)</f>
        <v>5.5480040799999998E-2</v>
      </c>
      <c r="K10" s="436" cm="1">
        <f t="array" ref="K10">+_xldudf_WISE($C10,$D$1,K$2)</f>
        <v>5.0122796800000001E-2</v>
      </c>
      <c r="L10" s="436" cm="1">
        <f t="array" ref="L10">+_xldudf_WISE($C10,$D$1,L$2)</f>
        <v>3.1096743600000001E-2</v>
      </c>
      <c r="M10" s="436" cm="1">
        <f t="array" ref="M10">+_xldudf_WISE($C10,$D$1,M$2)</f>
        <v>2.1712010899999998E-2</v>
      </c>
      <c r="N10" s="436" cm="1">
        <f t="array" ref="N10">+_xldudf_WISE($C10,$D$1,N$2)</f>
        <v>1.9176411300000001E-2</v>
      </c>
    </row>
    <row r="11" spans="1:14" ht="15.75" x14ac:dyDescent="0.25">
      <c r="B11" s="100" t="s">
        <v>3323</v>
      </c>
      <c r="C11" s="100" t="s">
        <v>3191</v>
      </c>
      <c r="D11" s="436" cm="1">
        <f t="array" ref="D11">+_xldudf_WISE($C11,$D$1,D$2)</f>
        <v>7.4257381105803419E-2</v>
      </c>
      <c r="E11" s="436" cm="1">
        <f t="array" ref="E11">+_xldudf_WISE($C11,$D$1,E$2)</f>
        <v>6.2907909799999995E-2</v>
      </c>
      <c r="F11" s="436" cm="1">
        <f t="array" ref="F11">+_xldudf_WISE($C11,$D$1,F$2)</f>
        <v>5.82630513E-2</v>
      </c>
      <c r="G11" s="436" cm="1">
        <f t="array" ref="G11">+_xldudf_WISE($C11,$D$1,G$2)</f>
        <v>6.6729270500000007E-2</v>
      </c>
      <c r="H11" s="436" cm="1">
        <f t="array" ref="H11">+_xldudf_WISE($C11,$D$1,H$2)</f>
        <v>5.9188842800000002E-2</v>
      </c>
      <c r="I11" s="436" cm="1">
        <f t="array" ref="I11">+_xldudf_WISE($C11,$D$1,I$2)</f>
        <v>5.69162743E-2</v>
      </c>
      <c r="J11" s="436" cm="1">
        <f t="array" ref="J11">+_xldudf_WISE($C11,$D$1,J$2)</f>
        <v>7.4760347399999996E-2</v>
      </c>
      <c r="K11" s="436" cm="1">
        <f t="array" ref="K11">+_xldudf_WISE($C11,$D$1,K$2)</f>
        <v>7.4925816000000006E-2</v>
      </c>
      <c r="L11" s="436" cm="1">
        <f t="array" ref="L11">+_xldudf_WISE($C11,$D$1,L$2)</f>
        <v>9.1761166399999997E-2</v>
      </c>
      <c r="M11" s="436" cm="1">
        <f t="array" ref="M11">+_xldudf_WISE($C11,$D$1,M$2)</f>
        <v>5.9855424499999997E-2</v>
      </c>
      <c r="N11" s="436" cm="1">
        <f t="array" ref="N11">+_xldudf_WISE($C11,$D$1,N$2)</f>
        <v>5.3067239600000003E-2</v>
      </c>
    </row>
    <row r="12" spans="1:14" ht="15.75" x14ac:dyDescent="0.25">
      <c r="B12" s="100" t="s">
        <v>3329</v>
      </c>
      <c r="C12" s="100" t="s">
        <v>3189</v>
      </c>
      <c r="D12" s="436" cm="1">
        <f t="array" ref="D12">+_xldudf_WISE($C12,$D$1,D$2)</f>
        <v>0.32727479744127752</v>
      </c>
      <c r="E12" s="436" cm="1">
        <f t="array" ref="E12">+_xldudf_WISE($C12,$D$1,E$2)</f>
        <v>0.28646659870000002</v>
      </c>
      <c r="F12" s="436" cm="1">
        <f t="array" ref="F12">+_xldudf_WISE($C12,$D$1,F$2)</f>
        <v>0.2558214291</v>
      </c>
      <c r="G12" s="436" cm="1">
        <f t="array" ref="G12">+_xldudf_WISE($C12,$D$1,G$2)</f>
        <v>0.2319251829</v>
      </c>
      <c r="H12" s="436" cm="1">
        <f t="array" ref="H12">+_xldudf_WISE($C12,$D$1,H$2)</f>
        <v>0.17771725590000001</v>
      </c>
      <c r="I12" s="436" cm="1">
        <f t="array" ref="I12">+_xldudf_WISE($C12,$D$1,I$2)</f>
        <v>0.15960781730000001</v>
      </c>
      <c r="J12" s="436" cm="1">
        <f t="array" ref="J12">+_xldudf_WISE($C12,$D$1,J$2)</f>
        <v>0.20580061099999999</v>
      </c>
      <c r="K12" s="436" cm="1">
        <f t="array" ref="K12">+_xldudf_WISE($C12,$D$1,K$2)</f>
        <v>0.17990416970000001</v>
      </c>
      <c r="L12" s="436" cm="1">
        <f t="array" ref="L12">+_xldudf_WISE($C12,$D$1,L$2)</f>
        <v>0.1164666518</v>
      </c>
      <c r="M12" s="436" cm="1">
        <f t="array" ref="M12">+_xldudf_WISE($C12,$D$1,M$2)</f>
        <v>0.10528031960000001</v>
      </c>
      <c r="N12" s="436" cm="1">
        <f t="array" ref="N12">+_xldudf_WISE($C12,$D$1,N$2)</f>
        <v>0.18759499969999999</v>
      </c>
    </row>
    <row r="13" spans="1:14" ht="15.75" x14ac:dyDescent="0.25">
      <c r="B13" s="100" t="s">
        <v>3330</v>
      </c>
      <c r="C13" s="100" t="s">
        <v>3190</v>
      </c>
      <c r="D13" s="436" cm="1">
        <f t="array" ref="D13">+_xldudf_WISE($C13,$D$1,D$2)</f>
        <v>0.51861374993897469</v>
      </c>
      <c r="E13" s="436" cm="1">
        <f t="array" ref="E13">+_xldudf_WISE($C13,$D$1,E$2)</f>
        <v>0.44411954729999997</v>
      </c>
      <c r="F13" s="436" cm="1">
        <f t="array" ref="F13">+_xldudf_WISE($C13,$D$1,F$2)</f>
        <v>0.41778562349999998</v>
      </c>
      <c r="G13" s="436" cm="1">
        <f t="array" ref="G13">+_xldudf_WISE($C13,$D$1,G$2)</f>
        <v>0.41810474069999998</v>
      </c>
      <c r="H13" s="436" cm="1">
        <f t="array" ref="H13">+_xldudf_WISE($C13,$D$1,H$2)</f>
        <v>0.33587747800000001</v>
      </c>
      <c r="I13" s="436" cm="1">
        <f t="array" ref="I13">+_xldudf_WISE($C13,$D$1,I$2)</f>
        <v>0.29823091639999999</v>
      </c>
      <c r="J13" s="436" cm="1">
        <f t="array" ref="J13">+_xldudf_WISE($C13,$D$1,J$2)</f>
        <v>0.4651572725</v>
      </c>
      <c r="K13" s="436" cm="1">
        <f t="array" ref="K13">+_xldudf_WISE($C13,$D$1,K$2)</f>
        <v>0.43019083730000002</v>
      </c>
      <c r="L13" s="436" cm="1">
        <f t="array" ref="L13">+_xldudf_WISE($C13,$D$1,L$2)</f>
        <v>0.31708899159999998</v>
      </c>
      <c r="M13" s="436" cm="1">
        <f t="array" ref="M13">+_xldudf_WISE($C13,$D$1,M$2)</f>
        <v>0.36111913379999999</v>
      </c>
      <c r="N13" s="436" cm="1">
        <f t="array" ref="N13">+_xldudf_WISE($C13,$D$1,N$2)</f>
        <v>0.39075906179999997</v>
      </c>
    </row>
    <row r="14" spans="1:14" ht="15.75" x14ac:dyDescent="0.25">
      <c r="B14" s="100" t="s">
        <v>3331</v>
      </c>
      <c r="C14" s="100" t="s">
        <v>3221</v>
      </c>
      <c r="D14" s="436" cm="1">
        <f t="array" ref="D14">+_xldudf_WISE($C14,$D$1,D$2)</f>
        <v>0.15223567637198784</v>
      </c>
      <c r="E14" s="436" cm="1">
        <f t="array" ref="E14">+_xldudf_WISE($C14,$D$1,E$2)</f>
        <v>0.1246844357</v>
      </c>
      <c r="F14" s="436" cm="1">
        <f t="array" ref="F14">+_xldudf_WISE($C14,$D$1,F$2)</f>
        <v>0.11707598600000001</v>
      </c>
      <c r="G14" s="436" cm="1">
        <f t="array" ref="G14">+_xldudf_WISE($C14,$D$1,G$2)</f>
        <v>8.2029019600000003E-2</v>
      </c>
      <c r="H14" s="436" cm="1">
        <f t="array" ref="H14">+_xldudf_WISE($C14,$D$1,H$2)</f>
        <v>0.12619548159999999</v>
      </c>
      <c r="I14" s="436" cm="1">
        <f t="array" ref="I14">+_xldudf_WISE($C14,$D$1,I$2)</f>
        <v>8.5450449400000003E-2</v>
      </c>
      <c r="J14" s="436" cm="1">
        <f t="array" ref="J14">+_xldudf_WISE($C14,$D$1,J$2)</f>
        <v>9.1347605499999998E-2</v>
      </c>
      <c r="K14" s="436" cm="1">
        <f t="array" ref="K14">+_xldudf_WISE($C14,$D$1,K$2)</f>
        <v>9.7777987499999997E-2</v>
      </c>
      <c r="L14" s="436" cm="1">
        <f t="array" ref="L14">+_xldudf_WISE($C14,$D$1,L$2)</f>
        <v>9.1768739700000004E-2</v>
      </c>
      <c r="M14" s="436" cm="1">
        <f t="array" ref="M14">+_xldudf_WISE($C14,$D$1,M$2)</f>
        <v>8.3965842799999996E-2</v>
      </c>
      <c r="N14" s="436" cm="1">
        <f t="array" ref="N14">+_xldudf_WISE($C14,$D$1,N$2)</f>
        <v>7.8990942199999997E-2</v>
      </c>
    </row>
    <row r="15" spans="1:14" ht="15.75" x14ac:dyDescent="0.25">
      <c r="B15" s="100" t="s">
        <v>3332</v>
      </c>
      <c r="C15" s="100" t="s">
        <v>1861</v>
      </c>
      <c r="D15" s="436" cm="1">
        <f t="array" ref="D15">+_xldudf_WISE($C15,$D$1,D$2)</f>
        <v>6.9492825816774878E-2</v>
      </c>
      <c r="E15" s="436" cm="1">
        <f t="array" ref="E15">+_xldudf_WISE($C15,$D$1,E$2)</f>
        <v>6.9675403600000005E-2</v>
      </c>
      <c r="F15" s="436" cm="1">
        <f t="array" ref="F15">+_xldudf_WISE($C15,$D$1,F$2)</f>
        <v>4.70117678E-2</v>
      </c>
      <c r="G15" s="436" cm="1">
        <f t="array" ref="G15">+_xldudf_WISE($C15,$D$1,G$2)</f>
        <v>4.0359625199999999E-2</v>
      </c>
      <c r="H15" s="436" cm="1">
        <f t="array" ref="H15">+_xldudf_WISE($C15,$D$1,H$2)</f>
        <v>4.2997264700000003E-2</v>
      </c>
      <c r="I15" s="436" cm="1">
        <f t="array" ref="I15">+_xldudf_WISE($C15,$D$1,I$2)</f>
        <v>5.9722693700000003E-2</v>
      </c>
      <c r="J15" s="436" cm="1">
        <f t="array" ref="J15">+_xldudf_WISE($C15,$D$1,J$2)</f>
        <v>6.5994707499999999E-2</v>
      </c>
      <c r="K15" s="436" cm="1">
        <f t="array" ref="K15">+_xldudf_WISE($C15,$D$1,K$2)</f>
        <v>6.1302706700000001E-2</v>
      </c>
      <c r="L15" s="436" cm="1">
        <f t="array" ref="L15">+_xldudf_WISE($C15,$D$1,L$2)</f>
        <v>6.1935942000000001E-2</v>
      </c>
      <c r="M15" s="436" cm="1">
        <f t="array" ref="M15">+_xldudf_WISE($C15,$D$1,M$2)</f>
        <v>5.4163196300000001E-2</v>
      </c>
      <c r="N15" s="436" cm="1">
        <f t="array" ref="N15">+_xldudf_WISE($C15,$D$1,N$2)</f>
        <v>5.0703851000000001E-2</v>
      </c>
    </row>
    <row r="16" spans="1:14" ht="15.75" x14ac:dyDescent="0.25">
      <c r="B16" s="100" t="s">
        <v>3333</v>
      </c>
      <c r="C16" s="100" t="s">
        <v>1684</v>
      </c>
      <c r="D16" s="436" cm="1">
        <f t="array" ref="D16">+_xldudf_WISE($C16,$D$1,D$2)</f>
        <v>6.678016462021924E-2</v>
      </c>
      <c r="E16" s="436" cm="1">
        <f t="array" ref="E16">+_xldudf_WISE($C16,$D$1,E$2)</f>
        <v>-9.3373589699999995E-2</v>
      </c>
      <c r="F16" s="436" cm="1">
        <f t="array" ref="F16">+_xldudf_WISE($C16,$D$1,F$2)</f>
        <v>6.2752695900000002E-2</v>
      </c>
      <c r="G16" s="436" cm="1">
        <f t="array" ref="G16">+_xldudf_WISE($C16,$D$1,G$2)</f>
        <v>6.4296555000000005E-2</v>
      </c>
      <c r="H16" s="436" cm="1">
        <f t="array" ref="H16">+_xldudf_WISE($C16,$D$1,H$2)</f>
        <v>5.2500568400000003E-2</v>
      </c>
      <c r="I16" s="436" cm="1">
        <f t="array" ref="I16">+_xldudf_WISE($C16,$D$1,I$2)</f>
        <v>4.9074583200000001E-2</v>
      </c>
      <c r="J16" s="436" cm="1">
        <f t="array" ref="J16">+_xldudf_WISE($C16,$D$1,J$2)</f>
        <v>4.1202047300000003E-2</v>
      </c>
      <c r="K16" s="436" cm="1">
        <f t="array" ref="K16">+_xldudf_WISE($C16,$D$1,K$2)</f>
        <v>4.2789473000000001E-2</v>
      </c>
      <c r="L16" s="436" cm="1">
        <f t="array" ref="L16">+_xldudf_WISE($C16,$D$1,L$2)</f>
        <v>2.90758162E-2</v>
      </c>
      <c r="M16" s="436" cm="1">
        <f t="array" ref="M16">+_xldudf_WISE($C16,$D$1,M$2)</f>
        <v>4.15238806E-2</v>
      </c>
      <c r="N16" s="436" cm="1">
        <f t="array" ref="N16">+_xldudf_WISE($C16,$D$1,N$2)</f>
        <v>4.4656797099999999E-2</v>
      </c>
    </row>
    <row r="17" spans="2:14" ht="15.75" x14ac:dyDescent="0.25">
      <c r="B17" s="100" t="s">
        <v>3334</v>
      </c>
      <c r="C17" s="100" t="s">
        <v>3335</v>
      </c>
      <c r="D17" s="436" cm="1">
        <f t="array" ref="D17">+_xldudf_WISE($C17,$D$1,D$2)</f>
        <v>6.4807514594795335E-2</v>
      </c>
      <c r="E17" s="436" cm="1">
        <f t="array" ref="E17">+_xldudf_WISE($C17,$D$1,E$2)</f>
        <v>4.6300789600000003E-2</v>
      </c>
      <c r="F17" s="436" cm="1">
        <f t="array" ref="F17">+_xldudf_WISE($C17,$D$1,F$2)</f>
        <v>0.18389694000000001</v>
      </c>
      <c r="G17" s="436" cm="1">
        <f t="array" ref="G17">+_xldudf_WISE($C17,$D$1,G$2)</f>
        <v>8.1180129000000007E-3</v>
      </c>
      <c r="H17" s="436" cm="1">
        <f t="array" ref="H17">+_xldudf_WISE($C17,$D$1,H$2)</f>
        <v>6.2018725599999998E-2</v>
      </c>
      <c r="I17" s="436" cm="1">
        <f t="array" ref="I17">+_xldudf_WISE($C17,$D$1,I$2)</f>
        <v>-4.3964292600000003E-2</v>
      </c>
      <c r="J17" s="436" cm="1">
        <f t="array" ref="J17">+_xldudf_WISE($C17,$D$1,J$2)</f>
        <v>4.4619828200000003E-2</v>
      </c>
      <c r="K17" s="436" cm="1">
        <f t="array" ref="K17">+_xldudf_WISE($C17,$D$1,K$2)</f>
        <v>7.4831835700000002E-2</v>
      </c>
      <c r="L17" s="436" cm="1">
        <f t="array" ref="L17">+_xldudf_WISE($C17,$D$1,L$2)</f>
        <v>6.8833845699999993E-2</v>
      </c>
      <c r="M17" s="436" cm="1">
        <f t="array" ref="M17">+_xldudf_WISE($C17,$D$1,M$2)</f>
        <v>4.96029609E-2</v>
      </c>
      <c r="N17" s="436" cm="1">
        <f t="array" ref="N17">+_xldudf_WISE($C17,$D$1,N$2)</f>
        <v>6.5392783199999999E-2</v>
      </c>
    </row>
    <row r="18" spans="2:14" ht="15.75" x14ac:dyDescent="0.25">
      <c r="B18" s="100" t="s">
        <v>3336</v>
      </c>
      <c r="C18" s="100" t="s">
        <v>3337</v>
      </c>
      <c r="D18" s="436" cm="1">
        <f t="array" ref="D18">+_xldudf_WISE($C18,$D$1,D$2)</f>
        <v>0.12250084352857044</v>
      </c>
      <c r="E18" s="436" cm="1">
        <f t="array" ref="E18">+_xldudf_WISE($C18,$D$1,E$2)</f>
        <v>0.12855060239999999</v>
      </c>
      <c r="F18" s="436" cm="1">
        <f t="array" ref="F18">+_xldudf_WISE($C18,$D$1,F$2)</f>
        <v>0.1003227297</v>
      </c>
      <c r="G18" s="436" cm="1">
        <f t="array" ref="G18">+_xldudf_WISE($C18,$D$1,G$2)</f>
        <v>6.6486468699999995E-2</v>
      </c>
      <c r="H18" s="436" cm="1">
        <f t="array" ref="H18">+_xldudf_WISE($C18,$D$1,H$2)</f>
        <v>-6.8086055000000003E-3</v>
      </c>
      <c r="I18" s="436" cm="1">
        <f t="array" ref="I18">+_xldudf_WISE($C18,$D$1,I$2)</f>
        <v>-4.6342518000000001E-3</v>
      </c>
      <c r="J18" s="436" cm="1">
        <f t="array" ref="J18">+_xldudf_WISE($C18,$D$1,J$2)</f>
        <v>0.1082787529</v>
      </c>
      <c r="K18" s="436" cm="1">
        <f t="array" ref="K18">+_xldudf_WISE($C18,$D$1,K$2)</f>
        <v>9.9817916199999995E-2</v>
      </c>
      <c r="L18" s="436" cm="1">
        <f t="array" ref="L18">+_xldudf_WISE($C18,$D$1,L$2)</f>
        <v>9.0052321000000005E-2</v>
      </c>
      <c r="M18" s="436" cm="1">
        <f t="array" ref="M18">+_xldudf_WISE($C18,$D$1,M$2)</f>
        <v>7.5616308500000007E-2</v>
      </c>
      <c r="N18" s="436" cm="1">
        <f t="array" ref="N18">+_xldudf_WISE($C18,$D$1,N$2)</f>
        <v>6.0880671800000001E-2</v>
      </c>
    </row>
    <row r="19" spans="2:14" ht="15.75" x14ac:dyDescent="0.25">
      <c r="B19" s="100" t="s">
        <v>3338</v>
      </c>
      <c r="C19" s="100" t="s">
        <v>3339</v>
      </c>
      <c r="D19" s="436" cm="1">
        <f t="array" ref="D19">+_xldudf_WISE($C19,$D$1,D$2)</f>
        <v>0.34901028944714763</v>
      </c>
      <c r="E19" s="436" cm="1">
        <f t="array" ref="E19">+_xldudf_WISE($C19,$D$1,E$2)</f>
        <v>0.24988426820000001</v>
      </c>
      <c r="F19" s="436" cm="1">
        <f t="array" ref="F19">+_xldudf_WISE($C19,$D$1,F$2)</f>
        <v>0.32270087400000003</v>
      </c>
      <c r="G19" s="436" cm="1">
        <f t="array" ref="G19">+_xldudf_WISE($C19,$D$1,G$2)</f>
        <v>0.29085337230000002</v>
      </c>
      <c r="H19" s="436" cm="1">
        <f t="array" ref="H19">+_xldudf_WISE($C19,$D$1,H$2)</f>
        <v>0.30199749269999998</v>
      </c>
      <c r="I19" s="436" cm="1">
        <f t="array" ref="I19">+_xldudf_WISE($C19,$D$1,I$2)</f>
        <v>0.1696002358</v>
      </c>
      <c r="J19" s="436" cm="1">
        <f t="array" ref="J19">+_xldudf_WISE($C19,$D$1,J$2)</f>
        <v>0.14488761210000001</v>
      </c>
      <c r="K19" s="436" cm="1">
        <f t="array" ref="K19">+_xldudf_WISE($C19,$D$1,K$2)</f>
        <v>0.15974670499999999</v>
      </c>
      <c r="L19" s="436" cm="1">
        <f t="array" ref="L19">+_xldudf_WISE($C19,$D$1,L$2)</f>
        <v>0.13570863329999999</v>
      </c>
      <c r="M19" s="436" cm="1">
        <f t="array" ref="M19">+_xldudf_WISE($C19,$D$1,M$2)</f>
        <v>9.6027806699999996E-2</v>
      </c>
      <c r="N19" s="436" cm="1">
        <f t="array" ref="N19">+_xldudf_WISE($C19,$D$1,N$2)</f>
        <v>0.13024253299999999</v>
      </c>
    </row>
    <row r="20" spans="2:14" ht="15.75" x14ac:dyDescent="0.25">
      <c r="B20" s="100" t="s">
        <v>3340</v>
      </c>
      <c r="C20" s="100" t="s">
        <v>2024</v>
      </c>
      <c r="D20" s="436" cm="1">
        <f t="array" ref="D20">+_xldudf_WISE($C20,$D$1,D$2)</f>
        <v>0.1649225387401401</v>
      </c>
      <c r="E20" s="436" cm="1">
        <f t="array" ref="E20">+_xldudf_WISE($C20,$D$1,E$2)</f>
        <v>0.1198977415</v>
      </c>
      <c r="F20" s="436" cm="1">
        <f t="array" ref="F20">+_xldudf_WISE($C20,$D$1,F$2)</f>
        <v>0.1231691694</v>
      </c>
      <c r="G20" s="436" cm="1">
        <f t="array" ref="G20">+_xldudf_WISE($C20,$D$1,G$2)</f>
        <v>9.1201654300000004E-2</v>
      </c>
      <c r="H20" s="436" cm="1">
        <f t="array" ref="H20">+_xldudf_WISE($C20,$D$1,H$2)</f>
        <v>0.139291837</v>
      </c>
      <c r="I20" s="436" cm="1">
        <f t="array" ref="I20">+_xldudf_WISE($C20,$D$1,I$2)</f>
        <v>7.0061983699999997E-2</v>
      </c>
      <c r="J20" s="436" cm="1">
        <f t="array" ref="J20">+_xldudf_WISE($C20,$D$1,J$2)</f>
        <v>0.15261084189999999</v>
      </c>
      <c r="K20" s="436" cm="1">
        <f t="array" ref="K20">+_xldudf_WISE($C20,$D$1,K$2)</f>
        <v>0.1576930241</v>
      </c>
      <c r="L20" s="436" cm="1">
        <f t="array" ref="L20">+_xldudf_WISE($C20,$D$1,L$2)</f>
        <v>0.1342937619</v>
      </c>
      <c r="M20" s="436" cm="1">
        <f t="array" ref="M20">+_xldudf_WISE($C20,$D$1,M$2)</f>
        <v>0.1227437971</v>
      </c>
      <c r="N20" s="436" cm="1">
        <f t="array" ref="N20">+_xldudf_WISE($C20,$D$1,N$2)</f>
        <v>0.13298738839999999</v>
      </c>
    </row>
    <row r="21" spans="2:14" ht="15.75" x14ac:dyDescent="0.25">
      <c r="B21" s="100" t="s">
        <v>3341</v>
      </c>
      <c r="C21" s="100" t="s">
        <v>3342</v>
      </c>
      <c r="D21" s="436" cm="1">
        <f t="array" ref="D21">+_xldudf_WISE($C21,$D$1,D$2)</f>
        <v>0.32197620503473945</v>
      </c>
      <c r="E21" s="436" cm="1">
        <f t="array" ref="E21">+_xldudf_WISE($C21,$D$1,E$2)</f>
        <v>0.3898519285</v>
      </c>
      <c r="F21" s="436" cm="1">
        <f t="array" ref="F21">+_xldudf_WISE($C21,$D$1,F$2)</f>
        <v>0.54196463859999999</v>
      </c>
      <c r="G21" s="436" cm="1">
        <f t="array" ref="G21">+_xldudf_WISE($C21,$D$1,G$2)</f>
        <v>0.4938744934</v>
      </c>
      <c r="H21" s="436" cm="1">
        <f t="array" ref="H21">+_xldudf_WISE($C21,$D$1,H$2)</f>
        <v>0.43620083320000003</v>
      </c>
      <c r="I21" s="436" cm="1">
        <f t="array" ref="I21">+_xldudf_WISE($C21,$D$1,I$2)</f>
        <v>0.52282285269999995</v>
      </c>
      <c r="J21" s="436" cm="1">
        <f t="array" ref="J21">+_xldudf_WISE($C21,$D$1,J$2)</f>
        <v>0.61823694039999999</v>
      </c>
      <c r="K21" s="436" cm="1">
        <f t="array" ref="K21">+_xldudf_WISE($C21,$D$1,K$2)</f>
        <v>0.67104812140000003</v>
      </c>
      <c r="L21" s="436" cm="1">
        <f t="array" ref="L21">+_xldudf_WISE($C21,$D$1,L$2)</f>
        <v>0.67297389060000001</v>
      </c>
      <c r="M21" s="436" cm="1">
        <f t="array" ref="M21">+_xldudf_WISE($C21,$D$1,M$2)</f>
        <v>0.76349127819999996</v>
      </c>
      <c r="N21" s="436" cm="1">
        <f t="array" ref="N21">+_xldudf_WISE($C21,$D$1,N$2)</f>
        <v>0.76230099969999998</v>
      </c>
    </row>
    <row r="22" spans="2:14" ht="15.75" x14ac:dyDescent="0.25">
      <c r="B22" s="100" t="s">
        <v>3343</v>
      </c>
      <c r="C22" s="100" t="s">
        <v>848</v>
      </c>
      <c r="D22" s="436" cm="1">
        <f t="array" ref="D22">+_xldudf_WISE($C22,$D$1,D$2)</f>
        <v>0.10290417208461132</v>
      </c>
      <c r="E22" s="436" cm="1">
        <f t="array" ref="E22">+_xldudf_WISE($C22,$D$1,E$2)</f>
        <v>8.8523097199999998E-2</v>
      </c>
      <c r="F22" s="436" cm="1">
        <f t="array" ref="F22">+_xldudf_WISE($C22,$D$1,F$2)</f>
        <v>9.5582185099999994E-2</v>
      </c>
      <c r="G22" s="436" cm="1">
        <f t="array" ref="G22">+_xldudf_WISE($C22,$D$1,G$2)</f>
        <v>0.14020655530000001</v>
      </c>
      <c r="H22" s="436" cm="1">
        <f t="array" ref="H22">+_xldudf_WISE($C22,$D$1,H$2)</f>
        <v>0.12851502249999999</v>
      </c>
      <c r="I22" s="436" cm="1">
        <f t="array" ref="I22">+_xldudf_WISE($C22,$D$1,I$2)</f>
        <v>8.7018785299999998E-2</v>
      </c>
      <c r="J22" s="436" cm="1">
        <f t="array" ref="J22">+_xldudf_WISE($C22,$D$1,J$2)</f>
        <v>0.15714698769999999</v>
      </c>
      <c r="K22" s="436" cm="1">
        <f t="array" ref="K22">+_xldudf_WISE($C22,$D$1,K$2)</f>
        <v>0.1346028131</v>
      </c>
      <c r="L22" s="436" cm="1">
        <f t="array" ref="L22">+_xldudf_WISE($C22,$D$1,L$2)</f>
        <v>0.1082908791</v>
      </c>
      <c r="M22" s="436" cm="1">
        <f t="array" ref="M22">+_xldudf_WISE($C22,$D$1,M$2)</f>
        <v>0.1243368673</v>
      </c>
      <c r="N22" s="436" cm="1">
        <f t="array" ref="N22">+_xldudf_WISE($C22,$D$1,N$2)</f>
        <v>0.13085678249999999</v>
      </c>
    </row>
    <row r="23" spans="2:14" ht="15.75" x14ac:dyDescent="0.25">
      <c r="B23" s="100" t="s">
        <v>3344</v>
      </c>
      <c r="C23" s="100" t="s">
        <v>1459</v>
      </c>
      <c r="D23" s="436" cm="1">
        <f t="array" ref="D23">+_xldudf_WISE($C23,$D$1,D$2)</f>
        <v>0.10994570612344952</v>
      </c>
      <c r="E23" s="436" cm="1">
        <f t="array" ref="E23">+_xldudf_WISE($C23,$D$1,E$2)</f>
        <v>0.123433099</v>
      </c>
      <c r="F23" s="436" cm="1">
        <f t="array" ref="F23">+_xldudf_WISE($C23,$D$1,F$2)</f>
        <v>0.1128342676</v>
      </c>
      <c r="G23" s="436" cm="1">
        <f t="array" ref="G23">+_xldudf_WISE($C23,$D$1,G$2)</f>
        <v>0.11899999999999999</v>
      </c>
      <c r="H23" s="436" cm="1">
        <f t="array" ref="H23">+_xldudf_WISE($C23,$D$1,H$2)</f>
        <v>9.9904137200000007E-2</v>
      </c>
      <c r="I23" s="436" cm="1">
        <f t="array" ref="I23">+_xldudf_WISE($C23,$D$1,I$2)</f>
        <v>-6.1410565799999997E-2</v>
      </c>
      <c r="J23" s="436" cm="1">
        <f t="array" ref="J23">+_xldudf_WISE($C23,$D$1,J$2)</f>
        <v>0.1075672295</v>
      </c>
      <c r="K23" s="436" cm="1">
        <f t="array" ref="K23">+_xldudf_WISE($C23,$D$1,K$2)</f>
        <v>5.1557209899999998E-2</v>
      </c>
      <c r="L23" s="436" cm="1">
        <f t="array" ref="L23">+_xldudf_WISE($C23,$D$1,L$2)</f>
        <v>-4.5713101161000003</v>
      </c>
      <c r="M23" s="436" cm="1">
        <f t="array" ref="M23">+_xldudf_WISE($C23,$D$1,M$2)</f>
        <v>4.48283326E-2</v>
      </c>
      <c r="N23" s="436" cm="1">
        <f t="array" ref="N23">+_xldudf_WISE($C23,$D$1,N$2)</f>
        <v>3.3624569799999997E-2</v>
      </c>
    </row>
    <row r="24" spans="2:14" ht="15.75" x14ac:dyDescent="0.25">
      <c r="B24" s="100" t="s">
        <v>3345</v>
      </c>
      <c r="C24" s="100" t="s">
        <v>3346</v>
      </c>
      <c r="D24" s="436" cm="1">
        <f t="array" ref="D24">+_xldudf_WISE($C24,$D$1,D$2)</f>
        <v>0.14283334978286619</v>
      </c>
      <c r="E24" s="436" cm="1">
        <f t="array" ref="E24">+_xldudf_WISE($C24,$D$1,E$2)</f>
        <v>0.11574242830000001</v>
      </c>
      <c r="F24" s="436" cm="1">
        <f t="array" ref="F24">+_xldudf_WISE($C24,$D$1,F$2)</f>
        <v>0.14477402289999999</v>
      </c>
      <c r="G24" s="436" cm="1">
        <f t="array" ref="G24">+_xldudf_WISE($C24,$D$1,G$2)</f>
        <v>0.22036247519999999</v>
      </c>
      <c r="H24" s="436" cm="1">
        <f t="array" ref="H24">+_xldudf_WISE($C24,$D$1,H$2)</f>
        <v>0.1496550807</v>
      </c>
      <c r="I24" s="436" cm="1">
        <f t="array" ref="I24">+_xldudf_WISE($C24,$D$1,I$2)</f>
        <v>0.13295328079999999</v>
      </c>
      <c r="J24" s="436" cm="1">
        <f t="array" ref="J24">+_xldudf_WISE($C24,$D$1,J$2)</f>
        <v>0.1854939558</v>
      </c>
      <c r="K24" s="436" cm="1">
        <f t="array" ref="K24">+_xldudf_WISE($C24,$D$1,K$2)</f>
        <v>0.14875787239999999</v>
      </c>
      <c r="L24" s="436" cm="1">
        <f t="array" ref="L24">+_xldudf_WISE($C24,$D$1,L$2)</f>
        <v>0</v>
      </c>
      <c r="M24" s="436" t="str" cm="1">
        <f t="array" ref="M24">+_xldudf_WISE($C24,$D$1,M$2)</f>
        <v>Unavailable</v>
      </c>
      <c r="N24" s="436" t="str" cm="1">
        <f t="array" ref="N24">+_xldudf_WISE($C24,$D$1,N$2)</f>
        <v>Unavailable</v>
      </c>
    </row>
    <row r="25" spans="2:14" ht="15.75" x14ac:dyDescent="0.25">
      <c r="B25" s="100" t="s">
        <v>3347</v>
      </c>
      <c r="C25" s="100" t="s">
        <v>354</v>
      </c>
      <c r="D25" s="436" cm="1">
        <f t="array" ref="D25">+_xldudf_WISE($C25,$D$1,D$2)</f>
        <v>6.319977078399644E-2</v>
      </c>
      <c r="E25" s="436" cm="1">
        <f t="array" ref="E25">+_xldudf_WISE($C25,$D$1,E$2)</f>
        <v>8.5559372800000005E-2</v>
      </c>
      <c r="F25" s="436" cm="1">
        <f t="array" ref="F25">+_xldudf_WISE($C25,$D$1,F$2)</f>
        <v>7.56324107E-2</v>
      </c>
      <c r="G25" s="436" cm="1">
        <f t="array" ref="G25">+_xldudf_WISE($C25,$D$1,G$2)</f>
        <v>5.1926141799999999E-2</v>
      </c>
      <c r="H25" s="436" cm="1">
        <f t="array" ref="H25">+_xldudf_WISE($C25,$D$1,H$2)</f>
        <v>6.0645731600000002E-2</v>
      </c>
      <c r="I25" s="436" cm="1">
        <f t="array" ref="I25">+_xldudf_WISE($C25,$D$1,I$2)</f>
        <v>5.3618406399999999E-2</v>
      </c>
      <c r="J25" s="436" cm="1">
        <f t="array" ref="J25">+_xldudf_WISE($C25,$D$1,J$2)</f>
        <v>6.9703263700000004E-2</v>
      </c>
      <c r="K25" s="436" cm="1">
        <f t="array" ref="K25">+_xldudf_WISE($C25,$D$1,K$2)</f>
        <v>6.4748385500000005E-2</v>
      </c>
      <c r="L25" s="436" cm="1">
        <f t="array" ref="L25">+_xldudf_WISE($C25,$D$1,L$2)</f>
        <v>0.1056136176</v>
      </c>
      <c r="M25" s="436" cm="1">
        <f t="array" ref="M25">+_xldudf_WISE($C25,$D$1,M$2)</f>
        <v>6.4499426100000007E-2</v>
      </c>
      <c r="N25" s="436" cm="1">
        <f t="array" ref="N25">+_xldudf_WISE($C25,$D$1,N$2)</f>
        <v>6.6208067999999995E-2</v>
      </c>
    </row>
    <row r="26" spans="2:14" ht="15.75" x14ac:dyDescent="0.25">
      <c r="B26" s="100" t="s">
        <v>3348</v>
      </c>
      <c r="C26" s="100" t="s">
        <v>3222</v>
      </c>
      <c r="D26" s="436" cm="1">
        <f t="array" ref="D26">+_xldudf_WISE($C26,$D$1,D$2)</f>
        <v>1.8157784053355764E-2</v>
      </c>
      <c r="E26" s="436" cm="1">
        <f t="array" ref="E26">+_xldudf_WISE($C26,$D$1,E$2)</f>
        <v>-0.11004882019999999</v>
      </c>
      <c r="F26" s="436" cm="1">
        <f t="array" ref="F26">+_xldudf_WISE($C26,$D$1,F$2)</f>
        <v>-1.38796528E-2</v>
      </c>
      <c r="G26" s="436" cm="1">
        <f t="array" ref="G26">+_xldudf_WISE($C26,$D$1,G$2)</f>
        <v>-3.0357474999999998E-2</v>
      </c>
      <c r="H26" s="436" cm="1">
        <f t="array" ref="H26">+_xldudf_WISE($C26,$D$1,H$2)</f>
        <v>6.3762227800000001E-2</v>
      </c>
      <c r="I26" s="436" cm="1">
        <f t="array" ref="I26">+_xldudf_WISE($C26,$D$1,I$2)</f>
        <v>7.6237859500000005E-2</v>
      </c>
      <c r="J26" s="436" cm="1">
        <f t="array" ref="J26">+_xldudf_WISE($C26,$D$1,J$2)</f>
        <v>0.1146880168</v>
      </c>
      <c r="K26" s="436" cm="1">
        <f t="array" ref="K26">+_xldudf_WISE($C26,$D$1,K$2)</f>
        <v>5.1181641200000003E-2</v>
      </c>
      <c r="L26" s="436" cm="1">
        <f t="array" ref="L26">+_xldudf_WISE($C26,$D$1,L$2)</f>
        <v>8.3989213899999998E-2</v>
      </c>
      <c r="M26" s="436" cm="1">
        <f t="array" ref="M26">+_xldudf_WISE($C26,$D$1,M$2)</f>
        <v>0.11459787439999999</v>
      </c>
      <c r="N26" s="436" cm="1">
        <f t="array" ref="N26">+_xldudf_WISE($C26,$D$1,N$2)</f>
        <v>0.1011958278</v>
      </c>
    </row>
    <row r="27" spans="2:14" ht="15.75" x14ac:dyDescent="0.25">
      <c r="B27" s="100" t="s">
        <v>3349</v>
      </c>
      <c r="C27" s="100" t="s">
        <v>1349</v>
      </c>
      <c r="D27" s="436" cm="1">
        <f t="array" ref="D27">+_xldudf_WISE($C27,$D$1,D$2)</f>
        <v>8.3394921528299512E-2</v>
      </c>
      <c r="E27" s="436" cm="1">
        <f t="array" ref="E27">+_xldudf_WISE($C27,$D$1,E$2)</f>
        <v>5.36933125E-2</v>
      </c>
      <c r="F27" s="436" cm="1">
        <f t="array" ref="F27">+_xldudf_WISE($C27,$D$1,F$2)</f>
        <v>3.5600042899999997E-2</v>
      </c>
      <c r="G27" s="436" cm="1">
        <f t="array" ref="G27">+_xldudf_WISE($C27,$D$1,G$2)</f>
        <v>2.5529287599999999E-2</v>
      </c>
      <c r="H27" s="436" cm="1">
        <f t="array" ref="H27">+_xldudf_WISE($C27,$D$1,H$2)</f>
        <v>2.0233205600000002E-2</v>
      </c>
      <c r="I27" s="436" cm="1">
        <f t="array" ref="I27">+_xldudf_WISE($C27,$D$1,I$2)</f>
        <v>2.0913260100000001E-2</v>
      </c>
      <c r="J27" s="436" cm="1">
        <f t="array" ref="J27">+_xldudf_WISE($C27,$D$1,J$2)</f>
        <v>5.4044413299999997E-2</v>
      </c>
      <c r="K27" s="436" cm="1">
        <f t="array" ref="K27">+_xldudf_WISE($C27,$D$1,K$2)</f>
        <v>0.15570942290000001</v>
      </c>
      <c r="L27" s="436" cm="1">
        <f t="array" ref="L27">+_xldudf_WISE($C27,$D$1,L$2)</f>
        <v>0.1144129779</v>
      </c>
      <c r="M27" s="436" cm="1">
        <f t="array" ref="M27">+_xldudf_WISE($C27,$D$1,M$2)</f>
        <v>0.1198583233</v>
      </c>
      <c r="N27" s="436" cm="1">
        <f t="array" ref="N27">+_xldudf_WISE($C27,$D$1,N$2)</f>
        <v>0.110467501</v>
      </c>
    </row>
    <row r="28" spans="2:14" ht="15.75" x14ac:dyDescent="0.25">
      <c r="B28" s="100" t="s">
        <v>2901</v>
      </c>
      <c r="C28" s="100" t="s">
        <v>1046</v>
      </c>
      <c r="D28" s="436" cm="1">
        <f t="array" ref="D28">+_xldudf_WISE($C28,$D$1,D$2)</f>
        <v>0.19209650290445623</v>
      </c>
      <c r="E28" s="436" cm="1">
        <f t="array" ref="E28">+_xldudf_WISE($C28,$D$1,E$2)</f>
        <v>0.25798960409999999</v>
      </c>
      <c r="F28" s="436" cm="1">
        <f t="array" ref="F28">+_xldudf_WISE($C28,$D$1,F$2)</f>
        <v>0.22441563010000001</v>
      </c>
      <c r="G28" s="436" cm="1">
        <f t="array" ref="G28">+_xldudf_WISE($C28,$D$1,G$2)</f>
        <v>0.2108508633</v>
      </c>
      <c r="H28" s="436" cm="1">
        <f t="array" ref="H28">+_xldudf_WISE($C28,$D$1,H$2)</f>
        <v>0.22193758860000001</v>
      </c>
      <c r="I28" s="436" cm="1">
        <f t="array" ref="I28">+_xldudf_WISE($C28,$D$1,I$2)</f>
        <v>0.13054257720000001</v>
      </c>
      <c r="J28" s="436" cm="1">
        <f t="array" ref="J28">+_xldudf_WISE($C28,$D$1,J$2)</f>
        <v>0.1279417065</v>
      </c>
      <c r="K28" s="436" cm="1">
        <f t="array" ref="K28">+_xldudf_WISE($C28,$D$1,K$2)</f>
        <v>0.12227268130000001</v>
      </c>
      <c r="L28" s="436" cm="1">
        <f t="array" ref="L28">+_xldudf_WISE($C28,$D$1,L$2)</f>
        <v>7.0413263899999995E-2</v>
      </c>
      <c r="M28" s="436" cm="1">
        <f t="array" ref="M28">+_xldudf_WISE($C28,$D$1,M$2)</f>
        <v>0.12689288630000001</v>
      </c>
      <c r="N28" s="436" cm="1">
        <f t="array" ref="N28">+_xldudf_WISE($C28,$D$1,N$2)</f>
        <v>0.1225940215</v>
      </c>
    </row>
    <row r="29" spans="2:14" ht="15.75" x14ac:dyDescent="0.25">
      <c r="B29" s="100" t="s">
        <v>2900</v>
      </c>
      <c r="C29" s="100" t="s">
        <v>2018</v>
      </c>
      <c r="D29" s="436" cm="1">
        <f t="array" ref="D29">+_xldudf_WISE($C29,$D$1,D$2)</f>
        <v>9.6461813601785143E-2</v>
      </c>
      <c r="E29" s="436" cm="1">
        <f t="array" ref="E29">+_xldudf_WISE($C29,$D$1,E$2)</f>
        <v>0.13315849269999999</v>
      </c>
      <c r="F29" s="436" cm="1">
        <f t="array" ref="F29">+_xldudf_WISE($C29,$D$1,F$2)</f>
        <v>8.2282654799999994E-2</v>
      </c>
      <c r="G29" s="436" cm="1">
        <f t="array" ref="G29">+_xldudf_WISE($C29,$D$1,G$2)</f>
        <v>1.8268498399999999E-2</v>
      </c>
      <c r="H29" s="436" cm="1">
        <f t="array" ref="H29">+_xldudf_WISE($C29,$D$1,H$2)</f>
        <v>7.8175901500000006E-2</v>
      </c>
      <c r="I29" s="436" cm="1">
        <f t="array" ref="I29">+_xldudf_WISE($C29,$D$1,I$2)</f>
        <v>0.1036355628</v>
      </c>
      <c r="J29" s="436" cm="1">
        <f t="array" ref="J29">+_xldudf_WISE($C29,$D$1,J$2)</f>
        <v>8.7812152000000004E-2</v>
      </c>
      <c r="K29" s="436" cm="1">
        <f t="array" ref="K29">+_xldudf_WISE($C29,$D$1,K$2)</f>
        <v>0.1177817131</v>
      </c>
      <c r="L29" s="436" cm="1">
        <f t="array" ref="L29">+_xldudf_WISE($C29,$D$1,L$2)</f>
        <v>4.4609099700000002E-2</v>
      </c>
      <c r="M29" s="436" cm="1">
        <f t="array" ref="M29">+_xldudf_WISE($C29,$D$1,M$2)</f>
        <v>6.8683496699999999E-2</v>
      </c>
      <c r="N29" s="436" cm="1">
        <f t="array" ref="N29">+_xldudf_WISE($C29,$D$1,N$2)</f>
        <v>2.7895205900000001E-2</v>
      </c>
    </row>
    <row r="32" spans="2:14" ht="15.75" x14ac:dyDescent="0.25">
      <c r="C32" s="100" t="s">
        <v>3367</v>
      </c>
      <c r="D32" s="438" t="s">
        <v>2209</v>
      </c>
      <c r="E32" s="438">
        <v>2024</v>
      </c>
      <c r="F32" s="438">
        <v>2023</v>
      </c>
      <c r="G32" s="438">
        <v>2022</v>
      </c>
      <c r="H32" s="438">
        <v>2021</v>
      </c>
      <c r="I32" s="438">
        <v>2020</v>
      </c>
      <c r="J32" s="438">
        <v>2019</v>
      </c>
      <c r="K32" s="438">
        <v>2018</v>
      </c>
      <c r="L32" s="438">
        <v>2017</v>
      </c>
    </row>
    <row r="33" spans="2:14" ht="15.75" x14ac:dyDescent="0.25">
      <c r="C33" s="100" t="s">
        <v>3352</v>
      </c>
      <c r="D33" s="418" cm="1">
        <f t="array" ref="D33">+_xldudf_WISE($C$32,$C33,D$32)</f>
        <v>36799000000</v>
      </c>
      <c r="E33" s="418" cm="1">
        <f t="array" ref="E33">+_xldudf_WISE($C$32,$C33,E$32)</f>
        <v>33256000000</v>
      </c>
      <c r="F33" s="418" cm="1">
        <f t="array" ref="F33">+_xldudf_WISE($C$32,$C33,F$32)</f>
        <v>1362263000</v>
      </c>
      <c r="G33" s="418" cm="1">
        <f t="array" ref="G33">+_xldudf_WISE($C$32,$C33,G$32)</f>
        <v>1346327000</v>
      </c>
      <c r="H33" s="418" cm="1">
        <f t="array" ref="H33">+_xldudf_WISE($C$32,$C33,H$32)</f>
        <v>1428766000</v>
      </c>
      <c r="I33" s="418" cm="1">
        <f t="array" ref="I33">+_xldudf_WISE($C$32,$C33,I$32)</f>
        <v>1382677000</v>
      </c>
      <c r="J33" s="418" cm="1">
        <f t="array" ref="J33">+_xldudf_WISE($C$32,$C33,J$32)</f>
        <v>1270528000</v>
      </c>
      <c r="K33" s="418" cm="1">
        <f t="array" ref="K33">+_xldudf_WISE($C$32,$C33,K$32)</f>
        <v>1203056000</v>
      </c>
      <c r="L33" s="418" cm="1">
        <f t="array" ref="L33">+_xldudf_WISE($C$32,$C33,L$32)</f>
        <v>1260321000</v>
      </c>
    </row>
    <row r="34" spans="2:14" ht="15.75" x14ac:dyDescent="0.25">
      <c r="C34" s="100" t="s">
        <v>3353</v>
      </c>
      <c r="D34" s="418" cm="1">
        <f t="array" ref="D34">+_xldudf_WISE($C$32,$C34,D$32)</f>
        <v>-2406701000</v>
      </c>
      <c r="E34" s="418" cm="1">
        <f t="array" ref="E34">+_xldudf_WISE($C$32,$C34,E$32)</f>
        <v>1182000000</v>
      </c>
      <c r="F34" s="418" cm="1">
        <f t="array" ref="F34">+_xldudf_WISE($C$32,$C34,F$32)</f>
        <v>1211913000</v>
      </c>
      <c r="G34" s="418" cm="1">
        <f t="array" ref="G34">+_xldudf_WISE($C$32,$C34,G$32)</f>
        <v>494226000</v>
      </c>
      <c r="H34" s="418" cm="1">
        <f t="array" ref="H34">+_xldudf_WISE($C$32,$C34,H$32)</f>
        <v>500807000</v>
      </c>
      <c r="I34" s="418" cm="1">
        <f t="array" ref="I34">+_xldudf_WISE($C$32,$C34,I$32)</f>
        <v>625114000</v>
      </c>
      <c r="J34" s="418" cm="1">
        <f t="array" ref="J34">+_xldudf_WISE($C$32,$C34,J$32)</f>
        <v>740970000</v>
      </c>
      <c r="K34" s="418" cm="1">
        <f t="array" ref="K34">+_xldudf_WISE($C$32,$C34,K$32)</f>
        <v>843297000</v>
      </c>
      <c r="L34" s="418" cm="1">
        <f t="array" ref="L34">+_xldudf_WISE($C$32,$C34,L$32)</f>
        <v>387306000</v>
      </c>
    </row>
    <row r="35" spans="2:14" ht="15.75" x14ac:dyDescent="0.25">
      <c r="C35" s="100" t="s">
        <v>3354</v>
      </c>
      <c r="D35" s="418">
        <f>+SUM(D33:D34)</f>
        <v>34392299000</v>
      </c>
      <c r="E35" s="418">
        <f t="shared" ref="E35:K35" si="0">+SUM(E33:E34)</f>
        <v>34438000000</v>
      </c>
      <c r="F35" s="418">
        <f t="shared" si="0"/>
        <v>2574176000</v>
      </c>
      <c r="G35" s="418">
        <f t="shared" si="0"/>
        <v>1840553000</v>
      </c>
      <c r="H35" s="418">
        <f>+SUM(H33:H34)</f>
        <v>1929573000</v>
      </c>
      <c r="I35" s="418">
        <f>+SUM(I33:I34)</f>
        <v>2007791000</v>
      </c>
      <c r="J35" s="418">
        <f t="shared" si="0"/>
        <v>2011498000</v>
      </c>
      <c r="K35" s="418">
        <f t="shared" si="0"/>
        <v>2046353000</v>
      </c>
      <c r="L35" s="418">
        <f>+SUM(L33:L34)</f>
        <v>1647627000</v>
      </c>
    </row>
    <row r="36" spans="2:14" ht="15.75" x14ac:dyDescent="0.25">
      <c r="C36" s="100" t="s">
        <v>3355</v>
      </c>
      <c r="D36" s="418" cm="1">
        <f t="array" ref="D36">+_xldudf_WISE($C$32,$C36,D$32)</f>
        <v>9760491898</v>
      </c>
      <c r="E36" s="418" cm="1">
        <f t="array" ref="E36">+_xldudf_WISE($C$32,$C36,E$32)</f>
        <v>4184000000</v>
      </c>
      <c r="F36" s="418" cm="1">
        <f t="array" ref="F36">+_xldudf_WISE($C$32,$C36,F$32)</f>
        <v>2810000000</v>
      </c>
      <c r="G36" s="418" cm="1">
        <f t="array" ref="G36">+_xldudf_WISE($C$32,$C36,G$32)</f>
        <v>3024000000</v>
      </c>
      <c r="H36" s="418" cm="1">
        <f t="array" ref="H36">+_xldudf_WISE($C$32,$C36,H$32)</f>
        <v>4341000000</v>
      </c>
      <c r="I36" s="418" cm="1">
        <f t="array" ref="I36">+_xldudf_WISE($C$32,$C36,I$32)</f>
        <v>123370000</v>
      </c>
      <c r="J36" s="418" cm="1">
        <f t="array" ref="J36">+_xldudf_WISE($C$32,$C36,J$32)</f>
        <v>236448000</v>
      </c>
      <c r="K36" s="418" cm="1">
        <f t="array" ref="K36">+_xldudf_WISE($C$32,$C36,K$32)</f>
        <v>231764000</v>
      </c>
      <c r="L36" s="418" cm="1">
        <f t="array" ref="L36">+_xldudf_WISE($C$32,$C36,L$32)</f>
        <v>206451000</v>
      </c>
    </row>
    <row r="37" spans="2:14" ht="15.75" x14ac:dyDescent="0.25">
      <c r="C37" s="100" t="s">
        <v>3002</v>
      </c>
      <c r="D37" s="418" cm="1">
        <f t="array" ref="D37">+_xldudf_WISE($C$32,$C37,D$32)</f>
        <v>2119961789</v>
      </c>
      <c r="E37" s="418" cm="1">
        <f t="array" ref="E37">+_xldudf_WISE($C$32,$C37,E$32)</f>
        <v>1520000000</v>
      </c>
      <c r="F37" s="418" cm="1">
        <f t="array" ref="F37">+_xldudf_WISE($C$32,$C37,F$32)</f>
        <v>861000000</v>
      </c>
      <c r="G37" s="418" cm="1">
        <f t="array" ref="G37">+_xldudf_WISE($C$32,$C37,G$32)</f>
        <v>664000000</v>
      </c>
      <c r="H37" s="418" cm="1">
        <f t="array" ref="H37">+_xldudf_WISE($C$32,$C37,H$32)</f>
        <v>1344000000</v>
      </c>
      <c r="I37" s="418" cm="1">
        <f t="array" ref="I37">+_xldudf_WISE($C$32,$C37,I$32)</f>
        <v>38120000</v>
      </c>
      <c r="J37" s="418" cm="1">
        <f t="array" ref="J37">+_xldudf_WISE($C$32,$C37,J$32)</f>
        <v>48494000</v>
      </c>
      <c r="K37" s="418" cm="1">
        <f t="array" ref="K37">+_xldudf_WISE($C$32,$C37,K$32)</f>
        <v>41309000</v>
      </c>
      <c r="L37" s="418" cm="1">
        <f t="array" ref="L37">+_xldudf_WISE($C$32,$C37,L$32)</f>
        <v>136284000</v>
      </c>
    </row>
    <row r="38" spans="2:14" ht="15.75" x14ac:dyDescent="0.25">
      <c r="C38" s="103" t="s">
        <v>2915</v>
      </c>
      <c r="D38" s="437">
        <f>+D36-D37</f>
        <v>7640530109</v>
      </c>
      <c r="E38" s="437">
        <f t="shared" ref="E38:L38" si="1">+E36-E37</f>
        <v>2664000000</v>
      </c>
      <c r="F38" s="437">
        <f t="shared" si="1"/>
        <v>1949000000</v>
      </c>
      <c r="G38" s="437">
        <f t="shared" si="1"/>
        <v>2360000000</v>
      </c>
      <c r="H38" s="437">
        <f t="shared" si="1"/>
        <v>2997000000</v>
      </c>
      <c r="I38" s="437">
        <f t="shared" si="1"/>
        <v>85250000</v>
      </c>
      <c r="J38" s="437">
        <f t="shared" si="1"/>
        <v>187954000</v>
      </c>
      <c r="K38" s="437">
        <f t="shared" si="1"/>
        <v>190455000</v>
      </c>
      <c r="L38" s="437">
        <f t="shared" si="1"/>
        <v>70167000</v>
      </c>
      <c r="M38" s="307"/>
      <c r="N38" s="307"/>
    </row>
    <row r="39" spans="2:14" ht="15.75" x14ac:dyDescent="0.25">
      <c r="C39" s="438" t="s">
        <v>2173</v>
      </c>
      <c r="D39" s="439">
        <f>+D38/D35</f>
        <v>0.22215816712340167</v>
      </c>
      <c r="E39" s="439">
        <f t="shared" ref="E39:L39" si="2">+E38/E35</f>
        <v>7.7356408618386663E-2</v>
      </c>
      <c r="F39" s="439">
        <f t="shared" si="2"/>
        <v>0.75713548723941171</v>
      </c>
      <c r="G39" s="439">
        <f t="shared" si="2"/>
        <v>1.2822233317921299</v>
      </c>
      <c r="H39" s="439">
        <f t="shared" si="2"/>
        <v>1.5531933749072981</v>
      </c>
      <c r="I39" s="439">
        <f t="shared" si="2"/>
        <v>4.245959863352311E-2</v>
      </c>
      <c r="J39" s="439">
        <f t="shared" si="2"/>
        <v>9.3439814506402694E-2</v>
      </c>
      <c r="K39" s="439">
        <f t="shared" si="2"/>
        <v>9.3070452654063107E-2</v>
      </c>
      <c r="L39" s="439">
        <f t="shared" si="2"/>
        <v>4.258670196591826E-2</v>
      </c>
      <c r="M39" s="440"/>
      <c r="N39" s="440"/>
    </row>
    <row r="40" spans="2:14" ht="15.75" x14ac:dyDescent="0.25">
      <c r="D40" s="418"/>
    </row>
    <row r="43" spans="2:14" ht="15.75" x14ac:dyDescent="0.25">
      <c r="D43" s="438" t="s">
        <v>2209</v>
      </c>
      <c r="E43" s="438">
        <v>2024</v>
      </c>
      <c r="F43" s="438">
        <v>2023</v>
      </c>
      <c r="G43" s="438">
        <v>2022</v>
      </c>
      <c r="H43" s="438">
        <v>2021</v>
      </c>
      <c r="I43" s="438">
        <v>2020</v>
      </c>
      <c r="J43" s="438">
        <v>2019</v>
      </c>
      <c r="K43" s="438">
        <v>2018</v>
      </c>
      <c r="L43" s="438">
        <v>2017</v>
      </c>
    </row>
    <row r="44" spans="2:14" ht="15.75" x14ac:dyDescent="0.25">
      <c r="B44" s="100" t="s">
        <v>3318</v>
      </c>
      <c r="C44" s="100" t="s">
        <v>3350</v>
      </c>
      <c r="D44" s="251">
        <v>0.12333668341708542</v>
      </c>
      <c r="E44" s="251">
        <v>0.13632893445304831</v>
      </c>
      <c r="F44" s="251">
        <v>0.18002622517403494</v>
      </c>
      <c r="G44" s="251">
        <v>0.18314362001124226</v>
      </c>
      <c r="H44" s="251">
        <v>0.16352421309074888</v>
      </c>
      <c r="I44" s="251">
        <v>8.4613843820642687E-2</v>
      </c>
      <c r="J44" s="251">
        <v>0.14744253468627044</v>
      </c>
      <c r="K44" s="251">
        <v>0.18493557978196234</v>
      </c>
      <c r="L44" s="251">
        <v>0.15858257817819915</v>
      </c>
      <c r="M44" s="251"/>
    </row>
    <row r="45" spans="2:14" ht="15.75" x14ac:dyDescent="0.25">
      <c r="B45" s="100" t="s">
        <v>3319</v>
      </c>
      <c r="C45" s="100" t="s">
        <v>3324</v>
      </c>
      <c r="D45" s="251">
        <v>0.50454654223498441</v>
      </c>
      <c r="E45" s="251">
        <v>0.54729214340198318</v>
      </c>
      <c r="F45" s="251">
        <v>0.60665863211810789</v>
      </c>
      <c r="G45" s="251">
        <v>0.6913843175217812</v>
      </c>
      <c r="H45" s="251">
        <v>0.57082779991146526</v>
      </c>
      <c r="I45" s="251">
        <v>0.33206730658564093</v>
      </c>
      <c r="J45" s="251">
        <v>0.48485030299394011</v>
      </c>
      <c r="K45" s="251">
        <v>0.45198633571609309</v>
      </c>
      <c r="L45" s="251">
        <v>0.59796050203026951</v>
      </c>
      <c r="M45" s="251"/>
    </row>
    <row r="46" spans="2:14" ht="15.75" x14ac:dyDescent="0.25">
      <c r="B46" s="100" t="s">
        <v>3320</v>
      </c>
      <c r="C46" s="100" t="s">
        <v>3325</v>
      </c>
      <c r="D46" s="251">
        <v>4.4695418479651909E-2</v>
      </c>
      <c r="E46" s="251">
        <v>5.7210854917475427E-2</v>
      </c>
      <c r="F46" s="251">
        <v>0.11979671670734561</v>
      </c>
      <c r="G46" s="251">
        <v>0.19266139840103516</v>
      </c>
      <c r="H46" s="251">
        <v>0.19452864001415959</v>
      </c>
      <c r="I46" s="251">
        <v>0.14219150771160718</v>
      </c>
      <c r="J46" s="251">
        <v>0.14093253042221135</v>
      </c>
      <c r="K46" s="251">
        <v>0.24239361250318525</v>
      </c>
      <c r="L46" s="251">
        <v>0.13494736842105262</v>
      </c>
      <c r="M46" s="251"/>
    </row>
    <row r="47" spans="2:14" ht="15.75" x14ac:dyDescent="0.25">
      <c r="B47" s="100" t="s">
        <v>3321</v>
      </c>
      <c r="C47" s="100" t="s">
        <v>1852</v>
      </c>
      <c r="D47" s="251">
        <v>0.31434227061401598</v>
      </c>
      <c r="E47" s="251">
        <v>0.29670718226897724</v>
      </c>
      <c r="F47" s="251">
        <v>0.28751056017327381</v>
      </c>
      <c r="G47" s="251">
        <v>0.24680743236948699</v>
      </c>
      <c r="H47" s="251">
        <v>0.24920302372042738</v>
      </c>
      <c r="I47" s="251">
        <v>0.2091353346598793</v>
      </c>
      <c r="J47" s="251">
        <v>0.27705752611251849</v>
      </c>
      <c r="K47" s="251">
        <v>0.32593829075374436</v>
      </c>
      <c r="L47" s="251">
        <v>0.29400883747054563</v>
      </c>
      <c r="M47" s="251"/>
    </row>
    <row r="48" spans="2:14" ht="15.75" x14ac:dyDescent="0.25">
      <c r="B48" s="100" t="s">
        <v>2897</v>
      </c>
      <c r="C48" s="100" t="s">
        <v>1486</v>
      </c>
      <c r="D48" s="251">
        <v>0.72929236920248353</v>
      </c>
      <c r="E48" s="251">
        <v>0.6398956636041242</v>
      </c>
      <c r="F48" s="251">
        <v>0.6809568015411569</v>
      </c>
      <c r="G48" s="251">
        <v>0.62779456572166559</v>
      </c>
      <c r="H48" s="251">
        <v>0.57339438398756315</v>
      </c>
      <c r="I48" s="251">
        <v>0.37839319255887327</v>
      </c>
      <c r="J48" s="251">
        <v>0.35706221482921485</v>
      </c>
      <c r="K48" s="251">
        <v>0.29392439082961624</v>
      </c>
      <c r="L48" s="251">
        <v>0.19877265317863649</v>
      </c>
      <c r="M48" s="251"/>
    </row>
    <row r="49" spans="2:13" ht="15.75" x14ac:dyDescent="0.25">
      <c r="B49" s="100" t="s">
        <v>3326</v>
      </c>
      <c r="C49" s="100" t="s">
        <v>3327</v>
      </c>
      <c r="D49" s="251">
        <v>1.5297692064945818E-4</v>
      </c>
      <c r="E49" s="251">
        <v>0.17004339326873855</v>
      </c>
      <c r="F49" s="251">
        <v>0.1476140464592659</v>
      </c>
      <c r="G49" s="251">
        <v>0.15223543144942697</v>
      </c>
      <c r="H49" s="251">
        <v>0.17569720081048726</v>
      </c>
      <c r="I49" s="251">
        <v>0.11036074328919471</v>
      </c>
      <c r="J49" s="251">
        <v>0.10990753712949121</v>
      </c>
      <c r="K49" s="251">
        <v>9.7777357464196052E-2</v>
      </c>
      <c r="L49" s="251">
        <v>8.8035115290297006E-2</v>
      </c>
      <c r="M49" s="251"/>
    </row>
    <row r="50" spans="2:13" ht="15.75" x14ac:dyDescent="0.25">
      <c r="B50" s="100" t="s">
        <v>3328</v>
      </c>
      <c r="C50" s="100" t="s">
        <v>3351</v>
      </c>
      <c r="D50" s="251" cm="1">
        <f t="array" ref="D50">+_xldudf_WISE($C$50,"ROE",D43)</f>
        <v>0.1031342591143128</v>
      </c>
      <c r="E50" s="251" cm="1">
        <f t="array" ref="E50">+_xldudf_WISE($C$50,"ROE",E43)</f>
        <v>0.13704863810000001</v>
      </c>
      <c r="F50" s="251" cm="1">
        <f t="array" ref="F50">+_xldudf_WISE($C$50,"ROE",F43)</f>
        <v>0.17143707250000001</v>
      </c>
      <c r="G50" s="251" cm="1">
        <f t="array" ref="G50">+_xldudf_WISE($C$50,"ROE",G43)</f>
        <v>-4.8073185999999997E-2</v>
      </c>
      <c r="H50" s="251" cm="1">
        <f t="array" ref="H50">+_xldudf_WISE($C$50,"ROE",H43)</f>
        <v>0.17767123209999999</v>
      </c>
      <c r="I50" s="251" cm="1">
        <f t="array" ref="I50">+_xldudf_WISE($C$50,"ROE",I43)</f>
        <v>9.5948678100000004E-2</v>
      </c>
      <c r="J50" s="251" cm="1">
        <f t="array" ref="J50">+_xldudf_WISE($C$50,"ROE",J43)</f>
        <v>0.1916636652</v>
      </c>
      <c r="K50" s="251" cm="1">
        <f t="array" ref="K50">+_xldudf_WISE($C$50,"ROE",K43)</f>
        <v>1.1531303099999999E-2</v>
      </c>
      <c r="L50" s="251" cm="1">
        <f t="array" ref="L50">+_xldudf_WISE($C$50,"ROE",L43)</f>
        <v>0.12902818290000001</v>
      </c>
      <c r="M50" s="251"/>
    </row>
    <row r="51" spans="2:13" ht="15.75" x14ac:dyDescent="0.25">
      <c r="B51" s="100" t="s">
        <v>3322</v>
      </c>
      <c r="C51" s="100" t="s">
        <v>3220</v>
      </c>
      <c r="D51" s="251">
        <v>0.10722768103474867</v>
      </c>
      <c r="E51" s="251">
        <v>0.10790637431769821</v>
      </c>
      <c r="F51" s="251">
        <v>9.0520321330359657E-2</v>
      </c>
      <c r="G51" s="251">
        <v>7.7169455294912231E-2</v>
      </c>
      <c r="H51" s="251">
        <v>6.562839575796757E-2</v>
      </c>
      <c r="I51" s="251">
        <v>7.1787970357324205E-2</v>
      </c>
      <c r="J51" s="251">
        <v>7.1037808056830243E-2</v>
      </c>
      <c r="K51" s="251">
        <v>6.1862319690395212E-2</v>
      </c>
      <c r="L51" s="251">
        <v>0.16749272215380734</v>
      </c>
      <c r="M51" s="251"/>
    </row>
    <row r="52" spans="2:13" ht="15.75" x14ac:dyDescent="0.25">
      <c r="B52" s="100" t="s">
        <v>3323</v>
      </c>
      <c r="C52" s="100" t="s">
        <v>3191</v>
      </c>
      <c r="D52" s="251">
        <v>9.4765840220385672E-2</v>
      </c>
      <c r="E52" s="251">
        <v>7.3204565039197964E-2</v>
      </c>
      <c r="F52" s="251">
        <v>6.7742002970773443E-2</v>
      </c>
      <c r="G52" s="251">
        <v>5.6103513142508513E-2</v>
      </c>
      <c r="H52" s="251">
        <v>0.12651813500041309</v>
      </c>
      <c r="I52" s="251">
        <v>6.6154146124063395E-2</v>
      </c>
      <c r="J52" s="251">
        <v>8.7397961255736512E-2</v>
      </c>
      <c r="K52" s="251">
        <v>8.672301094966485E-2</v>
      </c>
      <c r="L52" s="251">
        <v>0.10676377847848292</v>
      </c>
      <c r="M52" s="251"/>
    </row>
    <row r="53" spans="2:13" ht="15.75" x14ac:dyDescent="0.25">
      <c r="B53" s="100" t="s">
        <v>3329</v>
      </c>
      <c r="C53" s="100" t="s">
        <v>3189</v>
      </c>
      <c r="D53" s="251">
        <v>0.44470134874759154</v>
      </c>
      <c r="E53" s="251">
        <v>0.40464186007750325</v>
      </c>
      <c r="F53" s="251">
        <v>0.40167793055231882</v>
      </c>
      <c r="G53" s="251">
        <v>0.36923149591422227</v>
      </c>
      <c r="H53" s="251">
        <v>0.2864136505145084</v>
      </c>
      <c r="I53" s="251">
        <v>0.2536200586483599</v>
      </c>
      <c r="J53" s="251">
        <v>0.27990820424555363</v>
      </c>
      <c r="K53" s="251">
        <v>0.24600932335075576</v>
      </c>
      <c r="L53" s="251">
        <v>0.17329648752817978</v>
      </c>
      <c r="M53" s="251"/>
    </row>
    <row r="54" spans="2:13" ht="15.75" x14ac:dyDescent="0.25">
      <c r="B54" s="100" t="s">
        <v>3330</v>
      </c>
      <c r="C54" s="100" t="s">
        <v>3190</v>
      </c>
      <c r="D54" s="251">
        <v>0.78468094650667264</v>
      </c>
      <c r="E54" s="251">
        <v>0.80998834284311916</v>
      </c>
      <c r="F54" s="251">
        <v>0.82072391767210784</v>
      </c>
      <c r="G54" s="251">
        <v>0.78121266427718039</v>
      </c>
      <c r="H54" s="251">
        <v>0.60912755542758423</v>
      </c>
      <c r="I54" s="251">
        <v>0.74173644777434988</v>
      </c>
      <c r="J54" s="251">
        <v>1.0691899070385127</v>
      </c>
      <c r="K54" s="251">
        <v>1.1548336899435907</v>
      </c>
      <c r="L54" s="251">
        <v>0.79363510575212493</v>
      </c>
      <c r="M54" s="251"/>
    </row>
    <row r="55" spans="2:13" ht="15.75" x14ac:dyDescent="0.25">
      <c r="B55" s="100" t="s">
        <v>3331</v>
      </c>
      <c r="C55" s="100" t="s">
        <v>3221</v>
      </c>
      <c r="D55" s="251">
        <v>0.18912491434560039</v>
      </c>
      <c r="E55" s="251">
        <v>0.17455234885190646</v>
      </c>
      <c r="F55" s="251">
        <v>0.17846253349348609</v>
      </c>
      <c r="G55" s="251">
        <v>0.12611826314641064</v>
      </c>
      <c r="H55" s="251">
        <v>0.16936429744311518</v>
      </c>
      <c r="I55" s="251">
        <v>0.10021480502313285</v>
      </c>
      <c r="J55" s="251">
        <v>0.14987968374011687</v>
      </c>
      <c r="K55" s="251">
        <v>0.19115098379039658</v>
      </c>
      <c r="L55" s="251">
        <v>0.1220324569484799</v>
      </c>
      <c r="M55" s="251"/>
    </row>
    <row r="56" spans="2:13" ht="15.75" x14ac:dyDescent="0.25">
      <c r="B56" s="100" t="s">
        <v>3332</v>
      </c>
      <c r="C56" s="100" t="s">
        <v>1861</v>
      </c>
      <c r="D56" s="251">
        <v>7.8769250281165548E-2</v>
      </c>
      <c r="E56" s="251">
        <v>8.0425244946049856E-2</v>
      </c>
      <c r="F56" s="251">
        <v>5.1219603582000076E-2</v>
      </c>
      <c r="G56" s="251">
        <v>4.0540752310159481E-2</v>
      </c>
      <c r="H56" s="251">
        <v>4.8541899564168087E-2</v>
      </c>
      <c r="I56" s="251">
        <v>6.9388114527248024E-2</v>
      </c>
      <c r="J56" s="251">
        <v>7.4381674320810054E-2</v>
      </c>
      <c r="K56" s="251">
        <v>7.5034629648937284E-2</v>
      </c>
      <c r="L56" s="251">
        <v>7.1925957605465454E-2</v>
      </c>
      <c r="M56" s="251"/>
    </row>
    <row r="57" spans="2:13" ht="15.75" x14ac:dyDescent="0.25">
      <c r="B57" s="100" t="s">
        <v>3334</v>
      </c>
      <c r="C57" s="100" t="s">
        <v>3335</v>
      </c>
      <c r="D57" s="251">
        <v>0.14267380226457374</v>
      </c>
      <c r="E57" s="251">
        <v>4.1772605337154309E-2</v>
      </c>
      <c r="F57" s="251">
        <v>0.22406360518701104</v>
      </c>
      <c r="G57" s="251">
        <v>-1.4689989986351032E-3</v>
      </c>
      <c r="H57" s="251">
        <v>-6.9851249685394454E-2</v>
      </c>
      <c r="I57" s="251">
        <v>-6.0137694627915801E-2</v>
      </c>
      <c r="J57" s="251">
        <v>4.2033027376380303E-2</v>
      </c>
      <c r="K57" s="251">
        <v>9.0752859630617938E-2</v>
      </c>
      <c r="L57" s="251">
        <v>8.488420898210669E-2</v>
      </c>
      <c r="M57" s="251"/>
    </row>
    <row r="58" spans="2:13" ht="15.75" x14ac:dyDescent="0.25">
      <c r="B58" s="100" t="s">
        <v>3336</v>
      </c>
      <c r="C58" s="100" t="s">
        <v>3337</v>
      </c>
      <c r="D58" s="251">
        <v>0.41154662294479444</v>
      </c>
      <c r="E58" s="251">
        <v>0.15541948785640516</v>
      </c>
      <c r="F58" s="251">
        <v>0.13348451438666353</v>
      </c>
      <c r="G58" s="251">
        <v>8.5008231085035857E-2</v>
      </c>
      <c r="H58" s="251">
        <v>1.1493950544411814E-2</v>
      </c>
      <c r="I58" s="251">
        <v>7.2079639312959704E-3</v>
      </c>
      <c r="J58" s="251">
        <v>0.11942813642074859</v>
      </c>
      <c r="K58" s="251">
        <v>0.11491267289036759</v>
      </c>
      <c r="L58" s="251">
        <v>0.10551388461570199</v>
      </c>
      <c r="M58" s="251"/>
    </row>
    <row r="59" spans="2:13" ht="15.75" x14ac:dyDescent="0.25">
      <c r="B59" s="100" t="s">
        <v>3338</v>
      </c>
      <c r="C59" s="100" t="s">
        <v>3339</v>
      </c>
      <c r="D59" s="251">
        <v>0.64525778763074126</v>
      </c>
      <c r="E59" s="251">
        <v>0.70403221939876304</v>
      </c>
      <c r="F59" s="251">
        <v>0.68655059435162868</v>
      </c>
      <c r="G59" s="251">
        <v>0.76133412256435651</v>
      </c>
      <c r="H59" s="251">
        <v>0.7886643354717916</v>
      </c>
      <c r="I59" s="251">
        <v>0.28047568676475304</v>
      </c>
      <c r="J59" s="251">
        <v>0.19236744493752275</v>
      </c>
      <c r="K59" s="251">
        <v>0.19829075795077755</v>
      </c>
      <c r="L59" s="251">
        <v>0.19142003801248983</v>
      </c>
      <c r="M59" s="251"/>
    </row>
    <row r="60" spans="2:13" ht="15.75" x14ac:dyDescent="0.25">
      <c r="B60" s="100" t="s">
        <v>3340</v>
      </c>
      <c r="C60" s="100" t="s">
        <v>2024</v>
      </c>
      <c r="D60" s="251">
        <v>0.15661855670103092</v>
      </c>
      <c r="E60" s="251">
        <v>0.13739572098533578</v>
      </c>
      <c r="F60" s="251">
        <v>0.15136444071900904</v>
      </c>
      <c r="G60" s="251">
        <v>9.7866108355077919E-2</v>
      </c>
      <c r="H60" s="251">
        <v>0.1536210409335062</v>
      </c>
      <c r="I60" s="251">
        <v>7.6831635128578366E-2</v>
      </c>
      <c r="J60" s="251">
        <v>0.17383288977600356</v>
      </c>
      <c r="K60" s="251">
        <v>0.56123106670963585</v>
      </c>
      <c r="L60" s="251">
        <v>0.70087311486563098</v>
      </c>
      <c r="M60" s="251"/>
    </row>
    <row r="61" spans="2:13" ht="15.75" x14ac:dyDescent="0.25">
      <c r="B61" s="100" t="s">
        <v>3341</v>
      </c>
      <c r="C61" s="100" t="s">
        <v>3342</v>
      </c>
      <c r="D61" s="251">
        <v>0.45435297048200274</v>
      </c>
      <c r="E61" s="251">
        <v>0.44287956707629067</v>
      </c>
      <c r="F61" s="251">
        <v>0.68456471575414302</v>
      </c>
      <c r="G61" s="251">
        <v>0.63417411014624758</v>
      </c>
      <c r="H61" s="251">
        <v>0.54598423924957595</v>
      </c>
      <c r="I61" s="251">
        <v>0.70799684853259803</v>
      </c>
      <c r="J61" s="251">
        <v>0.9201733868371923</v>
      </c>
      <c r="K61" s="251">
        <v>1.0420797472491556</v>
      </c>
      <c r="L61" s="251">
        <v>1.1763787243163792</v>
      </c>
      <c r="M61" s="251"/>
    </row>
    <row r="62" spans="2:13" ht="15.75" x14ac:dyDescent="0.25">
      <c r="B62" s="100" t="s">
        <v>3343</v>
      </c>
      <c r="C62" s="100" t="s">
        <v>848</v>
      </c>
      <c r="D62" s="251">
        <v>0.19846264637735614</v>
      </c>
      <c r="E62" s="251">
        <v>0.14779007627776677</v>
      </c>
      <c r="F62" s="251">
        <v>0.19976126948462294</v>
      </c>
      <c r="G62" s="251">
        <v>0.23102148352649354</v>
      </c>
      <c r="H62" s="251">
        <v>0.20011168572607863</v>
      </c>
      <c r="I62" s="251">
        <v>0.11178117833833127</v>
      </c>
      <c r="J62" s="251">
        <v>0.66761485616144267</v>
      </c>
      <c r="K62" s="251">
        <v>0.23979654120040692</v>
      </c>
      <c r="L62" s="251">
        <v>0.21491466135938725</v>
      </c>
      <c r="M62" s="251"/>
    </row>
    <row r="63" spans="2:13" ht="15.75" x14ac:dyDescent="0.25">
      <c r="B63" s="100" t="s">
        <v>3344</v>
      </c>
      <c r="C63" s="100" t="s">
        <v>1459</v>
      </c>
      <c r="D63" s="251">
        <v>0.11584744034264736</v>
      </c>
      <c r="E63" s="251">
        <v>0.1640112464854733</v>
      </c>
      <c r="F63" s="251">
        <v>0.15312422820449495</v>
      </c>
      <c r="G63" s="251">
        <v>0.14706700027800945</v>
      </c>
      <c r="H63" s="251">
        <v>0.14272417002792429</v>
      </c>
      <c r="I63" s="251">
        <v>-8.8607594936708861E-2</v>
      </c>
      <c r="J63" s="251">
        <v>0.16634707574304891</v>
      </c>
      <c r="K63" s="251">
        <v>4.3828715365239294E-2</v>
      </c>
      <c r="L63" s="251">
        <v>0.15088996763754045</v>
      </c>
      <c r="M63" s="251"/>
    </row>
    <row r="64" spans="2:13" ht="15.75" x14ac:dyDescent="0.25">
      <c r="B64" s="100" t="s">
        <v>3345</v>
      </c>
      <c r="C64" s="100" t="s">
        <v>3346</v>
      </c>
      <c r="D64" s="251">
        <v>0.1400171800220886</v>
      </c>
      <c r="E64" s="251">
        <v>0.13866481223922114</v>
      </c>
      <c r="F64" s="251">
        <v>0.19551534225019671</v>
      </c>
      <c r="G64" s="251">
        <v>0.29945553539019965</v>
      </c>
      <c r="H64" s="251">
        <v>0.24884386698964986</v>
      </c>
      <c r="I64" s="251">
        <v>0.1814655172413793</v>
      </c>
      <c r="J64" s="251">
        <v>0.26779141104294479</v>
      </c>
      <c r="K64" s="251">
        <v>0.19386834986474302</v>
      </c>
      <c r="L64" s="251"/>
      <c r="M64" s="251"/>
    </row>
    <row r="65" spans="2:13" ht="15.75" x14ac:dyDescent="0.25">
      <c r="B65" s="100" t="s">
        <v>3347</v>
      </c>
      <c r="C65" s="100" t="s">
        <v>354</v>
      </c>
      <c r="D65" s="251">
        <v>9.282669216424809E-2</v>
      </c>
      <c r="E65" s="251">
        <v>0.11515066415793759</v>
      </c>
      <c r="F65" s="251">
        <v>0.1029184017620539</v>
      </c>
      <c r="G65" s="251">
        <v>0.10298663567693202</v>
      </c>
      <c r="H65" s="251">
        <v>8.4486391380845835E-2</v>
      </c>
      <c r="I65" s="251">
        <v>7.6357288773116871E-2</v>
      </c>
      <c r="J65" s="251">
        <v>9.5909607997230209E-2</v>
      </c>
      <c r="K65" s="251">
        <v>8.5993166324616094E-2</v>
      </c>
      <c r="L65" s="251">
        <v>0.19377112798823654</v>
      </c>
      <c r="M65" s="251"/>
    </row>
    <row r="66" spans="2:13" ht="15.75" x14ac:dyDescent="0.25">
      <c r="B66" s="100" t="s">
        <v>3348</v>
      </c>
      <c r="C66" s="100" t="s">
        <v>3222</v>
      </c>
      <c r="D66" s="251">
        <v>-9.31584438813534E-3</v>
      </c>
      <c r="E66" s="251">
        <v>-0.14647553196105945</v>
      </c>
      <c r="F66" s="251">
        <v>-8.5422303718777261E-3</v>
      </c>
      <c r="G66" s="251">
        <v>-2.0429020067067653E-2</v>
      </c>
      <c r="H66" s="251">
        <v>7.3237113402061862E-2</v>
      </c>
      <c r="I66" s="251">
        <v>8.3359277708592777E-2</v>
      </c>
      <c r="J66" s="251">
        <v>0.11334339797932877</v>
      </c>
      <c r="K66" s="251">
        <v>5.9941300421432871E-2</v>
      </c>
      <c r="L66" s="251">
        <v>4.2963437074965999E-2</v>
      </c>
      <c r="M66" s="251"/>
    </row>
    <row r="67" spans="2:13" ht="15.75" x14ac:dyDescent="0.25">
      <c r="B67" s="100" t="s">
        <v>3356</v>
      </c>
      <c r="C67" s="100" t="s">
        <v>1349</v>
      </c>
      <c r="D67" s="251">
        <v>0.10319146111568382</v>
      </c>
      <c r="E67" s="251">
        <v>6.7889181881009411E-2</v>
      </c>
      <c r="F67" s="251">
        <v>5.1188435031097664E-2</v>
      </c>
      <c r="G67" s="251">
        <v>3.514042388997602E-2</v>
      </c>
      <c r="H67" s="251">
        <v>2.4646160189378052E-2</v>
      </c>
      <c r="I67" s="251">
        <v>2.2296818254163471E-2</v>
      </c>
      <c r="J67" s="251">
        <v>6.231131422240687E-2</v>
      </c>
      <c r="K67" s="251">
        <v>0.18639199762305636</v>
      </c>
      <c r="L67" s="251">
        <v>0.14016848100139412</v>
      </c>
      <c r="M67" s="251"/>
    </row>
    <row r="68" spans="2:13" ht="15.75" x14ac:dyDescent="0.25">
      <c r="B68" s="100" t="s">
        <v>2901</v>
      </c>
      <c r="C68" s="100" t="s">
        <v>1046</v>
      </c>
      <c r="D68" s="251">
        <v>0.25361102130632934</v>
      </c>
      <c r="E68" s="251">
        <v>0.28339636601554974</v>
      </c>
      <c r="F68" s="251">
        <v>0.25143224416766552</v>
      </c>
      <c r="G68" s="251">
        <v>0.24052829388052011</v>
      </c>
      <c r="H68" s="251">
        <v>0.24917865595416044</v>
      </c>
      <c r="I68" s="251">
        <v>0.15107367164503047</v>
      </c>
      <c r="J68" s="251">
        <v>0.14642004531844299</v>
      </c>
      <c r="K68" s="251">
        <v>0.14154930004425878</v>
      </c>
      <c r="L68" s="251">
        <v>7.9907516671697904E-2</v>
      </c>
      <c r="M68" s="251"/>
    </row>
    <row r="69" spans="2:13" ht="15.75" x14ac:dyDescent="0.25">
      <c r="B69" s="100" t="s">
        <v>2900</v>
      </c>
      <c r="C69" s="100" t="s">
        <v>2018</v>
      </c>
      <c r="D69" s="251">
        <v>0.15593221992667811</v>
      </c>
      <c r="E69" s="251">
        <v>0.17547938276972769</v>
      </c>
      <c r="F69" s="251">
        <v>0.11257899499808784</v>
      </c>
      <c r="G69" s="251">
        <v>6.6581135129782629E-2</v>
      </c>
      <c r="H69" s="251">
        <v>9.1969599853493275E-2</v>
      </c>
      <c r="I69" s="251">
        <v>0.14768078660878153</v>
      </c>
      <c r="J69" s="251">
        <v>0.13644264519529453</v>
      </c>
      <c r="K69" s="251">
        <v>0.24973300106799573</v>
      </c>
      <c r="L69" s="251">
        <v>7.3969809145922466E-2</v>
      </c>
      <c r="M69" s="251"/>
    </row>
    <row r="70" spans="2:13" ht="15.75" x14ac:dyDescent="0.25">
      <c r="B70" s="100" t="s">
        <v>3359</v>
      </c>
      <c r="C70" s="100" t="s">
        <v>1893</v>
      </c>
      <c r="D70" s="251">
        <v>0.51385578069129911</v>
      </c>
      <c r="E70" s="251">
        <v>0.42795664647752629</v>
      </c>
      <c r="F70" s="251">
        <v>0.39228654231998217</v>
      </c>
      <c r="G70" s="251">
        <v>0.33540974529346623</v>
      </c>
      <c r="H70" s="251">
        <v>0.31479585306540381</v>
      </c>
      <c r="I70" s="251">
        <v>0.39432340299392321</v>
      </c>
      <c r="J70" s="251">
        <v>0.25085601414055231</v>
      </c>
      <c r="K70" s="251">
        <v>0.22266430679342752</v>
      </c>
      <c r="L70" s="251">
        <v>0.21460624963753316</v>
      </c>
      <c r="M70" s="251"/>
    </row>
    <row r="71" spans="2:13" ht="15.75" x14ac:dyDescent="0.25">
      <c r="B71" s="100" t="s">
        <v>3360</v>
      </c>
      <c r="C71" s="100" t="s">
        <v>1612</v>
      </c>
      <c r="D71" s="251">
        <v>0.28551594997659335</v>
      </c>
      <c r="E71" s="251">
        <v>0.2829660026033049</v>
      </c>
      <c r="F71" s="251">
        <v>0.28519684411858465</v>
      </c>
      <c r="G71" s="251">
        <v>0.31342663336377924</v>
      </c>
      <c r="H71" s="251">
        <v>0.28606183525199724</v>
      </c>
      <c r="I71" s="251">
        <v>0.23658998704760273</v>
      </c>
      <c r="J71" s="251">
        <v>0.21705020036183487</v>
      </c>
      <c r="K71" s="251">
        <v>9.5748041445539556E-2</v>
      </c>
      <c r="L71" s="251">
        <v>0.14018510608002277</v>
      </c>
      <c r="M71" s="251"/>
    </row>
    <row r="72" spans="2:13" ht="15.75" x14ac:dyDescent="0.25">
      <c r="B72" s="100" t="s">
        <v>2899</v>
      </c>
      <c r="C72" s="100" t="s">
        <v>1034</v>
      </c>
      <c r="D72" s="251">
        <v>0.30059967759269213</v>
      </c>
      <c r="E72" s="251">
        <v>0.3252097887203953</v>
      </c>
      <c r="F72" s="251">
        <v>0.25865760064629056</v>
      </c>
      <c r="G72" s="251">
        <v>0.20298932591209318</v>
      </c>
      <c r="H72" s="251">
        <v>0.31795891969775114</v>
      </c>
      <c r="I72" s="251">
        <v>0.23595181596466944</v>
      </c>
      <c r="J72" s="251">
        <v>0.24549561750398163</v>
      </c>
      <c r="K72" s="251">
        <v>0.29037100579026376</v>
      </c>
      <c r="L72" s="251">
        <v>0.23429303587579137</v>
      </c>
      <c r="M72" s="251"/>
    </row>
    <row r="73" spans="2:13" ht="15.75" x14ac:dyDescent="0.25">
      <c r="B73" s="100" t="s">
        <v>3361</v>
      </c>
      <c r="C73" s="100" t="s">
        <v>3368</v>
      </c>
      <c r="D73" s="251">
        <v>0.4253602783224904</v>
      </c>
      <c r="E73" s="251">
        <v>0.33568054664434627</v>
      </c>
      <c r="F73" s="251">
        <v>0.26228647080232981</v>
      </c>
      <c r="G73" s="251">
        <v>0.38729440634796108</v>
      </c>
      <c r="H73" s="251">
        <v>0.31260669178475869</v>
      </c>
      <c r="I73" s="251">
        <v>0.31693979349341017</v>
      </c>
      <c r="J73" s="251">
        <v>0.25416939236276892</v>
      </c>
      <c r="K73" s="251">
        <v>0.28039539371543404</v>
      </c>
      <c r="L73" s="251">
        <v>0.29729394173945178</v>
      </c>
      <c r="M73" s="251"/>
    </row>
    <row r="74" spans="2:13" ht="15.75" x14ac:dyDescent="0.25">
      <c r="B74" s="100" t="s">
        <v>1088</v>
      </c>
      <c r="C74" s="100" t="s">
        <v>1087</v>
      </c>
      <c r="D74" s="251">
        <v>0.15966147210806853</v>
      </c>
      <c r="E74" s="251">
        <v>0.15859486521712146</v>
      </c>
      <c r="F74" s="251">
        <v>0.15085990983469694</v>
      </c>
      <c r="G74" s="251">
        <v>0.17118473895582328</v>
      </c>
      <c r="H74" s="251">
        <v>0.1664374760477017</v>
      </c>
      <c r="I74" s="251">
        <v>0.14368441778045446</v>
      </c>
      <c r="J74" s="251">
        <v>0.15297489082969432</v>
      </c>
      <c r="K74" s="251">
        <v>0.16229748922751017</v>
      </c>
      <c r="L74" s="251">
        <v>0.27491671807526219</v>
      </c>
      <c r="M74" s="251"/>
    </row>
    <row r="75" spans="2:13" ht="15.75" x14ac:dyDescent="0.25">
      <c r="B75" s="100" t="s">
        <v>3363</v>
      </c>
      <c r="C75" s="100" t="s">
        <v>800</v>
      </c>
      <c r="D75" s="251">
        <v>0.31096104567443916</v>
      </c>
      <c r="E75" s="251">
        <v>0.42545800535387623</v>
      </c>
      <c r="F75" s="251">
        <v>0.44976668376483603</v>
      </c>
      <c r="G75" s="251">
        <v>0.47719193104894614</v>
      </c>
      <c r="H75" s="251">
        <v>0.44971865624924551</v>
      </c>
      <c r="I75" s="251">
        <v>0.34066803898840387</v>
      </c>
      <c r="J75" s="251">
        <v>0.53433879752902869</v>
      </c>
      <c r="K75" s="251">
        <v>0.45543503830223786</v>
      </c>
      <c r="L75" s="251">
        <v>0.42123381434828222</v>
      </c>
      <c r="M75" s="251"/>
    </row>
    <row r="76" spans="2:13" ht="15.75" x14ac:dyDescent="0.25">
      <c r="B76" s="100" t="s">
        <v>3364</v>
      </c>
      <c r="C76" s="100" t="s">
        <v>3369</v>
      </c>
      <c r="D76" s="251">
        <v>4.3433670793117919E-2</v>
      </c>
      <c r="E76" s="251">
        <v>2.2408213343316497E-2</v>
      </c>
      <c r="F76" s="251">
        <v>3.5707405501082985E-2</v>
      </c>
      <c r="G76" s="251">
        <v>5.8356171908099719E-2</v>
      </c>
      <c r="H76" s="251">
        <v>9.6733315729600547E-2</v>
      </c>
      <c r="I76" s="251">
        <v>7.4655795228939364E-2</v>
      </c>
      <c r="J76" s="251">
        <v>4.2788147906297355E-2</v>
      </c>
      <c r="K76" s="251">
        <v>6.0103390716909469E-2</v>
      </c>
      <c r="L76" s="251">
        <v>5.2055599859005298E-2</v>
      </c>
    </row>
    <row r="77" spans="2:13" ht="15.75" x14ac:dyDescent="0.25">
      <c r="B77" s="100" t="s">
        <v>3366</v>
      </c>
      <c r="C77" s="100" t="s">
        <v>3367</v>
      </c>
      <c r="D77" s="251">
        <v>0.12062749633771989</v>
      </c>
      <c r="E77" s="251">
        <v>7.7356408618386663E-2</v>
      </c>
      <c r="F77" s="251">
        <v>2.7862896709471303E-2</v>
      </c>
      <c r="G77" s="251">
        <v>5.2319601771858786E-2</v>
      </c>
      <c r="H77" s="251">
        <v>6.3264774123601444E-2</v>
      </c>
      <c r="I77" s="251">
        <v>4.245959863352311E-2</v>
      </c>
      <c r="J77" s="251">
        <v>9.3439814506402694E-2</v>
      </c>
      <c r="K77" s="251">
        <v>9.3070452654063107E-2</v>
      </c>
      <c r="L77" s="251">
        <v>4.4909436419772193E-2</v>
      </c>
    </row>
    <row r="78" spans="2:13" ht="15.75" x14ac:dyDescent="0.25">
      <c r="H78" s="418">
        <v>2020</v>
      </c>
      <c r="I78" t="s">
        <v>2209</v>
      </c>
    </row>
    <row r="79" spans="2:13" ht="15.75" x14ac:dyDescent="0.25">
      <c r="B79" s="100" t="s">
        <v>3890</v>
      </c>
      <c r="H79" s="418"/>
    </row>
    <row r="80" spans="2:13" ht="15.75" x14ac:dyDescent="0.25">
      <c r="B80" s="442" t="s">
        <v>2168</v>
      </c>
      <c r="C80" s="442" t="s">
        <v>2167</v>
      </c>
      <c r="D80" s="442" t="s">
        <v>3357</v>
      </c>
      <c r="E80" s="442" t="s">
        <v>3039</v>
      </c>
      <c r="F80" s="442" t="s">
        <v>3358</v>
      </c>
      <c r="H80" t="s">
        <v>2644</v>
      </c>
    </row>
    <row r="81" spans="2:11" ht="15.75" x14ac:dyDescent="0.25">
      <c r="B81" s="443" t="s">
        <v>3318</v>
      </c>
      <c r="C81" s="100" t="s">
        <v>3686</v>
      </c>
      <c r="D81" s="251">
        <f t="shared" ref="D81:D114" si="3">+AVERAGE(D44:I44)</f>
        <v>0.14516225332780042</v>
      </c>
      <c r="E81" s="441" cm="1">
        <f t="array" ref="E81">+_xldudf_WISE(C81,$E$80,"TTM")</f>
        <v>22.410795974382435</v>
      </c>
      <c r="F81" s="251">
        <f>+(I81/H81)^(1/5)-1</f>
        <v>0.12596154626178491</v>
      </c>
      <c r="H81" s="33" cm="1">
        <f t="array" ref="H81">+_xldudf_WISE($C81,$H$80,H$78)</f>
        <v>44651000000</v>
      </c>
      <c r="I81" s="33" cm="1">
        <f t="array" ref="I81">+_xldudf_WISE($C81,$H$80,I$78)</f>
        <v>80807000000</v>
      </c>
    </row>
    <row r="82" spans="2:11" ht="15.75" x14ac:dyDescent="0.25">
      <c r="B82" s="443" t="s">
        <v>3319</v>
      </c>
      <c r="C82" s="100" t="s">
        <v>3324</v>
      </c>
      <c r="D82" s="251">
        <f t="shared" si="3"/>
        <v>0.54212945696232717</v>
      </c>
      <c r="E82" s="441" cm="1">
        <f t="array" ref="E82">+_xldudf_WISE(C82,$E$80,"TTM")</f>
        <v>38.041714947856313</v>
      </c>
      <c r="F82" s="251">
        <f t="shared" ref="F82:F114" si="4">+(I82/H82)^(1/5)-1</f>
        <v>0.20155273888258685</v>
      </c>
      <c r="H82" s="33" cm="1">
        <f t="array" ref="H82">+_xldudf_WISE($C82,$H$80,H$78)</f>
        <v>6389400000</v>
      </c>
      <c r="I82" s="33" cm="1">
        <f t="array" ref="I82">+_xldudf_WISE($C82,$H$80,I$78)</f>
        <v>16002000000</v>
      </c>
    </row>
    <row r="83" spans="2:11" ht="15.75" x14ac:dyDescent="0.25">
      <c r="B83" s="443" t="s">
        <v>3320</v>
      </c>
      <c r="C83" s="100" t="s">
        <v>3325</v>
      </c>
      <c r="D83" s="251">
        <f t="shared" si="3"/>
        <v>0.12518075603854581</v>
      </c>
      <c r="E83" s="441" cm="1">
        <f t="array" ref="E83">+_xldudf_WISE(C83,$E$80,"TTM")</f>
        <v>414.16666666666657</v>
      </c>
      <c r="F83" s="251">
        <f t="shared" si="4"/>
        <v>2.2963261374384203E-2</v>
      </c>
      <c r="H83" s="33" cm="1">
        <f t="array" ref="H83">+_xldudf_WISE($C83,$H$80,H$78)</f>
        <v>13100200000</v>
      </c>
      <c r="I83" s="33" cm="1">
        <f t="array" ref="I83">+_xldudf_WISE($C83,$H$80,I$78)</f>
        <v>14675000000</v>
      </c>
    </row>
    <row r="84" spans="2:11" ht="15.75" x14ac:dyDescent="0.25">
      <c r="B84" s="443" t="s">
        <v>3321</v>
      </c>
      <c r="C84" s="100" t="s">
        <v>1852</v>
      </c>
      <c r="D84" s="251">
        <f t="shared" si="3"/>
        <v>0.26728430063434344</v>
      </c>
      <c r="E84" s="441" cm="1">
        <f t="array" ref="E84">+_xldudf_WISE(C84,$E$80,"TTM")</f>
        <v>36.577506341463412</v>
      </c>
      <c r="F84" s="251">
        <f t="shared" si="4"/>
        <v>0.15798298108372966</v>
      </c>
      <c r="H84" s="33" cm="1">
        <f t="array" ref="H84">+_xldudf_WISE($C84,$H$80,H$78)</f>
        <v>3459790000</v>
      </c>
      <c r="I84" s="33" cm="1">
        <f t="array" ref="I84">+_xldudf_WISE($C84,$H$80,I$78)</f>
        <v>7203783000</v>
      </c>
    </row>
    <row r="85" spans="2:11" ht="15.75" x14ac:dyDescent="0.25">
      <c r="B85" s="443" t="s">
        <v>2897</v>
      </c>
      <c r="C85" s="100" t="s">
        <v>1486</v>
      </c>
      <c r="D85" s="251">
        <f t="shared" si="3"/>
        <v>0.6049544961026444</v>
      </c>
      <c r="E85" s="441" cm="1">
        <f t="array" ref="E85">+_xldudf_WISE(C85,$E$80,"TTM")</f>
        <v>38.036188178528342</v>
      </c>
      <c r="F85" s="251">
        <f t="shared" si="4"/>
        <v>0.104605436242309</v>
      </c>
      <c r="H85" s="33" cm="1">
        <f t="array" ref="H85">+_xldudf_WISE($C85,$H$80,H$78)</f>
        <v>274515000000</v>
      </c>
      <c r="I85" s="33" cm="1">
        <f t="array" ref="I85">+_xldudf_WISE($C85,$H$80,I$78)</f>
        <v>451442000000</v>
      </c>
    </row>
    <row r="86" spans="2:11" ht="15.75" x14ac:dyDescent="0.25">
      <c r="B86" s="443" t="s">
        <v>3326</v>
      </c>
      <c r="C86" s="100" t="s">
        <v>3327</v>
      </c>
      <c r="D86" s="251">
        <f t="shared" si="3"/>
        <v>0.12601729869962716</v>
      </c>
      <c r="E86" s="441" cm="1">
        <f t="array" ref="E86">+_xldudf_WISE(C86,$E$80,"TTM")</f>
        <v>38.83859649122806</v>
      </c>
      <c r="F86" s="251">
        <f t="shared" si="4"/>
        <v>0.10100804921162143</v>
      </c>
      <c r="H86" s="33" cm="1">
        <f t="array" ref="H86">+_xldudf_WISE($C86,$H$80,H$78)</f>
        <v>1612169000</v>
      </c>
      <c r="I86" s="33" cm="1">
        <f t="array" ref="I86">+_xldudf_WISE($C86,$H$80,I$78)</f>
        <v>2608333000</v>
      </c>
    </row>
    <row r="87" spans="2:11" ht="15.75" x14ac:dyDescent="0.25">
      <c r="B87" s="443" t="s">
        <v>3374</v>
      </c>
      <c r="C87" s="100" t="s">
        <v>3351</v>
      </c>
      <c r="D87" s="251">
        <f t="shared" si="3"/>
        <v>0.1061944489857188</v>
      </c>
      <c r="E87" s="441" cm="1">
        <f t="array" ref="E87">+_xldudf_WISE(C87,$E$80,"TTM")</f>
        <v>14.691488221635677</v>
      </c>
      <c r="F87" s="251">
        <f t="shared" si="4"/>
        <v>0.11125894276609261</v>
      </c>
      <c r="H87" s="33" cm="1">
        <f t="array" ref="H87">+_xldudf_WISE($C87,$H$80,H$78)</f>
        <v>221519000000</v>
      </c>
      <c r="I87" s="33" cm="1">
        <f t="array" ref="I87">+_xldudf_WISE($C87,$H$80,I$78)</f>
        <v>375394000000</v>
      </c>
    </row>
    <row r="88" spans="2:11" ht="15.75" x14ac:dyDescent="0.25">
      <c r="B88" s="443" t="s">
        <v>3322</v>
      </c>
      <c r="C88" s="100" t="s">
        <v>3220</v>
      </c>
      <c r="D88" s="251">
        <f t="shared" si="3"/>
        <v>8.6706699682168417E-2</v>
      </c>
      <c r="E88" s="441" cm="1">
        <f t="array" ref="E88">+_xldudf_WISE(C88,$E$80,"TTM")</f>
        <v>20.361864406779659</v>
      </c>
      <c r="F88" s="251">
        <f t="shared" si="4"/>
        <v>6.7138433287850185E-2</v>
      </c>
      <c r="H88" s="33" cm="1">
        <f t="array" ref="H88">+_xldudf_WISE($C88,$H$80,H$78)</f>
        <v>4883600000</v>
      </c>
      <c r="I88" s="33" cm="1">
        <f t="array" ref="I88">+_xldudf_WISE($C88,$H$80,I$78)</f>
        <v>6758400000</v>
      </c>
    </row>
    <row r="89" spans="2:11" ht="15.75" x14ac:dyDescent="0.25">
      <c r="B89" s="443" t="s">
        <v>3838</v>
      </c>
      <c r="C89" s="100" t="s">
        <v>3191</v>
      </c>
      <c r="D89" s="251">
        <f t="shared" si="3"/>
        <v>8.0748033749557011E-2</v>
      </c>
      <c r="E89" s="441" cm="1">
        <f t="array" ref="E89">+_xldudf_WISE(C89,$E$80,"TTM")</f>
        <v>19.602898550724635</v>
      </c>
      <c r="F89" s="251">
        <f t="shared" si="4"/>
        <v>9.6631566520394507E-2</v>
      </c>
      <c r="H89" s="33" cm="1">
        <f t="array" ref="H89">+_xldudf_WISE($C89,$H$80,H$78)</f>
        <v>8244000000</v>
      </c>
      <c r="I89" s="33" cm="1">
        <f t="array" ref="I89">+_xldudf_WISE($C89,$H$80,I$78)</f>
        <v>13075000000</v>
      </c>
    </row>
    <row r="90" spans="2:11" ht="15.75" x14ac:dyDescent="0.25">
      <c r="B90" s="443" t="s">
        <v>3329</v>
      </c>
      <c r="C90" s="100" t="s">
        <v>3189</v>
      </c>
      <c r="D90" s="251">
        <f t="shared" si="3"/>
        <v>0.3600477240757507</v>
      </c>
      <c r="E90" s="441" cm="1">
        <f t="array" ref="E90">+_xldudf_WISE(C90,$E$80,"TTM")</f>
        <v>30.371627502175805</v>
      </c>
      <c r="F90" s="251">
        <f t="shared" si="4"/>
        <v>0.1451801918733695</v>
      </c>
      <c r="H90" s="33" cm="1">
        <f t="array" ref="H90">+_xldudf_WISE($C90,$H$80,H$78)</f>
        <v>21846000000</v>
      </c>
      <c r="I90" s="33" cm="1">
        <f t="array" ref="I90">+_xldudf_WISE($C90,$H$80,I$78)</f>
        <v>43027000000</v>
      </c>
    </row>
    <row r="91" spans="2:11" ht="15.75" x14ac:dyDescent="0.25">
      <c r="B91" s="443" t="s">
        <v>3330</v>
      </c>
      <c r="C91" s="100" t="s">
        <v>3190</v>
      </c>
      <c r="D91" s="251">
        <f t="shared" si="3"/>
        <v>0.75791164575016901</v>
      </c>
      <c r="E91" s="441" cm="1">
        <f t="array" ref="E91">+_xldudf_WISE(C91,$E$80,"TTM")</f>
        <v>30.447398843930639</v>
      </c>
      <c r="F91" s="251">
        <f t="shared" si="4"/>
        <v>0.17272408690690244</v>
      </c>
      <c r="H91" s="33" cm="1">
        <f t="array" ref="H91">+_xldudf_WISE($C91,$H$80,H$78)</f>
        <v>15301000000</v>
      </c>
      <c r="I91" s="33" cm="1">
        <f t="array" ref="I91">+_xldudf_WISE($C91,$H$80,I$78)</f>
        <v>33939000000</v>
      </c>
      <c r="K91" t="s">
        <v>3688</v>
      </c>
    </row>
    <row r="92" spans="2:11" ht="15.75" x14ac:dyDescent="0.25">
      <c r="B92" s="443" t="s">
        <v>3331</v>
      </c>
      <c r="C92" s="100" t="s">
        <v>3221</v>
      </c>
      <c r="D92" s="251">
        <f t="shared" si="3"/>
        <v>0.15630619371727525</v>
      </c>
      <c r="E92" s="441" cm="1">
        <f t="array" ref="E92">+_xldudf_WISE(C92,$E$80,"TTM")</f>
        <v>8.6256983240223466</v>
      </c>
      <c r="F92" s="251">
        <f t="shared" si="4"/>
        <v>9.4742334404237072E-2</v>
      </c>
      <c r="H92" s="33" cm="1">
        <f t="array" ref="H92">+_xldudf_WISE($C92,$H$80,H$78)</f>
        <v>21454000000</v>
      </c>
      <c r="I92" s="33" cm="1">
        <f t="array" ref="I92">+_xldudf_WISE($C92,$H$80,I$78)</f>
        <v>33734000000</v>
      </c>
    </row>
    <row r="93" spans="2:11" ht="15.75" x14ac:dyDescent="0.25">
      <c r="B93" s="443" t="s">
        <v>3332</v>
      </c>
      <c r="C93" s="100" t="s">
        <v>1861</v>
      </c>
      <c r="D93" s="251">
        <f t="shared" si="3"/>
        <v>6.1480810868465179E-2</v>
      </c>
      <c r="E93" s="441" cm="1">
        <f t="array" ref="E93">+_xldudf_WISE(C93,$E$80,"TTM")</f>
        <v>27.235864297253634</v>
      </c>
      <c r="F93" s="251">
        <f t="shared" si="4"/>
        <v>6.1149156918360648E-2</v>
      </c>
      <c r="H93" s="33" cm="1">
        <f t="array" ref="H93">+_xldudf_WISE($C93,$H$80,H$78)</f>
        <v>8041500000</v>
      </c>
      <c r="I93" s="33" cm="1">
        <f t="array" ref="I93">+_xldudf_WISE($C93,$H$80,I$78)</f>
        <v>10819800000</v>
      </c>
    </row>
    <row r="94" spans="2:11" ht="15.75" x14ac:dyDescent="0.25">
      <c r="B94" s="443" t="s">
        <v>3334</v>
      </c>
      <c r="C94" s="100" t="s">
        <v>3335</v>
      </c>
      <c r="D94" s="251">
        <f t="shared" si="3"/>
        <v>4.6175344912798955E-2</v>
      </c>
      <c r="E94" s="441" cm="1">
        <f t="array" ref="E94">+_xldudf_WISE(C94,$E$80,"TTM")</f>
        <v>18.868613138686133</v>
      </c>
      <c r="F94" s="251">
        <f t="shared" si="4"/>
        <v>0.2345565229679758</v>
      </c>
      <c r="H94" s="33" cm="1">
        <f t="array" ref="H94">+_xldudf_WISE($C94,$H$80,H$78)</f>
        <v>94900000</v>
      </c>
      <c r="I94" s="33" cm="1">
        <f t="array" ref="I94">+_xldudf_WISE($C94,$H$80,I$78)</f>
        <v>272158000</v>
      </c>
    </row>
    <row r="95" spans="2:11" ht="15.75" x14ac:dyDescent="0.25">
      <c r="B95" s="443" t="s">
        <v>3336</v>
      </c>
      <c r="C95" s="100" t="s">
        <v>3337</v>
      </c>
      <c r="D95" s="251">
        <f t="shared" si="3"/>
        <v>0.13402679512476781</v>
      </c>
      <c r="E95" s="441" cm="1">
        <f t="array" ref="E95">+_xldudf_WISE(C95,$E$80,"TTM")</f>
        <v>18.708333333333329</v>
      </c>
      <c r="F95" s="251">
        <f t="shared" si="4"/>
        <v>0.24038798311494225</v>
      </c>
      <c r="H95" s="33" cm="1">
        <f t="array" ref="H95">+_xldudf_WISE($C95,$H$80,H$78)</f>
        <v>2189629000</v>
      </c>
      <c r="I95" s="33" cm="1">
        <f t="array" ref="I95">+_xldudf_WISE($C95,$H$80,I$78)</f>
        <v>6429220000</v>
      </c>
    </row>
    <row r="96" spans="2:11" ht="15.75" x14ac:dyDescent="0.25">
      <c r="B96" s="443" t="s">
        <v>3338</v>
      </c>
      <c r="C96" s="100" t="s">
        <v>3339</v>
      </c>
      <c r="D96" s="251">
        <f t="shared" si="3"/>
        <v>0.64438579103033911</v>
      </c>
      <c r="E96" s="441" cm="1">
        <f t="array" ref="E96">+_xldudf_WISE(C96,$E$80,"TTM")</f>
        <v>60.811756415604471</v>
      </c>
      <c r="F96" s="251">
        <f t="shared" si="4"/>
        <v>0.19238100466177399</v>
      </c>
      <c r="H96" s="33" cm="1">
        <f t="array" ref="H96">+_xldudf_WISE($C96,$H$80,H$78)</f>
        <v>13978500000</v>
      </c>
      <c r="I96" s="33" cm="1">
        <f t="array" ref="I96">+_xldudf_WISE($C96,$H$80,I$78)</f>
        <v>33692700000</v>
      </c>
    </row>
    <row r="97" spans="2:9" ht="15.75" x14ac:dyDescent="0.25">
      <c r="B97" s="443" t="s">
        <v>3340</v>
      </c>
      <c r="C97" s="100" t="s">
        <v>2024</v>
      </c>
      <c r="D97" s="251">
        <f t="shared" si="3"/>
        <v>0.12894958380375637</v>
      </c>
      <c r="E97" s="441" cm="1">
        <f t="array" ref="E97">+_xldudf_WISE(C97,$E$80,"TTM")</f>
        <v>48.599761051373946</v>
      </c>
      <c r="F97" s="251">
        <f t="shared" si="4"/>
        <v>0.1941227022366887</v>
      </c>
      <c r="H97" s="33" cm="1">
        <f t="array" ref="H97">+_xldudf_WISE($C97,$H$80,H$78)</f>
        <v>4358400000</v>
      </c>
      <c r="I97" s="33" cm="1">
        <f t="array" ref="I97">+_xldudf_WISE($C97,$H$80,I$78)</f>
        <v>10582100000</v>
      </c>
    </row>
    <row r="98" spans="2:9" ht="15.75" x14ac:dyDescent="0.25">
      <c r="B98" s="443" t="s">
        <v>3341</v>
      </c>
      <c r="C98" s="100" t="s">
        <v>3342</v>
      </c>
      <c r="D98" s="251">
        <f t="shared" si="3"/>
        <v>0.57832540854014303</v>
      </c>
      <c r="E98" s="441" cm="1">
        <f t="array" ref="E98">+_xldudf_WISE(C98,$E$80,"TTM")</f>
        <v>11.805657617486338</v>
      </c>
      <c r="F98" s="251">
        <f t="shared" si="4"/>
        <v>0.20892117793610065</v>
      </c>
      <c r="H98" s="33" cm="1">
        <f t="array" ref="H98">+_xldudf_WISE($C98,$H$80,H$78)</f>
        <v>126946000000</v>
      </c>
      <c r="I98" s="33" cm="1">
        <f t="array" ref="I98">+_xldudf_WISE($C98,$H$80,I$78)</f>
        <v>327800000000</v>
      </c>
    </row>
    <row r="99" spans="2:9" ht="15.75" x14ac:dyDescent="0.25">
      <c r="B99" s="443" t="s">
        <v>3343</v>
      </c>
      <c r="C99" s="100" t="s">
        <v>848</v>
      </c>
      <c r="D99" s="251">
        <f t="shared" si="3"/>
        <v>0.18148805662177489</v>
      </c>
      <c r="E99" s="441" cm="1">
        <f t="array" ref="E99">+_xldudf_WISE(C99,$E$80,"TTM")</f>
        <v>121.63765628830596</v>
      </c>
      <c r="F99" s="251">
        <f t="shared" si="4"/>
        <v>6.5215611077835467E-2</v>
      </c>
      <c r="H99" s="33" cm="1">
        <f t="array" ref="H99">+_xldudf_WISE($C99,$H$80,H$78)</f>
        <v>45804000000</v>
      </c>
      <c r="I99" s="33" cm="1">
        <f t="array" ref="I99">+_xldudf_WISE($C99,$H$80,I$78)</f>
        <v>62819000000</v>
      </c>
    </row>
    <row r="100" spans="2:9" ht="15.75" x14ac:dyDescent="0.25">
      <c r="B100" s="443" t="s">
        <v>3344</v>
      </c>
      <c r="C100" s="100" t="s">
        <v>1459</v>
      </c>
      <c r="D100" s="251">
        <f t="shared" si="3"/>
        <v>0.10569441506697341</v>
      </c>
      <c r="E100" s="441" cm="1">
        <f t="array" ref="E100">+_xldudf_WISE(C100,$E$80,"TTM")</f>
        <v>33.348671344760149</v>
      </c>
      <c r="F100" s="251">
        <f t="shared" si="4"/>
        <v>9.8197234115440235E-2</v>
      </c>
      <c r="H100" s="33" cm="1">
        <f t="array" ref="H100">+_xldudf_WISE($C100,$H$80,H$78)</f>
        <v>4463000000</v>
      </c>
      <c r="I100" s="33" cm="1">
        <f t="array" ref="I100">+_xldudf_WISE($C100,$H$80,I$78)</f>
        <v>7129000000</v>
      </c>
    </row>
    <row r="101" spans="2:9" ht="15.75" x14ac:dyDescent="0.25">
      <c r="B101" s="443" t="s">
        <v>3345</v>
      </c>
      <c r="C101" s="100" t="s">
        <v>3346</v>
      </c>
      <c r="D101" s="251">
        <f t="shared" si="3"/>
        <v>0.20066037568878922</v>
      </c>
      <c r="E101" s="441" cm="1">
        <f t="array" ref="E101">+_xldudf_WISE(C101,$E$80,"TTM")</f>
        <v>22.643994731169915</v>
      </c>
      <c r="F101" s="251">
        <f t="shared" si="4"/>
        <v>0.10970997479042266</v>
      </c>
      <c r="H101" s="33" cm="1">
        <f t="array" ref="H101">+_xldudf_WISE($C101,$H$80,H$78)</f>
        <v>7432000000</v>
      </c>
      <c r="I101" s="33" cm="1">
        <f t="array" ref="I101">+_xldudf_WISE($C101,$H$80,I$78)</f>
        <v>12507000000</v>
      </c>
    </row>
    <row r="102" spans="2:9" ht="15.75" x14ac:dyDescent="0.25">
      <c r="B102" s="443" t="s">
        <v>3347</v>
      </c>
      <c r="C102" s="100" t="s">
        <v>354</v>
      </c>
      <c r="D102" s="251">
        <f t="shared" si="3"/>
        <v>9.5787678985855718E-2</v>
      </c>
      <c r="E102" s="441" cm="1">
        <f t="array" ref="E102">+_xldudf_WISE(C102,$E$80,"TTM")</f>
        <v>4.6397637795275584</v>
      </c>
      <c r="F102" s="251">
        <f t="shared" si="4"/>
        <v>3.880300935675618E-2</v>
      </c>
      <c r="H102" s="33" cm="1">
        <f t="array" ref="H102">+_xldudf_WISE($C102,$H$80,H$78)</f>
        <v>103564000000</v>
      </c>
      <c r="I102" s="33" cm="1">
        <f t="array" ref="I102">+_xldudf_WISE($C102,$H$80,I$78)</f>
        <v>125278000000</v>
      </c>
    </row>
    <row r="103" spans="2:9" ht="15.75" x14ac:dyDescent="0.25">
      <c r="B103" s="443" t="s">
        <v>3348</v>
      </c>
      <c r="C103" s="100" t="s">
        <v>3222</v>
      </c>
      <c r="D103" s="251">
        <f t="shared" si="3"/>
        <v>-4.6943726129142563E-3</v>
      </c>
      <c r="E103" s="441" cm="1">
        <f t="array" ref="E103">+_xldudf_WISE(C103,$E$80,"TTM")</f>
        <v>-38.536231884057962</v>
      </c>
      <c r="F103" s="251">
        <f t="shared" si="4"/>
        <v>0.28378090008570789</v>
      </c>
      <c r="H103" s="33" cm="1">
        <f t="array" ref="H103">+_xldudf_WISE($C103,$H$80,H$78)</f>
        <v>10671000000</v>
      </c>
      <c r="I103" s="33" cm="1">
        <f t="array" ref="I103">+_xldudf_WISE($C103,$H$80,I$78)</f>
        <v>37210000000</v>
      </c>
    </row>
    <row r="104" spans="2:9" ht="15.75" x14ac:dyDescent="0.25">
      <c r="B104" s="443" t="s">
        <v>3356</v>
      </c>
      <c r="C104" s="100" t="s">
        <v>1349</v>
      </c>
      <c r="D104" s="251">
        <f t="shared" si="3"/>
        <v>5.0725413393551404E-2</v>
      </c>
      <c r="E104" s="441" cm="1">
        <f t="array" ref="E104">+_xldudf_WISE(C104,$E$80,"TTM")</f>
        <v>15.276357827476035</v>
      </c>
      <c r="F104" s="251">
        <f t="shared" si="4"/>
        <v>8.2654589828072611E-2</v>
      </c>
      <c r="H104" s="33" cm="1">
        <f t="array" ref="H104">+_xldudf_WISE($C104,$H$80,H$78)</f>
        <v>65388000000</v>
      </c>
      <c r="I104" s="33" cm="1">
        <f t="array" ref="I104">+_xldudf_WISE($C104,$H$80,I$78)</f>
        <v>97263000000</v>
      </c>
    </row>
    <row r="105" spans="2:9" ht="15.75" x14ac:dyDescent="0.25">
      <c r="B105" s="443" t="s">
        <v>2901</v>
      </c>
      <c r="C105" s="100" t="s">
        <v>1046</v>
      </c>
      <c r="D105" s="251">
        <f t="shared" si="3"/>
        <v>0.23820337549487594</v>
      </c>
      <c r="E105" s="441" cm="1">
        <f t="array" ref="E105">+_xldudf_WISE(C105,$E$80,"TTM")</f>
        <v>26.977341389728096</v>
      </c>
      <c r="F105" s="251">
        <f t="shared" si="4"/>
        <v>0.18280591291450543</v>
      </c>
      <c r="H105" s="33" cm="1">
        <f t="array" ref="H105">+_xldudf_WISE($C105,$H$80,H$78)</f>
        <v>182527000000</v>
      </c>
      <c r="I105" s="33" cm="1">
        <f t="array" ref="I105">+_xldudf_WISE($C105,$H$80,I$78)</f>
        <v>422566000000</v>
      </c>
    </row>
    <row r="106" spans="2:9" ht="15.75" x14ac:dyDescent="0.25">
      <c r="B106" s="443" t="s">
        <v>2900</v>
      </c>
      <c r="C106" s="100" t="s">
        <v>2018</v>
      </c>
      <c r="D106" s="251">
        <f t="shared" si="3"/>
        <v>0.12503701988109184</v>
      </c>
      <c r="E106" s="441" cm="1">
        <f t="array" ref="E106">+_xldudf_WISE(C106,$E$80,"TTM")</f>
        <v>28.897526501766791</v>
      </c>
      <c r="F106" s="251">
        <f t="shared" si="4"/>
        <v>0.13982902374779993</v>
      </c>
      <c r="H106" s="33" cm="1">
        <f t="array" ref="H106">+_xldudf_WISE($C106,$H$80,H$78)</f>
        <v>386064000000</v>
      </c>
      <c r="I106" s="33" cm="1">
        <f t="array" ref="I106">+_xldudf_WISE($C106,$H$80,I$78)</f>
        <v>742776000000</v>
      </c>
    </row>
    <row r="107" spans="2:9" ht="15.75" x14ac:dyDescent="0.25">
      <c r="B107" s="443" t="s">
        <v>3359</v>
      </c>
      <c r="C107" s="100" t="s">
        <v>1893</v>
      </c>
      <c r="D107" s="251">
        <f t="shared" si="3"/>
        <v>0.39643799514026679</v>
      </c>
      <c r="E107" s="441" cm="1">
        <f t="array" ref="E107">+_xldudf_WISE(C107,$E$80,"TTM")</f>
        <v>12.77942857142857</v>
      </c>
      <c r="F107" s="251">
        <f t="shared" si="4"/>
        <v>0.1438550763062405</v>
      </c>
      <c r="H107" s="33" cm="1">
        <f t="array" ref="H107">+_xldudf_WISE($C107,$H$80,H$78)</f>
        <v>12868000000</v>
      </c>
      <c r="I107" s="33" cm="1">
        <f t="array" ref="I107">+_xldudf_WISE($C107,$H$80,I$78)</f>
        <v>25198000000</v>
      </c>
    </row>
    <row r="108" spans="2:9" ht="15.75" x14ac:dyDescent="0.25">
      <c r="B108" s="443" t="s">
        <v>3839</v>
      </c>
      <c r="C108" s="100" t="s">
        <v>1612</v>
      </c>
      <c r="D108" s="251">
        <f t="shared" si="3"/>
        <v>0.28162620872697702</v>
      </c>
      <c r="E108" s="441" cm="1">
        <f t="array" ref="E108">+_xldudf_WISE(C108,$E$80,"TTM")</f>
        <v>22.854599406528191</v>
      </c>
      <c r="F108" s="251">
        <f t="shared" si="4"/>
        <v>0.17350147946654459</v>
      </c>
      <c r="H108" s="33" cm="1">
        <f t="array" ref="H108">+_xldudf_WISE($C108,$H$80,H$78)</f>
        <v>143015000000</v>
      </c>
      <c r="I108" s="33" cm="1">
        <f t="array" ref="I108">+_xldudf_WISE($C108,$H$80,I$78)</f>
        <v>318273000000</v>
      </c>
    </row>
    <row r="109" spans="2:9" ht="15.75" x14ac:dyDescent="0.25">
      <c r="B109" s="443" t="s">
        <v>2899</v>
      </c>
      <c r="C109" s="100" t="s">
        <v>1034</v>
      </c>
      <c r="D109" s="251">
        <f t="shared" si="3"/>
        <v>0.27356118808898194</v>
      </c>
      <c r="E109" s="441" cm="1">
        <f t="array" ref="E109">+_xldudf_WISE(C109,$E$80,"TTM")</f>
        <v>23.934549356223176</v>
      </c>
      <c r="F109" s="251">
        <f t="shared" si="4"/>
        <v>0.20118087656479244</v>
      </c>
      <c r="H109" s="33" cm="1">
        <f t="array" ref="H109">+_xldudf_WISE($C109,$H$80,H$78)</f>
        <v>85965000000</v>
      </c>
      <c r="I109" s="33" cm="1">
        <f t="array" ref="I109">+_xldudf_WISE($C109,$H$80,I$78)</f>
        <v>214963000000</v>
      </c>
    </row>
    <row r="110" spans="2:9" ht="15.75" x14ac:dyDescent="0.25">
      <c r="B110" s="443" t="s">
        <v>3361</v>
      </c>
      <c r="C110" s="100" t="s">
        <v>3368</v>
      </c>
      <c r="D110" s="251">
        <f t="shared" si="3"/>
        <v>0.34002803123254943</v>
      </c>
      <c r="E110" s="441" cm="1">
        <f t="array" ref="E110">+_xldudf_WISE(C110,$E$80,"TTM")</f>
        <v>37.468646246501621</v>
      </c>
      <c r="F110" s="251">
        <f t="shared" si="4"/>
        <v>0.25102726579699319</v>
      </c>
      <c r="H110" s="33" cm="1">
        <f t="array" ref="H110">+_xldudf_WISE($C110,$H$80,H$78)</f>
        <v>1339254800000</v>
      </c>
      <c r="I110" s="33" cm="1">
        <f t="array" ref="I110">+_xldudf_WISE($C110,$H$80,I$78)</f>
        <v>4103903000000</v>
      </c>
    </row>
    <row r="111" spans="2:9" ht="15.75" x14ac:dyDescent="0.25">
      <c r="B111" s="443" t="s">
        <v>1088</v>
      </c>
      <c r="C111" s="100" t="s">
        <v>1087</v>
      </c>
      <c r="D111" s="251">
        <f t="shared" si="3"/>
        <v>0.15840381332397774</v>
      </c>
      <c r="E111" s="441" cm="1">
        <f t="array" ref="E111">+_xldudf_WISE(C111,$E$80,"TTM")</f>
        <v>23.579293344289237</v>
      </c>
      <c r="F111" s="251">
        <f t="shared" si="4"/>
        <v>4.8058683610007424E-2</v>
      </c>
      <c r="H111" s="33" cm="1">
        <f t="array" ref="H111">+_xldudf_WISE($C111,$H$80,H$78)</f>
        <v>19533000000</v>
      </c>
      <c r="I111" s="33" cm="1">
        <f t="array" ref="I111">+_xldudf_WISE($C111,$H$80,I$78)</f>
        <v>24700000000</v>
      </c>
    </row>
    <row r="112" spans="2:9" ht="15.75" x14ac:dyDescent="0.25">
      <c r="B112" s="443" t="s">
        <v>3363</v>
      </c>
      <c r="C112" s="100" t="s">
        <v>800</v>
      </c>
      <c r="D112" s="251">
        <f t="shared" si="3"/>
        <v>0.40896072684662449</v>
      </c>
      <c r="E112" s="441" cm="1">
        <f t="array" ref="E112">+_xldudf_WISE(C112,$E$80,"TTM")</f>
        <v>20.602387018908409</v>
      </c>
      <c r="F112" s="251">
        <f t="shared" si="4"/>
        <v>9.6106456409835062E-2</v>
      </c>
      <c r="H112" s="33" cm="1">
        <f t="array" ref="H112">+_xldudf_WISE($C112,$H$80,H$78)</f>
        <v>12631967000</v>
      </c>
      <c r="I112" s="33" cm="1">
        <f t="array" ref="I112">+_xldudf_WISE($C112,$H$80,I$78)</f>
        <v>19986404000</v>
      </c>
    </row>
    <row r="113" spans="2:9" ht="15.75" x14ac:dyDescent="0.25">
      <c r="B113" s="443" t="s">
        <v>3364</v>
      </c>
      <c r="C113" s="100" t="s">
        <v>3369</v>
      </c>
      <c r="D113" s="251">
        <f t="shared" si="3"/>
        <v>5.5215762084026176E-2</v>
      </c>
      <c r="E113" s="441" cm="1">
        <f t="array" ref="E113">+_xldudf_WISE(C113,$E$80,"TTM")</f>
        <v>23.230159422510045</v>
      </c>
      <c r="F113" s="251">
        <f t="shared" si="4"/>
        <v>3.7372766284402115E-2</v>
      </c>
      <c r="H113" s="33" cm="1">
        <f t="array" ref="H113">+_xldudf_WISE($C113,$H$80,H$78)</f>
        <v>57792796000000</v>
      </c>
      <c r="I113" s="33" cm="1">
        <f t="array" ref="I113">+_xldudf_WISE($C113,$H$80,I$78)</f>
        <v>69430120388000</v>
      </c>
    </row>
    <row r="114" spans="2:9" ht="15.75" x14ac:dyDescent="0.25">
      <c r="B114" s="443" t="s">
        <v>3687</v>
      </c>
      <c r="C114" s="100" t="s">
        <v>3367</v>
      </c>
      <c r="D114" s="251">
        <f t="shared" si="3"/>
        <v>6.398179603242686E-2</v>
      </c>
      <c r="E114" s="441" cm="1">
        <f t="array" ref="E114">+_xldudf_WISE(C114,$E$80,"TTM")</f>
        <v>10.160664819944598</v>
      </c>
      <c r="F114" s="251">
        <f t="shared" si="4"/>
        <v>0.7606528702790869</v>
      </c>
      <c r="H114" s="33" cm="1">
        <f t="array" ref="H114">+_xldudf_WISE($C114,$H$80,H$78)</f>
        <v>1124391000</v>
      </c>
      <c r="I114" s="33" cm="1">
        <f t="array" ref="I114">+_xldudf_WISE($C114,$H$80,I$78)</f>
        <v>19023308723</v>
      </c>
    </row>
    <row r="119" spans="2:9" ht="15.75" x14ac:dyDescent="0.25">
      <c r="B119" s="442" t="s">
        <v>2168</v>
      </c>
      <c r="C119" s="442" t="s">
        <v>2167</v>
      </c>
      <c r="D119" s="442" t="s">
        <v>3357</v>
      </c>
      <c r="E119" s="442" t="s">
        <v>3039</v>
      </c>
      <c r="F119" s="442" t="s">
        <v>3358</v>
      </c>
    </row>
    <row r="120" spans="2:9" ht="15.75" x14ac:dyDescent="0.25">
      <c r="B120" s="443" t="s">
        <v>3318</v>
      </c>
      <c r="C120" s="100" t="s">
        <v>3350</v>
      </c>
      <c r="D120" s="251">
        <v>0.14516225332780042</v>
      </c>
      <c r="E120" s="441">
        <v>20.504128535091631</v>
      </c>
      <c r="F120" s="251">
        <v>0.13150535098767779</v>
      </c>
    </row>
    <row r="121" spans="2:9" ht="15.75" x14ac:dyDescent="0.25">
      <c r="B121" s="443" t="s">
        <v>3319</v>
      </c>
      <c r="C121" s="100" t="s">
        <v>3324</v>
      </c>
      <c r="D121" s="251">
        <v>0.54212945696232717</v>
      </c>
      <c r="E121" s="441">
        <v>48.405721445882612</v>
      </c>
      <c r="F121" s="251">
        <v>0.19698281412592733</v>
      </c>
    </row>
    <row r="122" spans="2:9" ht="15.75" x14ac:dyDescent="0.25">
      <c r="B122" s="443" t="s">
        <v>3320</v>
      </c>
      <c r="C122" s="100" t="s">
        <v>3325</v>
      </c>
      <c r="D122" s="251">
        <v>0.12518075603854581</v>
      </c>
      <c r="E122" s="441">
        <v>46.248115192043898</v>
      </c>
      <c r="F122" s="251">
        <v>3.770089164053636E-2</v>
      </c>
    </row>
    <row r="123" spans="2:9" ht="15.75" x14ac:dyDescent="0.25">
      <c r="B123" s="443" t="s">
        <v>3321</v>
      </c>
      <c r="C123" s="100" t="s">
        <v>1852</v>
      </c>
      <c r="D123" s="251">
        <v>0.26728430063434344</v>
      </c>
      <c r="E123" s="441">
        <v>45.312055581648792</v>
      </c>
      <c r="F123" s="251">
        <v>0.14998048306661804</v>
      </c>
    </row>
    <row r="124" spans="2:9" ht="15.75" x14ac:dyDescent="0.25">
      <c r="B124" s="443" t="s">
        <v>2897</v>
      </c>
      <c r="C124" s="100" t="s">
        <v>1486</v>
      </c>
      <c r="D124" s="251">
        <v>0.6049544961026444</v>
      </c>
      <c r="E124" s="441">
        <v>38.34701105519742</v>
      </c>
      <c r="F124" s="251">
        <v>8.2808785222771242E-2</v>
      </c>
    </row>
    <row r="125" spans="2:9" ht="15.75" x14ac:dyDescent="0.25">
      <c r="B125" s="443" t="s">
        <v>3326</v>
      </c>
      <c r="C125" s="100" t="s">
        <v>3327</v>
      </c>
      <c r="D125" s="251">
        <v>0.12601729869962716</v>
      </c>
      <c r="E125" s="441">
        <v>20.27213886099555</v>
      </c>
      <c r="F125" s="251">
        <v>9.0789480418307145E-2</v>
      </c>
    </row>
    <row r="126" spans="2:9" ht="15.75" x14ac:dyDescent="0.25">
      <c r="B126" s="443" t="s">
        <v>3328</v>
      </c>
      <c r="C126" s="100" t="s">
        <v>3351</v>
      </c>
      <c r="D126" s="251">
        <v>0.10507927606047845</v>
      </c>
      <c r="E126" s="441">
        <v>17.134502050287679</v>
      </c>
      <c r="F126" s="251">
        <v>5.274906828422643E-2</v>
      </c>
    </row>
    <row r="127" spans="2:9" ht="15.75" x14ac:dyDescent="0.25">
      <c r="B127" s="443" t="s">
        <v>3322</v>
      </c>
      <c r="C127" s="100" t="s">
        <v>3220</v>
      </c>
      <c r="D127" s="251">
        <v>8.6706699682168417E-2</v>
      </c>
      <c r="E127" s="441">
        <v>25.880616135044459</v>
      </c>
      <c r="F127" s="251">
        <v>5.7019719166171212E-2</v>
      </c>
    </row>
    <row r="128" spans="2:9" ht="15.75" x14ac:dyDescent="0.25">
      <c r="B128" s="443" t="s">
        <v>3323</v>
      </c>
      <c r="C128" s="100" t="s">
        <v>3191</v>
      </c>
      <c r="D128" s="251">
        <v>8.0748033749557011E-2</v>
      </c>
      <c r="E128" s="441">
        <v>32.004425574425575</v>
      </c>
      <c r="F128" s="251">
        <v>8.7749339469204823E-2</v>
      </c>
    </row>
    <row r="129" spans="2:6" ht="15.75" x14ac:dyDescent="0.25">
      <c r="B129" s="443" t="s">
        <v>3329</v>
      </c>
      <c r="C129" s="100" t="s">
        <v>3189</v>
      </c>
      <c r="D129" s="251">
        <v>0.3600477240757507</v>
      </c>
      <c r="E129" s="441">
        <v>32.296486959175603</v>
      </c>
      <c r="F129" s="251">
        <v>0.1222765873207845</v>
      </c>
    </row>
    <row r="130" spans="2:6" ht="15.75" x14ac:dyDescent="0.25">
      <c r="B130" s="443" t="s">
        <v>3330</v>
      </c>
      <c r="C130" s="100" t="s">
        <v>3190</v>
      </c>
      <c r="D130" s="251">
        <v>0.75791164575016901</v>
      </c>
      <c r="E130" s="441">
        <v>37.769618725158253</v>
      </c>
      <c r="F130" s="251">
        <v>0.1459753251311704</v>
      </c>
    </row>
    <row r="131" spans="2:6" ht="15.75" x14ac:dyDescent="0.25">
      <c r="B131" s="443" t="s">
        <v>3331</v>
      </c>
      <c r="C131" s="100" t="s">
        <v>3221</v>
      </c>
      <c r="D131" s="251">
        <v>0.15630619371727525</v>
      </c>
      <c r="E131" s="441">
        <v>13.937529386621073</v>
      </c>
      <c r="F131" s="251">
        <v>8.5218861882811581E-2</v>
      </c>
    </row>
    <row r="132" spans="2:6" ht="15.75" x14ac:dyDescent="0.25">
      <c r="B132" s="443" t="s">
        <v>3332</v>
      </c>
      <c r="C132" s="100" t="s">
        <v>1861</v>
      </c>
      <c r="D132" s="251">
        <v>6.1480810868465179E-2</v>
      </c>
      <c r="E132" s="441">
        <v>70.313027096225241</v>
      </c>
      <c r="F132" s="251">
        <v>4.9925956364516244E-2</v>
      </c>
    </row>
    <row r="133" spans="2:6" ht="15.75" x14ac:dyDescent="0.25">
      <c r="B133" s="443" t="s">
        <v>3334</v>
      </c>
      <c r="C133" s="100" t="s">
        <v>3335</v>
      </c>
      <c r="D133" s="251">
        <v>4.6175344912798955E-2</v>
      </c>
      <c r="E133" s="441">
        <v>16.38940537219565</v>
      </c>
      <c r="F133" s="251">
        <v>0.23402078946870919</v>
      </c>
    </row>
    <row r="134" spans="2:6" ht="15.75" x14ac:dyDescent="0.25">
      <c r="B134" s="443" t="s">
        <v>3336</v>
      </c>
      <c r="C134" s="100" t="s">
        <v>3337</v>
      </c>
      <c r="D134" s="251">
        <v>0.13402679512476781</v>
      </c>
      <c r="E134" s="441">
        <v>1.2931178607592178</v>
      </c>
      <c r="F134" s="251">
        <v>0.28562983974165301</v>
      </c>
    </row>
    <row r="135" spans="2:6" ht="15.75" x14ac:dyDescent="0.25">
      <c r="B135" s="443" t="s">
        <v>3338</v>
      </c>
      <c r="C135" s="100" t="s">
        <v>3339</v>
      </c>
      <c r="D135" s="251">
        <v>0.64438579103033911</v>
      </c>
      <c r="E135" s="441">
        <v>33.465162141218457</v>
      </c>
      <c r="F135" s="251">
        <v>0.18135386406948006</v>
      </c>
    </row>
    <row r="136" spans="2:6" ht="15.75" x14ac:dyDescent="0.25">
      <c r="B136" s="443" t="s">
        <v>3340</v>
      </c>
      <c r="C136" s="100" t="s">
        <v>2024</v>
      </c>
      <c r="D136" s="251">
        <v>0.12894958380375637</v>
      </c>
      <c r="E136" s="441">
        <v>60.646387482742753</v>
      </c>
      <c r="F136" s="251">
        <v>0.15976854247738648</v>
      </c>
    </row>
    <row r="137" spans="2:6" ht="15.75" x14ac:dyDescent="0.25">
      <c r="B137" s="443" t="s">
        <v>3341</v>
      </c>
      <c r="C137" s="100" t="s">
        <v>3342</v>
      </c>
      <c r="D137" s="251">
        <v>0.57832540854014303</v>
      </c>
      <c r="E137" s="441">
        <v>14.180096555875746</v>
      </c>
      <c r="F137" s="251">
        <v>0.19698815407934833</v>
      </c>
    </row>
    <row r="138" spans="2:6" ht="15.75" x14ac:dyDescent="0.25">
      <c r="B138" s="443" t="s">
        <v>3343</v>
      </c>
      <c r="C138" s="100" t="s">
        <v>848</v>
      </c>
      <c r="D138" s="251">
        <v>0.18148805662177489</v>
      </c>
      <c r="E138" s="441">
        <v>103.720063677368</v>
      </c>
      <c r="F138" s="251">
        <v>4.9529707055338212E-2</v>
      </c>
    </row>
    <row r="139" spans="2:6" ht="15.75" x14ac:dyDescent="0.25">
      <c r="B139" s="443" t="s">
        <v>3344</v>
      </c>
      <c r="C139" s="100" t="s">
        <v>1459</v>
      </c>
      <c r="D139" s="251">
        <v>0.10569441506697341</v>
      </c>
      <c r="E139" s="441">
        <v>58.44407878787878</v>
      </c>
      <c r="F139" s="251">
        <v>7.7065345843375876E-2</v>
      </c>
    </row>
    <row r="140" spans="2:6" ht="15.75" x14ac:dyDescent="0.25">
      <c r="B140" s="443" t="s">
        <v>3345</v>
      </c>
      <c r="C140" s="100" t="s">
        <v>3346</v>
      </c>
      <c r="D140" s="251">
        <v>0.20066037568878922</v>
      </c>
      <c r="E140" s="441">
        <v>12.049355634768302</v>
      </c>
      <c r="F140" s="251">
        <v>0.10400864764106021</v>
      </c>
    </row>
    <row r="141" spans="2:6" ht="15.75" x14ac:dyDescent="0.25">
      <c r="B141" s="443" t="s">
        <v>3347</v>
      </c>
      <c r="C141" s="100" t="s">
        <v>354</v>
      </c>
      <c r="D141" s="251">
        <v>9.5787678985855718E-2</v>
      </c>
      <c r="E141" s="441">
        <v>5.2017254628012575</v>
      </c>
      <c r="F141" s="251">
        <v>3.6984022842744046E-2</v>
      </c>
    </row>
    <row r="142" spans="2:6" ht="15.75" x14ac:dyDescent="0.25">
      <c r="B142" s="443" t="s">
        <v>3348</v>
      </c>
      <c r="C142" s="100" t="s">
        <v>3222</v>
      </c>
      <c r="D142" s="251">
        <v>-4.6943726129142563E-3</v>
      </c>
      <c r="E142" s="441">
        <v>62.924830729166672</v>
      </c>
      <c r="F142" s="251">
        <v>0.29216481542050854</v>
      </c>
    </row>
    <row r="143" spans="2:6" ht="15.75" x14ac:dyDescent="0.25">
      <c r="B143" s="443" t="s">
        <v>3356</v>
      </c>
      <c r="C143" s="100" t="s">
        <v>1349</v>
      </c>
      <c r="D143" s="251">
        <v>5.0725413393551404E-2</v>
      </c>
      <c r="E143" s="441">
        <v>17.67228205350186</v>
      </c>
      <c r="F143" s="251">
        <v>7.6343511183957879E-2</v>
      </c>
    </row>
    <row r="144" spans="2:6" ht="15.75" x14ac:dyDescent="0.25">
      <c r="B144" s="443" t="s">
        <v>2901</v>
      </c>
      <c r="C144" s="100" t="s">
        <v>1046</v>
      </c>
      <c r="D144" s="251">
        <v>0.23820337549487594</v>
      </c>
      <c r="E144" s="441">
        <v>25.858616458861498</v>
      </c>
      <c r="F144" s="251">
        <v>0.15266398237424195</v>
      </c>
    </row>
    <row r="145" spans="2:6" ht="15.75" x14ac:dyDescent="0.25">
      <c r="B145" s="443" t="s">
        <v>2900</v>
      </c>
      <c r="C145" s="100" t="s">
        <v>2018</v>
      </c>
      <c r="D145" s="251">
        <v>0.12503701988109184</v>
      </c>
      <c r="E145" s="441">
        <v>33.102528354785271</v>
      </c>
      <c r="F145" s="251">
        <v>0.11657532316572849</v>
      </c>
    </row>
    <row r="148" spans="2:6" ht="15.75" x14ac:dyDescent="0.25">
      <c r="B148" s="443" t="s">
        <v>3359</v>
      </c>
      <c r="C148" s="100" t="s">
        <v>1893</v>
      </c>
    </row>
    <row r="149" spans="2:6" ht="15.75" x14ac:dyDescent="0.25">
      <c r="B149" s="443" t="s">
        <v>3360</v>
      </c>
      <c r="C149" s="100" t="s">
        <v>1612</v>
      </c>
    </row>
    <row r="150" spans="2:6" ht="15.75" x14ac:dyDescent="0.25">
      <c r="B150" s="443" t="s">
        <v>2899</v>
      </c>
      <c r="C150" s="100" t="s">
        <v>1034</v>
      </c>
    </row>
    <row r="151" spans="2:6" ht="15.75" x14ac:dyDescent="0.25">
      <c r="B151" s="443" t="s">
        <v>3361</v>
      </c>
      <c r="C151" s="100" t="s">
        <v>3362</v>
      </c>
    </row>
    <row r="152" spans="2:6" ht="15.75" x14ac:dyDescent="0.25">
      <c r="B152" s="307" t="s">
        <v>1088</v>
      </c>
      <c r="C152" s="100" t="s">
        <v>1087</v>
      </c>
    </row>
    <row r="153" spans="2:6" ht="15.75" x14ac:dyDescent="0.25">
      <c r="B153" s="443" t="s">
        <v>3363</v>
      </c>
      <c r="C153" s="100" t="s">
        <v>800</v>
      </c>
    </row>
    <row r="154" spans="2:6" ht="15.75" x14ac:dyDescent="0.25">
      <c r="B154" s="443" t="s">
        <v>3364</v>
      </c>
      <c r="C154" s="100" t="s">
        <v>3365</v>
      </c>
    </row>
    <row r="155" spans="2:6" ht="15.75" x14ac:dyDescent="0.25">
      <c r="B155" s="443" t="s">
        <v>3366</v>
      </c>
      <c r="C155" s="100" t="s">
        <v>3367</v>
      </c>
    </row>
    <row r="159" spans="2:6" ht="15.75" x14ac:dyDescent="0.25">
      <c r="B159" s="442" t="s">
        <v>2168</v>
      </c>
      <c r="C159" s="442" t="s">
        <v>2167</v>
      </c>
      <c r="D159" s="442" t="s">
        <v>3357</v>
      </c>
      <c r="E159" s="442" t="s">
        <v>3039</v>
      </c>
      <c r="F159" s="442" t="s">
        <v>3358</v>
      </c>
    </row>
    <row r="160" spans="2:6" ht="15.75" x14ac:dyDescent="0.25">
      <c r="B160" s="444" t="s">
        <v>3318</v>
      </c>
      <c r="C160" s="100" t="s">
        <v>3350</v>
      </c>
      <c r="D160" s="251">
        <v>0.14516225332780042</v>
      </c>
      <c r="E160" s="441">
        <v>20.504128535091631</v>
      </c>
      <c r="F160" s="251">
        <v>0.13150535098767779</v>
      </c>
    </row>
    <row r="161" spans="2:6" ht="15.75" x14ac:dyDescent="0.25">
      <c r="B161" s="444" t="s">
        <v>3319</v>
      </c>
      <c r="C161" s="100" t="s">
        <v>3324</v>
      </c>
      <c r="D161" s="251">
        <v>0.54212945696232717</v>
      </c>
      <c r="E161" s="441">
        <v>48.405721445882612</v>
      </c>
      <c r="F161" s="251">
        <v>0.19698281412592733</v>
      </c>
    </row>
    <row r="162" spans="2:6" ht="15.75" x14ac:dyDescent="0.25">
      <c r="B162" s="444" t="s">
        <v>3320</v>
      </c>
      <c r="C162" s="100" t="s">
        <v>3325</v>
      </c>
      <c r="D162" s="251">
        <v>0.12518075603854581</v>
      </c>
      <c r="E162" s="441">
        <v>46.248115192043898</v>
      </c>
      <c r="F162" s="251">
        <v>3.770089164053636E-2</v>
      </c>
    </row>
    <row r="163" spans="2:6" ht="15.75" x14ac:dyDescent="0.25">
      <c r="B163" s="444" t="s">
        <v>3321</v>
      </c>
      <c r="C163" s="100" t="s">
        <v>1852</v>
      </c>
      <c r="D163" s="251">
        <v>0.26728430063434344</v>
      </c>
      <c r="E163" s="441">
        <v>45.312055581648792</v>
      </c>
      <c r="F163" s="251">
        <v>0.14998048306661804</v>
      </c>
    </row>
    <row r="164" spans="2:6" ht="15.75" x14ac:dyDescent="0.25">
      <c r="B164" s="444" t="s">
        <v>2897</v>
      </c>
      <c r="C164" s="100" t="s">
        <v>1486</v>
      </c>
      <c r="D164" s="251">
        <v>0.6049544961026444</v>
      </c>
      <c r="E164" s="441">
        <v>38.34701105519742</v>
      </c>
      <c r="F164" s="251">
        <v>8.2808785222771242E-2</v>
      </c>
    </row>
    <row r="165" spans="2:6" ht="15.75" x14ac:dyDescent="0.25">
      <c r="B165" s="444" t="s">
        <v>3326</v>
      </c>
      <c r="C165" s="100" t="s">
        <v>3327</v>
      </c>
      <c r="D165" s="251">
        <v>0.12601729869962716</v>
      </c>
      <c r="E165" s="441">
        <v>20.27213886099555</v>
      </c>
      <c r="F165" s="251">
        <v>9.0789480418307145E-2</v>
      </c>
    </row>
    <row r="166" spans="2:6" ht="15.75" x14ac:dyDescent="0.25">
      <c r="B166" s="444" t="s">
        <v>3328</v>
      </c>
      <c r="C166" s="100" t="s">
        <v>3351</v>
      </c>
      <c r="D166" s="251">
        <v>0.10507927606047845</v>
      </c>
      <c r="E166" s="441">
        <v>17.134502050287679</v>
      </c>
      <c r="F166" s="251">
        <v>5.274906828422643E-2</v>
      </c>
    </row>
    <row r="167" spans="2:6" ht="15.75" x14ac:dyDescent="0.25">
      <c r="B167" s="444" t="s">
        <v>3322</v>
      </c>
      <c r="C167" s="100" t="s">
        <v>3220</v>
      </c>
      <c r="D167" s="251">
        <v>8.6706699682168417E-2</v>
      </c>
      <c r="E167" s="441">
        <v>25.880616135044459</v>
      </c>
      <c r="F167" s="251">
        <v>5.7019719166171212E-2</v>
      </c>
    </row>
    <row r="168" spans="2:6" ht="15.75" x14ac:dyDescent="0.25">
      <c r="B168" s="444" t="s">
        <v>3323</v>
      </c>
      <c r="C168" s="100" t="s">
        <v>3191</v>
      </c>
      <c r="D168" s="251">
        <v>8.0748033749557011E-2</v>
      </c>
      <c r="E168" s="441">
        <v>32.004425574425575</v>
      </c>
      <c r="F168" s="251">
        <v>8.7749339469204823E-2</v>
      </c>
    </row>
    <row r="169" spans="2:6" ht="15.75" x14ac:dyDescent="0.25">
      <c r="B169" s="444" t="s">
        <v>3329</v>
      </c>
      <c r="C169" s="100" t="s">
        <v>3189</v>
      </c>
      <c r="D169" s="251">
        <v>0.3600477240757507</v>
      </c>
      <c r="E169" s="441">
        <v>32.296486959175603</v>
      </c>
      <c r="F169" s="251">
        <v>0.1222765873207845</v>
      </c>
    </row>
    <row r="170" spans="2:6" ht="15.75" x14ac:dyDescent="0.25">
      <c r="B170" s="444" t="s">
        <v>3330</v>
      </c>
      <c r="C170" s="100" t="s">
        <v>3190</v>
      </c>
      <c r="D170" s="251">
        <v>0.75791164575016901</v>
      </c>
      <c r="E170" s="441">
        <v>37.769618725158253</v>
      </c>
      <c r="F170" s="251">
        <v>0.1459753251311704</v>
      </c>
    </row>
    <row r="171" spans="2:6" ht="15.75" x14ac:dyDescent="0.25">
      <c r="B171" s="444" t="s">
        <v>3331</v>
      </c>
      <c r="C171" s="100" t="s">
        <v>3221</v>
      </c>
      <c r="D171" s="251">
        <v>0.15630619371727525</v>
      </c>
      <c r="E171" s="441">
        <v>13.937529386621073</v>
      </c>
      <c r="F171" s="251">
        <v>8.5218861882811581E-2</v>
      </c>
    </row>
    <row r="172" spans="2:6" ht="15.75" x14ac:dyDescent="0.25">
      <c r="B172" s="444" t="s">
        <v>3332</v>
      </c>
      <c r="C172" s="100" t="s">
        <v>1861</v>
      </c>
      <c r="D172" s="251">
        <v>6.1480810868465179E-2</v>
      </c>
      <c r="E172" s="441">
        <v>70.313027096225241</v>
      </c>
      <c r="F172" s="251">
        <v>4.9925956364516244E-2</v>
      </c>
    </row>
    <row r="173" spans="2:6" ht="15.75" x14ac:dyDescent="0.25">
      <c r="B173" s="444" t="s">
        <v>3334</v>
      </c>
      <c r="C173" s="100" t="s">
        <v>3335</v>
      </c>
      <c r="D173" s="251">
        <v>4.6175344912798955E-2</v>
      </c>
      <c r="E173" s="441">
        <v>16.38940537219565</v>
      </c>
      <c r="F173" s="251">
        <v>0.23402078946870919</v>
      </c>
    </row>
    <row r="174" spans="2:6" ht="15.75" x14ac:dyDescent="0.25">
      <c r="B174" s="444" t="s">
        <v>3336</v>
      </c>
      <c r="C174" s="100" t="s">
        <v>3337</v>
      </c>
      <c r="D174" s="251">
        <v>0.13402679512476781</v>
      </c>
      <c r="E174" s="441">
        <v>1.2931178607592178</v>
      </c>
      <c r="F174" s="251">
        <v>0.28562983974165301</v>
      </c>
    </row>
    <row r="175" spans="2:6" ht="15.75" x14ac:dyDescent="0.25">
      <c r="B175" s="444" t="s">
        <v>3338</v>
      </c>
      <c r="C175" s="100" t="s">
        <v>3339</v>
      </c>
      <c r="D175" s="251">
        <v>0.64438579103033911</v>
      </c>
      <c r="E175" s="441">
        <v>33.465162141218457</v>
      </c>
      <c r="F175" s="251">
        <v>0.18135386406948006</v>
      </c>
    </row>
    <row r="176" spans="2:6" ht="15.75" x14ac:dyDescent="0.25">
      <c r="B176" s="444" t="s">
        <v>3340</v>
      </c>
      <c r="C176" s="100" t="s">
        <v>2024</v>
      </c>
      <c r="D176" s="251">
        <v>0.12894958380375637</v>
      </c>
      <c r="E176" s="441">
        <v>60.646387482742753</v>
      </c>
      <c r="F176" s="251">
        <v>0.15976854247738648</v>
      </c>
    </row>
    <row r="177" spans="2:6" ht="15.75" x14ac:dyDescent="0.25">
      <c r="B177" s="444" t="s">
        <v>3341</v>
      </c>
      <c r="C177" s="100" t="s">
        <v>3342</v>
      </c>
      <c r="D177" s="251">
        <v>0.57832540854014303</v>
      </c>
      <c r="E177" s="441">
        <v>14.180096555875746</v>
      </c>
      <c r="F177" s="251">
        <v>0.19698815407934833</v>
      </c>
    </row>
    <row r="178" spans="2:6" ht="15.75" x14ac:dyDescent="0.25">
      <c r="B178" s="444" t="s">
        <v>3343</v>
      </c>
      <c r="C178" s="100" t="s">
        <v>848</v>
      </c>
      <c r="D178" s="251">
        <v>0.18148805662177489</v>
      </c>
      <c r="E178" s="441">
        <v>103.720063677368</v>
      </c>
      <c r="F178" s="251">
        <v>4.9529707055338212E-2</v>
      </c>
    </row>
    <row r="179" spans="2:6" ht="15.75" x14ac:dyDescent="0.25">
      <c r="B179" s="444" t="s">
        <v>3344</v>
      </c>
      <c r="C179" s="100" t="s">
        <v>1459</v>
      </c>
      <c r="D179" s="251">
        <v>0.10569441506697341</v>
      </c>
      <c r="E179" s="441">
        <v>58.44407878787878</v>
      </c>
      <c r="F179" s="251">
        <v>7.7065345843375876E-2</v>
      </c>
    </row>
    <row r="180" spans="2:6" ht="15.75" x14ac:dyDescent="0.25">
      <c r="B180" s="444" t="s">
        <v>3345</v>
      </c>
      <c r="C180" s="100" t="s">
        <v>3346</v>
      </c>
      <c r="D180" s="251">
        <v>0.20066037568878922</v>
      </c>
      <c r="E180" s="441">
        <v>12.049355634768302</v>
      </c>
      <c r="F180" s="251">
        <v>0.10400864764106021</v>
      </c>
    </row>
    <row r="181" spans="2:6" ht="15.75" x14ac:dyDescent="0.25">
      <c r="B181" s="444" t="s">
        <v>3347</v>
      </c>
      <c r="C181" s="100" t="s">
        <v>354</v>
      </c>
      <c r="D181" s="251">
        <v>9.5787678985855718E-2</v>
      </c>
      <c r="E181" s="441">
        <v>5.2017254628012575</v>
      </c>
      <c r="F181" s="251">
        <v>3.6984022842744046E-2</v>
      </c>
    </row>
    <row r="182" spans="2:6" ht="15.75" x14ac:dyDescent="0.25">
      <c r="B182" s="444" t="s">
        <v>3348</v>
      </c>
      <c r="C182" s="100" t="s">
        <v>3222</v>
      </c>
      <c r="D182" s="251">
        <v>-4.6943726129142563E-3</v>
      </c>
      <c r="E182" s="441">
        <v>62.924830729166672</v>
      </c>
      <c r="F182" s="251">
        <v>0.29216481542050854</v>
      </c>
    </row>
    <row r="183" spans="2:6" ht="15.75" x14ac:dyDescent="0.25">
      <c r="B183" s="444" t="s">
        <v>3356</v>
      </c>
      <c r="C183" s="100" t="s">
        <v>1349</v>
      </c>
      <c r="D183" s="251">
        <v>5.0725413393551404E-2</v>
      </c>
      <c r="E183" s="441">
        <v>17.67228205350186</v>
      </c>
      <c r="F183" s="251">
        <v>7.6343511183957879E-2</v>
      </c>
    </row>
    <row r="184" spans="2:6" ht="15.75" x14ac:dyDescent="0.25">
      <c r="B184" s="444" t="s">
        <v>2901</v>
      </c>
      <c r="C184" s="100" t="s">
        <v>1046</v>
      </c>
      <c r="D184" s="251">
        <v>0.23820337549487594</v>
      </c>
      <c r="E184" s="441">
        <v>25.858616458861498</v>
      </c>
      <c r="F184" s="251">
        <v>0.15266398237424195</v>
      </c>
    </row>
    <row r="185" spans="2:6" ht="15.75" x14ac:dyDescent="0.25">
      <c r="B185" s="444" t="s">
        <v>2900</v>
      </c>
      <c r="C185" s="100" t="s">
        <v>2018</v>
      </c>
      <c r="D185" s="251">
        <v>0.12503701988109184</v>
      </c>
      <c r="E185" s="441">
        <v>33.102528354785271</v>
      </c>
      <c r="F185" s="251">
        <v>0.11657532316572849</v>
      </c>
    </row>
    <row r="186" spans="2:6" ht="15.75" x14ac:dyDescent="0.25">
      <c r="B186" s="444" t="s">
        <v>3359</v>
      </c>
      <c r="C186" s="100" t="s">
        <v>1893</v>
      </c>
      <c r="D186" s="251">
        <v>0.39643799514026679</v>
      </c>
      <c r="E186" s="441">
        <v>22.22203967227253</v>
      </c>
      <c r="F186" s="251">
        <v>0.12492669512956556</v>
      </c>
    </row>
    <row r="187" spans="2:6" ht="15.75" x14ac:dyDescent="0.25">
      <c r="B187" s="444" t="s">
        <v>3360</v>
      </c>
      <c r="C187" s="100" t="s">
        <v>1612</v>
      </c>
      <c r="D187" s="251">
        <v>0.28162620872697702</v>
      </c>
      <c r="E187" s="441">
        <v>37.332883376541751</v>
      </c>
      <c r="F187" s="251">
        <v>0.14521875330710499</v>
      </c>
    </row>
    <row r="188" spans="2:6" ht="15.75" x14ac:dyDescent="0.25">
      <c r="B188" s="444" t="s">
        <v>2899</v>
      </c>
      <c r="C188" s="100" t="s">
        <v>1034</v>
      </c>
      <c r="D188" s="251">
        <v>0.27356118808898194</v>
      </c>
      <c r="E188" s="441">
        <v>26.189918469520471</v>
      </c>
      <c r="F188" s="251">
        <v>0.15774019743902801</v>
      </c>
    </row>
    <row r="189" spans="2:6" ht="15.75" x14ac:dyDescent="0.25">
      <c r="B189" s="444" t="s">
        <v>3361</v>
      </c>
      <c r="C189" s="100" t="s">
        <v>3368</v>
      </c>
      <c r="D189" s="251">
        <v>0.34002803123254943</v>
      </c>
      <c r="E189" s="441">
        <v>29.572972507358131</v>
      </c>
      <c r="F189" s="251">
        <v>0.2049076725760508</v>
      </c>
    </row>
    <row r="190" spans="2:6" ht="15.75" x14ac:dyDescent="0.25">
      <c r="B190" s="444" t="s">
        <v>1088</v>
      </c>
      <c r="C190" s="100" t="s">
        <v>1087</v>
      </c>
      <c r="D190" s="251">
        <v>0.15840381332397774</v>
      </c>
      <c r="E190" s="441">
        <v>20.148856524873828</v>
      </c>
      <c r="F190" s="251">
        <v>4.5440337848236645E-2</v>
      </c>
    </row>
    <row r="191" spans="2:6" ht="15.75" x14ac:dyDescent="0.25">
      <c r="B191" s="444" t="s">
        <v>3363</v>
      </c>
      <c r="C191" s="100" t="s">
        <v>800</v>
      </c>
      <c r="D191" s="251">
        <v>0.40896072684662449</v>
      </c>
      <c r="E191" s="441">
        <v>28.114609936487462</v>
      </c>
      <c r="F191" s="251">
        <v>8.4366067547736678E-2</v>
      </c>
    </row>
    <row r="192" spans="2:6" ht="15.75" x14ac:dyDescent="0.25">
      <c r="B192" s="444" t="s">
        <v>3364</v>
      </c>
      <c r="C192" s="100" t="s">
        <v>3369</v>
      </c>
      <c r="D192" s="251">
        <v>5.5215762084026176E-2</v>
      </c>
      <c r="E192" s="441">
        <v>35.259132686509354</v>
      </c>
      <c r="F192" s="251">
        <v>4.2023599565498726E-2</v>
      </c>
    </row>
    <row r="193" spans="2:6" ht="15.75" x14ac:dyDescent="0.25">
      <c r="B193" s="444" t="s">
        <v>3366</v>
      </c>
      <c r="C193" s="100" t="s">
        <v>3367</v>
      </c>
      <c r="D193" s="251">
        <v>6.398179603242686E-2</v>
      </c>
      <c r="E193" s="441">
        <v>21.525448780463091</v>
      </c>
      <c r="F193" s="251">
        <v>0.65174603470573422</v>
      </c>
    </row>
  </sheetData>
  <hyperlinks>
    <hyperlink ref="A1" location="Inicio!A1" display="Inicio" xr:uid="{6B8B9CD8-F473-4AC6-92AC-DA5118EFD98A}"/>
  </hyperlinks>
  <pageMargins left="0.7" right="0.7" top="0.75" bottom="0.75" header="0.3" footer="0.3"/>
  <ignoredErrors>
    <ignoredError sqref="D81:D114" formulaRange="1"/>
  </ignoredErrors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8362-5AD1-4F32-8D53-5013EFCFC3F3}">
  <sheetPr>
    <tabColor theme="9" tint="-0.499984740745262"/>
  </sheetPr>
  <dimension ref="A1:D8"/>
  <sheetViews>
    <sheetView workbookViewId="0"/>
  </sheetViews>
  <sheetFormatPr defaultColWidth="8.85546875" defaultRowHeight="15.75" x14ac:dyDescent="0.25"/>
  <cols>
    <col min="1" max="2" width="8.85546875" style="18"/>
    <col min="3" max="3" width="16.28515625" style="18" customWidth="1"/>
    <col min="4" max="4" width="24" style="21" customWidth="1"/>
    <col min="5" max="16384" width="8.85546875" style="18"/>
  </cols>
  <sheetData>
    <row r="1" spans="1:4" x14ac:dyDescent="0.25">
      <c r="A1" s="879" t="s">
        <v>2821</v>
      </c>
      <c r="C1" s="20" t="s">
        <v>2207</v>
      </c>
      <c r="D1" s="18" t="s">
        <v>2209</v>
      </c>
    </row>
    <row r="2" spans="1:4" x14ac:dyDescent="0.25">
      <c r="B2" s="20" t="s">
        <v>1486</v>
      </c>
      <c r="C2" s="19" cm="1">
        <f t="array" ref="C2">+_xldudf_WISE(B2,$C$1,$D$1)</f>
        <v>1.4668924498270723</v>
      </c>
      <c r="D2" s="21" t="s">
        <v>2210</v>
      </c>
    </row>
    <row r="3" spans="1:4" x14ac:dyDescent="0.25">
      <c r="B3" s="20" t="s">
        <v>2018</v>
      </c>
      <c r="C3" s="19" cm="1">
        <f t="array" ref="C3">+_xldudf_WISE(B3,$C$1,$D$1)</f>
        <v>0.2333561425996781</v>
      </c>
      <c r="D3" s="21" t="s">
        <v>2211</v>
      </c>
    </row>
    <row r="4" spans="1:4" x14ac:dyDescent="0.25">
      <c r="B4" s="20" t="s">
        <v>2048</v>
      </c>
      <c r="C4" s="19" cm="1">
        <f t="array" ref="C4">+_xldudf_WISE(B4,$C$1,$D$1)</f>
        <v>4.7920774497387221E-2</v>
      </c>
      <c r="D4" s="21" t="s">
        <v>2212</v>
      </c>
    </row>
    <row r="5" spans="1:4" x14ac:dyDescent="0.25">
      <c r="B5" s="20" t="s">
        <v>1997</v>
      </c>
      <c r="C5" s="19" cm="1">
        <f t="array" ref="C5">+_xldudf_WISE(B5,$C$1,$D$1)</f>
        <v>1.1165749962836331</v>
      </c>
      <c r="D5" s="21" t="s">
        <v>2213</v>
      </c>
    </row>
    <row r="6" spans="1:4" x14ac:dyDescent="0.25">
      <c r="B6" s="20" t="s">
        <v>2208</v>
      </c>
      <c r="C6" s="19" cm="1">
        <f t="array" ref="C6">+_xldudf_WISE(B6,$C$1,$D$1)</f>
        <v>0.38984933635236529</v>
      </c>
      <c r="D6" s="21" t="s">
        <v>2214</v>
      </c>
    </row>
    <row r="7" spans="1:4" x14ac:dyDescent="0.25">
      <c r="B7" s="20" t="s">
        <v>1612</v>
      </c>
      <c r="C7" s="19" cm="1">
        <f t="array" ref="C7">+_xldudf_WISE(B7,$C$1,$D$1)</f>
        <v>0.33130373985396189</v>
      </c>
      <c r="D7" s="21" t="s">
        <v>2215</v>
      </c>
    </row>
    <row r="8" spans="1:4" x14ac:dyDescent="0.25">
      <c r="B8" s="20" t="s">
        <v>1034</v>
      </c>
      <c r="C8" s="19" cm="1">
        <f t="array" ref="C8">+_xldudf_WISE(B8,$C$1,$D$1)</f>
        <v>0.33215067171729057</v>
      </c>
      <c r="D8" s="21" t="s">
        <v>2216</v>
      </c>
    </row>
  </sheetData>
  <hyperlinks>
    <hyperlink ref="A1" location="Inicio!A1" display="Inicio" xr:uid="{42FCE948-A807-4FAD-B65C-052724AE7EF1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4D6A7-4802-4FEC-A670-496A46D2E064}">
  <sheetPr>
    <tabColor theme="9" tint="-0.499984740745262"/>
  </sheetPr>
  <dimension ref="A1:W279"/>
  <sheetViews>
    <sheetView showGridLines="0" workbookViewId="0"/>
  </sheetViews>
  <sheetFormatPr defaultColWidth="31.5703125" defaultRowHeight="15" x14ac:dyDescent="0.25"/>
  <cols>
    <col min="1" max="1" width="6" style="22" customWidth="1"/>
    <col min="2" max="2" width="29.7109375" style="22" bestFit="1" customWidth="1"/>
    <col min="3" max="3" width="14.42578125" style="22" bestFit="1" customWidth="1"/>
    <col min="4" max="4" width="15.85546875" style="22" bestFit="1" customWidth="1"/>
    <col min="5" max="5" width="14.42578125" style="22" bestFit="1" customWidth="1"/>
    <col min="6" max="6" width="14.5703125" style="22" bestFit="1" customWidth="1"/>
    <col min="7" max="21" width="14.42578125" style="22" bestFit="1" customWidth="1"/>
    <col min="22" max="22" width="13.7109375" style="22" bestFit="1" customWidth="1"/>
    <col min="23" max="16384" width="31.5703125" style="22"/>
  </cols>
  <sheetData>
    <row r="1" spans="1:23" x14ac:dyDescent="0.25">
      <c r="A1" s="879" t="s">
        <v>2821</v>
      </c>
    </row>
    <row r="2" spans="1:23" x14ac:dyDescent="0.25">
      <c r="B2" s="27" t="s">
        <v>2217</v>
      </c>
      <c r="C2" s="28" t="s">
        <v>1179</v>
      </c>
    </row>
    <row r="3" spans="1:23" x14ac:dyDescent="0.25">
      <c r="B3" s="29"/>
    </row>
    <row r="4" spans="1:23" s="31" customFormat="1" ht="12.75" x14ac:dyDescent="0.2">
      <c r="B4" s="27" t="s">
        <v>2642</v>
      </c>
      <c r="C4" s="30">
        <v>2005</v>
      </c>
      <c r="D4" s="30">
        <v>2006</v>
      </c>
      <c r="E4" s="30">
        <v>2007</v>
      </c>
      <c r="F4" s="30">
        <v>2008</v>
      </c>
      <c r="G4" s="30">
        <v>2009</v>
      </c>
      <c r="H4" s="30">
        <v>2010</v>
      </c>
      <c r="I4" s="30">
        <v>2011</v>
      </c>
      <c r="J4" s="30">
        <v>2012</v>
      </c>
      <c r="K4" s="30">
        <v>2013</v>
      </c>
      <c r="L4" s="30">
        <v>2014</v>
      </c>
      <c r="M4" s="30">
        <v>2015</v>
      </c>
      <c r="N4" s="30">
        <v>2016</v>
      </c>
      <c r="O4" s="30">
        <v>2017</v>
      </c>
      <c r="P4" s="30">
        <v>2018</v>
      </c>
      <c r="Q4" s="30">
        <v>2019</v>
      </c>
      <c r="R4" s="30">
        <v>2020</v>
      </c>
      <c r="S4" s="30">
        <v>2021</v>
      </c>
      <c r="T4" s="30">
        <v>2022</v>
      </c>
      <c r="U4" s="30" t="s">
        <v>2209</v>
      </c>
      <c r="V4" s="27" t="s">
        <v>2643</v>
      </c>
    </row>
    <row r="5" spans="1:23" x14ac:dyDescent="0.25">
      <c r="B5" s="32" t="s">
        <v>2644</v>
      </c>
      <c r="C5" s="33" cm="1">
        <f t="array" ref="C5:U5">+_xldudf_WISE($C$2,B5,$C$4:$U$4)</f>
        <v>91134000000</v>
      </c>
      <c r="D5" s="33">
        <v>91424000000</v>
      </c>
      <c r="E5" s="33">
        <v>98786000000</v>
      </c>
      <c r="F5" s="33">
        <v>103630000000</v>
      </c>
      <c r="G5" s="33">
        <v>95758000000</v>
      </c>
      <c r="H5" s="33">
        <v>99871000000</v>
      </c>
      <c r="I5" s="33">
        <v>106916000000</v>
      </c>
      <c r="J5" s="33">
        <v>102874000000</v>
      </c>
      <c r="K5" s="33">
        <v>98368000000</v>
      </c>
      <c r="L5" s="33">
        <v>92793000000</v>
      </c>
      <c r="M5" s="33">
        <v>81742000000</v>
      </c>
      <c r="N5" s="33">
        <v>79920000000</v>
      </c>
      <c r="O5" s="33">
        <v>79139000000</v>
      </c>
      <c r="P5" s="33">
        <v>79591000000</v>
      </c>
      <c r="Q5" s="33">
        <v>57714000000</v>
      </c>
      <c r="R5" s="33">
        <v>55179000000</v>
      </c>
      <c r="S5" s="33">
        <v>57351000000</v>
      </c>
      <c r="T5" s="33">
        <v>60530000000</v>
      </c>
      <c r="U5" s="33">
        <v>68911000000</v>
      </c>
      <c r="V5" s="24">
        <f t="shared" ref="V5:V10" si="0">+(U5/Q5)^(1/5)-1</f>
        <v>3.6099526951940408E-2</v>
      </c>
    </row>
    <row r="6" spans="1:23" x14ac:dyDescent="0.25">
      <c r="B6" s="22" t="s">
        <v>2645</v>
      </c>
      <c r="C6" s="23" cm="1">
        <f t="array" ref="C6:U6">+_xldudf_WISE($C$2,B6,$C$4:$U$4)</f>
        <v>0.40086027200000002</v>
      </c>
      <c r="D6" s="23">
        <v>0.41887250599999998</v>
      </c>
      <c r="E6" s="23">
        <v>0.42241815599999999</v>
      </c>
      <c r="F6" s="23">
        <v>0.44061565200000002</v>
      </c>
      <c r="G6" s="23">
        <v>0.457246392</v>
      </c>
      <c r="H6" s="23">
        <v>0.46073434699999999</v>
      </c>
      <c r="I6" s="23">
        <v>0.468947585</v>
      </c>
      <c r="J6" s="23">
        <v>0.48954060300000002</v>
      </c>
      <c r="K6" s="23">
        <v>0.49491704600000003</v>
      </c>
      <c r="L6" s="23">
        <v>0.50011315499999998</v>
      </c>
      <c r="M6" s="23">
        <v>0.49771231399999999</v>
      </c>
      <c r="N6" s="23">
        <v>0.48193193200000001</v>
      </c>
      <c r="O6" s="23">
        <v>0.46681155899999999</v>
      </c>
      <c r="P6" s="23">
        <v>0.46407257099999999</v>
      </c>
      <c r="Q6" s="23">
        <v>0.546366566</v>
      </c>
      <c r="R6" s="23">
        <v>0.55936135099999995</v>
      </c>
      <c r="S6" s="23">
        <v>0.54900524799999995</v>
      </c>
      <c r="T6" s="23">
        <v>0.54001321700000005</v>
      </c>
      <c r="U6" s="23">
        <v>0.58968814848137452</v>
      </c>
      <c r="V6" s="24">
        <f t="shared" si="0"/>
        <v>1.5377783459642913E-2</v>
      </c>
    </row>
    <row r="7" spans="1:23" x14ac:dyDescent="0.25">
      <c r="B7" s="22" t="s">
        <v>2646</v>
      </c>
      <c r="C7" s="33" cm="1">
        <f t="array" ref="C7:U7">+_xldudf_WISE($C$2,B7,$C$4:$U$4)</f>
        <v>0.19349529300000001</v>
      </c>
      <c r="D7" s="23">
        <v>0.20320703500000001</v>
      </c>
      <c r="E7" s="23">
        <v>0.205504829</v>
      </c>
      <c r="F7" s="23">
        <v>0.220380199</v>
      </c>
      <c r="G7" s="23">
        <v>0.24576536700000001</v>
      </c>
      <c r="H7" s="23">
        <v>0.24954190900000001</v>
      </c>
      <c r="I7" s="23">
        <v>0.24532343200000001</v>
      </c>
      <c r="J7" s="23">
        <v>0.26901841100000001</v>
      </c>
      <c r="K7" s="23">
        <v>0.25744144400000002</v>
      </c>
      <c r="L7" s="23">
        <v>0.269007361</v>
      </c>
      <c r="M7" s="23">
        <v>0.24795086999999999</v>
      </c>
      <c r="N7" s="23">
        <v>0.21697948</v>
      </c>
      <c r="O7" s="23">
        <v>0.209201532</v>
      </c>
      <c r="P7" s="23">
        <v>0.20787526200000001</v>
      </c>
      <c r="Q7" s="23">
        <v>0.25312749099999998</v>
      </c>
      <c r="R7" s="23">
        <v>0.19128654</v>
      </c>
      <c r="S7" s="23">
        <v>0.216369375</v>
      </c>
      <c r="T7" s="23">
        <v>0.118519742</v>
      </c>
      <c r="U7" s="23">
        <v>0.2558662622803326</v>
      </c>
      <c r="V7" s="24">
        <f t="shared" si="0"/>
        <v>2.1546411517090469E-3</v>
      </c>
      <c r="W7" s="34"/>
    </row>
    <row r="8" spans="1:23" x14ac:dyDescent="0.25">
      <c r="B8" s="22" t="s">
        <v>2647</v>
      </c>
      <c r="C8" s="33" cm="1">
        <f t="array" ref="C8:U8">+_xldudf_WISE($C$2,B8,$C$4:$U$4)</f>
        <v>0.102881471</v>
      </c>
      <c r="D8" s="23">
        <v>0.130479962</v>
      </c>
      <c r="E8" s="23">
        <v>0.13682100699999999</v>
      </c>
      <c r="F8" s="23">
        <v>0.15380681299999999</v>
      </c>
      <c r="G8" s="23">
        <v>0.177656175</v>
      </c>
      <c r="H8" s="23">
        <v>0.20010813999999999</v>
      </c>
      <c r="I8" s="23">
        <v>0.20503947</v>
      </c>
      <c r="J8" s="23">
        <v>0.22347726300000001</v>
      </c>
      <c r="K8" s="23">
        <v>0.218567014</v>
      </c>
      <c r="L8" s="23">
        <v>0.219176015</v>
      </c>
      <c r="M8" s="23">
        <v>0.20195248499999999</v>
      </c>
      <c r="N8" s="23">
        <v>0.18364614600000001</v>
      </c>
      <c r="O8" s="23">
        <v>0.16602433699999999</v>
      </c>
      <c r="P8" s="23">
        <v>0.16606148900000001</v>
      </c>
      <c r="Q8" s="23">
        <v>0.13060955799999999</v>
      </c>
      <c r="R8" s="23">
        <v>8.4488664000000005E-2</v>
      </c>
      <c r="S8" s="23">
        <v>0.119701487</v>
      </c>
      <c r="T8" s="23">
        <v>0.13504047599999999</v>
      </c>
      <c r="U8" s="23">
        <v>0.16355879322604519</v>
      </c>
      <c r="V8" s="24">
        <f t="shared" si="0"/>
        <v>4.6019516370499058E-2</v>
      </c>
      <c r="W8" s="34"/>
    </row>
    <row r="9" spans="1:23" x14ac:dyDescent="0.25">
      <c r="B9" s="22" t="s">
        <v>2648</v>
      </c>
      <c r="C9" s="33" cm="1">
        <f t="array" ref="C9:U9">+_xldudf_WISE($C$2,B9,$C$4:$U$4)</f>
        <v>8.7058617000000005E-2</v>
      </c>
      <c r="D9" s="23">
        <v>0.103823941</v>
      </c>
      <c r="E9" s="23">
        <v>0.105460288</v>
      </c>
      <c r="F9" s="23">
        <v>0.119019589</v>
      </c>
      <c r="G9" s="23">
        <v>0.14019716400000001</v>
      </c>
      <c r="H9" s="23">
        <v>0.14852159300000001</v>
      </c>
      <c r="I9" s="23">
        <v>0.14829398799999999</v>
      </c>
      <c r="J9" s="23">
        <v>0.16140132600000001</v>
      </c>
      <c r="K9" s="23">
        <v>0.16756465500000001</v>
      </c>
      <c r="L9" s="23">
        <v>0.12955718599999999</v>
      </c>
      <c r="M9" s="23">
        <v>0.16136135700000001</v>
      </c>
      <c r="N9" s="23">
        <v>0.148548549</v>
      </c>
      <c r="O9" s="23">
        <v>7.2694879000000004E-2</v>
      </c>
      <c r="P9" s="23">
        <v>0.10966064</v>
      </c>
      <c r="Q9" s="23">
        <v>0.16340922499999999</v>
      </c>
      <c r="R9" s="23">
        <v>0.10130665699999999</v>
      </c>
      <c r="S9" s="23">
        <v>0.100120312</v>
      </c>
      <c r="T9" s="23">
        <v>2.7094002999999998E-2</v>
      </c>
      <c r="U9" s="23">
        <v>0.1560563625545994</v>
      </c>
      <c r="V9" s="24">
        <f t="shared" si="0"/>
        <v>-9.1658148528672712E-3</v>
      </c>
      <c r="W9" s="34"/>
    </row>
    <row r="10" spans="1:23" ht="15.6" customHeight="1" x14ac:dyDescent="0.25">
      <c r="B10" s="35" t="s">
        <v>2649</v>
      </c>
      <c r="C10" s="33" cm="1">
        <f t="array" ref="C10:U10">+_xldudf_WISE($C$2,B10,$C$4:$U$4)</f>
        <v>4.87</v>
      </c>
      <c r="D10" s="22">
        <v>6.11</v>
      </c>
      <c r="E10" s="22">
        <v>7.18</v>
      </c>
      <c r="F10" s="22">
        <v>8.93</v>
      </c>
      <c r="G10" s="22">
        <v>10.01</v>
      </c>
      <c r="H10" s="22">
        <v>11.52</v>
      </c>
      <c r="I10" s="22">
        <v>13.06</v>
      </c>
      <c r="J10" s="22">
        <v>14.37</v>
      </c>
      <c r="K10" s="22">
        <v>14.94</v>
      </c>
      <c r="L10" s="22">
        <v>11.9</v>
      </c>
      <c r="M10" s="22">
        <v>13.42</v>
      </c>
      <c r="N10" s="22">
        <v>12.38</v>
      </c>
      <c r="O10" s="22">
        <v>6.14</v>
      </c>
      <c r="P10" s="22">
        <v>9.5299999999999994</v>
      </c>
      <c r="Q10" s="22">
        <v>10.56</v>
      </c>
      <c r="R10" s="22">
        <v>6.23</v>
      </c>
      <c r="S10" s="22">
        <v>6.35</v>
      </c>
      <c r="T10" s="22">
        <v>1.8</v>
      </c>
      <c r="U10" s="22">
        <v>11.31</v>
      </c>
      <c r="V10" s="24">
        <f t="shared" si="0"/>
        <v>1.3817392206386225E-2</v>
      </c>
    </row>
    <row r="11" spans="1:23" ht="15.6" customHeight="1" x14ac:dyDescent="0.25">
      <c r="B11" s="35"/>
      <c r="V11" s="24"/>
    </row>
    <row r="12" spans="1:23" ht="15.6" customHeight="1" x14ac:dyDescent="0.25">
      <c r="B12" s="27" t="s">
        <v>2650</v>
      </c>
      <c r="C12" s="30">
        <v>2005</v>
      </c>
      <c r="D12" s="30">
        <v>2006</v>
      </c>
      <c r="E12" s="30">
        <v>2007</v>
      </c>
      <c r="F12" s="30">
        <v>2008</v>
      </c>
      <c r="G12" s="30">
        <v>2009</v>
      </c>
      <c r="H12" s="30">
        <v>2010</v>
      </c>
      <c r="I12" s="30">
        <v>2011</v>
      </c>
      <c r="J12" s="30">
        <v>2012</v>
      </c>
      <c r="K12" s="30">
        <v>2013</v>
      </c>
      <c r="L12" s="30">
        <v>2014</v>
      </c>
      <c r="M12" s="30">
        <v>2015</v>
      </c>
      <c r="N12" s="30">
        <v>2016</v>
      </c>
      <c r="O12" s="30">
        <v>2017</v>
      </c>
      <c r="P12" s="30">
        <v>2018</v>
      </c>
      <c r="Q12" s="30">
        <v>2019</v>
      </c>
      <c r="R12" s="30">
        <v>2020</v>
      </c>
      <c r="S12" s="30">
        <v>2021</v>
      </c>
      <c r="T12" s="30">
        <v>2022</v>
      </c>
      <c r="U12" s="30" t="s">
        <v>2209</v>
      </c>
      <c r="V12" s="27" t="s">
        <v>2651</v>
      </c>
    </row>
    <row r="13" spans="1:23" ht="15.6" customHeight="1" x14ac:dyDescent="0.25">
      <c r="B13" s="35" t="s">
        <v>2652</v>
      </c>
      <c r="C13" s="24" cm="1">
        <f t="array" ref="C13:U13">+_xldudf_WISE($C$2,"Operating income",$C$12:$U$12)/_xldudf_WISE($C$2,"Total assets",$C$12:$U$12)</f>
        <v>8.8663615387525055E-2</v>
      </c>
      <c r="D13" s="24">
        <v>0.11555301547939632</v>
      </c>
      <c r="E13" s="24">
        <v>0.11223023972233064</v>
      </c>
      <c r="F13" s="24">
        <v>0.14552974690478798</v>
      </c>
      <c r="G13" s="24">
        <v>0.15604189980004035</v>
      </c>
      <c r="H13" s="24">
        <v>0.17615379191199804</v>
      </c>
      <c r="I13" s="24">
        <v>0.18827995499557684</v>
      </c>
      <c r="J13" s="24">
        <v>0.19284809542583442</v>
      </c>
      <c r="K13" s="24">
        <v>0.17033345745228681</v>
      </c>
      <c r="L13" s="24">
        <v>0.17304223530612939</v>
      </c>
      <c r="M13" s="24">
        <v>0.1494004253586135</v>
      </c>
      <c r="N13" s="24">
        <v>0.12494253852047331</v>
      </c>
      <c r="O13" s="24">
        <v>0.10481349117712754</v>
      </c>
      <c r="P13" s="24">
        <v>0.10712259486797102</v>
      </c>
      <c r="Q13" s="24">
        <v>4.9531494355591184E-2</v>
      </c>
      <c r="R13" s="24">
        <v>2.9890171890928442E-2</v>
      </c>
      <c r="S13" s="24">
        <v>5.2007181763774515E-2</v>
      </c>
      <c r="T13" s="24">
        <v>6.4239290177062786E-2</v>
      </c>
      <c r="U13" s="24">
        <v>7.2144096166524785E-2</v>
      </c>
      <c r="V13" s="24">
        <f>+AVERAGE(Q13:U13)</f>
        <v>5.356244687077634E-2</v>
      </c>
    </row>
    <row r="14" spans="1:23" ht="15.6" customHeight="1" x14ac:dyDescent="0.25">
      <c r="B14" s="35" t="s">
        <v>2173</v>
      </c>
      <c r="C14" s="24" cm="1">
        <f t="array" ref="C14:U14">+_xldudf_WISE($C$2,B14,C12:U12)</f>
        <v>7.8786312299999994E-2</v>
      </c>
      <c r="D14" s="24">
        <v>0.1170739423</v>
      </c>
      <c r="E14" s="24">
        <v>0.1099912347</v>
      </c>
      <c r="F14" s="24">
        <v>0.15016137290000001</v>
      </c>
      <c r="G14" s="24">
        <v>0.1631287404</v>
      </c>
      <c r="H14" s="24">
        <v>0.18866318530000001</v>
      </c>
      <c r="I14" s="24">
        <v>0.19992444449999999</v>
      </c>
      <c r="J14" s="24">
        <v>0.204531935</v>
      </c>
      <c r="K14" s="24">
        <v>0.1929210827</v>
      </c>
      <c r="L14" s="24">
        <v>0.19634764939999999</v>
      </c>
      <c r="M14" s="24">
        <v>0.16732821119999999</v>
      </c>
      <c r="N14" s="24">
        <v>0.15942973399999999</v>
      </c>
      <c r="O14" s="24">
        <v>6.9871735300000001E-2</v>
      </c>
      <c r="P14" s="24">
        <v>0.1065931299</v>
      </c>
      <c r="Q14" s="24">
        <v>5.99640278E-2</v>
      </c>
      <c r="R14" s="24">
        <v>3.7520220799999997E-2</v>
      </c>
      <c r="S14" s="24">
        <v>6.3019452700000006E-2</v>
      </c>
      <c r="T14" s="24">
        <v>8.0632910099999996E-2</v>
      </c>
      <c r="U14" s="24">
        <v>8.9750838104490333E-2</v>
      </c>
      <c r="V14" s="24">
        <f>+AVERAGE(U14:U14)</f>
        <v>8.9750838104490333E-2</v>
      </c>
    </row>
    <row r="15" spans="1:23" ht="15.6" customHeight="1" x14ac:dyDescent="0.25">
      <c r="B15" s="35" t="s">
        <v>2207</v>
      </c>
      <c r="C15" s="23" cm="1">
        <f t="array" ref="C15:U15">_xldudf_WISE($C$2,B15,C12:U12)</f>
        <v>0.23971236930000001</v>
      </c>
      <c r="D15" s="23">
        <v>0.33298253</v>
      </c>
      <c r="E15" s="23">
        <v>0.36592904809999999</v>
      </c>
      <c r="F15" s="23">
        <v>0.91600445600000002</v>
      </c>
      <c r="G15" s="23">
        <v>0.59305561689999997</v>
      </c>
      <c r="H15" s="23">
        <v>0.64362579190000002</v>
      </c>
      <c r="I15" s="23">
        <v>0.78731750919999999</v>
      </c>
      <c r="J15" s="23">
        <v>0.88038176030000004</v>
      </c>
      <c r="K15" s="23">
        <v>0.7231923482</v>
      </c>
      <c r="L15" s="23">
        <v>1.0129760700999999</v>
      </c>
      <c r="M15" s="23">
        <v>0.92483522650000005</v>
      </c>
      <c r="N15" s="23">
        <v>0.65066315900000005</v>
      </c>
      <c r="O15" s="23">
        <v>0.32698647269999997</v>
      </c>
      <c r="P15" s="23">
        <v>0.51964753509999995</v>
      </c>
      <c r="Q15" s="23">
        <v>0.45252147209999999</v>
      </c>
      <c r="R15" s="23">
        <v>0.27139874739999997</v>
      </c>
      <c r="S15" s="23">
        <v>0.30379345009999997</v>
      </c>
      <c r="T15" s="23">
        <v>7.4735690800000004E-2</v>
      </c>
      <c r="U15" s="23">
        <v>0.35539839386628774</v>
      </c>
      <c r="V15" s="24">
        <f>+AVERAGE(U15:U15)</f>
        <v>0.35539839386628774</v>
      </c>
    </row>
    <row r="16" spans="1:23" ht="15.6" customHeight="1" x14ac:dyDescent="0.25">
      <c r="B16" s="36" t="s">
        <v>2653</v>
      </c>
      <c r="V16" s="24"/>
    </row>
    <row r="17" spans="2:22" ht="15.6" customHeight="1" x14ac:dyDescent="0.25">
      <c r="B17" s="35" t="s">
        <v>2654</v>
      </c>
      <c r="C17" s="24" cm="1">
        <f t="array" ref="C17:U17">+_xldudf_WISE($C$2,"Net income",C12:U12)/_xldudf_WISE($C$2,"Income Before Tax",C12:U12)</f>
        <v>0.64894487158514635</v>
      </c>
      <c r="D17" s="24">
        <v>0.7127731471052039</v>
      </c>
      <c r="E17" s="24">
        <v>0.71902822831113256</v>
      </c>
      <c r="F17" s="24">
        <v>0.73790008973975474</v>
      </c>
      <c r="G17" s="24">
        <v>0.74015878266622559</v>
      </c>
      <c r="H17" s="24">
        <v>0.75206611570247939</v>
      </c>
      <c r="I17" s="24">
        <v>0.7548921582631053</v>
      </c>
      <c r="J17" s="24">
        <v>0.73664596273291927</v>
      </c>
      <c r="K17" s="24">
        <v>0.8142165579924916</v>
      </c>
      <c r="L17" s="24">
        <v>0.60152106474532174</v>
      </c>
      <c r="M17" s="24">
        <v>0.82721856381310754</v>
      </c>
      <c r="N17" s="24">
        <v>0.96285482562854829</v>
      </c>
      <c r="O17" s="24">
        <v>0.50464912280701757</v>
      </c>
      <c r="P17" s="24">
        <v>0.7695291835655087</v>
      </c>
      <c r="Q17" s="24">
        <v>1.3087704690535664</v>
      </c>
      <c r="R17" s="24">
        <v>2.1734059097978227</v>
      </c>
      <c r="S17" s="24">
        <v>1.1870994418027703</v>
      </c>
      <c r="T17" s="24">
        <v>1.4186851211072664</v>
      </c>
      <c r="U17" s="24">
        <v>1.0185641219928017</v>
      </c>
      <c r="V17" s="24"/>
    </row>
    <row r="18" spans="2:22" ht="15.6" customHeight="1" x14ac:dyDescent="0.25">
      <c r="B18" s="35" t="s">
        <v>2655</v>
      </c>
      <c r="C18" s="24" cm="1">
        <f t="array" ref="C18:U18">_xldudf_WISE($C$2,"Income Before Tax",C12:U12)/_xldudf_WISE($C$2,"Operating income",C12:U12)</f>
        <v>1.3039675767918089</v>
      </c>
      <c r="D18" s="24">
        <v>1.1163551010143349</v>
      </c>
      <c r="E18" s="24">
        <v>1.0719887540692512</v>
      </c>
      <c r="F18" s="24">
        <v>1.0486856139030052</v>
      </c>
      <c r="G18" s="24">
        <v>1.0661885727721607</v>
      </c>
      <c r="H18" s="24">
        <v>0.98689016762571924</v>
      </c>
      <c r="I18" s="24">
        <v>0.95807864245962959</v>
      </c>
      <c r="J18" s="24">
        <v>0.98042627229230095</v>
      </c>
      <c r="K18" s="24">
        <v>0.94158139534883722</v>
      </c>
      <c r="L18" s="24">
        <v>0.98269249680401216</v>
      </c>
      <c r="M18" s="24">
        <v>0.96589532347952511</v>
      </c>
      <c r="N18" s="24">
        <v>0.8400899366355522</v>
      </c>
      <c r="O18" s="24">
        <v>0.86764593956922142</v>
      </c>
      <c r="P18" s="24">
        <v>0.85813724748430054</v>
      </c>
      <c r="Q18" s="24">
        <v>0.95595648713186521</v>
      </c>
      <c r="R18" s="24">
        <v>0.55169455169455173</v>
      </c>
      <c r="S18" s="24">
        <v>0.70458849235251275</v>
      </c>
      <c r="T18" s="24">
        <v>0.14142402740396379</v>
      </c>
      <c r="U18" s="24">
        <v>0.93674030698252153</v>
      </c>
      <c r="V18" s="24"/>
    </row>
    <row r="19" spans="2:22" ht="15.6" customHeight="1" x14ac:dyDescent="0.25">
      <c r="B19" s="35" t="s">
        <v>2656</v>
      </c>
      <c r="C19" s="24" cm="1">
        <f t="array" ref="C19:U19">_xldudf_WISE($C$2,"Operating income",C12:U12)/_xldudf_WISE($C$2,"Revenue",C12:U12)</f>
        <v>0.10288147124015186</v>
      </c>
      <c r="D19" s="24">
        <v>0.13047996149807489</v>
      </c>
      <c r="E19" s="24">
        <v>0.13682100702528699</v>
      </c>
      <c r="F19" s="24">
        <v>0.15380681269902538</v>
      </c>
      <c r="G19" s="24">
        <v>0.17765617494099709</v>
      </c>
      <c r="H19" s="24">
        <v>0.20010813949995493</v>
      </c>
      <c r="I19" s="24">
        <v>0.20503947023831792</v>
      </c>
      <c r="J19" s="24">
        <v>0.22347726344849039</v>
      </c>
      <c r="K19" s="24">
        <v>0.21856701366297984</v>
      </c>
      <c r="L19" s="24">
        <v>0.21917601543219856</v>
      </c>
      <c r="M19" s="24">
        <v>0.20195248464681559</v>
      </c>
      <c r="N19" s="24">
        <v>0.18364614614614613</v>
      </c>
      <c r="O19" s="24">
        <v>0.16602433692616789</v>
      </c>
      <c r="P19" s="24">
        <v>0.16606148936437537</v>
      </c>
      <c r="Q19" s="24">
        <v>0.1306095574730568</v>
      </c>
      <c r="R19" s="24">
        <v>8.4488664165715224E-2</v>
      </c>
      <c r="S19" s="24">
        <v>0.11970148733239176</v>
      </c>
      <c r="T19" s="24">
        <v>0.13504047579712539</v>
      </c>
      <c r="U19" s="24">
        <v>0.16355879322604519</v>
      </c>
      <c r="V19" s="24"/>
    </row>
    <row r="20" spans="2:22" ht="15.6" customHeight="1" x14ac:dyDescent="0.25">
      <c r="B20" s="35" t="s">
        <v>2657</v>
      </c>
      <c r="C20" s="24" cm="1">
        <f t="array" ref="C20:U20">+_xldudf_WISE($C$2,"Revenue",C4:U4)/_xldudf_WISE($C$2,"Total assets",C4:U4)</f>
        <v>0.86180353292733669</v>
      </c>
      <c r="D20" s="24">
        <v>0.88559970552337408</v>
      </c>
      <c r="E20" s="24">
        <v>0.82027052835233449</v>
      </c>
      <c r="F20" s="24">
        <v>0.94618531098206782</v>
      </c>
      <c r="G20" s="24">
        <v>0.87833648254480745</v>
      </c>
      <c r="H20" s="24">
        <v>0.8802929873426647</v>
      </c>
      <c r="I20" s="24">
        <v>0.91826200475810127</v>
      </c>
      <c r="J20" s="24">
        <v>0.86294279986243116</v>
      </c>
      <c r="K20" s="24">
        <v>0.77931914151937443</v>
      </c>
      <c r="L20" s="24">
        <v>0.78951264336521121</v>
      </c>
      <c r="M20" s="24">
        <v>0.73978008054663102</v>
      </c>
      <c r="N20" s="24">
        <v>0.68034391759598201</v>
      </c>
      <c r="O20" s="24">
        <v>0.63131401767765405</v>
      </c>
      <c r="P20" s="24">
        <v>0.64507788818466227</v>
      </c>
      <c r="Q20" s="24">
        <v>0.37923330661164628</v>
      </c>
      <c r="R20" s="24">
        <v>0.35377730475537117</v>
      </c>
      <c r="S20" s="24">
        <v>0.43447398125771775</v>
      </c>
      <c r="T20" s="24">
        <v>0.47570396799823961</v>
      </c>
      <c r="U20" s="24">
        <v>0.44108968245332175</v>
      </c>
      <c r="V20" s="24"/>
    </row>
    <row r="21" spans="2:22" ht="30" x14ac:dyDescent="0.25">
      <c r="B21" s="35" t="s">
        <v>2658</v>
      </c>
      <c r="C21" s="24" cm="1">
        <f t="array" ref="C21:U21">+_xldudf_WISE($C$2,"Total assets",C12:U12)/_xldudf_WISE($C$2,"Total Equity",C12:U12)</f>
        <v>3.1949966765363467</v>
      </c>
      <c r="D21" s="24">
        <v>3.6214831965200309</v>
      </c>
      <c r="E21" s="24">
        <v>4.2301018616087109</v>
      </c>
      <c r="F21" s="24">
        <v>8.1339769773486825</v>
      </c>
      <c r="G21" s="24">
        <v>4.79112283014722</v>
      </c>
      <c r="H21" s="24">
        <v>4.896081477645434</v>
      </c>
      <c r="I21" s="24">
        <v>5.7540400296515939</v>
      </c>
      <c r="J21" s="24">
        <v>6.2796565528866415</v>
      </c>
      <c r="K21" s="24">
        <v>5.5049500632386934</v>
      </c>
      <c r="L21" s="24">
        <v>9.7829199267521219</v>
      </c>
      <c r="M21" s="24">
        <v>7.6604963948973932</v>
      </c>
      <c r="N21" s="24">
        <v>6.3870160939538927</v>
      </c>
      <c r="O21" s="24">
        <v>7.0722708039492241</v>
      </c>
      <c r="P21" s="24">
        <v>7.2877731836975785</v>
      </c>
      <c r="Q21" s="24">
        <v>7.2521324755777936</v>
      </c>
      <c r="R21" s="24">
        <v>7.5253787513268362</v>
      </c>
      <c r="S21" s="24">
        <v>6.9488839755738052</v>
      </c>
      <c r="T21" s="24">
        <v>5.7782571182053495</v>
      </c>
      <c r="U21" s="24">
        <v>4.7263348963848131</v>
      </c>
    </row>
    <row r="22" spans="2:22" x14ac:dyDescent="0.25">
      <c r="B22" s="37" t="s">
        <v>2207</v>
      </c>
      <c r="C22" s="38">
        <f>+C21*C20*C19*C18*C17</f>
        <v>0.23971236932745177</v>
      </c>
      <c r="D22" s="38">
        <f t="shared" ref="D22:U22" si="1">+D21*D20*D19*D18*D17</f>
        <v>0.33298252999368549</v>
      </c>
      <c r="E22" s="38">
        <f t="shared" si="1"/>
        <v>0.36592904812082888</v>
      </c>
      <c r="F22" s="38">
        <f t="shared" si="1"/>
        <v>0.9160044559970294</v>
      </c>
      <c r="G22" s="38">
        <f t="shared" si="1"/>
        <v>0.58998022412656548</v>
      </c>
      <c r="H22" s="38">
        <f t="shared" si="1"/>
        <v>0.64012601415501458</v>
      </c>
      <c r="I22" s="38">
        <f t="shared" si="1"/>
        <v>0.78354336545589331</v>
      </c>
      <c r="J22" s="38">
        <f t="shared" si="1"/>
        <v>0.87463126843657824</v>
      </c>
      <c r="K22" s="38">
        <f t="shared" si="1"/>
        <v>0.718871298355794</v>
      </c>
      <c r="L22" s="38">
        <f t="shared" si="1"/>
        <v>1.0006658897952387</v>
      </c>
      <c r="M22" s="38">
        <f t="shared" si="1"/>
        <v>0.91444814198557955</v>
      </c>
      <c r="N22" s="38">
        <f t="shared" si="1"/>
        <v>0.64549804262722921</v>
      </c>
      <c r="O22" s="38">
        <f t="shared" si="1"/>
        <v>0.32456981664315937</v>
      </c>
      <c r="P22" s="38">
        <f t="shared" si="1"/>
        <v>0.51553455404607218</v>
      </c>
      <c r="Q22" s="38">
        <f t="shared" si="1"/>
        <v>0.44941624970216831</v>
      </c>
      <c r="R22" s="38">
        <f t="shared" si="1"/>
        <v>0.26970954356846477</v>
      </c>
      <c r="S22" s="38">
        <f t="shared" si="1"/>
        <v>0.30227416298168036</v>
      </c>
      <c r="T22" s="38">
        <f t="shared" si="1"/>
        <v>7.4474365378502327E-2</v>
      </c>
      <c r="U22" s="38">
        <f t="shared" si="1"/>
        <v>0.32533656027832408</v>
      </c>
    </row>
    <row r="24" spans="2:22" x14ac:dyDescent="0.25">
      <c r="B24" s="27" t="s">
        <v>2659</v>
      </c>
      <c r="C24" s="30">
        <v>2005</v>
      </c>
      <c r="D24" s="30">
        <v>2006</v>
      </c>
      <c r="E24" s="30">
        <v>2007</v>
      </c>
      <c r="F24" s="30">
        <v>2008</v>
      </c>
      <c r="G24" s="30">
        <v>2009</v>
      </c>
      <c r="H24" s="30">
        <v>2010</v>
      </c>
      <c r="I24" s="30">
        <v>2011</v>
      </c>
      <c r="J24" s="30">
        <v>2012</v>
      </c>
      <c r="K24" s="30">
        <v>2013</v>
      </c>
      <c r="L24" s="30">
        <v>2014</v>
      </c>
      <c r="M24" s="30">
        <v>2015</v>
      </c>
      <c r="N24" s="30">
        <v>2016</v>
      </c>
      <c r="O24" s="30">
        <v>2017</v>
      </c>
      <c r="P24" s="30">
        <v>2018</v>
      </c>
      <c r="Q24" s="30">
        <v>2019</v>
      </c>
      <c r="R24" s="30">
        <v>2020</v>
      </c>
      <c r="S24" s="30">
        <v>2021</v>
      </c>
      <c r="T24" s="30">
        <v>2022</v>
      </c>
      <c r="U24" s="30" t="s">
        <v>2209</v>
      </c>
      <c r="V24" s="39"/>
    </row>
    <row r="25" spans="2:22" x14ac:dyDescent="0.25">
      <c r="B25" s="22" t="s">
        <v>2660</v>
      </c>
      <c r="C25" s="22" cm="1">
        <f t="array" ref="C25:U25">+_xldudf_WISE($C$2,"Total Current Assets",C24:U24)/_xldudf_WISE($C$2,"Total current liabilities",C24:U24)</f>
        <v>1.2989588074647247</v>
      </c>
      <c r="D25" s="22">
        <v>1.1139657279688708</v>
      </c>
      <c r="E25" s="22">
        <v>1.2001128413450688</v>
      </c>
      <c r="F25" s="22">
        <v>1.1548014610580888</v>
      </c>
      <c r="G25" s="22">
        <v>1.3592300427754014</v>
      </c>
      <c r="H25" s="22">
        <v>1.1862334204427789</v>
      </c>
      <c r="I25" s="22">
        <v>1.2090306958193862</v>
      </c>
      <c r="J25" s="22">
        <v>1.1331346704871059</v>
      </c>
      <c r="K25" s="22">
        <v>1.2788265179060616</v>
      </c>
      <c r="L25" s="22">
        <v>1.19696318940906</v>
      </c>
      <c r="M25" s="22">
        <v>1.2403046485161515</v>
      </c>
      <c r="N25" s="22">
        <v>1.2098690558235699</v>
      </c>
      <c r="O25" s="22">
        <v>1.3311297272702942</v>
      </c>
      <c r="P25" s="22">
        <v>1.2856358071520129</v>
      </c>
      <c r="Q25" s="22">
        <v>1.019071112172091</v>
      </c>
      <c r="R25" s="22">
        <v>0.98234217060874363</v>
      </c>
      <c r="S25" s="22">
        <v>0.87864005473095574</v>
      </c>
      <c r="T25" s="22">
        <v>0.924234248531979</v>
      </c>
      <c r="U25" s="22">
        <v>0.79584050273060525</v>
      </c>
      <c r="V25" s="40"/>
    </row>
    <row r="26" spans="2:22" x14ac:dyDescent="0.25">
      <c r="B26" s="22" t="s">
        <v>2661</v>
      </c>
      <c r="C26" s="33" cm="1">
        <f t="array" ref="C26:U26">_xldudf_WISE($C$2,B26,C24:U24)</f>
        <v>12568000000</v>
      </c>
      <c r="D26" s="33">
        <v>8022000000</v>
      </c>
      <c r="E26" s="33">
        <v>14991000000</v>
      </c>
      <c r="F26" s="33">
        <v>12741000000</v>
      </c>
      <c r="G26" s="33">
        <v>12183000000</v>
      </c>
      <c r="H26" s="33">
        <v>10661000000</v>
      </c>
      <c r="I26" s="33">
        <v>11922000000</v>
      </c>
      <c r="J26" s="33">
        <v>10412000000</v>
      </c>
      <c r="K26" s="33">
        <v>10716000000</v>
      </c>
      <c r="L26" s="33">
        <v>8476000000</v>
      </c>
      <c r="M26" s="33">
        <v>7686000000</v>
      </c>
      <c r="N26" s="33">
        <v>7826000000</v>
      </c>
      <c r="O26" s="33">
        <v>11972000000</v>
      </c>
      <c r="P26" s="33">
        <v>11379000000</v>
      </c>
      <c r="Q26" s="33">
        <v>8172000000</v>
      </c>
      <c r="R26" s="33">
        <v>13212000000</v>
      </c>
      <c r="S26" s="33">
        <v>6650000000</v>
      </c>
      <c r="T26" s="33">
        <v>7886000000</v>
      </c>
      <c r="U26" s="33">
        <v>10819000000</v>
      </c>
      <c r="V26" s="40"/>
    </row>
    <row r="27" spans="2:22" x14ac:dyDescent="0.25">
      <c r="B27" s="22" t="s">
        <v>2662</v>
      </c>
      <c r="C27" s="41" cm="1">
        <f t="array" ref="C27:U27">+(_xldudf_WISE($C$2,"Net receivables",C24:U24)/_xldudf_WISE($C$2,B5,C24:U24))*365</f>
        <v>97.836372813659011</v>
      </c>
      <c r="D27" s="41">
        <v>107.18760938046903</v>
      </c>
      <c r="E27" s="41">
        <v>106.37119632336565</v>
      </c>
      <c r="F27" s="41">
        <v>97.052735694297013</v>
      </c>
      <c r="G27" s="41">
        <v>102.12666304642954</v>
      </c>
      <c r="H27" s="41">
        <v>103.15431907160237</v>
      </c>
      <c r="I27" s="41">
        <v>100.91815069774403</v>
      </c>
      <c r="J27" s="41">
        <v>108.49164997958667</v>
      </c>
      <c r="K27" s="41">
        <v>118.12926968119713</v>
      </c>
      <c r="L27" s="41">
        <v>125.20680439257272</v>
      </c>
      <c r="M27" s="41">
        <v>127.50128452937291</v>
      </c>
      <c r="N27" s="41">
        <v>133.56387637637638</v>
      </c>
      <c r="O27" s="41">
        <v>148.05424632608447</v>
      </c>
      <c r="P27" s="41">
        <v>36.238142503549398</v>
      </c>
      <c r="Q27" s="41">
        <v>52.883702394566306</v>
      </c>
      <c r="R27" s="41">
        <v>41.111201725294045</v>
      </c>
      <c r="S27" s="41">
        <v>45.982197346166593</v>
      </c>
      <c r="T27" s="41">
        <v>42.240624483727075</v>
      </c>
      <c r="U27" s="41">
        <v>75.451306757992185</v>
      </c>
    </row>
    <row r="28" spans="2:22" x14ac:dyDescent="0.25">
      <c r="B28" s="22" t="s">
        <v>2663</v>
      </c>
      <c r="C28" s="41" cm="1">
        <f t="array" ref="C28:U28">+(_xldudf_WISE($C$2,"Account Payables",C24:U24)/_xldudf_WISE($C$2,"Cost Of Revenue",C24:U24))*365</f>
        <v>49.126130910955638</v>
      </c>
      <c r="D28" s="41">
        <v>54.713245120367404</v>
      </c>
      <c r="E28" s="41">
        <v>51.522337311810993</v>
      </c>
      <c r="F28" s="41">
        <v>44.163432179268227</v>
      </c>
      <c r="G28" s="41">
        <v>52.222115329113187</v>
      </c>
      <c r="H28" s="41">
        <v>52.889318008801084</v>
      </c>
      <c r="I28" s="41">
        <v>54.751928563880377</v>
      </c>
      <c r="J28" s="41">
        <v>55.271647020737724</v>
      </c>
      <c r="K28" s="41">
        <v>54.812813235915705</v>
      </c>
      <c r="L28" s="41">
        <v>54.011124046048373</v>
      </c>
      <c r="M28" s="41">
        <v>53.589400102296814</v>
      </c>
      <c r="N28" s="41">
        <v>54.73721710987126</v>
      </c>
      <c r="O28" s="41">
        <v>55.801853256232825</v>
      </c>
      <c r="P28" s="41">
        <v>56.116985113116868</v>
      </c>
      <c r="Q28" s="41">
        <v>68.257133035407364</v>
      </c>
      <c r="R28" s="41">
        <v>60.543102739162627</v>
      </c>
      <c r="S28" s="41">
        <v>55.811907983761841</v>
      </c>
      <c r="T28" s="41">
        <v>53.107355793405645</v>
      </c>
      <c r="U28" s="41">
        <v>52.139168877099912</v>
      </c>
    </row>
    <row r="29" spans="2:22" x14ac:dyDescent="0.25">
      <c r="B29" s="22" t="s">
        <v>2664</v>
      </c>
      <c r="C29" s="41" cm="1">
        <f t="array" ref="C29:U29">+_xldudf_WISE($C$2,B29,C24:U24)</f>
        <v>18.991337313700001</v>
      </c>
      <c r="D29" s="41">
        <v>19.3048993958</v>
      </c>
      <c r="E29" s="41">
        <v>17.041905462999999</v>
      </c>
      <c r="F29" s="41">
        <v>17.006762235</v>
      </c>
      <c r="G29" s="41">
        <v>17.508033017100001</v>
      </c>
      <c r="H29" s="41">
        <v>16.604155448699998</v>
      </c>
      <c r="I29" s="41">
        <v>16.682077565299998</v>
      </c>
      <c r="J29" s="41">
        <v>15.896159046299999</v>
      </c>
      <c r="K29" s="41">
        <v>16.970593563200001</v>
      </c>
      <c r="L29" s="41">
        <v>16.5479886173</v>
      </c>
      <c r="M29" s="41">
        <v>13.788513529999999</v>
      </c>
      <c r="N29" s="41">
        <v>13.6909161172</v>
      </c>
      <c r="O29" s="41">
        <v>13.6931225709</v>
      </c>
      <c r="P29" s="41">
        <v>14.392919939</v>
      </c>
      <c r="Q29" s="41">
        <v>22.5711393759</v>
      </c>
      <c r="R29" s="41">
        <v>27.606934276499999</v>
      </c>
      <c r="S29" s="41">
        <v>23.2702493717</v>
      </c>
      <c r="T29" s="41">
        <v>20.346239494300001</v>
      </c>
      <c r="U29" s="41">
        <v>19.053580901856758</v>
      </c>
    </row>
    <row r="30" spans="2:22" x14ac:dyDescent="0.25">
      <c r="B30" s="22" t="s">
        <v>2665</v>
      </c>
      <c r="C30" s="22">
        <f>+C27+C29-C28</f>
        <v>67.701579216403374</v>
      </c>
      <c r="D30" s="42">
        <f t="shared" ref="D30:U30" si="2">+D27+D29-D28</f>
        <v>71.77926365590163</v>
      </c>
      <c r="E30" s="42">
        <f t="shared" si="2"/>
        <v>71.890764474554658</v>
      </c>
      <c r="F30" s="42">
        <f t="shared" si="2"/>
        <v>69.896065750028782</v>
      </c>
      <c r="G30" s="42">
        <f t="shared" si="2"/>
        <v>67.412580734416366</v>
      </c>
      <c r="H30" s="42">
        <f t="shared" si="2"/>
        <v>66.869156511501288</v>
      </c>
      <c r="I30" s="42">
        <f t="shared" si="2"/>
        <v>62.84829969916364</v>
      </c>
      <c r="J30" s="42">
        <f t="shared" si="2"/>
        <v>69.116162005148936</v>
      </c>
      <c r="K30" s="42">
        <f t="shared" si="2"/>
        <v>80.28705000848143</v>
      </c>
      <c r="L30" s="42">
        <f t="shared" si="2"/>
        <v>87.743668963824348</v>
      </c>
      <c r="M30" s="42">
        <f t="shared" si="2"/>
        <v>87.700397957076092</v>
      </c>
      <c r="N30" s="42">
        <f t="shared" si="2"/>
        <v>92.517575383705122</v>
      </c>
      <c r="O30" s="42">
        <f t="shared" si="2"/>
        <v>105.94551564075164</v>
      </c>
      <c r="P30" s="42">
        <f t="shared" si="2"/>
        <v>-5.4859226705674686</v>
      </c>
      <c r="Q30" s="42">
        <f t="shared" si="2"/>
        <v>7.1977087350589386</v>
      </c>
      <c r="R30" s="42">
        <f t="shared" si="2"/>
        <v>8.1750332626314233</v>
      </c>
      <c r="S30" s="42">
        <f t="shared" si="2"/>
        <v>13.440538734104749</v>
      </c>
      <c r="T30" s="42">
        <f t="shared" si="2"/>
        <v>9.4795081846214302</v>
      </c>
      <c r="U30" s="42">
        <f t="shared" si="2"/>
        <v>42.365718782749035</v>
      </c>
    </row>
    <row r="31" spans="2:22" x14ac:dyDescent="0.25">
      <c r="B31" s="22" t="s">
        <v>2666</v>
      </c>
      <c r="C31" s="22" cm="1">
        <f t="array" ref="C31:U31">+_xldudf_WISE($C$2,B31,C24:U24)</f>
        <v>0.57122604060000004</v>
      </c>
      <c r="D31" s="42">
        <v>0.78910539349999997</v>
      </c>
      <c r="E31" s="42">
        <v>0.99911334419999998</v>
      </c>
      <c r="F31" s="42">
        <v>0.92762063230000003</v>
      </c>
      <c r="G31" s="42">
        <v>0.59135718530000003</v>
      </c>
      <c r="H31" s="42">
        <v>0.72076879869999999</v>
      </c>
      <c r="I31" s="42">
        <v>0.73956307899999996</v>
      </c>
      <c r="J31" s="42">
        <v>0.82590785909999997</v>
      </c>
      <c r="K31" s="42">
        <v>1.1452377192000001</v>
      </c>
      <c r="L31" s="42">
        <v>1.2918035414</v>
      </c>
      <c r="M31" s="42">
        <v>1.5888592855999999</v>
      </c>
      <c r="N31" s="42">
        <v>1.9803932876000001</v>
      </c>
      <c r="O31" s="42">
        <v>2.1050978496999999</v>
      </c>
      <c r="P31" s="42">
        <v>2.0811725597000001</v>
      </c>
      <c r="Q31" s="42">
        <v>4.1060989800999996</v>
      </c>
      <c r="R31" s="42">
        <v>4.9148270961999998</v>
      </c>
      <c r="S31" s="42">
        <v>3.9076476751000002</v>
      </c>
      <c r="T31" s="42">
        <v>6.4297463061000002</v>
      </c>
      <c r="U31" s="42">
        <v>3.3452245916515428</v>
      </c>
    </row>
    <row r="32" spans="2:22" x14ac:dyDescent="0.25">
      <c r="B32" s="22" t="s">
        <v>2667</v>
      </c>
      <c r="C32" s="23" cm="1">
        <f t="array" ref="C32:U32">+_xldudf_WISE($C$2,B32,$C$24:$U$24)</f>
        <v>0.68405945980000005</v>
      </c>
      <c r="D32" s="23">
        <v>0.79569213500000002</v>
      </c>
      <c r="E32" s="23">
        <v>1.2389884089000001</v>
      </c>
      <c r="F32" s="23">
        <v>2.5195692535999998</v>
      </c>
      <c r="G32" s="23">
        <v>1.1529796350999999</v>
      </c>
      <c r="H32" s="23">
        <v>1.2420376637999999</v>
      </c>
      <c r="I32" s="23">
        <v>1.5552686463000001</v>
      </c>
      <c r="J32" s="23">
        <v>1.7639978790999999</v>
      </c>
      <c r="K32" s="23">
        <v>1.7426289926</v>
      </c>
      <c r="L32" s="23">
        <v>3.4312436805000002</v>
      </c>
      <c r="M32" s="23">
        <v>2.7968728088999999</v>
      </c>
      <c r="N32" s="23">
        <v>2.3110818809999998</v>
      </c>
      <c r="O32" s="23">
        <v>2.6613618279</v>
      </c>
      <c r="P32" s="23">
        <v>2.7275541795999998</v>
      </c>
      <c r="Q32" s="23">
        <v>3.2703804999999999</v>
      </c>
      <c r="R32" s="23">
        <v>3.1600718551</v>
      </c>
      <c r="S32" s="23">
        <v>2.9173059626</v>
      </c>
      <c r="T32" s="23">
        <v>2.4614017498999998</v>
      </c>
      <c r="U32" s="23">
        <v>2.1168799660338449</v>
      </c>
    </row>
    <row r="33" spans="2:21" x14ac:dyDescent="0.25">
      <c r="B33" s="22" t="s">
        <v>2668</v>
      </c>
      <c r="C33" s="23" cm="1">
        <f t="array" ref="C33:U33">+(_xldudf_WISE($C$2,"Total Debt",$C$24:$U$24)-_xldudf_WISE($C$2,"Cash And Cash Equivalents",$C$24:$U$24))/_xldudf_WISE($C$2,"Total Assets",$C$24:$U$24)</f>
        <v>9.5254756591141201E-2</v>
      </c>
      <c r="D33" s="23">
        <v>0.14200747815642134</v>
      </c>
      <c r="E33" s="23">
        <v>0.16842009117253864</v>
      </c>
      <c r="F33" s="23">
        <v>0.19342792447317483</v>
      </c>
      <c r="G33" s="23">
        <v>0.1276531342297885</v>
      </c>
      <c r="H33" s="23">
        <v>0.15833127666325847</v>
      </c>
      <c r="I33" s="23">
        <v>0.16660225193888331</v>
      </c>
      <c r="J33" s="23">
        <v>0.19173244528700728</v>
      </c>
      <c r="K33" s="23">
        <v>0.22976795037354522</v>
      </c>
      <c r="L33" s="23">
        <v>0.2743593234183031</v>
      </c>
      <c r="M33" s="23">
        <v>0.29144305172179735</v>
      </c>
      <c r="N33" s="23">
        <v>0.29234698220822336</v>
      </c>
      <c r="O33" s="23">
        <v>0.27802418711509619</v>
      </c>
      <c r="P33" s="23">
        <v>0.27907636446159084</v>
      </c>
      <c r="Q33" s="23">
        <v>0.39416240652885287</v>
      </c>
      <c r="R33" s="23">
        <v>0.33260029107975203</v>
      </c>
      <c r="S33" s="23">
        <v>0.36734570192650057</v>
      </c>
      <c r="T33" s="23">
        <v>0.36251110080711707</v>
      </c>
      <c r="U33" s="23">
        <v>0.37754194163695598</v>
      </c>
    </row>
    <row r="34" spans="2:21" x14ac:dyDescent="0.25"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</row>
    <row r="35" spans="2:21" x14ac:dyDescent="0.25"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</row>
    <row r="36" spans="2:21" x14ac:dyDescent="0.25"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</row>
    <row r="38" spans="2:21" x14ac:dyDescent="0.25">
      <c r="B38" s="27" t="s">
        <v>2669</v>
      </c>
      <c r="C38" s="30">
        <v>2005</v>
      </c>
      <c r="D38" s="30">
        <v>2006</v>
      </c>
      <c r="E38" s="30">
        <v>2007</v>
      </c>
      <c r="F38" s="30">
        <v>2008</v>
      </c>
      <c r="G38" s="30">
        <v>2009</v>
      </c>
      <c r="H38" s="30">
        <v>2010</v>
      </c>
      <c r="I38" s="30">
        <v>2011</v>
      </c>
      <c r="J38" s="30">
        <v>2012</v>
      </c>
      <c r="K38" s="30">
        <v>2013</v>
      </c>
      <c r="L38" s="30">
        <v>2014</v>
      </c>
      <c r="M38" s="30">
        <v>2015</v>
      </c>
      <c r="N38" s="30">
        <v>2016</v>
      </c>
      <c r="O38" s="30">
        <v>2017</v>
      </c>
      <c r="P38" s="30">
        <v>2018</v>
      </c>
      <c r="Q38" s="30">
        <v>2019</v>
      </c>
      <c r="R38" s="30">
        <v>2020</v>
      </c>
      <c r="S38" s="30">
        <v>2021</v>
      </c>
      <c r="T38" s="30">
        <v>2022</v>
      </c>
      <c r="U38" s="30" t="s">
        <v>2209</v>
      </c>
    </row>
    <row r="39" spans="2:21" x14ac:dyDescent="0.25">
      <c r="B39" s="22" t="s">
        <v>2223</v>
      </c>
      <c r="C39" s="33" cm="1">
        <f t="array" ref="C39:U39">+_xldudf_WISE($C$2,B39,$C$24:$U$24)</f>
        <v>125662420136.64</v>
      </c>
      <c r="D39" s="33">
        <v>142043580323.73001</v>
      </c>
      <c r="E39" s="33">
        <v>146928858627.25</v>
      </c>
      <c r="F39" s="33">
        <v>109311904109.97</v>
      </c>
      <c r="G39" s="33">
        <v>165939816000</v>
      </c>
      <c r="H39" s="33">
        <v>177860384000</v>
      </c>
      <c r="I39" s="33">
        <v>210241080000</v>
      </c>
      <c r="J39" s="33">
        <v>209031800000</v>
      </c>
      <c r="K39" s="33">
        <v>196090620000</v>
      </c>
      <c r="L39" s="33">
        <v>153908975000</v>
      </c>
      <c r="M39" s="33">
        <v>128650115000</v>
      </c>
      <c r="N39" s="33">
        <v>151478670000</v>
      </c>
      <c r="O39" s="33">
        <v>136692512000</v>
      </c>
      <c r="P39" s="33">
        <v>99015840000</v>
      </c>
      <c r="Q39" s="33">
        <v>113592710493.14999</v>
      </c>
      <c r="R39" s="33">
        <v>107055525162.96001</v>
      </c>
      <c r="S39" s="33">
        <v>119758126451.86</v>
      </c>
      <c r="T39" s="33">
        <v>127176357729.10001</v>
      </c>
      <c r="U39" s="33">
        <v>255300962550</v>
      </c>
    </row>
    <row r="40" spans="2:21" x14ac:dyDescent="0.25">
      <c r="B40" s="22" t="s">
        <v>2670</v>
      </c>
      <c r="C40" s="33" cm="1">
        <f t="array" ref="C40:U40">+_xldudf_WISE($C$2,B40,$C$24:$U$24)</f>
        <v>135735420136.64</v>
      </c>
      <c r="D40" s="33">
        <v>156703580323.73001</v>
      </c>
      <c r="E40" s="33">
        <v>167211858627.25</v>
      </c>
      <c r="F40" s="33">
        <v>130496904109.97</v>
      </c>
      <c r="G40" s="33">
        <v>179856816000</v>
      </c>
      <c r="H40" s="33">
        <v>195823384000</v>
      </c>
      <c r="I40" s="33">
        <v>229639080000</v>
      </c>
      <c r="J40" s="33">
        <v>231888800000</v>
      </c>
      <c r="K40" s="33">
        <v>225092620000</v>
      </c>
      <c r="L40" s="33">
        <v>186154975000</v>
      </c>
      <c r="M40" s="33">
        <v>160853115000</v>
      </c>
      <c r="N40" s="33">
        <v>185820670000</v>
      </c>
      <c r="O40" s="33">
        <v>171544512000</v>
      </c>
      <c r="P40" s="33">
        <v>133448840000</v>
      </c>
      <c r="Q40" s="33">
        <v>173578710493.14999</v>
      </c>
      <c r="R40" s="33">
        <v>158931525162.95999</v>
      </c>
      <c r="S40" s="33">
        <v>168248126451.85999</v>
      </c>
      <c r="T40" s="33">
        <v>173303357729.10001</v>
      </c>
      <c r="U40" s="33">
        <v>314283962550</v>
      </c>
    </row>
    <row r="41" spans="2:21" x14ac:dyDescent="0.25">
      <c r="B41" s="22" t="s">
        <v>2671</v>
      </c>
      <c r="C41" s="33" cm="1">
        <f t="array" ref="C41:U41">+_xldudf_WISE($C$2,B41,$C$24:$U$24)</f>
        <v>1627632662</v>
      </c>
      <c r="D41" s="33">
        <v>1553535384</v>
      </c>
      <c r="E41" s="33">
        <v>1450570579</v>
      </c>
      <c r="F41" s="33">
        <v>1381773136</v>
      </c>
      <c r="G41" s="33">
        <v>1341400000</v>
      </c>
      <c r="H41" s="33">
        <v>1287400000</v>
      </c>
      <c r="I41" s="33">
        <v>1213800000</v>
      </c>
      <c r="J41" s="33">
        <v>1155400000</v>
      </c>
      <c r="K41" s="33">
        <v>1103000000</v>
      </c>
      <c r="L41" s="33">
        <v>1010000000</v>
      </c>
      <c r="M41" s="33">
        <v>982700000</v>
      </c>
      <c r="N41" s="33">
        <v>958700000</v>
      </c>
      <c r="O41" s="33">
        <v>937400000</v>
      </c>
      <c r="P41" s="33">
        <v>916300000</v>
      </c>
      <c r="Q41" s="33">
        <v>892813376</v>
      </c>
      <c r="R41" s="33">
        <v>896563971</v>
      </c>
      <c r="S41" s="33">
        <v>904641001</v>
      </c>
      <c r="T41" s="33">
        <v>912269062</v>
      </c>
      <c r="U41" s="33">
        <v>952100000</v>
      </c>
    </row>
    <row r="42" spans="2:21" x14ac:dyDescent="0.25">
      <c r="B42" s="22" t="s">
        <v>2672</v>
      </c>
      <c r="C42" s="43">
        <f>+(C39/C41)/C10</f>
        <v>15.853314014720754</v>
      </c>
      <c r="D42" s="43">
        <f t="shared" ref="D42:U42" si="3">+(D39/D41)/D10</f>
        <v>14.964398017584994</v>
      </c>
      <c r="E42" s="43">
        <f t="shared" si="3"/>
        <v>14.107296557316699</v>
      </c>
      <c r="F42" s="43">
        <f t="shared" si="3"/>
        <v>8.8588889054533926</v>
      </c>
      <c r="G42" s="43">
        <f t="shared" si="3"/>
        <v>12.358285519460411</v>
      </c>
      <c r="H42" s="43">
        <f t="shared" si="3"/>
        <v>11.992597051766696</v>
      </c>
      <c r="I42" s="43">
        <f t="shared" si="3"/>
        <v>13.262557162311822</v>
      </c>
      <c r="J42" s="43">
        <f t="shared" si="3"/>
        <v>12.589927494254386</v>
      </c>
      <c r="K42" s="43">
        <f t="shared" si="3"/>
        <v>11.899554701125444</v>
      </c>
      <c r="L42" s="43">
        <f t="shared" si="3"/>
        <v>12.805472585073632</v>
      </c>
      <c r="M42" s="43">
        <f t="shared" si="3"/>
        <v>9.7552118869558093</v>
      </c>
      <c r="N42" s="43">
        <f t="shared" si="3"/>
        <v>12.762863112457245</v>
      </c>
      <c r="O42" s="43">
        <f t="shared" si="3"/>
        <v>23.749332306629537</v>
      </c>
      <c r="P42" s="43">
        <f t="shared" si="3"/>
        <v>11.338982602484856</v>
      </c>
      <c r="Q42" s="43">
        <f t="shared" si="3"/>
        <v>12.04830231325575</v>
      </c>
      <c r="R42" s="43">
        <f t="shared" si="3"/>
        <v>19.166365115747656</v>
      </c>
      <c r="S42" s="43">
        <f t="shared" si="3"/>
        <v>20.847548864009383</v>
      </c>
      <c r="T42" s="43">
        <f t="shared" si="3"/>
        <v>77.448129082472619</v>
      </c>
      <c r="U42" s="43">
        <f t="shared" si="3"/>
        <v>23.708674932447245</v>
      </c>
    </row>
    <row r="43" spans="2:21" x14ac:dyDescent="0.25"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</row>
    <row r="46" spans="2:21" ht="15.75" x14ac:dyDescent="0.25">
      <c r="E46" s="44"/>
    </row>
    <row r="47" spans="2:21" x14ac:dyDescent="0.25">
      <c r="B47" s="27" t="s">
        <v>2673</v>
      </c>
      <c r="C47" s="45" cm="1">
        <f t="array" ref="C47">IF(_xldudf_WISE($C$2,"Dividend yield","ttm")="Unavailable",_xldudf_WISE($C$2,"Dividend Yield","ly"),_xldudf_WISE($C$2,"Dividend Yield","ttm"))</f>
        <v>2.4776350182233182E-2</v>
      </c>
    </row>
    <row r="48" spans="2:21" x14ac:dyDescent="0.25">
      <c r="C48" s="46"/>
    </row>
    <row r="49" spans="2:14" x14ac:dyDescent="0.25">
      <c r="B49" s="27" t="s">
        <v>2674</v>
      </c>
      <c r="C49" s="47">
        <f>C55</f>
        <v>1.69</v>
      </c>
    </row>
    <row r="50" spans="2:14" x14ac:dyDescent="0.25">
      <c r="B50" s="27" t="s">
        <v>2675</v>
      </c>
      <c r="C50" s="45">
        <f>+(D55/D69)^(0.333333333333333)-1</f>
        <v>8.0163741101777486E-3</v>
      </c>
    </row>
    <row r="51" spans="2:14" ht="13.9" customHeight="1" x14ac:dyDescent="0.25">
      <c r="B51" s="27" t="s">
        <v>2676</v>
      </c>
      <c r="C51" s="45">
        <f>+(D55/D77)^(1/5)-1</f>
        <v>1.6356366626318675E-2</v>
      </c>
    </row>
    <row r="52" spans="2:14" x14ac:dyDescent="0.25">
      <c r="B52" s="39"/>
      <c r="C52" s="17"/>
    </row>
    <row r="54" spans="2:14" x14ac:dyDescent="0.25">
      <c r="B54" s="27" t="str" cm="1">
        <f t="array" ref="B54:F279">_xldudf_WISEPRICE($C$2, "dividend")</f>
        <v>Date</v>
      </c>
      <c r="C54" s="27" t="str">
        <v>Dividend</v>
      </c>
      <c r="D54" s="27" t="str">
        <v>Adjusted Dividend</v>
      </c>
      <c r="E54" s="27" t="str">
        <v>Payment Date</v>
      </c>
      <c r="F54" s="27" t="str">
        <v>Declaration Date</v>
      </c>
      <c r="G54" s="27" t="s">
        <v>2677</v>
      </c>
    </row>
    <row r="55" spans="2:14" x14ac:dyDescent="0.25">
      <c r="B55" s="22" t="str">
        <v>2026-05-08</v>
      </c>
      <c r="C55" s="22">
        <v>1.69</v>
      </c>
      <c r="D55" s="22">
        <v>1.69</v>
      </c>
      <c r="E55" s="22" t="str">
        <v>2026-06-10</v>
      </c>
      <c r="F55" s="22" t="str">
        <v>2026-04-22</v>
      </c>
      <c r="G55" s="24">
        <f>(C55-C56)/C56</f>
        <v>5.9523809523809581E-3</v>
      </c>
    </row>
    <row r="56" spans="2:14" x14ac:dyDescent="0.25">
      <c r="B56" s="22" t="str">
        <v>2026-02-10</v>
      </c>
      <c r="C56" s="22">
        <v>1.68</v>
      </c>
      <c r="D56" s="22">
        <v>1.68</v>
      </c>
      <c r="E56" s="22" t="str">
        <v>2026-03-10</v>
      </c>
      <c r="F56" s="22" t="str">
        <v>2026-01-28</v>
      </c>
      <c r="G56" s="24">
        <f t="shared" ref="G56:G119" si="4">(C56-C57)/C57</f>
        <v>0</v>
      </c>
    </row>
    <row r="57" spans="2:14" x14ac:dyDescent="0.25">
      <c r="B57" s="22" t="str">
        <v>2025-11-10</v>
      </c>
      <c r="C57" s="22">
        <v>1.68</v>
      </c>
      <c r="D57" s="22">
        <v>1.68</v>
      </c>
      <c r="E57" s="24" t="str">
        <v>2025-12-10</v>
      </c>
      <c r="F57" s="24" t="str">
        <v>2025-10-22</v>
      </c>
      <c r="G57" s="24">
        <f t="shared" si="4"/>
        <v>0</v>
      </c>
      <c r="H57" s="24"/>
      <c r="I57" s="24"/>
      <c r="J57" s="24"/>
      <c r="L57" s="24"/>
      <c r="M57" s="24"/>
      <c r="N57" s="24"/>
    </row>
    <row r="58" spans="2:14" x14ac:dyDescent="0.25">
      <c r="B58" s="22" t="str">
        <v>2025-08-08</v>
      </c>
      <c r="C58" s="22">
        <v>1.68</v>
      </c>
      <c r="D58" s="22">
        <v>1.68</v>
      </c>
      <c r="E58" s="34" t="str">
        <v>2025-09-10</v>
      </c>
      <c r="F58" s="34" t="str">
        <v>2025-07-23</v>
      </c>
      <c r="G58" s="24">
        <f t="shared" si="4"/>
        <v>0</v>
      </c>
      <c r="H58" s="34"/>
      <c r="I58" s="34"/>
      <c r="J58" s="34"/>
      <c r="K58" s="34"/>
      <c r="L58" s="34"/>
      <c r="M58" s="34"/>
      <c r="N58" s="34"/>
    </row>
    <row r="59" spans="2:14" x14ac:dyDescent="0.25">
      <c r="B59" s="22" t="str">
        <v>2025-05-09</v>
      </c>
      <c r="C59" s="22">
        <v>1.68</v>
      </c>
      <c r="D59" s="22">
        <v>1.68</v>
      </c>
      <c r="E59" s="25" t="str">
        <v>2025-06-10</v>
      </c>
      <c r="F59" s="25" t="str">
        <v>2025-04-29</v>
      </c>
      <c r="G59" s="24">
        <f t="shared" si="4"/>
        <v>5.988023952095814E-3</v>
      </c>
      <c r="H59" s="25"/>
      <c r="I59" s="25"/>
      <c r="J59" s="25"/>
      <c r="K59" s="25"/>
      <c r="L59" s="25"/>
      <c r="M59" s="25"/>
      <c r="N59" s="25"/>
    </row>
    <row r="60" spans="2:14" x14ac:dyDescent="0.25">
      <c r="B60" s="22" t="str">
        <v>2025-02-10</v>
      </c>
      <c r="C60" s="22">
        <v>1.67</v>
      </c>
      <c r="D60" s="22">
        <v>1.67</v>
      </c>
      <c r="E60" s="22" t="str">
        <v>2025-03-10</v>
      </c>
      <c r="F60" s="22" t="str">
        <v>2025-01-28</v>
      </c>
      <c r="G60" s="24">
        <f t="shared" si="4"/>
        <v>0</v>
      </c>
    </row>
    <row r="61" spans="2:14" x14ac:dyDescent="0.25">
      <c r="B61" s="22" t="str">
        <v>2024-11-12</v>
      </c>
      <c r="C61" s="22">
        <v>1.67</v>
      </c>
      <c r="D61" s="22">
        <v>1.67</v>
      </c>
      <c r="E61" s="22" t="str">
        <v>2024-12-10</v>
      </c>
      <c r="F61" s="22" t="str">
        <v>2024-10-30</v>
      </c>
      <c r="G61" s="24">
        <f t="shared" si="4"/>
        <v>0</v>
      </c>
    </row>
    <row r="62" spans="2:14" x14ac:dyDescent="0.25">
      <c r="B62" s="22" t="str">
        <v>2024-08-09</v>
      </c>
      <c r="C62" s="22">
        <v>1.67</v>
      </c>
      <c r="D62" s="22">
        <v>1.67</v>
      </c>
      <c r="E62" s="22" t="str">
        <v>2024-09-10</v>
      </c>
      <c r="F62" s="22" t="str">
        <v>2024-07-29</v>
      </c>
      <c r="G62" s="24">
        <f t="shared" si="4"/>
        <v>0</v>
      </c>
    </row>
    <row r="63" spans="2:14" x14ac:dyDescent="0.25">
      <c r="B63" s="22" t="str">
        <v>2024-05-09</v>
      </c>
      <c r="C63" s="22">
        <v>1.67</v>
      </c>
      <c r="D63" s="22">
        <v>1.67</v>
      </c>
      <c r="E63" s="22" t="str">
        <v>2024-06-10</v>
      </c>
      <c r="F63" s="22" t="str">
        <v>2024-04-30</v>
      </c>
      <c r="G63" s="24">
        <f t="shared" si="4"/>
        <v>6.0240963855421742E-3</v>
      </c>
    </row>
    <row r="64" spans="2:14" x14ac:dyDescent="0.25">
      <c r="B64" s="22" t="str">
        <v>2024-02-08</v>
      </c>
      <c r="C64" s="22">
        <v>1.66</v>
      </c>
      <c r="D64" s="22">
        <v>1.66</v>
      </c>
      <c r="E64" s="22" t="str">
        <v>2024-03-09</v>
      </c>
      <c r="F64" s="22" t="str">
        <v>2024-01-30</v>
      </c>
      <c r="G64" s="24">
        <f t="shared" si="4"/>
        <v>0</v>
      </c>
    </row>
    <row r="65" spans="2:7" x14ac:dyDescent="0.25">
      <c r="B65" s="22" t="str">
        <v>2023-11-09</v>
      </c>
      <c r="C65" s="22">
        <v>1.66</v>
      </c>
      <c r="D65" s="22">
        <v>1.66</v>
      </c>
      <c r="E65" s="22" t="str">
        <v>2023-12-09</v>
      </c>
      <c r="F65" s="22" t="str">
        <v>2023-10-30</v>
      </c>
      <c r="G65" s="24">
        <f t="shared" si="4"/>
        <v>0</v>
      </c>
    </row>
    <row r="66" spans="2:7" x14ac:dyDescent="0.25">
      <c r="B66" s="22" t="str">
        <v>2023-08-09</v>
      </c>
      <c r="C66" s="22">
        <v>1.66</v>
      </c>
      <c r="D66" s="22">
        <v>1.66</v>
      </c>
      <c r="E66" s="22" t="str">
        <v>2023-09-09</v>
      </c>
      <c r="F66" s="22" t="str">
        <v>2023-07-24</v>
      </c>
      <c r="G66" s="24">
        <f t="shared" si="4"/>
        <v>0</v>
      </c>
    </row>
    <row r="67" spans="2:7" x14ac:dyDescent="0.25">
      <c r="B67" s="22" t="str">
        <v>2023-05-09</v>
      </c>
      <c r="C67" s="22">
        <v>1.66</v>
      </c>
      <c r="D67" s="22">
        <v>1.66</v>
      </c>
      <c r="E67" s="22" t="str">
        <v>2023-06-10</v>
      </c>
      <c r="F67" s="22" t="str">
        <v>2023-04-25</v>
      </c>
      <c r="G67" s="24">
        <f t="shared" si="4"/>
        <v>6.0606060606060667E-3</v>
      </c>
    </row>
    <row r="68" spans="2:7" x14ac:dyDescent="0.25">
      <c r="B68" s="22" t="str">
        <v>2023-02-09</v>
      </c>
      <c r="C68" s="22">
        <v>1.65</v>
      </c>
      <c r="D68" s="22">
        <v>1.65</v>
      </c>
      <c r="E68" s="22" t="str">
        <v>2023-03-10</v>
      </c>
      <c r="F68" s="22" t="str">
        <v>2023-01-31</v>
      </c>
      <c r="G68" s="24">
        <f t="shared" si="4"/>
        <v>0</v>
      </c>
    </row>
    <row r="69" spans="2:7" x14ac:dyDescent="0.25">
      <c r="B69" s="22" t="str">
        <v>2022-11-09</v>
      </c>
      <c r="C69" s="22">
        <v>1.65</v>
      </c>
      <c r="D69" s="22">
        <v>1.65</v>
      </c>
      <c r="E69" s="22" t="str">
        <v>2022-12-10</v>
      </c>
      <c r="F69" s="22" t="str">
        <v>2022-10-25</v>
      </c>
      <c r="G69" s="24">
        <f t="shared" si="4"/>
        <v>0</v>
      </c>
    </row>
    <row r="70" spans="2:7" x14ac:dyDescent="0.25">
      <c r="B70" s="22" t="str">
        <v>2022-08-09</v>
      </c>
      <c r="C70" s="22">
        <v>1.65</v>
      </c>
      <c r="D70" s="22">
        <v>1.65</v>
      </c>
      <c r="E70" s="22" t="str">
        <v>2022-09-10</v>
      </c>
      <c r="F70" s="22" t="str">
        <v>2022-07-25</v>
      </c>
      <c r="G70" s="24">
        <f t="shared" si="4"/>
        <v>0</v>
      </c>
    </row>
    <row r="71" spans="2:7" x14ac:dyDescent="0.25">
      <c r="B71" s="22" t="str">
        <v>2022-05-09</v>
      </c>
      <c r="C71" s="22">
        <v>1.65</v>
      </c>
      <c r="D71" s="22">
        <v>1.65</v>
      </c>
      <c r="E71" s="22" t="str">
        <v>2022-06-10</v>
      </c>
      <c r="F71" s="22" t="str">
        <v>2022-04-26</v>
      </c>
      <c r="G71" s="24">
        <f t="shared" si="4"/>
        <v>6.0975609756097615E-3</v>
      </c>
    </row>
    <row r="72" spans="2:7" x14ac:dyDescent="0.25">
      <c r="B72" s="22" t="str">
        <v>2022-02-10</v>
      </c>
      <c r="C72" s="22">
        <v>1.64</v>
      </c>
      <c r="D72" s="22">
        <v>1.64</v>
      </c>
      <c r="E72" s="22" t="str">
        <v>2022-03-10</v>
      </c>
      <c r="F72" s="22" t="str">
        <v>2022-02-01</v>
      </c>
      <c r="G72" s="24">
        <f t="shared" si="4"/>
        <v>0</v>
      </c>
    </row>
    <row r="73" spans="2:7" x14ac:dyDescent="0.25">
      <c r="B73" s="22" t="str">
        <v>2021-11-09</v>
      </c>
      <c r="C73" s="22">
        <v>1.64</v>
      </c>
      <c r="D73" s="22">
        <v>1.64</v>
      </c>
      <c r="E73" s="22" t="str">
        <v>2021-12-10</v>
      </c>
      <c r="F73" s="22" t="str">
        <v>2021-10-26</v>
      </c>
      <c r="G73" s="24">
        <f t="shared" si="4"/>
        <v>0</v>
      </c>
    </row>
    <row r="74" spans="2:7" x14ac:dyDescent="0.25">
      <c r="B74" s="22" t="str">
        <v>2021-08-09</v>
      </c>
      <c r="C74" s="22">
        <v>1.64</v>
      </c>
      <c r="D74" s="22">
        <v>1.5678799999999999</v>
      </c>
      <c r="E74" s="22" t="str">
        <v>2021-09-10</v>
      </c>
      <c r="F74" s="22" t="str">
        <v>2021-07-27</v>
      </c>
      <c r="G74" s="24">
        <f t="shared" si="4"/>
        <v>0</v>
      </c>
    </row>
    <row r="75" spans="2:7" x14ac:dyDescent="0.25">
      <c r="B75" s="22" t="str">
        <v>2021-05-07</v>
      </c>
      <c r="C75" s="22">
        <v>1.64</v>
      </c>
      <c r="D75" s="22">
        <v>1.5678799999999999</v>
      </c>
      <c r="E75" s="22" t="str">
        <v>2021-06-10</v>
      </c>
      <c r="F75" s="22" t="str">
        <v>2021-04-27</v>
      </c>
      <c r="G75" s="24">
        <f t="shared" si="4"/>
        <v>6.1349693251533804E-3</v>
      </c>
    </row>
    <row r="76" spans="2:7" x14ac:dyDescent="0.25">
      <c r="B76" s="22" t="str">
        <v>2021-02-09</v>
      </c>
      <c r="C76" s="22">
        <v>1.63</v>
      </c>
      <c r="D76" s="22">
        <v>1.5583199999999999</v>
      </c>
      <c r="E76" s="22" t="str">
        <v>2021-03-10</v>
      </c>
      <c r="F76" s="22" t="str">
        <v>2021-01-26</v>
      </c>
      <c r="G76" s="24">
        <f t="shared" si="4"/>
        <v>0</v>
      </c>
    </row>
    <row r="77" spans="2:7" x14ac:dyDescent="0.25">
      <c r="B77" s="22" t="str">
        <v>2020-11-09</v>
      </c>
      <c r="C77" s="22">
        <v>1.63</v>
      </c>
      <c r="D77" s="22">
        <v>1.5583199999999999</v>
      </c>
      <c r="E77" s="22" t="str">
        <v>2020-12-10</v>
      </c>
      <c r="F77" s="22" t="str">
        <v>2020-10-27</v>
      </c>
      <c r="G77" s="24">
        <f t="shared" si="4"/>
        <v>0</v>
      </c>
    </row>
    <row r="78" spans="2:7" x14ac:dyDescent="0.25">
      <c r="B78" s="22" t="str">
        <v>2020-08-07</v>
      </c>
      <c r="C78" s="22">
        <v>1.63</v>
      </c>
      <c r="D78" s="22">
        <v>1.5583199999999999</v>
      </c>
      <c r="E78" s="22" t="str">
        <v>2020-09-10</v>
      </c>
      <c r="F78" s="22" t="str">
        <v>2020-07-28</v>
      </c>
      <c r="G78" s="24">
        <f t="shared" si="4"/>
        <v>0</v>
      </c>
    </row>
    <row r="79" spans="2:7" x14ac:dyDescent="0.25">
      <c r="B79" s="22" t="str">
        <v>2020-05-07</v>
      </c>
      <c r="C79" s="22">
        <v>1.63</v>
      </c>
      <c r="D79" s="22">
        <v>1.5583199999999999</v>
      </c>
      <c r="E79" s="22" t="str">
        <v>2020-06-10</v>
      </c>
      <c r="F79" s="22" t="str">
        <v>2020-04-28</v>
      </c>
      <c r="G79" s="24">
        <f t="shared" si="4"/>
        <v>6.1728395061727073E-3</v>
      </c>
    </row>
    <row r="80" spans="2:7" x14ac:dyDescent="0.25">
      <c r="B80" s="22" t="str">
        <v>2020-02-07</v>
      </c>
      <c r="C80" s="22">
        <v>1.62</v>
      </c>
      <c r="D80" s="22">
        <v>1.5487599999999999</v>
      </c>
      <c r="E80" s="22" t="str">
        <v>2020-03-10</v>
      </c>
      <c r="F80" s="22" t="str">
        <v>2020-01-28</v>
      </c>
      <c r="G80" s="24">
        <f t="shared" si="4"/>
        <v>0</v>
      </c>
    </row>
    <row r="81" spans="2:7" x14ac:dyDescent="0.25">
      <c r="B81" s="22" t="str">
        <v>2019-11-07</v>
      </c>
      <c r="C81" s="22">
        <v>1.62</v>
      </c>
      <c r="D81" s="22">
        <v>1.5487599999999999</v>
      </c>
      <c r="E81" s="22" t="str">
        <v>2019-12-10</v>
      </c>
      <c r="F81" s="22" t="str">
        <v>2019-10-29</v>
      </c>
      <c r="G81" s="24">
        <f t="shared" si="4"/>
        <v>0</v>
      </c>
    </row>
    <row r="82" spans="2:7" x14ac:dyDescent="0.25">
      <c r="B82" s="22" t="str">
        <v>2019-08-08</v>
      </c>
      <c r="C82" s="22">
        <v>1.62</v>
      </c>
      <c r="D82" s="22">
        <v>1.5487599999999999</v>
      </c>
      <c r="E82" s="22" t="str">
        <v>2019-09-10</v>
      </c>
      <c r="F82" s="22" t="str">
        <v>2019-07-30</v>
      </c>
      <c r="G82" s="24">
        <f t="shared" si="4"/>
        <v>0</v>
      </c>
    </row>
    <row r="83" spans="2:7" x14ac:dyDescent="0.25">
      <c r="B83" s="22" t="str">
        <v>2019-05-09</v>
      </c>
      <c r="C83" s="22">
        <v>1.62</v>
      </c>
      <c r="D83" s="22">
        <v>1.5487599999999999</v>
      </c>
      <c r="E83" s="22" t="str">
        <v>2019-06-10</v>
      </c>
      <c r="F83" s="22" t="str">
        <v>2019-04-30</v>
      </c>
      <c r="G83" s="24">
        <f t="shared" si="4"/>
        <v>3.1847133757961811E-2</v>
      </c>
    </row>
    <row r="84" spans="2:7" x14ac:dyDescent="0.25">
      <c r="B84" s="22" t="str">
        <v>2019-02-07</v>
      </c>
      <c r="C84" s="22">
        <v>1.57</v>
      </c>
      <c r="D84" s="22">
        <v>1.5009600000000001</v>
      </c>
      <c r="E84" s="22" t="str">
        <v>2019-03-09</v>
      </c>
      <c r="F84" s="22" t="str">
        <v>2019-01-29</v>
      </c>
      <c r="G84" s="24">
        <f t="shared" si="4"/>
        <v>0</v>
      </c>
    </row>
    <row r="85" spans="2:7" x14ac:dyDescent="0.25">
      <c r="B85" s="22" t="str">
        <v>2018-11-08</v>
      </c>
      <c r="C85" s="22">
        <v>1.57</v>
      </c>
      <c r="D85" s="22">
        <v>1.5009600000000001</v>
      </c>
      <c r="E85" s="22" t="str">
        <v>2018-12-10</v>
      </c>
      <c r="F85" s="22" t="str">
        <v>2018-10-30</v>
      </c>
      <c r="G85" s="24">
        <f t="shared" si="4"/>
        <v>0</v>
      </c>
    </row>
    <row r="86" spans="2:7" x14ac:dyDescent="0.25">
      <c r="B86" s="22" t="str">
        <v>2018-08-09</v>
      </c>
      <c r="C86" s="22">
        <v>1.57</v>
      </c>
      <c r="D86" s="22">
        <v>1.5009600000000001</v>
      </c>
      <c r="E86" s="22" t="str">
        <v>2018-09-10</v>
      </c>
      <c r="F86" s="22" t="str">
        <v>2018-07-31</v>
      </c>
      <c r="G86" s="24">
        <f t="shared" si="4"/>
        <v>0</v>
      </c>
    </row>
    <row r="87" spans="2:7" x14ac:dyDescent="0.25">
      <c r="B87" s="22" t="str">
        <v>2018-05-09</v>
      </c>
      <c r="C87" s="22">
        <v>1.57</v>
      </c>
      <c r="D87" s="22">
        <v>1.5009600000000001</v>
      </c>
      <c r="E87" s="22" t="str">
        <v>2018-06-09</v>
      </c>
      <c r="F87" s="22" t="str">
        <v>2018-04-24</v>
      </c>
      <c r="G87" s="24">
        <f t="shared" si="4"/>
        <v>4.666666666666671E-2</v>
      </c>
    </row>
    <row r="88" spans="2:7" x14ac:dyDescent="0.25">
      <c r="B88" s="22" t="str">
        <v>2018-02-08</v>
      </c>
      <c r="C88" s="22">
        <v>1.5</v>
      </c>
      <c r="D88" s="22">
        <v>1.4340299999999999</v>
      </c>
      <c r="E88" s="22" t="str">
        <v>2018-03-10</v>
      </c>
      <c r="F88" s="22" t="str">
        <v>2018-01-30</v>
      </c>
      <c r="G88" s="24">
        <f t="shared" si="4"/>
        <v>0</v>
      </c>
    </row>
    <row r="89" spans="2:7" x14ac:dyDescent="0.25">
      <c r="B89" s="22" t="str">
        <v>2017-11-09</v>
      </c>
      <c r="C89" s="22">
        <v>1.5</v>
      </c>
      <c r="D89" s="22">
        <v>1.4340299999999999</v>
      </c>
      <c r="E89" s="22" t="str">
        <v>2017-12-09</v>
      </c>
      <c r="F89" s="22" t="str">
        <v>2017-10-31</v>
      </c>
      <c r="G89" s="24">
        <f t="shared" si="4"/>
        <v>0</v>
      </c>
    </row>
    <row r="90" spans="2:7" x14ac:dyDescent="0.25">
      <c r="B90" s="22" t="str">
        <v>2017-08-08</v>
      </c>
      <c r="C90" s="22">
        <v>1.5</v>
      </c>
      <c r="D90" s="22">
        <v>1.4340299999999999</v>
      </c>
      <c r="E90" s="22" t="str">
        <v>2017-09-09</v>
      </c>
      <c r="F90" s="22" t="str">
        <v>2017-07-25</v>
      </c>
      <c r="G90" s="24">
        <f t="shared" si="4"/>
        <v>0</v>
      </c>
    </row>
    <row r="91" spans="2:7" x14ac:dyDescent="0.25">
      <c r="B91" s="22" t="str">
        <v>2017-05-08</v>
      </c>
      <c r="C91" s="22">
        <v>1.5</v>
      </c>
      <c r="D91" s="22">
        <v>1.4340299999999999</v>
      </c>
      <c r="E91" s="22" t="str">
        <v>2017-06-10</v>
      </c>
      <c r="F91" s="22" t="str">
        <v>2017-04-25</v>
      </c>
      <c r="G91" s="24">
        <f t="shared" si="4"/>
        <v>7.1428571428571494E-2</v>
      </c>
    </row>
    <row r="92" spans="2:7" x14ac:dyDescent="0.25">
      <c r="B92" s="22" t="str">
        <v>2017-02-08</v>
      </c>
      <c r="C92" s="22">
        <v>1.4</v>
      </c>
      <c r="D92" s="22">
        <v>1.33843</v>
      </c>
      <c r="E92" s="22" t="str">
        <v>2017-03-10</v>
      </c>
      <c r="F92" s="22" t="str">
        <v>2017-01-31</v>
      </c>
      <c r="G92" s="24">
        <f t="shared" si="4"/>
        <v>0</v>
      </c>
    </row>
    <row r="93" spans="2:7" x14ac:dyDescent="0.25">
      <c r="B93" s="22" t="str">
        <v>2016-11-08</v>
      </c>
      <c r="C93" s="22">
        <v>1.4</v>
      </c>
      <c r="D93" s="22">
        <v>1.33843</v>
      </c>
      <c r="E93" s="22" t="str">
        <v>2016-12-10</v>
      </c>
      <c r="F93" s="22" t="str">
        <v>2016-10-25</v>
      </c>
      <c r="G93" s="24">
        <f t="shared" si="4"/>
        <v>0</v>
      </c>
    </row>
    <row r="94" spans="2:7" x14ac:dyDescent="0.25">
      <c r="B94" s="22" t="str">
        <v>2016-08-08</v>
      </c>
      <c r="C94" s="22">
        <v>1.4</v>
      </c>
      <c r="D94" s="22">
        <v>1.33843</v>
      </c>
      <c r="E94" s="22" t="str">
        <v>2016-09-10</v>
      </c>
      <c r="F94" s="22" t="str">
        <v>2016-07-26</v>
      </c>
      <c r="G94" s="24">
        <f t="shared" si="4"/>
        <v>0</v>
      </c>
    </row>
    <row r="95" spans="2:7" x14ac:dyDescent="0.25">
      <c r="B95" s="22" t="str">
        <v>2016-05-06</v>
      </c>
      <c r="C95" s="22">
        <v>1.4</v>
      </c>
      <c r="D95" s="22">
        <v>1.33843</v>
      </c>
      <c r="E95" s="22" t="str">
        <v>2016-06-10</v>
      </c>
      <c r="F95" s="22" t="str">
        <v>2016-04-26</v>
      </c>
      <c r="G95" s="24">
        <f t="shared" si="4"/>
        <v>7.6923076923076816E-2</v>
      </c>
    </row>
    <row r="96" spans="2:7" x14ac:dyDescent="0.25">
      <c r="B96" s="22" t="str">
        <v>2016-02-08</v>
      </c>
      <c r="C96" s="22">
        <v>1.3</v>
      </c>
      <c r="D96" s="22">
        <v>1.2428300000000001</v>
      </c>
      <c r="E96" s="22" t="str">
        <v>2016-03-10</v>
      </c>
      <c r="F96" s="22" t="str">
        <v>2016-01-26</v>
      </c>
      <c r="G96" s="24">
        <f t="shared" si="4"/>
        <v>0</v>
      </c>
    </row>
    <row r="97" spans="2:7" x14ac:dyDescent="0.25">
      <c r="B97" s="22" t="str">
        <v>2015-11-06</v>
      </c>
      <c r="C97" s="22">
        <v>1.3</v>
      </c>
      <c r="D97" s="22">
        <v>1.2428300000000001</v>
      </c>
      <c r="E97" s="22" t="str">
        <v>2015-12-10</v>
      </c>
      <c r="F97" s="22" t="str">
        <v>2015-10-27</v>
      </c>
      <c r="G97" s="24">
        <f t="shared" si="4"/>
        <v>0</v>
      </c>
    </row>
    <row r="98" spans="2:7" x14ac:dyDescent="0.25">
      <c r="B98" s="22" t="str">
        <v>2015-08-06</v>
      </c>
      <c r="C98" s="22">
        <v>1.3</v>
      </c>
      <c r="D98" s="22">
        <v>1.2428300000000001</v>
      </c>
      <c r="E98" s="22" t="str">
        <v>2015-09-10</v>
      </c>
      <c r="F98" s="22" t="str">
        <v>2015-07-28</v>
      </c>
      <c r="G98" s="24">
        <f t="shared" si="4"/>
        <v>0</v>
      </c>
    </row>
    <row r="99" spans="2:7" x14ac:dyDescent="0.25">
      <c r="B99" s="22" t="str">
        <v>2015-05-06</v>
      </c>
      <c r="C99" s="22">
        <v>1.3</v>
      </c>
      <c r="D99" s="22">
        <v>1.2428300000000001</v>
      </c>
      <c r="E99" s="22" t="str">
        <v>2015-06-10</v>
      </c>
      <c r="F99" s="22" t="str">
        <v>2015-04-28</v>
      </c>
      <c r="G99" s="24">
        <f t="shared" si="4"/>
        <v>0.18181818181818177</v>
      </c>
    </row>
    <row r="100" spans="2:7" x14ac:dyDescent="0.25">
      <c r="B100" s="22" t="str">
        <v>2015-02-06</v>
      </c>
      <c r="C100" s="22">
        <v>1.1000000000000001</v>
      </c>
      <c r="D100" s="22">
        <v>1.0516300000000001</v>
      </c>
      <c r="E100" s="22" t="str">
        <v>2015-03-10</v>
      </c>
      <c r="F100" s="22" t="str">
        <v>2015-01-27</v>
      </c>
      <c r="G100" s="24">
        <f t="shared" si="4"/>
        <v>0</v>
      </c>
    </row>
    <row r="101" spans="2:7" x14ac:dyDescent="0.25">
      <c r="B101" s="22" t="str">
        <v>2014-11-06</v>
      </c>
      <c r="C101" s="22">
        <v>1.1000000000000001</v>
      </c>
      <c r="D101" s="22">
        <v>1.0516300000000001</v>
      </c>
      <c r="E101" s="22" t="str">
        <v>2014-12-10</v>
      </c>
      <c r="F101" s="22" t="str">
        <v>2014-10-28</v>
      </c>
      <c r="G101" s="24">
        <f t="shared" si="4"/>
        <v>0</v>
      </c>
    </row>
    <row r="102" spans="2:7" x14ac:dyDescent="0.25">
      <c r="B102" s="22" t="str">
        <v>2014-08-06</v>
      </c>
      <c r="C102" s="22">
        <v>1.1000000000000001</v>
      </c>
      <c r="D102" s="22">
        <v>1.0516300000000001</v>
      </c>
      <c r="E102" s="22" t="str">
        <v>2014-09-10</v>
      </c>
      <c r="F102" s="22" t="str">
        <v>2014-07-29</v>
      </c>
      <c r="G102" s="24">
        <f t="shared" si="4"/>
        <v>0</v>
      </c>
    </row>
    <row r="103" spans="2:7" x14ac:dyDescent="0.25">
      <c r="B103" s="22" t="str">
        <v>2014-05-07</v>
      </c>
      <c r="C103" s="22">
        <v>1.1000000000000001</v>
      </c>
      <c r="D103" s="22">
        <v>1.0516300000000001</v>
      </c>
      <c r="E103" s="22" t="str">
        <v>2014-06-10</v>
      </c>
      <c r="F103" s="22" t="str">
        <v>2014-04-29</v>
      </c>
      <c r="G103" s="24">
        <f t="shared" si="4"/>
        <v>0.15789473684210542</v>
      </c>
    </row>
    <row r="104" spans="2:7" x14ac:dyDescent="0.25">
      <c r="B104" s="22" t="str">
        <v>2014-02-06</v>
      </c>
      <c r="C104" s="22">
        <v>0.95</v>
      </c>
      <c r="D104" s="22">
        <v>0.90822000000000003</v>
      </c>
      <c r="E104" s="22" t="str">
        <v>2014-03-10</v>
      </c>
      <c r="F104" s="22" t="str">
        <v>2014-01-28</v>
      </c>
      <c r="G104" s="24">
        <f t="shared" si="4"/>
        <v>0</v>
      </c>
    </row>
    <row r="105" spans="2:7" x14ac:dyDescent="0.25">
      <c r="B105" s="22" t="str">
        <v>2013-11-06</v>
      </c>
      <c r="C105" s="22">
        <v>0.95</v>
      </c>
      <c r="D105" s="22">
        <v>0.90822000000000003</v>
      </c>
      <c r="E105" s="22" t="str">
        <v>2013-12-10</v>
      </c>
      <c r="F105" s="22" t="str">
        <v>2013-10-29</v>
      </c>
      <c r="G105" s="24">
        <f t="shared" si="4"/>
        <v>0</v>
      </c>
    </row>
    <row r="106" spans="2:7" x14ac:dyDescent="0.25">
      <c r="B106" s="22" t="str">
        <v>2013-08-07</v>
      </c>
      <c r="C106" s="22">
        <v>0.95</v>
      </c>
      <c r="D106" s="22">
        <v>0.90822000000000003</v>
      </c>
      <c r="E106" s="22" t="str">
        <v>2013-09-10</v>
      </c>
      <c r="F106" s="22" t="str">
        <v>2013-07-30</v>
      </c>
      <c r="G106" s="24">
        <f t="shared" si="4"/>
        <v>0</v>
      </c>
    </row>
    <row r="107" spans="2:7" x14ac:dyDescent="0.25">
      <c r="B107" s="22" t="str">
        <v>2013-05-08</v>
      </c>
      <c r="C107" s="22">
        <v>0.95</v>
      </c>
      <c r="D107" s="22">
        <v>0.90822000000000003</v>
      </c>
      <c r="E107" s="22" t="str">
        <v>2013-06-10</v>
      </c>
      <c r="F107" s="22" t="str">
        <v>2013-04-30</v>
      </c>
      <c r="G107" s="24">
        <f t="shared" si="4"/>
        <v>0.11764705882352938</v>
      </c>
    </row>
    <row r="108" spans="2:7" x14ac:dyDescent="0.25">
      <c r="B108" s="22" t="str">
        <v>2013-02-06</v>
      </c>
      <c r="C108" s="22">
        <v>0.85</v>
      </c>
      <c r="D108" s="22">
        <v>0.81262000000000001</v>
      </c>
      <c r="E108" s="22" t="str">
        <v>2013-03-09</v>
      </c>
      <c r="F108" s="22" t="str">
        <v>2013-01-29</v>
      </c>
      <c r="G108" s="24">
        <f t="shared" si="4"/>
        <v>0</v>
      </c>
    </row>
    <row r="109" spans="2:7" x14ac:dyDescent="0.25">
      <c r="B109" s="22" t="str">
        <v>2012-11-07</v>
      </c>
      <c r="C109" s="22">
        <v>0.85</v>
      </c>
      <c r="D109" s="22">
        <v>0.81262000000000001</v>
      </c>
      <c r="E109" s="22" t="str">
        <v>2012-12-10</v>
      </c>
      <c r="F109" s="22" t="str">
        <v>2012-10-31</v>
      </c>
      <c r="G109" s="24">
        <f t="shared" si="4"/>
        <v>0</v>
      </c>
    </row>
    <row r="110" spans="2:7" x14ac:dyDescent="0.25">
      <c r="B110" s="22" t="str">
        <v>2012-08-08</v>
      </c>
      <c r="C110" s="22">
        <v>0.85</v>
      </c>
      <c r="D110" s="22">
        <v>0.81262000000000001</v>
      </c>
      <c r="E110" s="22" t="str">
        <v>2012-09-10</v>
      </c>
      <c r="F110" s="22" t="str">
        <v>2012-07-31</v>
      </c>
      <c r="G110" s="24">
        <f t="shared" si="4"/>
        <v>0</v>
      </c>
    </row>
    <row r="111" spans="2:7" x14ac:dyDescent="0.25">
      <c r="B111" s="22" t="str">
        <v>2012-05-08</v>
      </c>
      <c r="C111" s="22">
        <v>0.85</v>
      </c>
      <c r="D111" s="22">
        <v>0.81262000000000001</v>
      </c>
      <c r="E111" s="22" t="str">
        <v>2012-06-09</v>
      </c>
      <c r="F111" s="22" t="str">
        <v>2012-04-25</v>
      </c>
      <c r="G111" s="24">
        <f t="shared" si="4"/>
        <v>0.1333333333333333</v>
      </c>
    </row>
    <row r="112" spans="2:7" x14ac:dyDescent="0.25">
      <c r="B112" s="22" t="str">
        <v>2012-02-08</v>
      </c>
      <c r="C112" s="22">
        <v>0.75</v>
      </c>
      <c r="D112" s="22">
        <v>0.71701999999999999</v>
      </c>
      <c r="E112" s="22" t="str">
        <v>2012-03-10</v>
      </c>
      <c r="F112" s="22" t="str">
        <v>2012-02-01</v>
      </c>
      <c r="G112" s="24">
        <f t="shared" si="4"/>
        <v>0</v>
      </c>
    </row>
    <row r="113" spans="2:7" x14ac:dyDescent="0.25">
      <c r="B113" s="22" t="str">
        <v>2011-11-08</v>
      </c>
      <c r="C113" s="22">
        <v>0.75</v>
      </c>
      <c r="D113" s="22">
        <v>0.71701999999999999</v>
      </c>
      <c r="E113" s="22" t="str">
        <v>2011-12-10</v>
      </c>
      <c r="F113" s="22" t="str">
        <v>2011-10-26</v>
      </c>
      <c r="G113" s="24">
        <f t="shared" si="4"/>
        <v>0</v>
      </c>
    </row>
    <row r="114" spans="2:7" x14ac:dyDescent="0.25">
      <c r="B114" s="22" t="str">
        <v>2011-08-08</v>
      </c>
      <c r="C114" s="22">
        <v>0.75</v>
      </c>
      <c r="D114" s="22">
        <v>0.71701999999999999</v>
      </c>
      <c r="E114" s="22" t="str">
        <v>2011-09-10</v>
      </c>
      <c r="F114" s="22" t="str">
        <v>2011-07-27</v>
      </c>
      <c r="G114" s="24">
        <f t="shared" si="4"/>
        <v>0</v>
      </c>
    </row>
    <row r="115" spans="2:7" x14ac:dyDescent="0.25">
      <c r="B115" s="22" t="str">
        <v>2011-05-06</v>
      </c>
      <c r="C115" s="22">
        <v>0.75</v>
      </c>
      <c r="D115" s="22">
        <v>0.71701999999999999</v>
      </c>
      <c r="E115" s="22" t="str">
        <v>2011-06-10</v>
      </c>
      <c r="F115" s="22" t="str">
        <v>2011-04-27</v>
      </c>
      <c r="G115" s="24">
        <f t="shared" si="4"/>
        <v>0.1538461538461538</v>
      </c>
    </row>
    <row r="116" spans="2:7" x14ac:dyDescent="0.25">
      <c r="B116" s="22" t="str">
        <v>2011-02-08</v>
      </c>
      <c r="C116" s="22">
        <v>0.65</v>
      </c>
      <c r="D116" s="22">
        <v>0.62141999999999997</v>
      </c>
      <c r="E116" s="22" t="str">
        <v>2011-03-10</v>
      </c>
      <c r="F116" s="22" t="str">
        <v>2011-01-26</v>
      </c>
      <c r="G116" s="24">
        <f t="shared" si="4"/>
        <v>0</v>
      </c>
    </row>
    <row r="117" spans="2:7" x14ac:dyDescent="0.25">
      <c r="B117" s="22" t="str">
        <v>2010-11-08</v>
      </c>
      <c r="C117" s="22">
        <v>0.65</v>
      </c>
      <c r="D117" s="22">
        <v>0.62141999999999997</v>
      </c>
      <c r="E117" s="22" t="str">
        <v>2010-12-10</v>
      </c>
      <c r="F117" s="22" t="str">
        <v>2010-10-27</v>
      </c>
      <c r="G117" s="24">
        <f t="shared" si="4"/>
        <v>0</v>
      </c>
    </row>
    <row r="118" spans="2:7" x14ac:dyDescent="0.25">
      <c r="B118" s="22" t="str">
        <v>2010-08-06</v>
      </c>
      <c r="C118" s="22">
        <v>0.65</v>
      </c>
      <c r="D118" s="22">
        <v>0.62141999999999997</v>
      </c>
      <c r="E118" s="22" t="str">
        <v>2010-09-10</v>
      </c>
      <c r="F118" s="22" t="str">
        <v>2010-07-28</v>
      </c>
      <c r="G118" s="24">
        <f t="shared" si="4"/>
        <v>0</v>
      </c>
    </row>
    <row r="119" spans="2:7" x14ac:dyDescent="0.25">
      <c r="B119" s="22" t="str">
        <v>2010-05-06</v>
      </c>
      <c r="C119" s="22">
        <v>0.65</v>
      </c>
      <c r="D119" s="22">
        <v>0.62141999999999997</v>
      </c>
      <c r="E119" s="22" t="str">
        <v>2010-06-10</v>
      </c>
      <c r="F119" s="22" t="str">
        <v>2010-04-28</v>
      </c>
      <c r="G119" s="24">
        <f t="shared" si="4"/>
        <v>0.18181818181818177</v>
      </c>
    </row>
    <row r="120" spans="2:7" x14ac:dyDescent="0.25">
      <c r="B120" s="22" t="str">
        <v>2010-02-08</v>
      </c>
      <c r="C120" s="22">
        <v>0.55000000000000004</v>
      </c>
      <c r="D120" s="22">
        <v>0.52581</v>
      </c>
      <c r="E120" s="22" t="str">
        <v>2010-03-10</v>
      </c>
      <c r="F120" s="22" t="str">
        <v>2010-01-28</v>
      </c>
      <c r="G120" s="24">
        <f t="shared" ref="G120:G145" si="5">(C120-C121)/C121</f>
        <v>0</v>
      </c>
    </row>
    <row r="121" spans="2:7" x14ac:dyDescent="0.25">
      <c r="B121" s="22" t="str">
        <v>2009-11-06</v>
      </c>
      <c r="C121" s="22">
        <v>0.55000000000000004</v>
      </c>
      <c r="D121" s="22">
        <v>0.52581</v>
      </c>
      <c r="E121" s="22" t="str">
        <v>2009-12-10</v>
      </c>
      <c r="F121" s="22" t="str">
        <v>2009-10-28</v>
      </c>
      <c r="G121" s="24">
        <f t="shared" si="5"/>
        <v>0</v>
      </c>
    </row>
    <row r="122" spans="2:7" x14ac:dyDescent="0.25">
      <c r="B122" s="22" t="str">
        <v>2009-08-06</v>
      </c>
      <c r="C122" s="22">
        <v>0.55000000000000004</v>
      </c>
      <c r="D122" s="22">
        <v>0.52581</v>
      </c>
      <c r="E122" s="22" t="str">
        <v>2009-09-10</v>
      </c>
      <c r="F122" s="22" t="str">
        <v>2009-07-29</v>
      </c>
      <c r="G122" s="24">
        <f t="shared" si="5"/>
        <v>0</v>
      </c>
    </row>
    <row r="123" spans="2:7" x14ac:dyDescent="0.25">
      <c r="B123" s="22" t="str">
        <v>2009-05-06</v>
      </c>
      <c r="C123" s="22">
        <v>0.55000000000000004</v>
      </c>
      <c r="D123" s="22">
        <v>0.52581</v>
      </c>
      <c r="E123" s="22" t="str">
        <v>2009-06-10</v>
      </c>
      <c r="F123" s="22" t="str">
        <v>2009-04-28</v>
      </c>
      <c r="G123" s="24">
        <f t="shared" si="5"/>
        <v>0.10000000000000009</v>
      </c>
    </row>
    <row r="124" spans="2:7" x14ac:dyDescent="0.25">
      <c r="B124" s="22" t="str">
        <v>2009-02-06</v>
      </c>
      <c r="C124" s="22">
        <v>0.5</v>
      </c>
      <c r="D124" s="22">
        <v>0.47800999999999999</v>
      </c>
      <c r="E124" s="22" t="str">
        <v>2009-03-10</v>
      </c>
      <c r="F124" s="22" t="str">
        <v>2009-01-27</v>
      </c>
      <c r="G124" s="24">
        <f t="shared" si="5"/>
        <v>0</v>
      </c>
    </row>
    <row r="125" spans="2:7" x14ac:dyDescent="0.25">
      <c r="B125" s="22" t="str">
        <v>2008-11-06</v>
      </c>
      <c r="C125" s="22">
        <v>0.5</v>
      </c>
      <c r="D125" s="22">
        <v>0.47800999999999999</v>
      </c>
      <c r="E125" s="22" t="str">
        <v>2008-12-10</v>
      </c>
      <c r="F125" s="22" t="str">
        <v>2008-10-28</v>
      </c>
      <c r="G125" s="24">
        <f t="shared" si="5"/>
        <v>0</v>
      </c>
    </row>
    <row r="126" spans="2:7" x14ac:dyDescent="0.25">
      <c r="B126" s="22" t="str">
        <v>2008-08-06</v>
      </c>
      <c r="C126" s="22">
        <v>0.5</v>
      </c>
      <c r="D126" s="22">
        <v>0.47800999999999999</v>
      </c>
      <c r="E126" s="22" t="str">
        <v>2008-09-10</v>
      </c>
      <c r="F126" s="22" t="str">
        <v>2008-07-29</v>
      </c>
      <c r="G126" s="24">
        <f t="shared" si="5"/>
        <v>0</v>
      </c>
    </row>
    <row r="127" spans="2:7" x14ac:dyDescent="0.25">
      <c r="B127" s="22" t="str">
        <v>2008-05-07</v>
      </c>
      <c r="C127" s="22">
        <v>0.5</v>
      </c>
      <c r="D127" s="22">
        <v>0.47800999999999999</v>
      </c>
      <c r="E127" s="22" t="str">
        <v>2008-06-10</v>
      </c>
      <c r="F127" s="22" t="str">
        <v>2008-04-29</v>
      </c>
      <c r="G127" s="24">
        <f t="shared" si="5"/>
        <v>0.24999999999999994</v>
      </c>
    </row>
    <row r="128" spans="2:7" x14ac:dyDescent="0.25">
      <c r="B128" s="22" t="str">
        <v>2008-02-06</v>
      </c>
      <c r="C128" s="22">
        <v>0.4</v>
      </c>
      <c r="D128" s="22">
        <v>0.38241000000000003</v>
      </c>
      <c r="E128" s="22" t="str">
        <v>2008-03-10</v>
      </c>
      <c r="F128" s="22" t="str">
        <v>2008-01-29</v>
      </c>
      <c r="G128" s="24">
        <f t="shared" si="5"/>
        <v>0</v>
      </c>
    </row>
    <row r="129" spans="2:7" x14ac:dyDescent="0.25">
      <c r="B129" s="22" t="str">
        <v>2007-11-07</v>
      </c>
      <c r="C129" s="22">
        <v>0.4</v>
      </c>
      <c r="D129" s="22">
        <v>0.38241000000000003</v>
      </c>
      <c r="E129" s="22" t="str">
        <v>2007-12-10</v>
      </c>
      <c r="F129" s="22" t="str">
        <v>2007-10-30</v>
      </c>
      <c r="G129" s="24">
        <f t="shared" si="5"/>
        <v>0</v>
      </c>
    </row>
    <row r="130" spans="2:7" x14ac:dyDescent="0.25">
      <c r="B130" s="22" t="str">
        <v>2007-08-08</v>
      </c>
      <c r="C130" s="22">
        <v>0.4</v>
      </c>
      <c r="D130" s="22">
        <v>0.38241000000000003</v>
      </c>
      <c r="E130" s="22" t="str">
        <v>2007-09-10</v>
      </c>
      <c r="F130" s="22" t="str">
        <v>2007-07-31</v>
      </c>
      <c r="G130" s="24">
        <f t="shared" si="5"/>
        <v>0</v>
      </c>
    </row>
    <row r="131" spans="2:7" x14ac:dyDescent="0.25">
      <c r="B131" s="22" t="str">
        <v>2007-05-08</v>
      </c>
      <c r="C131" s="22">
        <v>0.4</v>
      </c>
      <c r="D131" s="22">
        <v>0.38241000000000003</v>
      </c>
      <c r="E131" s="22" t="str">
        <v>2007-06-09</v>
      </c>
      <c r="F131" s="22" t="str">
        <v>2007-04-24</v>
      </c>
      <c r="G131" s="24">
        <f t="shared" si="5"/>
        <v>0.33333333333333348</v>
      </c>
    </row>
    <row r="132" spans="2:7" x14ac:dyDescent="0.25">
      <c r="B132" s="22" t="str">
        <v>2007-02-07</v>
      </c>
      <c r="C132" s="22">
        <v>0.3</v>
      </c>
      <c r="D132" s="22">
        <v>0.28681000000000001</v>
      </c>
      <c r="E132" s="22" t="str">
        <v>2007-03-10</v>
      </c>
      <c r="F132" s="22" t="str">
        <v>2007-01-30</v>
      </c>
      <c r="G132" s="24">
        <f t="shared" si="5"/>
        <v>0</v>
      </c>
    </row>
    <row r="133" spans="2:7" x14ac:dyDescent="0.25">
      <c r="B133" s="22" t="str">
        <v>2006-11-08</v>
      </c>
      <c r="C133" s="22">
        <v>0.3</v>
      </c>
      <c r="D133" s="22">
        <v>0.28681000000000001</v>
      </c>
      <c r="E133" s="22" t="str">
        <v>2006-12-09</v>
      </c>
      <c r="F133" s="22" t="str">
        <v>2006-10-31</v>
      </c>
      <c r="G133" s="24">
        <f t="shared" si="5"/>
        <v>0</v>
      </c>
    </row>
    <row r="134" spans="2:7" x14ac:dyDescent="0.25">
      <c r="B134" s="22" t="str">
        <v>2006-08-08</v>
      </c>
      <c r="C134" s="22">
        <v>0.3</v>
      </c>
      <c r="D134" s="22">
        <v>0.28681000000000001</v>
      </c>
      <c r="E134" s="22" t="str">
        <v>2006-09-09</v>
      </c>
      <c r="F134" s="22" t="str">
        <v>2006-07-25</v>
      </c>
      <c r="G134" s="24">
        <f t="shared" si="5"/>
        <v>0</v>
      </c>
    </row>
    <row r="135" spans="2:7" x14ac:dyDescent="0.25">
      <c r="B135" s="22" t="str">
        <v>2006-05-08</v>
      </c>
      <c r="C135" s="22">
        <v>0.3</v>
      </c>
      <c r="D135" s="22">
        <v>0.28681000000000001</v>
      </c>
      <c r="E135" s="22" t="str">
        <v>2006-06-10</v>
      </c>
      <c r="F135" s="22" t="str">
        <v>2006-04-25</v>
      </c>
      <c r="G135" s="24">
        <f t="shared" si="5"/>
        <v>0.49999999999999989</v>
      </c>
    </row>
    <row r="136" spans="2:7" x14ac:dyDescent="0.25">
      <c r="B136" s="22" t="str">
        <v>2006-02-08</v>
      </c>
      <c r="C136" s="22">
        <v>0.2</v>
      </c>
      <c r="D136" s="22">
        <v>0.19120999999999999</v>
      </c>
      <c r="E136" s="22" t="str">
        <v>2006-03-10</v>
      </c>
      <c r="F136" s="22" t="str">
        <v>2006-01-31</v>
      </c>
      <c r="G136" s="24">
        <f t="shared" si="5"/>
        <v>0</v>
      </c>
    </row>
    <row r="137" spans="2:7" x14ac:dyDescent="0.25">
      <c r="B137" s="22" t="str">
        <v>2005-11-08</v>
      </c>
      <c r="C137" s="22">
        <v>0.2</v>
      </c>
      <c r="D137" s="22">
        <v>0.19120999999999999</v>
      </c>
      <c r="E137" s="22" t="str">
        <v>2005-12-10</v>
      </c>
      <c r="F137" s="22" t="str">
        <v>2005-10-25</v>
      </c>
      <c r="G137" s="24">
        <f t="shared" si="5"/>
        <v>0</v>
      </c>
    </row>
    <row r="138" spans="2:7" x14ac:dyDescent="0.25">
      <c r="B138" s="22" t="str">
        <v>2005-08-08</v>
      </c>
      <c r="C138" s="22">
        <v>0.2</v>
      </c>
      <c r="D138" s="22">
        <v>0.19120999999999999</v>
      </c>
      <c r="E138" s="22" t="str">
        <v>2005-09-10</v>
      </c>
      <c r="F138" s="22" t="str">
        <v>2005-07-26</v>
      </c>
      <c r="G138" s="24">
        <f t="shared" si="5"/>
        <v>0</v>
      </c>
    </row>
    <row r="139" spans="2:7" x14ac:dyDescent="0.25">
      <c r="B139" s="22" t="str">
        <v>2005-05-06</v>
      </c>
      <c r="C139" s="22">
        <v>0.2</v>
      </c>
      <c r="D139" s="22">
        <v>0.19120999999999999</v>
      </c>
      <c r="E139" s="22" t="str">
        <v>2005-06-10</v>
      </c>
      <c r="F139" s="22" t="str">
        <v>2005-04-26</v>
      </c>
      <c r="G139" s="24">
        <f t="shared" si="5"/>
        <v>0.11111111111111122</v>
      </c>
    </row>
    <row r="140" spans="2:7" x14ac:dyDescent="0.25">
      <c r="B140" s="22" t="str">
        <v>2005-02-08</v>
      </c>
      <c r="C140" s="22">
        <v>0.18</v>
      </c>
      <c r="D140" s="22">
        <v>0.17208000000000001</v>
      </c>
      <c r="E140" s="22" t="str">
        <v>2005-03-10</v>
      </c>
      <c r="F140" s="22" t="str">
        <v>2005-01-25</v>
      </c>
      <c r="G140" s="24">
        <f t="shared" si="5"/>
        <v>0</v>
      </c>
    </row>
    <row r="141" spans="2:7" x14ac:dyDescent="0.25">
      <c r="B141" s="22" t="str">
        <v>2004-11-08</v>
      </c>
      <c r="C141" s="22">
        <v>0.18</v>
      </c>
      <c r="D141" s="22">
        <v>0.17208000000000001</v>
      </c>
      <c r="E141" s="22" t="str">
        <v>2004-12-10</v>
      </c>
      <c r="F141" s="22" t="str">
        <v>2004-10-26</v>
      </c>
      <c r="G141" s="24">
        <f t="shared" si="5"/>
        <v>0</v>
      </c>
    </row>
    <row r="142" spans="2:7" x14ac:dyDescent="0.25">
      <c r="B142" s="22" t="str">
        <v>2004-08-06</v>
      </c>
      <c r="C142" s="22">
        <v>0.18</v>
      </c>
      <c r="D142" s="22">
        <v>0.17208000000000001</v>
      </c>
      <c r="E142" s="22" t="str">
        <v>2004-09-10</v>
      </c>
      <c r="F142" s="22" t="str">
        <v>2004-07-27</v>
      </c>
      <c r="G142" s="24">
        <f t="shared" si="5"/>
        <v>0</v>
      </c>
    </row>
    <row r="143" spans="2:7" x14ac:dyDescent="0.25">
      <c r="B143" s="22" t="str">
        <v>2004-05-06</v>
      </c>
      <c r="C143" s="22">
        <v>0.18</v>
      </c>
      <c r="D143" s="22">
        <v>0.17208000000000001</v>
      </c>
      <c r="E143" s="22" t="str">
        <v>2004-06-10</v>
      </c>
      <c r="F143" s="22" t="str">
        <v>2004-04-27</v>
      </c>
      <c r="G143" s="24">
        <f t="shared" si="5"/>
        <v>0.12499999999999993</v>
      </c>
    </row>
    <row r="144" spans="2:7" x14ac:dyDescent="0.25">
      <c r="B144" s="22" t="str">
        <v>2004-02-06</v>
      </c>
      <c r="C144" s="22">
        <v>0.16</v>
      </c>
      <c r="D144" s="22">
        <v>0.15296000000000001</v>
      </c>
      <c r="E144" s="22" t="str">
        <v>2004-03-10</v>
      </c>
      <c r="F144" s="22" t="str">
        <v>2004-01-27</v>
      </c>
      <c r="G144" s="24">
        <f t="shared" si="5"/>
        <v>0</v>
      </c>
    </row>
    <row r="145" spans="2:7" x14ac:dyDescent="0.25">
      <c r="B145" s="22" t="str">
        <v>2003-11-06</v>
      </c>
      <c r="C145" s="22">
        <v>0.16</v>
      </c>
      <c r="D145" s="22">
        <v>0.15296000000000001</v>
      </c>
      <c r="E145" s="22" t="str">
        <v>2003-12-10</v>
      </c>
      <c r="F145" s="22" t="str">
        <v>2003-10-28</v>
      </c>
      <c r="G145" s="24">
        <f t="shared" si="5"/>
        <v>0</v>
      </c>
    </row>
    <row r="146" spans="2:7" x14ac:dyDescent="0.25">
      <c r="B146" s="22" t="str">
        <v>2003-08-06</v>
      </c>
      <c r="C146" s="22">
        <v>0.16</v>
      </c>
      <c r="D146" s="22">
        <v>0.15296000000000001</v>
      </c>
      <c r="E146" s="22" t="str">
        <v>2003-09-10</v>
      </c>
      <c r="F146" s="22" t="str">
        <v>2003-07-29</v>
      </c>
      <c r="G146" s="24"/>
    </row>
    <row r="147" spans="2:7" x14ac:dyDescent="0.25">
      <c r="B147" s="22" t="str">
        <v>2003-05-07</v>
      </c>
      <c r="C147" s="22">
        <v>0.16</v>
      </c>
      <c r="D147" s="22">
        <v>0.15296000000000001</v>
      </c>
      <c r="E147" s="22" t="str">
        <v>2003-06-10</v>
      </c>
      <c r="F147" s="22" t="str">
        <v>2003-04-29</v>
      </c>
    </row>
    <row r="148" spans="2:7" x14ac:dyDescent="0.25">
      <c r="B148" s="22" t="str">
        <v>2003-02-06</v>
      </c>
      <c r="C148" s="22">
        <v>0.15</v>
      </c>
      <c r="D148" s="22">
        <v>0.1434</v>
      </c>
      <c r="E148" s="22" t="str">
        <v>2003-03-10</v>
      </c>
      <c r="F148" s="22" t="str">
        <v>2003-01-28</v>
      </c>
    </row>
    <row r="149" spans="2:7" x14ac:dyDescent="0.25">
      <c r="B149" s="22" t="str">
        <v>2002-11-06</v>
      </c>
      <c r="C149" s="22">
        <v>0.15</v>
      </c>
      <c r="D149" s="22">
        <v>0.1434</v>
      </c>
      <c r="E149" s="22" t="str">
        <v>2002-12-10</v>
      </c>
      <c r="F149" s="22" t="str">
        <v>2002-10-28</v>
      </c>
    </row>
    <row r="150" spans="2:7" x14ac:dyDescent="0.25">
      <c r="B150" s="22" t="str">
        <v>2002-08-07</v>
      </c>
      <c r="C150" s="22">
        <v>0.15</v>
      </c>
      <c r="D150" s="22">
        <v>0.1434</v>
      </c>
      <c r="E150" s="22" t="str">
        <v>2002-09-10</v>
      </c>
      <c r="F150" s="22" t="str">
        <v>2002-07-30</v>
      </c>
    </row>
    <row r="151" spans="2:7" x14ac:dyDescent="0.25">
      <c r="B151" s="22" t="str">
        <v>2002-05-08</v>
      </c>
      <c r="C151" s="22">
        <v>0.15</v>
      </c>
      <c r="D151" s="22">
        <v>0.1434</v>
      </c>
      <c r="E151" s="22" t="str">
        <v>2002-06-10</v>
      </c>
      <c r="F151" s="22" t="str">
        <v>2002-04-30</v>
      </c>
    </row>
    <row r="152" spans="2:7" x14ac:dyDescent="0.25">
      <c r="B152" s="22" t="str">
        <v>2002-02-06</v>
      </c>
      <c r="C152" s="22">
        <v>0.14000000000000001</v>
      </c>
      <c r="D152" s="22">
        <v>0.13383999999999999</v>
      </c>
      <c r="E152" s="22" t="str">
        <v>2002-03-09</v>
      </c>
      <c r="F152" s="22" t="str">
        <v>2002-01-29</v>
      </c>
    </row>
    <row r="153" spans="2:7" x14ac:dyDescent="0.25">
      <c r="B153" s="22" t="str">
        <v>2001-11-07</v>
      </c>
      <c r="C153" s="22">
        <v>0.14000000000000001</v>
      </c>
      <c r="D153" s="22">
        <v>0.13383999999999999</v>
      </c>
      <c r="E153" s="22" t="str">
        <v>2001-12-10</v>
      </c>
      <c r="F153" s="22" t="str">
        <v>2001-10-30</v>
      </c>
    </row>
    <row r="154" spans="2:7" x14ac:dyDescent="0.25">
      <c r="B154" s="22" t="str">
        <v>2001-08-08</v>
      </c>
      <c r="C154" s="22">
        <v>0.14000000000000001</v>
      </c>
      <c r="D154" s="22">
        <v>0.13383999999999999</v>
      </c>
      <c r="E154" s="22" t="str">
        <v>2001-09-10</v>
      </c>
      <c r="F154" s="22" t="str">
        <v>2001-07-31</v>
      </c>
    </row>
    <row r="155" spans="2:7" x14ac:dyDescent="0.25">
      <c r="B155" s="22" t="str">
        <v>2001-05-08</v>
      </c>
      <c r="C155" s="22">
        <v>0.14000000000000001</v>
      </c>
      <c r="D155" s="22">
        <v>0.13383999999999999</v>
      </c>
      <c r="E155" s="22" t="str">
        <v>2001-06-09</v>
      </c>
      <c r="F155" s="22" t="str">
        <v>2001-04-24</v>
      </c>
    </row>
    <row r="156" spans="2:7" x14ac:dyDescent="0.25">
      <c r="B156" s="22" t="str">
        <v>2001-02-07</v>
      </c>
      <c r="C156" s="22">
        <v>0.13</v>
      </c>
      <c r="D156" s="22">
        <v>0.12428</v>
      </c>
      <c r="E156" s="22" t="str">
        <v>2001-03-10</v>
      </c>
      <c r="F156" s="22" t="str">
        <v>2001-01-30</v>
      </c>
    </row>
    <row r="157" spans="2:7" x14ac:dyDescent="0.25">
      <c r="B157" s="22" t="str">
        <v>2000-11-08</v>
      </c>
      <c r="C157" s="22">
        <v>0.13</v>
      </c>
      <c r="D157" s="22">
        <v>0.12428</v>
      </c>
      <c r="E157" s="22" t="str">
        <v>2000-12-09</v>
      </c>
      <c r="F157" s="22" t="str">
        <v>2000-10-31</v>
      </c>
    </row>
    <row r="158" spans="2:7" x14ac:dyDescent="0.25">
      <c r="B158" s="22" t="str">
        <v>2000-08-08</v>
      </c>
      <c r="C158" s="22">
        <v>0.13</v>
      </c>
      <c r="D158" s="22">
        <v>0.12428</v>
      </c>
      <c r="E158" s="22" t="str">
        <v>2000-09-09</v>
      </c>
      <c r="F158" s="22" t="str">
        <v>2000-07-25</v>
      </c>
    </row>
    <row r="159" spans="2:7" x14ac:dyDescent="0.25">
      <c r="B159" s="22" t="str">
        <v>2000-05-08</v>
      </c>
      <c r="C159" s="22">
        <v>0.13</v>
      </c>
      <c r="D159" s="22">
        <v>0.12428</v>
      </c>
      <c r="E159" s="22" t="str">
        <v>2000-06-10</v>
      </c>
      <c r="F159" s="22" t="str">
        <v>2000-04-25</v>
      </c>
    </row>
    <row r="160" spans="2:7" x14ac:dyDescent="0.25">
      <c r="B160" s="22" t="str">
        <v>2000-02-08</v>
      </c>
      <c r="C160" s="22">
        <v>0.12</v>
      </c>
      <c r="D160" s="22">
        <v>0.11472</v>
      </c>
      <c r="E160" s="22" t="str">
        <v>2000-03-10</v>
      </c>
      <c r="F160" s="22" t="str">
        <v>2000-01-25</v>
      </c>
    </row>
    <row r="161" spans="2:6" x14ac:dyDescent="0.25">
      <c r="B161" s="22" t="str">
        <v>1999-11-08</v>
      </c>
      <c r="C161" s="22">
        <v>0.12</v>
      </c>
      <c r="D161" s="22">
        <v>0.11472</v>
      </c>
      <c r="E161" s="22" t="str">
        <v>1999-12-10</v>
      </c>
      <c r="F161" s="22" t="str">
        <v>1999-10-26</v>
      </c>
    </row>
    <row r="162" spans="2:6" x14ac:dyDescent="0.25">
      <c r="B162" s="22" t="str">
        <v>1999-08-06</v>
      </c>
      <c r="C162" s="22">
        <v>0.12</v>
      </c>
      <c r="D162" s="22">
        <v>0.11472</v>
      </c>
      <c r="E162" s="22" t="str">
        <v>1999-09-10</v>
      </c>
      <c r="F162" s="22" t="str">
        <v>1999-07-27</v>
      </c>
    </row>
    <row r="163" spans="2:6" x14ac:dyDescent="0.25">
      <c r="B163" s="22" t="str">
        <v>1999-05-06</v>
      </c>
      <c r="C163" s="22">
        <v>0.24</v>
      </c>
      <c r="D163" s="22">
        <v>0.11472</v>
      </c>
      <c r="E163" s="22" t="str">
        <v>1999-06-10</v>
      </c>
      <c r="F163" s="22" t="str">
        <v>1999-04-27</v>
      </c>
    </row>
    <row r="164" spans="2:6" x14ac:dyDescent="0.25">
      <c r="B164" s="22" t="str">
        <v>1999-02-08</v>
      </c>
      <c r="C164" s="22">
        <v>0.22</v>
      </c>
      <c r="D164" s="22">
        <v>0.10516</v>
      </c>
      <c r="E164" s="22" t="str">
        <v>1999-03-10</v>
      </c>
      <c r="F164" s="22" t="str">
        <v>1999-01-26</v>
      </c>
    </row>
    <row r="165" spans="2:6" x14ac:dyDescent="0.25">
      <c r="B165" s="22" t="str">
        <v>1998-11-06</v>
      </c>
      <c r="C165" s="22">
        <v>0.22</v>
      </c>
      <c r="D165" s="22">
        <v>0.10516</v>
      </c>
      <c r="E165" s="22" t="str">
        <v>1998-12-10</v>
      </c>
      <c r="F165" s="22" t="str">
        <v>1998-10-27</v>
      </c>
    </row>
    <row r="166" spans="2:6" x14ac:dyDescent="0.25">
      <c r="B166" s="22" t="str">
        <v>1998-08-06</v>
      </c>
      <c r="C166" s="22">
        <v>0.22</v>
      </c>
      <c r="D166" s="22">
        <v>0.10516</v>
      </c>
      <c r="E166" s="22" t="str">
        <v>1998-09-10</v>
      </c>
      <c r="F166" s="22" t="str">
        <v>1998-07-28</v>
      </c>
    </row>
    <row r="167" spans="2:6" x14ac:dyDescent="0.25">
      <c r="B167" s="22" t="str">
        <v>1998-05-06</v>
      </c>
      <c r="C167" s="22">
        <v>0.22</v>
      </c>
      <c r="D167" s="22">
        <v>0.10516</v>
      </c>
      <c r="E167" s="22" t="str">
        <v>1998-06-10</v>
      </c>
      <c r="F167" s="22" t="str">
        <v>1998-04-28</v>
      </c>
    </row>
    <row r="168" spans="2:6" x14ac:dyDescent="0.25">
      <c r="B168" s="22" t="str">
        <v>1998-02-06</v>
      </c>
      <c r="C168" s="22">
        <v>0.2</v>
      </c>
      <c r="D168" s="22">
        <v>9.5602000000000006E-2</v>
      </c>
      <c r="E168" s="22" t="str">
        <v>1998-03-10</v>
      </c>
      <c r="F168" s="22" t="str">
        <v>1998-01-27</v>
      </c>
    </row>
    <row r="169" spans="2:6" x14ac:dyDescent="0.25">
      <c r="B169" s="22" t="str">
        <v>1997-11-06</v>
      </c>
      <c r="C169" s="22">
        <v>0.2</v>
      </c>
      <c r="D169" s="22">
        <v>9.5602000000000006E-2</v>
      </c>
      <c r="E169" s="22" t="str">
        <v>1997-12-10</v>
      </c>
      <c r="F169" s="22" t="str">
        <v>1997-10-28</v>
      </c>
    </row>
    <row r="170" spans="2:6" x14ac:dyDescent="0.25">
      <c r="B170" s="22" t="str">
        <v>1997-08-07</v>
      </c>
      <c r="C170" s="22">
        <v>0.2</v>
      </c>
      <c r="D170" s="22">
        <v>9.5602000000000006E-2</v>
      </c>
      <c r="E170" s="22" t="str">
        <v>1997-09-10</v>
      </c>
      <c r="F170" s="22" t="str">
        <v>1997-07-29</v>
      </c>
    </row>
    <row r="171" spans="2:6" x14ac:dyDescent="0.25">
      <c r="B171" s="22" t="str">
        <v>1997-05-07</v>
      </c>
      <c r="C171" s="22">
        <v>0.4</v>
      </c>
      <c r="D171" s="22">
        <v>9.5602000000000006E-2</v>
      </c>
      <c r="E171" s="22" t="str">
        <v>1997-06-10</v>
      </c>
      <c r="F171" s="22" t="str">
        <v>1997-04-29</v>
      </c>
    </row>
    <row r="172" spans="2:6" x14ac:dyDescent="0.25">
      <c r="B172" s="22" t="str">
        <v>1997-02-06</v>
      </c>
      <c r="C172" s="22">
        <v>0.35</v>
      </c>
      <c r="D172" s="22">
        <v>8.3652000000000004E-2</v>
      </c>
      <c r="E172" s="22" t="str">
        <v>1997-03-10</v>
      </c>
      <c r="F172" s="22" t="str">
        <v>1997-01-28</v>
      </c>
    </row>
    <row r="173" spans="2:6" x14ac:dyDescent="0.25">
      <c r="B173" s="22" t="str">
        <v>1996-11-06</v>
      </c>
      <c r="C173" s="22">
        <v>0.35</v>
      </c>
      <c r="D173" s="22">
        <v>8.3652000000000004E-2</v>
      </c>
      <c r="E173" s="22" t="str">
        <v>1996-12-10</v>
      </c>
      <c r="F173" s="22" t="str">
        <v>1996-10-28</v>
      </c>
    </row>
    <row r="174" spans="2:6" x14ac:dyDescent="0.25">
      <c r="B174" s="22" t="str">
        <v>1996-08-07</v>
      </c>
      <c r="C174" s="22">
        <v>0.35</v>
      </c>
      <c r="D174" s="22">
        <v>8.3652000000000004E-2</v>
      </c>
      <c r="E174" s="22" t="str">
        <v>1996-09-10</v>
      </c>
      <c r="F174" s="22" t="str">
        <v>1996-07-30</v>
      </c>
    </row>
    <row r="175" spans="2:6" x14ac:dyDescent="0.25">
      <c r="B175" s="22" t="str">
        <v>1996-05-08</v>
      </c>
      <c r="C175" s="22">
        <v>0.35</v>
      </c>
      <c r="D175" s="22">
        <v>8.3652000000000004E-2</v>
      </c>
      <c r="E175" s="22" t="str">
        <v>1996-06-10</v>
      </c>
      <c r="F175" s="22" t="str">
        <v>1996-04-17</v>
      </c>
    </row>
    <row r="176" spans="2:6" x14ac:dyDescent="0.25">
      <c r="B176" s="22" t="str">
        <v>1996-02-07</v>
      </c>
      <c r="C176" s="22">
        <v>0.25</v>
      </c>
      <c r="D176" s="22">
        <v>5.9750999999999999E-2</v>
      </c>
      <c r="E176" s="22" t="str">
        <v>1996-03-09</v>
      </c>
      <c r="F176" s="22" t="str">
        <v>1996-01-30</v>
      </c>
    </row>
    <row r="177" spans="2:6" x14ac:dyDescent="0.25">
      <c r="B177" s="22" t="str">
        <v>1995-11-08</v>
      </c>
      <c r="C177" s="22">
        <v>0.25</v>
      </c>
      <c r="D177" s="22">
        <v>5.9750999999999999E-2</v>
      </c>
      <c r="E177" s="22" t="str">
        <v>1995-12-09</v>
      </c>
      <c r="F177" s="22" t="str">
        <v>1995-10-30</v>
      </c>
    </row>
    <row r="178" spans="2:6" x14ac:dyDescent="0.25">
      <c r="B178" s="22" t="str">
        <v>1995-08-08</v>
      </c>
      <c r="C178" s="22">
        <v>0.25</v>
      </c>
      <c r="D178" s="22">
        <v>5.9750999999999999E-2</v>
      </c>
      <c r="E178" s="22" t="str">
        <v>1995-09-09</v>
      </c>
      <c r="F178" s="22" t="str">
        <v>1995-07-25</v>
      </c>
    </row>
    <row r="179" spans="2:6" x14ac:dyDescent="0.25">
      <c r="B179" s="22" t="str">
        <v>1995-05-04</v>
      </c>
      <c r="C179" s="22">
        <v>0.25</v>
      </c>
      <c r="D179" s="22">
        <v>5.9750999999999999E-2</v>
      </c>
      <c r="E179" s="22" t="str">
        <v>1995-06-10</v>
      </c>
      <c r="F179" s="22" t="str">
        <v>1995-04-25</v>
      </c>
    </row>
    <row r="180" spans="2:6" x14ac:dyDescent="0.25">
      <c r="B180" s="22" t="str">
        <v>1995-02-06</v>
      </c>
      <c r="C180" s="22">
        <v>0.25</v>
      </c>
      <c r="D180" s="22">
        <v>5.9750999999999999E-2</v>
      </c>
      <c r="E180" s="22" t="str">
        <v>1995-03-10</v>
      </c>
      <c r="F180" s="22" t="str">
        <v>1995-01-31</v>
      </c>
    </row>
    <row r="181" spans="2:6" x14ac:dyDescent="0.25">
      <c r="B181" s="22" t="str">
        <v>1994-11-04</v>
      </c>
      <c r="C181" s="22">
        <v>0.25</v>
      </c>
      <c r="D181" s="22">
        <v>5.9750999999999999E-2</v>
      </c>
      <c r="E181" s="22" t="str">
        <v>1994-12-10</v>
      </c>
      <c r="F181" s="22" t="str">
        <v>1994-10-25</v>
      </c>
    </row>
    <row r="182" spans="2:6" x14ac:dyDescent="0.25">
      <c r="B182" s="22" t="str">
        <v>1994-08-04</v>
      </c>
      <c r="C182" s="22">
        <v>0.25</v>
      </c>
      <c r="D182" s="22">
        <v>5.9750999999999999E-2</v>
      </c>
      <c r="E182" s="22" t="str">
        <v>1994-09-10</v>
      </c>
      <c r="F182" s="22" t="str">
        <v>1994-07-26</v>
      </c>
    </row>
    <row r="183" spans="2:6" x14ac:dyDescent="0.25">
      <c r="B183" s="22" t="str">
        <v>1994-05-05</v>
      </c>
      <c r="C183" s="22">
        <v>0.25</v>
      </c>
      <c r="D183" s="22">
        <v>5.9750999999999999E-2</v>
      </c>
      <c r="E183" s="22" t="str">
        <v>1994-06-10</v>
      </c>
      <c r="F183" s="22" t="str">
        <v>1994-04-26</v>
      </c>
    </row>
    <row r="184" spans="2:6" x14ac:dyDescent="0.25">
      <c r="B184" s="22" t="str">
        <v>1994-02-04</v>
      </c>
      <c r="C184" s="22">
        <v>0.25</v>
      </c>
      <c r="D184" s="22">
        <v>5.9750999999999999E-2</v>
      </c>
      <c r="E184" s="22" t="str">
        <v>1994-03-10</v>
      </c>
      <c r="F184" s="22" t="str">
        <v>1994-01-26</v>
      </c>
    </row>
    <row r="185" spans="2:6" x14ac:dyDescent="0.25">
      <c r="B185" s="22" t="str">
        <v>1993-11-04</v>
      </c>
      <c r="C185" s="22">
        <v>0.25</v>
      </c>
      <c r="D185" s="22">
        <v>5.9750999999999999E-2</v>
      </c>
      <c r="E185" s="22" t="str">
        <v>1993-12-10</v>
      </c>
      <c r="F185" s="22" t="str">
        <v>1993-10-27</v>
      </c>
    </row>
    <row r="186" spans="2:6" x14ac:dyDescent="0.25">
      <c r="B186" s="22" t="str">
        <v>1993-08-05</v>
      </c>
      <c r="C186" s="22">
        <v>0.25</v>
      </c>
      <c r="D186" s="22">
        <v>5.9750999999999999E-2</v>
      </c>
      <c r="E186" s="22" t="str">
        <v>1993-09-10</v>
      </c>
      <c r="F186" s="22" t="str">
        <v>1993-07-28</v>
      </c>
    </row>
    <row r="187" spans="2:6" x14ac:dyDescent="0.25">
      <c r="B187" s="22" t="str">
        <v>1993-05-06</v>
      </c>
      <c r="C187" s="22">
        <v>0.54</v>
      </c>
      <c r="D187" s="22">
        <v>0.12906000000000001</v>
      </c>
      <c r="E187" s="22" t="str">
        <v>1993-06-10</v>
      </c>
      <c r="F187" s="22" t="str">
        <v>1993-04-28</v>
      </c>
    </row>
    <row r="188" spans="2:6" x14ac:dyDescent="0.25">
      <c r="B188" s="22" t="str">
        <v>1993-02-04</v>
      </c>
      <c r="C188" s="22">
        <v>0.54</v>
      </c>
      <c r="D188" s="22">
        <v>0.12906000000000001</v>
      </c>
      <c r="E188" s="22" t="str">
        <v>1993-03-10</v>
      </c>
      <c r="F188" s="22" t="str">
        <v>1993-01-27</v>
      </c>
    </row>
    <row r="189" spans="2:6" x14ac:dyDescent="0.25">
      <c r="B189" s="22" t="str">
        <v>1992-11-05</v>
      </c>
      <c r="C189" s="22">
        <v>1.21</v>
      </c>
      <c r="D189" s="22">
        <v>0.28920000000000001</v>
      </c>
      <c r="E189" s="22" t="str">
        <v>1992-12-10</v>
      </c>
      <c r="F189" s="22" t="str">
        <v>1992-10-28</v>
      </c>
    </row>
    <row r="190" spans="2:6" x14ac:dyDescent="0.25">
      <c r="B190" s="22" t="str">
        <v>1992-08-06</v>
      </c>
      <c r="C190" s="22">
        <v>1.21</v>
      </c>
      <c r="D190" s="22">
        <v>0.28920000000000001</v>
      </c>
      <c r="E190" s="22" t="str">
        <v>1992-09-10</v>
      </c>
      <c r="F190" s="22" t="str">
        <v>1992-07-29</v>
      </c>
    </row>
    <row r="191" spans="2:6" x14ac:dyDescent="0.25">
      <c r="B191" s="22" t="str">
        <v>1992-05-07</v>
      </c>
      <c r="C191" s="22">
        <v>1.21</v>
      </c>
      <c r="D191" s="22">
        <v>0.28920000000000001</v>
      </c>
      <c r="E191" s="22" t="str">
        <v>1992-06-10</v>
      </c>
      <c r="F191" s="22" t="str">
        <v>1992-04-28</v>
      </c>
    </row>
    <row r="192" spans="2:6" x14ac:dyDescent="0.25">
      <c r="B192" s="22" t="str">
        <v>1992-02-06</v>
      </c>
      <c r="C192" s="22">
        <v>1.21</v>
      </c>
      <c r="D192" s="22">
        <v>0.28920000000000001</v>
      </c>
      <c r="E192" s="22" t="str">
        <v>1992-03-10</v>
      </c>
      <c r="F192" s="22" t="str">
        <v>1992-01-31</v>
      </c>
    </row>
    <row r="193" spans="2:6" x14ac:dyDescent="0.25">
      <c r="B193" s="22" t="str">
        <v>1991-11-04</v>
      </c>
      <c r="C193" s="22">
        <v>1.21</v>
      </c>
      <c r="D193" s="22">
        <v>0.28920000000000001</v>
      </c>
      <c r="E193" s="22" t="str">
        <v>1991-12-10</v>
      </c>
      <c r="F193" s="22" t="str">
        <v>1991-11-01</v>
      </c>
    </row>
    <row r="194" spans="2:6" x14ac:dyDescent="0.25">
      <c r="B194" s="22" t="str">
        <v>1991-08-06</v>
      </c>
      <c r="C194" s="22">
        <v>1.21</v>
      </c>
      <c r="D194" s="22">
        <v>0.28920000000000001</v>
      </c>
      <c r="E194" s="22" t="str">
        <v>1991-09-10</v>
      </c>
      <c r="F194" s="22" t="str">
        <v>1991-08-02</v>
      </c>
    </row>
    <row r="195" spans="2:6" x14ac:dyDescent="0.25">
      <c r="B195" s="22" t="str">
        <v>1991-05-06</v>
      </c>
      <c r="C195" s="22">
        <v>1.21</v>
      </c>
      <c r="D195" s="22">
        <v>0.28920000000000001</v>
      </c>
      <c r="E195" s="22" t="str">
        <v>1991-06-10</v>
      </c>
      <c r="F195" s="22" t="str">
        <v>1991-05-02</v>
      </c>
    </row>
    <row r="196" spans="2:6" x14ac:dyDescent="0.25">
      <c r="B196" s="22" t="str">
        <v>1991-02-04</v>
      </c>
      <c r="C196" s="22">
        <v>1.21</v>
      </c>
      <c r="D196" s="22">
        <v>0.28920000000000001</v>
      </c>
      <c r="E196" s="22" t="str">
        <v>1991-03-09</v>
      </c>
      <c r="F196" s="22" t="str">
        <v>1991-01-31</v>
      </c>
    </row>
    <row r="197" spans="2:6" x14ac:dyDescent="0.25">
      <c r="B197" s="22" t="str">
        <v>1990-11-05</v>
      </c>
      <c r="C197" s="22">
        <v>1.21</v>
      </c>
      <c r="D197" s="22">
        <v>0.28920000000000001</v>
      </c>
      <c r="E197" s="22" t="str">
        <v>1990-12-10</v>
      </c>
      <c r="F197" s="22" t="str">
        <v>1990-10-31</v>
      </c>
    </row>
    <row r="198" spans="2:6" x14ac:dyDescent="0.25">
      <c r="B198" s="22" t="str">
        <v>1990-08-06</v>
      </c>
      <c r="C198" s="22">
        <v>1.21</v>
      </c>
      <c r="D198" s="22">
        <v>0.28920000000000001</v>
      </c>
      <c r="E198" s="22" t="str">
        <v>1990-09-10</v>
      </c>
      <c r="F198" s="22" t="str">
        <v>1990-08-02</v>
      </c>
    </row>
    <row r="199" spans="2:6" x14ac:dyDescent="0.25">
      <c r="B199" s="22" t="str">
        <v>1990-05-04</v>
      </c>
      <c r="C199" s="22">
        <v>1.21</v>
      </c>
      <c r="D199" s="22">
        <v>0.28920000000000001</v>
      </c>
      <c r="E199" s="22" t="str">
        <v>1990-06-09</v>
      </c>
      <c r="F199" s="22" t="str">
        <v>1990-05-01</v>
      </c>
    </row>
    <row r="200" spans="2:6" x14ac:dyDescent="0.25">
      <c r="B200" s="22" t="str">
        <v>1990-02-05</v>
      </c>
      <c r="C200" s="22">
        <v>1.21</v>
      </c>
      <c r="D200" s="22">
        <v>0.28920000000000001</v>
      </c>
      <c r="E200" s="22" t="str">
        <v>1990-03-10</v>
      </c>
      <c r="F200" s="22" t="str">
        <v>1990-01-31</v>
      </c>
    </row>
    <row r="201" spans="2:6" x14ac:dyDescent="0.25">
      <c r="B201" s="22" t="str">
        <v>1989-11-02</v>
      </c>
      <c r="C201" s="22">
        <v>1.21</v>
      </c>
      <c r="D201" s="22">
        <v>0.28920000000000001</v>
      </c>
      <c r="E201" s="22" t="str">
        <v>1989-12-09</v>
      </c>
      <c r="F201" s="22" t="str">
        <v>1989-11-01</v>
      </c>
    </row>
    <row r="202" spans="2:6" x14ac:dyDescent="0.25">
      <c r="B202" s="22" t="str">
        <v>1989-08-03</v>
      </c>
      <c r="C202" s="22">
        <v>1.21</v>
      </c>
      <c r="D202" s="22">
        <v>0.28920000000000001</v>
      </c>
      <c r="E202" s="22" t="str">
        <v>1989-09-09</v>
      </c>
      <c r="F202" s="22" t="str">
        <v>1989-07-26</v>
      </c>
    </row>
    <row r="203" spans="2:6" x14ac:dyDescent="0.25">
      <c r="B203" s="22" t="str">
        <v>1989-05-04</v>
      </c>
      <c r="C203" s="22">
        <v>1.21</v>
      </c>
      <c r="D203" s="22">
        <v>0.28920000000000001</v>
      </c>
      <c r="E203" s="22" t="str">
        <v>1989-06-10</v>
      </c>
      <c r="F203" s="22" t="str">
        <v>1989-04-25</v>
      </c>
    </row>
    <row r="204" spans="2:6" x14ac:dyDescent="0.25">
      <c r="B204" s="22" t="str">
        <v>1989-02-02</v>
      </c>
      <c r="C204" s="22">
        <v>1.1000000000000001</v>
      </c>
      <c r="D204" s="22">
        <v>0.26290999999999998</v>
      </c>
      <c r="E204" s="22" t="str">
        <v>1989-03-10</v>
      </c>
      <c r="F204" s="22" t="str">
        <v>1989-02-01</v>
      </c>
    </row>
    <row r="205" spans="2:6" x14ac:dyDescent="0.25">
      <c r="B205" s="22" t="str">
        <v>1988-11-04</v>
      </c>
      <c r="C205" s="22">
        <v>1.1000000000000001</v>
      </c>
      <c r="D205" s="22">
        <v>0.26290999999999998</v>
      </c>
      <c r="E205" s="22" t="str">
        <v>1988-12-10</v>
      </c>
      <c r="F205" s="22" t="str">
        <v>1988-10-26</v>
      </c>
    </row>
    <row r="206" spans="2:6" x14ac:dyDescent="0.25">
      <c r="B206" s="22" t="str">
        <v>1988-08-04</v>
      </c>
      <c r="C206" s="22">
        <v>1.1000000000000001</v>
      </c>
      <c r="D206" s="22">
        <v>0.26290999999999998</v>
      </c>
      <c r="E206" s="22" t="str">
        <v>1988-09-10</v>
      </c>
      <c r="F206" s="22" t="str">
        <v>1988-07-27</v>
      </c>
    </row>
    <row r="207" spans="2:6" x14ac:dyDescent="0.25">
      <c r="B207" s="22" t="str">
        <v>1988-05-05</v>
      </c>
      <c r="C207" s="22">
        <v>1.1000000000000001</v>
      </c>
      <c r="D207" s="22">
        <v>0.26290999999999998</v>
      </c>
      <c r="E207" s="22" t="str">
        <v>1988-06-10</v>
      </c>
      <c r="F207" s="22" t="str">
        <v>1988-04-26</v>
      </c>
    </row>
    <row r="208" spans="2:6" x14ac:dyDescent="0.25">
      <c r="B208" s="22" t="str">
        <v>1988-02-04</v>
      </c>
      <c r="C208" s="22">
        <v>1.1000000000000001</v>
      </c>
      <c r="D208" s="22">
        <v>0.26290999999999998</v>
      </c>
      <c r="E208" s="22" t="str">
        <v>1988-03-10</v>
      </c>
      <c r="F208" s="22" t="str">
        <v>1988-01-27</v>
      </c>
    </row>
    <row r="209" spans="2:6" x14ac:dyDescent="0.25">
      <c r="B209" s="22" t="str">
        <v>1987-11-05</v>
      </c>
      <c r="C209" s="22">
        <v>1.1000000000000001</v>
      </c>
      <c r="D209" s="22">
        <v>0.26290999999999998</v>
      </c>
      <c r="E209" s="22" t="str">
        <v>1987-12-10</v>
      </c>
      <c r="F209" s="22" t="str">
        <v>1987-10-28</v>
      </c>
    </row>
    <row r="210" spans="2:6" x14ac:dyDescent="0.25">
      <c r="B210" s="22" t="str">
        <v>1987-08-06</v>
      </c>
      <c r="C210" s="22">
        <v>1.1000000000000001</v>
      </c>
      <c r="D210" s="22">
        <v>0.26290999999999998</v>
      </c>
      <c r="E210" s="22" t="str">
        <v>1987-09-10</v>
      </c>
      <c r="F210" s="22" t="str">
        <v>1987-07-29</v>
      </c>
    </row>
    <row r="211" spans="2:6" x14ac:dyDescent="0.25">
      <c r="B211" s="22" t="str">
        <v>1987-05-07</v>
      </c>
      <c r="C211" s="22">
        <v>1.1000000000000001</v>
      </c>
      <c r="D211" s="22">
        <v>0.26290999999999998</v>
      </c>
      <c r="E211" s="22" t="str">
        <v>1987-06-10</v>
      </c>
      <c r="F211" s="22" t="str">
        <v>1987-04-28</v>
      </c>
    </row>
    <row r="212" spans="2:6" x14ac:dyDescent="0.25">
      <c r="B212" s="22" t="str">
        <v>1987-02-05</v>
      </c>
      <c r="C212" s="22">
        <v>1.1000000000000001</v>
      </c>
      <c r="D212" s="22">
        <v>0.26290999999999998</v>
      </c>
      <c r="E212" s="22" t="str">
        <v>1987-03-10</v>
      </c>
      <c r="F212" s="22" t="str">
        <v>1987-01-28</v>
      </c>
    </row>
    <row r="213" spans="2:6" x14ac:dyDescent="0.25">
      <c r="B213" s="22" t="str">
        <v>1986-11-05</v>
      </c>
      <c r="C213" s="22">
        <v>1.1000000000000001</v>
      </c>
      <c r="D213" s="22">
        <v>0.26290999999999998</v>
      </c>
      <c r="E213" s="22" t="str">
        <v>1986-12-10</v>
      </c>
      <c r="F213" s="22" t="str">
        <v>1986-11-03</v>
      </c>
    </row>
    <row r="214" spans="2:6" x14ac:dyDescent="0.25">
      <c r="B214" s="22" t="str">
        <v>1986-08-07</v>
      </c>
      <c r="C214" s="22">
        <v>1.1000000000000001</v>
      </c>
      <c r="D214" s="22">
        <v>0.26290999999999998</v>
      </c>
      <c r="E214" s="22" t="str">
        <v>1986-09-10</v>
      </c>
      <c r="F214" s="22" t="str">
        <v>1986-07-31</v>
      </c>
    </row>
    <row r="215" spans="2:6" x14ac:dyDescent="0.25">
      <c r="B215" s="22" t="str">
        <v>1986-05-08</v>
      </c>
      <c r="C215" s="22">
        <v>1.1000000000000001</v>
      </c>
      <c r="D215" s="22">
        <v>0.26290999999999998</v>
      </c>
      <c r="E215" s="22" t="str">
        <v>1986-06-10</v>
      </c>
      <c r="F215" s="22" t="str">
        <v>1986-04-30</v>
      </c>
    </row>
    <row r="216" spans="2:6" x14ac:dyDescent="0.25">
      <c r="B216" s="22" t="str">
        <v>1986-02-07</v>
      </c>
      <c r="C216" s="22">
        <v>1.1000000000000001</v>
      </c>
      <c r="D216" s="22">
        <v>0.26290999999999998</v>
      </c>
      <c r="E216" s="22" t="str">
        <v>1986-03-10</v>
      </c>
      <c r="F216" s="22" t="str">
        <v>1986-01-31</v>
      </c>
    </row>
    <row r="217" spans="2:6" x14ac:dyDescent="0.25">
      <c r="B217" s="22" t="str">
        <v>1985-11-06</v>
      </c>
      <c r="C217" s="22">
        <v>1.1000000000000001</v>
      </c>
      <c r="D217" s="22">
        <v>0.26290999999999998</v>
      </c>
      <c r="E217" s="22" t="str">
        <v>1985-12-10</v>
      </c>
      <c r="F217" s="22" t="str">
        <v>1985-10-31</v>
      </c>
    </row>
    <row r="218" spans="2:6" x14ac:dyDescent="0.25">
      <c r="B218" s="22" t="str">
        <v>1985-08-08</v>
      </c>
      <c r="C218" s="22">
        <v>1.1000000000000001</v>
      </c>
      <c r="D218" s="22">
        <v>0.26290999999999998</v>
      </c>
      <c r="E218" s="22" t="str">
        <v>1985-09-10</v>
      </c>
      <c r="F218" s="22" t="str">
        <v>1985-08-01</v>
      </c>
    </row>
    <row r="219" spans="2:6" x14ac:dyDescent="0.25">
      <c r="B219" s="22" t="str">
        <v>1985-05-03</v>
      </c>
      <c r="C219" s="22">
        <v>1.1000000000000001</v>
      </c>
      <c r="D219" s="22">
        <v>0.26290999999999998</v>
      </c>
      <c r="E219" s="22" t="str">
        <v>1985-06-10</v>
      </c>
      <c r="F219" s="22" t="str">
        <v>1985-05-01</v>
      </c>
    </row>
    <row r="220" spans="2:6" x14ac:dyDescent="0.25">
      <c r="B220" s="22" t="str">
        <v>1985-02-06</v>
      </c>
      <c r="C220" s="22">
        <v>1.1000000000000001</v>
      </c>
      <c r="D220" s="22">
        <v>0.26290999999999998</v>
      </c>
      <c r="E220" s="22" t="str">
        <v>1985-03-09</v>
      </c>
      <c r="F220" s="22" t="str">
        <v>1985-01-31</v>
      </c>
    </row>
    <row r="221" spans="2:6" x14ac:dyDescent="0.25">
      <c r="B221" s="22" t="str">
        <v>1984-10-31</v>
      </c>
      <c r="C221" s="22">
        <v>1.1000000000000001</v>
      </c>
      <c r="D221" s="22">
        <v>0.26290999999999998</v>
      </c>
      <c r="E221" s="22" t="str">
        <v>1984-12-10</v>
      </c>
      <c r="F221" s="22" t="str">
        <v>1984-10-25</v>
      </c>
    </row>
    <row r="222" spans="2:6" x14ac:dyDescent="0.25">
      <c r="B222" s="22" t="str">
        <v>1984-08-08</v>
      </c>
      <c r="C222" s="22">
        <v>1.1000000000000001</v>
      </c>
      <c r="D222" s="22">
        <v>0.26290999999999998</v>
      </c>
      <c r="E222" s="22" t="str">
        <v>1984-09-10</v>
      </c>
      <c r="F222" s="22" t="str">
        <v>1984-08-02</v>
      </c>
    </row>
    <row r="223" spans="2:6" x14ac:dyDescent="0.25">
      <c r="B223" s="22" t="str">
        <v>1984-05-04</v>
      </c>
      <c r="C223" s="22">
        <v>0.95</v>
      </c>
      <c r="D223" s="22">
        <v>0.22706000000000001</v>
      </c>
      <c r="E223" s="22" t="str">
        <v>1984-06-09</v>
      </c>
      <c r="F223" s="22" t="str">
        <v>1984-05-02</v>
      </c>
    </row>
    <row r="224" spans="2:6" x14ac:dyDescent="0.25">
      <c r="B224" s="22" t="str">
        <v>1984-02-03</v>
      </c>
      <c r="C224" s="22">
        <v>0.95</v>
      </c>
      <c r="D224" s="22">
        <v>0.22706000000000001</v>
      </c>
      <c r="E224" s="22" t="str">
        <v>1984-03-10</v>
      </c>
      <c r="F224" s="22" t="str">
        <v>1984-02-02</v>
      </c>
    </row>
    <row r="225" spans="2:6" x14ac:dyDescent="0.25">
      <c r="B225" s="22" t="str">
        <v>1983-11-02</v>
      </c>
      <c r="C225" s="22">
        <v>0.95</v>
      </c>
      <c r="D225" s="22">
        <v>0.22706000000000001</v>
      </c>
      <c r="E225" s="22" t="str">
        <v>1983-12-10</v>
      </c>
      <c r="F225" s="22" t="str">
        <v>1983-10-27</v>
      </c>
    </row>
    <row r="226" spans="2:6" x14ac:dyDescent="0.25">
      <c r="B226" s="22" t="str">
        <v>1983-08-04</v>
      </c>
      <c r="C226" s="22">
        <v>0.95</v>
      </c>
      <c r="D226" s="22">
        <v>0.22706000000000001</v>
      </c>
      <c r="E226" s="22" t="str">
        <v>1983-09-10</v>
      </c>
      <c r="F226" s="22" t="str">
        <v/>
      </c>
    </row>
    <row r="227" spans="2:6" x14ac:dyDescent="0.25">
      <c r="B227" s="22" t="str">
        <v>1983-05-05</v>
      </c>
      <c r="C227" s="22">
        <v>0.95</v>
      </c>
      <c r="D227" s="22">
        <v>0.22706000000000001</v>
      </c>
      <c r="E227" s="22" t="str">
        <v/>
      </c>
      <c r="F227" s="22" t="str">
        <v/>
      </c>
    </row>
    <row r="228" spans="2:6" x14ac:dyDescent="0.25">
      <c r="B228" s="22" t="str">
        <v>1983-02-03</v>
      </c>
      <c r="C228" s="22">
        <v>0.86</v>
      </c>
      <c r="D228" s="22">
        <v>0.20555000000000001</v>
      </c>
      <c r="E228" s="22" t="str">
        <v/>
      </c>
      <c r="F228" s="22" t="str">
        <v/>
      </c>
    </row>
    <row r="229" spans="2:6" x14ac:dyDescent="0.25">
      <c r="B229" s="22" t="str">
        <v>1982-11-04</v>
      </c>
      <c r="C229" s="22">
        <v>0.86</v>
      </c>
      <c r="D229" s="22">
        <v>0.20555000000000001</v>
      </c>
      <c r="E229" s="22" t="str">
        <v/>
      </c>
      <c r="F229" s="22" t="str">
        <v/>
      </c>
    </row>
    <row r="230" spans="2:6" x14ac:dyDescent="0.25">
      <c r="B230" s="22" t="str">
        <v>1982-08-05</v>
      </c>
      <c r="C230" s="22">
        <v>0.86</v>
      </c>
      <c r="D230" s="22">
        <v>0.20555000000000001</v>
      </c>
      <c r="E230" s="22" t="str">
        <v/>
      </c>
      <c r="F230" s="22" t="str">
        <v/>
      </c>
    </row>
    <row r="231" spans="2:6" x14ac:dyDescent="0.25">
      <c r="B231" s="22" t="str">
        <v>1982-05-06</v>
      </c>
      <c r="C231" s="22">
        <v>0.86</v>
      </c>
      <c r="D231" s="22">
        <v>0.20555000000000001</v>
      </c>
      <c r="E231" s="22" t="str">
        <v/>
      </c>
      <c r="F231" s="22" t="str">
        <v/>
      </c>
    </row>
    <row r="232" spans="2:6" x14ac:dyDescent="0.25">
      <c r="B232" s="22" t="str">
        <v>1982-02-04</v>
      </c>
      <c r="C232" s="22">
        <v>0.86</v>
      </c>
      <c r="D232" s="22">
        <v>0.20555000000000001</v>
      </c>
      <c r="E232" s="22" t="str">
        <v/>
      </c>
      <c r="F232" s="22" t="str">
        <v/>
      </c>
    </row>
    <row r="233" spans="2:6" x14ac:dyDescent="0.25">
      <c r="B233" s="22" t="str">
        <v>1981-11-04</v>
      </c>
      <c r="C233" s="22">
        <v>0.86</v>
      </c>
      <c r="D233" s="22">
        <v>0.20555000000000001</v>
      </c>
      <c r="E233" s="22" t="str">
        <v/>
      </c>
      <c r="F233" s="22" t="str">
        <v/>
      </c>
    </row>
    <row r="234" spans="2:6" x14ac:dyDescent="0.25">
      <c r="B234" s="22" t="str">
        <v>1981-08-06</v>
      </c>
      <c r="C234" s="22">
        <v>0.86</v>
      </c>
      <c r="D234" s="22">
        <v>0.20555000000000001</v>
      </c>
      <c r="E234" s="22" t="str">
        <v/>
      </c>
      <c r="F234" s="22" t="str">
        <v/>
      </c>
    </row>
    <row r="235" spans="2:6" x14ac:dyDescent="0.25">
      <c r="B235" s="22" t="str">
        <v>1981-05-07</v>
      </c>
      <c r="C235" s="22">
        <v>0.86</v>
      </c>
      <c r="D235" s="22">
        <v>0.20555000000000001</v>
      </c>
      <c r="E235" s="22" t="str">
        <v/>
      </c>
      <c r="F235" s="22" t="str">
        <v/>
      </c>
    </row>
    <row r="236" spans="2:6" x14ac:dyDescent="0.25">
      <c r="B236" s="22" t="str">
        <v>1981-02-05</v>
      </c>
      <c r="C236" s="22">
        <v>0.86</v>
      </c>
      <c r="D236" s="22">
        <v>0.20555000000000001</v>
      </c>
      <c r="E236" s="22" t="str">
        <v/>
      </c>
      <c r="F236" s="22" t="str">
        <v/>
      </c>
    </row>
    <row r="237" spans="2:6" x14ac:dyDescent="0.25">
      <c r="B237" s="22" t="str">
        <v>1980-11-05</v>
      </c>
      <c r="C237" s="22">
        <v>0.86</v>
      </c>
      <c r="D237" s="22">
        <v>0.20555000000000001</v>
      </c>
      <c r="E237" s="22" t="str">
        <v/>
      </c>
      <c r="F237" s="22" t="str">
        <v/>
      </c>
    </row>
    <row r="238" spans="2:6" x14ac:dyDescent="0.25">
      <c r="B238" s="22" t="str">
        <v>1980-08-07</v>
      </c>
      <c r="C238" s="22">
        <v>0.86</v>
      </c>
      <c r="D238" s="22">
        <v>0.20555000000000001</v>
      </c>
      <c r="E238" s="22" t="str">
        <v/>
      </c>
      <c r="F238" s="22" t="str">
        <v/>
      </c>
    </row>
    <row r="239" spans="2:6" x14ac:dyDescent="0.25">
      <c r="B239" s="22" t="str">
        <v>1980-05-08</v>
      </c>
      <c r="C239" s="22">
        <v>0.86</v>
      </c>
      <c r="D239" s="22">
        <v>0.20555000000000001</v>
      </c>
      <c r="E239" s="22" t="str">
        <v/>
      </c>
      <c r="F239" s="22" t="str">
        <v/>
      </c>
    </row>
    <row r="240" spans="2:6" x14ac:dyDescent="0.25">
      <c r="B240" s="22" t="str">
        <v>1980-02-06</v>
      </c>
      <c r="C240" s="22">
        <v>0.86</v>
      </c>
      <c r="D240" s="22">
        <v>0.20555000000000001</v>
      </c>
      <c r="E240" s="22" t="str">
        <v/>
      </c>
      <c r="F240" s="22" t="str">
        <v/>
      </c>
    </row>
    <row r="241" spans="2:6" x14ac:dyDescent="0.25">
      <c r="B241" s="22" t="str">
        <v>1979-11-07</v>
      </c>
      <c r="C241" s="22">
        <v>0.86</v>
      </c>
      <c r="D241" s="22">
        <v>0.20555000000000001</v>
      </c>
      <c r="E241" s="22" t="str">
        <v/>
      </c>
      <c r="F241" s="22" t="str">
        <v/>
      </c>
    </row>
    <row r="242" spans="2:6" x14ac:dyDescent="0.25">
      <c r="B242" s="22" t="str">
        <v>1979-08-08</v>
      </c>
      <c r="C242" s="22">
        <v>0.86</v>
      </c>
      <c r="D242" s="22">
        <v>0.20555000000000001</v>
      </c>
      <c r="E242" s="22" t="str">
        <v/>
      </c>
      <c r="F242" s="22" t="str">
        <v/>
      </c>
    </row>
    <row r="243" spans="2:6" x14ac:dyDescent="0.25">
      <c r="B243" s="22" t="str">
        <v>1979-05-04</v>
      </c>
      <c r="C243" s="22">
        <v>3.44</v>
      </c>
      <c r="D243" s="22">
        <v>0.20555000000000001</v>
      </c>
      <c r="E243" s="22" t="str">
        <v/>
      </c>
      <c r="F243" s="22" t="str">
        <v/>
      </c>
    </row>
    <row r="244" spans="2:6" x14ac:dyDescent="0.25">
      <c r="B244" s="22" t="str">
        <v>1979-02-07</v>
      </c>
      <c r="C244" s="22">
        <v>3.44</v>
      </c>
      <c r="D244" s="22">
        <v>0.20555000000000001</v>
      </c>
      <c r="E244" s="22" t="str">
        <v/>
      </c>
      <c r="F244" s="22" t="str">
        <v/>
      </c>
    </row>
    <row r="245" spans="2:6" x14ac:dyDescent="0.25">
      <c r="B245" s="22" t="str">
        <v>1978-11-01</v>
      </c>
      <c r="C245" s="22">
        <v>2.88</v>
      </c>
      <c r="D245" s="22">
        <v>0.17208000000000001</v>
      </c>
      <c r="E245" s="22" t="str">
        <v/>
      </c>
      <c r="F245" s="22" t="str">
        <v/>
      </c>
    </row>
    <row r="246" spans="2:6" x14ac:dyDescent="0.25">
      <c r="B246" s="22" t="str">
        <v>1978-08-03</v>
      </c>
      <c r="C246" s="22">
        <v>2.88</v>
      </c>
      <c r="D246" s="22">
        <v>0.17208000000000001</v>
      </c>
      <c r="E246" s="22" t="str">
        <v/>
      </c>
      <c r="F246" s="22" t="str">
        <v/>
      </c>
    </row>
    <row r="247" spans="2:6" x14ac:dyDescent="0.25">
      <c r="B247" s="22" t="str">
        <v>1978-05-04</v>
      </c>
      <c r="C247" s="22">
        <v>2.88</v>
      </c>
      <c r="D247" s="22">
        <v>0.17208000000000001</v>
      </c>
      <c r="E247" s="22" t="str">
        <v/>
      </c>
      <c r="F247" s="22" t="str">
        <v/>
      </c>
    </row>
    <row r="248" spans="2:6" x14ac:dyDescent="0.25">
      <c r="B248" s="22" t="str">
        <v>1978-02-03</v>
      </c>
      <c r="C248" s="22">
        <v>2.88</v>
      </c>
      <c r="D248" s="22">
        <v>0.17208000000000001</v>
      </c>
      <c r="E248" s="22" t="str">
        <v/>
      </c>
      <c r="F248" s="22" t="str">
        <v/>
      </c>
    </row>
    <row r="249" spans="2:6" x14ac:dyDescent="0.25">
      <c r="B249" s="22" t="str">
        <v>1977-11-02</v>
      </c>
      <c r="C249" s="22">
        <v>2.5</v>
      </c>
      <c r="D249" s="22">
        <v>0.14938000000000001</v>
      </c>
      <c r="E249" s="22" t="str">
        <v/>
      </c>
      <c r="F249" s="22" t="str">
        <v/>
      </c>
    </row>
    <row r="250" spans="2:6" x14ac:dyDescent="0.25">
      <c r="B250" s="22" t="str">
        <v>1977-08-04</v>
      </c>
      <c r="C250" s="22">
        <v>2.5</v>
      </c>
      <c r="D250" s="22">
        <v>0.14938000000000001</v>
      </c>
      <c r="E250" s="22" t="str">
        <v/>
      </c>
      <c r="F250" s="22" t="str">
        <v/>
      </c>
    </row>
    <row r="251" spans="2:6" x14ac:dyDescent="0.25">
      <c r="B251" s="22" t="str">
        <v>1977-05-05</v>
      </c>
      <c r="C251" s="22">
        <v>2.5</v>
      </c>
      <c r="D251" s="22">
        <v>0.14938000000000001</v>
      </c>
      <c r="E251" s="22" t="str">
        <v/>
      </c>
      <c r="F251" s="22" t="str">
        <v/>
      </c>
    </row>
    <row r="252" spans="2:6" x14ac:dyDescent="0.25">
      <c r="B252" s="22" t="str">
        <v>1977-02-03</v>
      </c>
      <c r="C252" s="22">
        <v>2.5</v>
      </c>
      <c r="D252" s="22">
        <v>0.14938000000000001</v>
      </c>
      <c r="E252" s="22" t="str">
        <v/>
      </c>
      <c r="F252" s="22" t="str">
        <v/>
      </c>
    </row>
    <row r="253" spans="2:6" x14ac:dyDescent="0.25">
      <c r="B253" s="22" t="str">
        <v>1976-11-04</v>
      </c>
      <c r="C253" s="22">
        <v>2.25</v>
      </c>
      <c r="D253" s="22">
        <v>0.13444</v>
      </c>
      <c r="E253" s="22" t="str">
        <v/>
      </c>
      <c r="F253" s="22" t="str">
        <v/>
      </c>
    </row>
    <row r="254" spans="2:6" x14ac:dyDescent="0.25">
      <c r="B254" s="22" t="str">
        <v>1976-08-05</v>
      </c>
      <c r="C254" s="22">
        <v>2.25</v>
      </c>
      <c r="D254" s="22">
        <v>0.13444</v>
      </c>
      <c r="E254" s="22" t="str">
        <v/>
      </c>
      <c r="F254" s="22" t="str">
        <v/>
      </c>
    </row>
    <row r="255" spans="2:6" x14ac:dyDescent="0.25">
      <c r="B255" s="22" t="str">
        <v>1976-05-06</v>
      </c>
      <c r="C255" s="22">
        <v>1.75</v>
      </c>
      <c r="D255" s="22">
        <v>0.10457</v>
      </c>
      <c r="E255" s="22" t="str">
        <v/>
      </c>
      <c r="F255" s="22" t="str">
        <v/>
      </c>
    </row>
    <row r="256" spans="2:6" x14ac:dyDescent="0.25">
      <c r="B256" s="22" t="str">
        <v>1976-02-05</v>
      </c>
      <c r="C256" s="22">
        <v>1.75</v>
      </c>
      <c r="D256" s="22">
        <v>0.10457</v>
      </c>
      <c r="E256" s="22" t="str">
        <v/>
      </c>
      <c r="F256" s="22" t="str">
        <v/>
      </c>
    </row>
    <row r="257" spans="2:6" x14ac:dyDescent="0.25">
      <c r="B257" s="22" t="str">
        <v>1975-11-05</v>
      </c>
      <c r="C257" s="22">
        <v>1.75</v>
      </c>
      <c r="D257" s="22">
        <v>0.10457</v>
      </c>
      <c r="E257" s="22" t="str">
        <v/>
      </c>
      <c r="F257" s="22" t="str">
        <v/>
      </c>
    </row>
    <row r="258" spans="2:6" x14ac:dyDescent="0.25">
      <c r="B258" s="22" t="str">
        <v>1975-08-07</v>
      </c>
      <c r="C258" s="22">
        <v>1.75</v>
      </c>
      <c r="D258" s="22">
        <v>0.10457</v>
      </c>
      <c r="E258" s="22" t="str">
        <v/>
      </c>
      <c r="F258" s="22" t="str">
        <v/>
      </c>
    </row>
    <row r="259" spans="2:6" x14ac:dyDescent="0.25">
      <c r="B259" s="22" t="str">
        <v>1975-05-08</v>
      </c>
      <c r="C259" s="22">
        <v>1.5</v>
      </c>
      <c r="D259" s="22">
        <v>8.9626999999999998E-2</v>
      </c>
      <c r="E259" s="22" t="str">
        <v/>
      </c>
      <c r="F259" s="22" t="str">
        <v/>
      </c>
    </row>
    <row r="260" spans="2:6" x14ac:dyDescent="0.25">
      <c r="B260" s="22" t="str">
        <v>1975-02-06</v>
      </c>
      <c r="C260" s="22">
        <v>1.5</v>
      </c>
      <c r="D260" s="22">
        <v>8.9626999999999998E-2</v>
      </c>
      <c r="E260" s="22" t="str">
        <v/>
      </c>
      <c r="F260" s="22" t="str">
        <v/>
      </c>
    </row>
    <row r="261" spans="2:6" x14ac:dyDescent="0.25">
      <c r="B261" s="22" t="str">
        <v>1974-11-06</v>
      </c>
      <c r="C261" s="22">
        <v>1.5</v>
      </c>
      <c r="D261" s="22">
        <v>8.9626999999999998E-2</v>
      </c>
      <c r="E261" s="22" t="str">
        <v/>
      </c>
      <c r="F261" s="22" t="str">
        <v/>
      </c>
    </row>
    <row r="262" spans="2:6" x14ac:dyDescent="0.25">
      <c r="B262" s="22" t="str">
        <v>1974-08-08</v>
      </c>
      <c r="C262" s="22">
        <v>1.5</v>
      </c>
      <c r="D262" s="22">
        <v>8.9626999999999998E-2</v>
      </c>
      <c r="E262" s="22" t="str">
        <v/>
      </c>
      <c r="F262" s="22" t="str">
        <v/>
      </c>
    </row>
    <row r="263" spans="2:6" x14ac:dyDescent="0.25">
      <c r="B263" s="22" t="str">
        <v>1974-05-08</v>
      </c>
      <c r="C263" s="22">
        <v>1.28</v>
      </c>
      <c r="D263" s="22">
        <v>7.6481999999999994E-2</v>
      </c>
      <c r="E263" s="22" t="str">
        <v/>
      </c>
      <c r="F263" s="22" t="str">
        <v/>
      </c>
    </row>
    <row r="264" spans="2:6" x14ac:dyDescent="0.25">
      <c r="B264" s="22" t="str">
        <v>1974-02-06</v>
      </c>
      <c r="C264" s="22">
        <v>1.28</v>
      </c>
      <c r="D264" s="22">
        <v>7.6481999999999994E-2</v>
      </c>
      <c r="E264" s="22" t="str">
        <v/>
      </c>
      <c r="F264" s="22" t="str">
        <v/>
      </c>
    </row>
    <row r="265" spans="2:6" x14ac:dyDescent="0.25">
      <c r="B265" s="22" t="str">
        <v>1973-11-08</v>
      </c>
      <c r="C265" s="22">
        <v>1.1200000000000001</v>
      </c>
      <c r="D265" s="22">
        <v>6.6921999999999995E-2</v>
      </c>
      <c r="E265" s="22" t="str">
        <v/>
      </c>
      <c r="F265" s="22" t="str">
        <v/>
      </c>
    </row>
    <row r="266" spans="2:6" x14ac:dyDescent="0.25">
      <c r="B266" s="22" t="str">
        <v>1973-08-08</v>
      </c>
      <c r="C266" s="22">
        <v>1.1200000000000001</v>
      </c>
      <c r="D266" s="22">
        <v>6.6921999999999995E-2</v>
      </c>
      <c r="E266" s="22" t="str">
        <v/>
      </c>
      <c r="F266" s="22" t="str">
        <v/>
      </c>
    </row>
    <row r="267" spans="2:6" x14ac:dyDescent="0.25">
      <c r="B267" s="22" t="str">
        <v>1973-05-04</v>
      </c>
      <c r="C267" s="22">
        <v>1.4</v>
      </c>
      <c r="D267" s="22">
        <v>6.6921999999999995E-2</v>
      </c>
      <c r="E267" s="22" t="str">
        <v/>
      </c>
      <c r="F267" s="22" t="str">
        <v/>
      </c>
    </row>
    <row r="268" spans="2:6" x14ac:dyDescent="0.25">
      <c r="B268" s="22" t="str">
        <v>1973-02-07</v>
      </c>
      <c r="C268" s="22">
        <v>1.4</v>
      </c>
      <c r="D268" s="22">
        <v>6.6921999999999995E-2</v>
      </c>
      <c r="E268" s="22" t="str">
        <v/>
      </c>
      <c r="F268" s="22" t="str">
        <v/>
      </c>
    </row>
    <row r="269" spans="2:6" x14ac:dyDescent="0.25">
      <c r="B269" s="22" t="str">
        <v>1972-11-08</v>
      </c>
      <c r="C269" s="22">
        <v>1.35</v>
      </c>
      <c r="D269" s="22">
        <v>6.4532000000000006E-2</v>
      </c>
      <c r="E269" s="22" t="str">
        <v/>
      </c>
      <c r="F269" s="22" t="str">
        <v/>
      </c>
    </row>
    <row r="270" spans="2:6" x14ac:dyDescent="0.25">
      <c r="B270" s="22" t="str">
        <v>1972-08-03</v>
      </c>
      <c r="C270" s="22">
        <v>1.35</v>
      </c>
      <c r="D270" s="22">
        <v>6.4532000000000006E-2</v>
      </c>
      <c r="E270" s="22" t="str">
        <v/>
      </c>
      <c r="F270" s="22" t="str">
        <v/>
      </c>
    </row>
    <row r="271" spans="2:6" x14ac:dyDescent="0.25">
      <c r="B271" s="22" t="str">
        <v>1972-05-04</v>
      </c>
      <c r="C271" s="22">
        <v>1.35</v>
      </c>
      <c r="D271" s="22">
        <v>6.4532000000000006E-2</v>
      </c>
      <c r="E271" s="22" t="str">
        <v/>
      </c>
      <c r="F271" s="22" t="str">
        <v/>
      </c>
    </row>
    <row r="272" spans="2:6" x14ac:dyDescent="0.25">
      <c r="B272" s="22" t="str">
        <v>1972-02-03</v>
      </c>
      <c r="C272" s="22">
        <v>1.35</v>
      </c>
      <c r="D272" s="22">
        <v>6.4532000000000006E-2</v>
      </c>
      <c r="E272" s="22" t="str">
        <v/>
      </c>
      <c r="F272" s="22" t="str">
        <v/>
      </c>
    </row>
    <row r="273" spans="2:6" x14ac:dyDescent="0.25">
      <c r="B273" s="22" t="str">
        <v>1971-11-05</v>
      </c>
      <c r="C273" s="22">
        <v>1.3</v>
      </c>
      <c r="D273" s="22">
        <v>6.2141000000000002E-2</v>
      </c>
      <c r="E273" s="22" t="str">
        <v/>
      </c>
      <c r="F273" s="22" t="str">
        <v/>
      </c>
    </row>
    <row r="274" spans="2:6" x14ac:dyDescent="0.25">
      <c r="B274" s="22" t="str">
        <v>1971-08-06</v>
      </c>
      <c r="C274" s="22">
        <v>1.3</v>
      </c>
      <c r="D274" s="22">
        <v>6.2141000000000002E-2</v>
      </c>
      <c r="E274" s="22" t="str">
        <v/>
      </c>
      <c r="F274" s="22" t="str">
        <v/>
      </c>
    </row>
    <row r="275" spans="2:6" x14ac:dyDescent="0.25">
      <c r="B275" s="22" t="str">
        <v>1971-05-07</v>
      </c>
      <c r="C275" s="22">
        <v>1.3</v>
      </c>
      <c r="D275" s="22">
        <v>6.2141000000000002E-2</v>
      </c>
      <c r="E275" s="22" t="str">
        <v/>
      </c>
      <c r="F275" s="22" t="str">
        <v/>
      </c>
    </row>
    <row r="276" spans="2:6" x14ac:dyDescent="0.25">
      <c r="B276" s="22" t="str">
        <v>1971-02-05</v>
      </c>
      <c r="C276" s="22">
        <v>1.3</v>
      </c>
      <c r="D276" s="22">
        <v>6.2141000000000002E-2</v>
      </c>
      <c r="E276" s="22" t="str">
        <v/>
      </c>
      <c r="F276" s="22" t="str">
        <v/>
      </c>
    </row>
    <row r="277" spans="2:6" x14ac:dyDescent="0.25">
      <c r="B277" s="22" t="str">
        <v>1970-10-30</v>
      </c>
      <c r="C277" s="22">
        <v>1.2</v>
      </c>
      <c r="D277" s="22">
        <v>5.7361000000000002E-2</v>
      </c>
      <c r="E277" s="22" t="str">
        <v/>
      </c>
      <c r="F277" s="22" t="str">
        <v/>
      </c>
    </row>
    <row r="278" spans="2:6" x14ac:dyDescent="0.25">
      <c r="B278" s="22" t="str">
        <v>1970-07-31</v>
      </c>
      <c r="C278" s="22">
        <v>1.2</v>
      </c>
      <c r="D278" s="22">
        <v>5.7361000000000002E-2</v>
      </c>
      <c r="E278" s="22" t="str">
        <v/>
      </c>
      <c r="F278" s="22" t="str">
        <v/>
      </c>
    </row>
    <row r="279" spans="2:6" x14ac:dyDescent="0.25">
      <c r="B279" s="22" t="str">
        <v>1970-05-01</v>
      </c>
      <c r="C279" s="22">
        <v>1.2</v>
      </c>
      <c r="D279" s="22">
        <v>5.7361000000000002E-2</v>
      </c>
      <c r="E279" s="22" t="str">
        <v/>
      </c>
      <c r="F279" s="22" t="str">
        <v/>
      </c>
    </row>
  </sheetData>
  <hyperlinks>
    <hyperlink ref="A1" location="Inicio!A1" display="Inicio" xr:uid="{9CABC6FD-7556-44AE-B00E-9232D4321C57}"/>
  </hyperlink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AC2C8-5DDB-447C-8851-3AA480B23856}">
  <sheetPr>
    <tabColor theme="9" tint="-0.499984740745262"/>
  </sheetPr>
  <dimension ref="A1:C7"/>
  <sheetViews>
    <sheetView showGridLines="0" workbookViewId="0"/>
  </sheetViews>
  <sheetFormatPr defaultRowHeight="15" x14ac:dyDescent="0.25"/>
  <cols>
    <col min="2" max="2" width="26.42578125" bestFit="1" customWidth="1"/>
    <col min="3" max="3" width="42.42578125" bestFit="1" customWidth="1"/>
  </cols>
  <sheetData>
    <row r="1" spans="1:3" x14ac:dyDescent="0.25">
      <c r="A1" s="879" t="s">
        <v>2821</v>
      </c>
    </row>
    <row r="3" spans="1:3" ht="15.75" x14ac:dyDescent="0.25">
      <c r="B3" s="310"/>
      <c r="C3" s="812" t="s">
        <v>3840</v>
      </c>
    </row>
    <row r="4" spans="1:3" ht="31.5" x14ac:dyDescent="0.25">
      <c r="B4" s="813" t="s">
        <v>3627</v>
      </c>
      <c r="C4" s="808" t="s">
        <v>3841</v>
      </c>
    </row>
    <row r="5" spans="1:3" ht="15.75" x14ac:dyDescent="0.25">
      <c r="B5" s="814" t="s">
        <v>2219</v>
      </c>
      <c r="C5" s="809" t="s">
        <v>3628</v>
      </c>
    </row>
    <row r="6" spans="1:3" ht="15.75" x14ac:dyDescent="0.25">
      <c r="B6" s="814" t="s">
        <v>3223</v>
      </c>
      <c r="C6" s="810" t="s">
        <v>3629</v>
      </c>
    </row>
    <row r="7" spans="1:3" ht="15.75" x14ac:dyDescent="0.25">
      <c r="B7" s="815" t="s">
        <v>3630</v>
      </c>
      <c r="C7" s="811" t="s">
        <v>3629</v>
      </c>
    </row>
  </sheetData>
  <hyperlinks>
    <hyperlink ref="A1" location="Inicio!A1" display="Inicio" xr:uid="{FA5A1E71-FC60-4E7B-8975-C2CB9301FF9A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7AF19-72C4-41DA-83BA-7BB981E0A02D}">
  <sheetPr filterMode="1">
    <tabColor theme="9" tint="-0.499984740745262"/>
  </sheetPr>
  <dimension ref="A1:W169"/>
  <sheetViews>
    <sheetView showGridLines="0" zoomScale="110" zoomScaleNormal="110" workbookViewId="0">
      <selection sqref="A1:W169"/>
    </sheetView>
  </sheetViews>
  <sheetFormatPr defaultColWidth="8.85546875" defaultRowHeight="15" x14ac:dyDescent="0.25"/>
  <cols>
    <col min="1" max="1" width="8.85546875" style="22"/>
    <col min="2" max="2" width="8.140625" style="22" bestFit="1" customWidth="1"/>
    <col min="3" max="3" width="29.5703125" style="22" customWidth="1"/>
    <col min="4" max="4" width="14" style="22" bestFit="1" customWidth="1"/>
    <col min="5" max="5" width="25.7109375" style="22" customWidth="1"/>
    <col min="6" max="6" width="24.140625" style="22" bestFit="1" customWidth="1"/>
    <col min="7" max="7" width="19.5703125" style="22" customWidth="1"/>
    <col min="8" max="8" width="13.7109375" style="22" customWidth="1"/>
    <col min="9" max="16" width="13.7109375" style="23" customWidth="1"/>
    <col min="17" max="17" width="17.28515625" style="54" customWidth="1"/>
    <col min="18" max="18" width="13.42578125" style="22" bestFit="1" customWidth="1"/>
    <col min="19" max="19" width="21.140625" style="22" bestFit="1" customWidth="1"/>
    <col min="20" max="20" width="35.140625" style="22" bestFit="1" customWidth="1"/>
    <col min="21" max="21" width="10.28515625" style="22" bestFit="1" customWidth="1"/>
    <col min="22" max="23" width="17.28515625" style="22" bestFit="1" customWidth="1"/>
    <col min="24" max="16384" width="8.85546875" style="22"/>
  </cols>
  <sheetData>
    <row r="1" spans="1:23" ht="15.75" thickBot="1" x14ac:dyDescent="0.3">
      <c r="A1" s="879" t="s">
        <v>2821</v>
      </c>
    </row>
    <row r="2" spans="1:23" ht="15.75" thickBot="1" x14ac:dyDescent="0.3">
      <c r="B2" s="48" t="s">
        <v>2217</v>
      </c>
      <c r="C2" s="48" t="s">
        <v>2218</v>
      </c>
      <c r="D2" s="48" t="s">
        <v>2219</v>
      </c>
      <c r="E2" s="49" t="s">
        <v>2631</v>
      </c>
      <c r="F2" s="49" t="s">
        <v>2632</v>
      </c>
      <c r="G2" s="49" t="s">
        <v>2633</v>
      </c>
      <c r="H2" s="49" t="s">
        <v>2634</v>
      </c>
      <c r="I2" s="64" t="s">
        <v>2688</v>
      </c>
      <c r="J2" s="64" t="s">
        <v>2687</v>
      </c>
      <c r="K2" s="64" t="s">
        <v>2690</v>
      </c>
      <c r="L2" s="50" t="s">
        <v>2678</v>
      </c>
      <c r="M2" s="50" t="s">
        <v>2635</v>
      </c>
      <c r="N2" s="51" t="s">
        <v>2679</v>
      </c>
      <c r="O2" s="51" t="s">
        <v>2636</v>
      </c>
      <c r="P2" s="51" t="s">
        <v>2637</v>
      </c>
      <c r="Q2" s="55" t="s">
        <v>2680</v>
      </c>
      <c r="R2" s="48" t="s">
        <v>2220</v>
      </c>
      <c r="S2" s="48" t="s">
        <v>2221</v>
      </c>
      <c r="T2" s="48" t="s">
        <v>2222</v>
      </c>
      <c r="U2" s="48" t="s">
        <v>2223</v>
      </c>
      <c r="V2" s="48" t="s">
        <v>2638</v>
      </c>
      <c r="W2" s="48" t="s">
        <v>2639</v>
      </c>
    </row>
    <row r="3" spans="1:23" hidden="1" x14ac:dyDescent="0.25">
      <c r="B3" s="22" t="s">
        <v>1340</v>
      </c>
      <c r="C3" s="22" t="s">
        <v>2395</v>
      </c>
      <c r="D3" s="22" t="s">
        <v>2225</v>
      </c>
      <c r="E3" s="22">
        <v>811136000</v>
      </c>
      <c r="F3" s="22">
        <v>19476518540</v>
      </c>
      <c r="G3" s="22">
        <v>1700239000</v>
      </c>
      <c r="H3" s="22">
        <v>1619464000</v>
      </c>
      <c r="I3" s="23">
        <v>1.1766421938056109E-2</v>
      </c>
      <c r="J3" s="23">
        <v>1.2440116273636961</v>
      </c>
      <c r="K3" s="23">
        <v>0.31416497477543986</v>
      </c>
      <c r="L3" s="23">
        <f t="shared" ref="L3:L34" si="0">+E3/F3</f>
        <v>4.1646868167641217E-2</v>
      </c>
      <c r="M3" s="23">
        <f t="shared" ref="M3:M34" si="1">+G3/H3</f>
        <v>1.049877613827785</v>
      </c>
      <c r="N3" s="26">
        <f t="shared" ref="N3:N34" si="2">+_xlfn.RANK.EQ(L3,L:L,0)</f>
        <v>91</v>
      </c>
      <c r="O3" s="26">
        <f t="shared" ref="O3:O34" si="3">+_xlfn.RANK.EQ(M3,M:M,0)</f>
        <v>1</v>
      </c>
      <c r="P3" s="52">
        <f t="shared" ref="P3:P34" si="4">+N3+O3</f>
        <v>92</v>
      </c>
      <c r="Q3" s="53">
        <f t="shared" ref="Q3:Q34" si="5">+_xlfn.RANK.EQ(O3,O:O,1)</f>
        <v>1</v>
      </c>
      <c r="R3" s="22" t="s">
        <v>2226</v>
      </c>
      <c r="S3" s="22" t="s">
        <v>2254</v>
      </c>
      <c r="T3" s="22" t="s">
        <v>2356</v>
      </c>
      <c r="U3" s="22" t="s">
        <v>2396</v>
      </c>
      <c r="V3" s="22" t="s">
        <v>2640</v>
      </c>
      <c r="W3" s="22" t="s">
        <v>2</v>
      </c>
    </row>
    <row r="4" spans="1:23" hidden="1" x14ac:dyDescent="0.25">
      <c r="B4" s="22" t="s">
        <v>590</v>
      </c>
      <c r="C4" s="22" t="s">
        <v>2551</v>
      </c>
      <c r="D4" s="22" t="s">
        <v>2225</v>
      </c>
      <c r="E4" s="22">
        <v>553591000</v>
      </c>
      <c r="F4" s="22">
        <v>8760213100</v>
      </c>
      <c r="G4" s="22">
        <v>2709887000</v>
      </c>
      <c r="H4" s="22">
        <v>3021050000</v>
      </c>
      <c r="I4" s="23">
        <v>2.1922813427723224E-2</v>
      </c>
      <c r="J4" s="23">
        <v>0.72286476490206264</v>
      </c>
      <c r="K4" s="23">
        <v>0.32104264096119789</v>
      </c>
      <c r="L4" s="23">
        <f t="shared" si="0"/>
        <v>6.3193782352166758E-2</v>
      </c>
      <c r="M4" s="23">
        <f t="shared" si="1"/>
        <v>0.8970017047053177</v>
      </c>
      <c r="N4" s="26">
        <f t="shared" si="2"/>
        <v>25</v>
      </c>
      <c r="O4" s="26">
        <f t="shared" si="3"/>
        <v>2</v>
      </c>
      <c r="P4" s="52">
        <f t="shared" si="4"/>
        <v>27</v>
      </c>
      <c r="Q4" s="53">
        <f t="shared" si="5"/>
        <v>2</v>
      </c>
      <c r="R4" s="22" t="s">
        <v>2226</v>
      </c>
      <c r="S4" s="22" t="s">
        <v>28</v>
      </c>
      <c r="T4" s="22" t="s">
        <v>2300</v>
      </c>
      <c r="U4" s="22" t="s">
        <v>2552</v>
      </c>
      <c r="V4" s="22" t="s">
        <v>2640</v>
      </c>
      <c r="W4" s="22" t="s">
        <v>2</v>
      </c>
    </row>
    <row r="5" spans="1:23" hidden="1" x14ac:dyDescent="0.25">
      <c r="B5" s="22" t="s">
        <v>303</v>
      </c>
      <c r="C5" s="22" t="s">
        <v>2438</v>
      </c>
      <c r="D5" s="22" t="s">
        <v>2225</v>
      </c>
      <c r="E5" s="22">
        <v>989527127</v>
      </c>
      <c r="F5" s="22">
        <v>8526557140</v>
      </c>
      <c r="G5" s="22">
        <v>2130355000</v>
      </c>
      <c r="H5" s="22">
        <v>2511052000</v>
      </c>
      <c r="I5" s="23">
        <v>2.4928483857785039E-2</v>
      </c>
      <c r="J5" s="23">
        <v>0.15117240673798252</v>
      </c>
      <c r="K5" s="23">
        <v>0.31670689670529345</v>
      </c>
      <c r="L5" s="23">
        <f t="shared" si="0"/>
        <v>0.11605236565622781</v>
      </c>
      <c r="M5" s="23">
        <f t="shared" si="1"/>
        <v>0.84839143116112292</v>
      </c>
      <c r="N5" s="26">
        <f t="shared" si="2"/>
        <v>4</v>
      </c>
      <c r="O5" s="26">
        <f t="shared" si="3"/>
        <v>3</v>
      </c>
      <c r="P5" s="52">
        <f t="shared" si="4"/>
        <v>7</v>
      </c>
      <c r="Q5" s="53">
        <f t="shared" si="5"/>
        <v>3</v>
      </c>
      <c r="R5" s="22" t="s">
        <v>2434</v>
      </c>
      <c r="S5" s="22" t="s">
        <v>2254</v>
      </c>
      <c r="T5" s="22" t="s">
        <v>2439</v>
      </c>
      <c r="U5" s="22" t="s">
        <v>2440</v>
      </c>
      <c r="V5" s="22" t="s">
        <v>2640</v>
      </c>
      <c r="W5" s="22" t="s">
        <v>2</v>
      </c>
    </row>
    <row r="6" spans="1:23" hidden="1" x14ac:dyDescent="0.25">
      <c r="B6" s="22" t="s">
        <v>2359</v>
      </c>
      <c r="C6" s="22" t="s">
        <v>2411</v>
      </c>
      <c r="D6" s="22" t="s">
        <v>2225</v>
      </c>
      <c r="E6" s="22">
        <v>114963000</v>
      </c>
      <c r="F6" s="22">
        <v>4462273944</v>
      </c>
      <c r="G6" s="22">
        <v>510358000</v>
      </c>
      <c r="H6" s="22">
        <v>602462000</v>
      </c>
      <c r="I6" s="23">
        <v>1.1515889713210057E-2</v>
      </c>
      <c r="J6" s="23">
        <v>1.2984202919903129</v>
      </c>
      <c r="K6" s="23">
        <v>0.3911354405791983</v>
      </c>
      <c r="L6" s="23">
        <f t="shared" si="0"/>
        <v>2.5763321894340423E-2</v>
      </c>
      <c r="M6" s="23">
        <f t="shared" si="1"/>
        <v>0.84712064827325206</v>
      </c>
      <c r="N6" s="26">
        <f t="shared" si="2"/>
        <v>139</v>
      </c>
      <c r="O6" s="26">
        <f t="shared" si="3"/>
        <v>4</v>
      </c>
      <c r="P6" s="52">
        <f t="shared" si="4"/>
        <v>143</v>
      </c>
      <c r="Q6" s="53">
        <f t="shared" si="5"/>
        <v>4</v>
      </c>
      <c r="R6" s="22" t="s">
        <v>2310</v>
      </c>
      <c r="S6" s="22" t="s">
        <v>28</v>
      </c>
      <c r="T6" s="22" t="s">
        <v>2412</v>
      </c>
      <c r="U6" s="22" t="s">
        <v>2312</v>
      </c>
      <c r="V6" s="22" t="s">
        <v>2640</v>
      </c>
      <c r="W6" s="22" t="s">
        <v>2</v>
      </c>
    </row>
    <row r="7" spans="1:23" hidden="1" x14ac:dyDescent="0.25">
      <c r="B7" s="22" t="s">
        <v>2613</v>
      </c>
      <c r="C7" s="22" t="s">
        <v>2614</v>
      </c>
      <c r="D7" s="22" t="s">
        <v>2225</v>
      </c>
      <c r="E7" s="22">
        <v>1173553</v>
      </c>
      <c r="F7" s="22">
        <v>3414820920</v>
      </c>
      <c r="G7" s="22">
        <v>2035000</v>
      </c>
      <c r="H7" s="22">
        <v>2443095</v>
      </c>
      <c r="J7" s="23">
        <v>0</v>
      </c>
      <c r="K7" s="23">
        <v>0</v>
      </c>
      <c r="L7" s="23">
        <f t="shared" si="0"/>
        <v>3.4366458080618763E-4</v>
      </c>
      <c r="M7" s="23">
        <f t="shared" si="1"/>
        <v>0.83295983168890275</v>
      </c>
      <c r="N7" s="26">
        <f t="shared" si="2"/>
        <v>166</v>
      </c>
      <c r="O7" s="26">
        <f t="shared" si="3"/>
        <v>5</v>
      </c>
      <c r="P7" s="52">
        <f t="shared" si="4"/>
        <v>171</v>
      </c>
      <c r="Q7" s="53">
        <f t="shared" si="5"/>
        <v>5</v>
      </c>
      <c r="R7" s="22" t="s">
        <v>2229</v>
      </c>
      <c r="S7" s="22" t="s">
        <v>4</v>
      </c>
      <c r="T7" s="22" t="s">
        <v>2318</v>
      </c>
      <c r="U7" s="22" t="s">
        <v>2229</v>
      </c>
      <c r="V7" s="22" t="s">
        <v>2640</v>
      </c>
      <c r="W7" s="22" t="s">
        <v>2</v>
      </c>
    </row>
    <row r="8" spans="1:23" x14ac:dyDescent="0.25">
      <c r="B8" s="22" t="s">
        <v>1639</v>
      </c>
      <c r="C8" s="22" t="s">
        <v>2407</v>
      </c>
      <c r="D8" s="22" t="s">
        <v>2225</v>
      </c>
      <c r="E8" s="22">
        <v>303727000</v>
      </c>
      <c r="F8" s="22">
        <v>11536950140</v>
      </c>
      <c r="G8" s="22">
        <v>1914603000</v>
      </c>
      <c r="H8" s="22">
        <v>2449197000</v>
      </c>
      <c r="I8" s="23">
        <v>0</v>
      </c>
      <c r="J8" s="23">
        <v>0</v>
      </c>
      <c r="K8" s="23">
        <v>0</v>
      </c>
      <c r="L8" s="23">
        <f t="shared" si="0"/>
        <v>2.6326455112858797E-2</v>
      </c>
      <c r="M8" s="23">
        <f t="shared" si="1"/>
        <v>0.78172682720091524</v>
      </c>
      <c r="N8" s="26">
        <f t="shared" si="2"/>
        <v>135</v>
      </c>
      <c r="O8" s="26">
        <f t="shared" si="3"/>
        <v>6</v>
      </c>
      <c r="P8" s="52">
        <f t="shared" si="4"/>
        <v>141</v>
      </c>
      <c r="Q8" s="53">
        <f t="shared" si="5"/>
        <v>6</v>
      </c>
      <c r="R8" s="22" t="s">
        <v>2226</v>
      </c>
      <c r="S8" s="22" t="s">
        <v>2254</v>
      </c>
      <c r="T8" s="22" t="s">
        <v>2255</v>
      </c>
      <c r="U8" s="22" t="s">
        <v>2330</v>
      </c>
      <c r="V8" s="22" t="s">
        <v>2640</v>
      </c>
      <c r="W8" s="22" t="s">
        <v>2</v>
      </c>
    </row>
    <row r="9" spans="1:23" x14ac:dyDescent="0.25">
      <c r="B9" s="22" t="s">
        <v>1940</v>
      </c>
      <c r="C9" s="22" t="s">
        <v>2413</v>
      </c>
      <c r="D9" s="22" t="s">
        <v>2225</v>
      </c>
      <c r="E9" s="22">
        <v>642830000</v>
      </c>
      <c r="F9" s="22">
        <v>30530735832</v>
      </c>
      <c r="G9" s="22">
        <v>1202504000</v>
      </c>
      <c r="H9" s="22">
        <v>1575281000</v>
      </c>
      <c r="I9" s="23">
        <v>0</v>
      </c>
      <c r="J9" s="23">
        <v>0</v>
      </c>
      <c r="K9" s="23">
        <v>0</v>
      </c>
      <c r="L9" s="23">
        <f t="shared" si="0"/>
        <v>2.1055175464399858E-2</v>
      </c>
      <c r="M9" s="23">
        <f t="shared" si="1"/>
        <v>0.76335841034075824</v>
      </c>
      <c r="N9" s="26">
        <f t="shared" si="2"/>
        <v>151</v>
      </c>
      <c r="O9" s="26">
        <f t="shared" si="3"/>
        <v>7</v>
      </c>
      <c r="P9" s="52">
        <f t="shared" si="4"/>
        <v>158</v>
      </c>
      <c r="Q9" s="53">
        <f t="shared" si="5"/>
        <v>7</v>
      </c>
      <c r="R9" s="22" t="s">
        <v>2233</v>
      </c>
      <c r="S9" s="22" t="s">
        <v>2235</v>
      </c>
      <c r="T9" s="22" t="s">
        <v>2282</v>
      </c>
      <c r="U9" s="22" t="s">
        <v>2414</v>
      </c>
      <c r="V9" s="22" t="s">
        <v>2640</v>
      </c>
      <c r="W9" s="22" t="s">
        <v>2</v>
      </c>
    </row>
    <row r="10" spans="1:23" x14ac:dyDescent="0.25">
      <c r="B10" s="22" t="s">
        <v>1343</v>
      </c>
      <c r="C10" s="22" t="s">
        <v>2610</v>
      </c>
      <c r="D10" s="22" t="s">
        <v>2225</v>
      </c>
      <c r="E10" s="22">
        <v>989800000</v>
      </c>
      <c r="F10" s="22">
        <v>22749243000</v>
      </c>
      <c r="G10" s="22">
        <v>1282600000</v>
      </c>
      <c r="H10" s="22">
        <v>1695900000</v>
      </c>
      <c r="I10" s="23">
        <v>0</v>
      </c>
      <c r="J10" s="23">
        <v>0</v>
      </c>
      <c r="K10" s="23">
        <v>0</v>
      </c>
      <c r="L10" s="23">
        <f t="shared" si="0"/>
        <v>4.3509140062374822E-2</v>
      </c>
      <c r="M10" s="23">
        <f t="shared" si="1"/>
        <v>0.75629459284155909</v>
      </c>
      <c r="N10" s="26">
        <f t="shared" si="2"/>
        <v>82</v>
      </c>
      <c r="O10" s="26">
        <f t="shared" si="3"/>
        <v>8</v>
      </c>
      <c r="P10" s="52">
        <f t="shared" si="4"/>
        <v>90</v>
      </c>
      <c r="Q10" s="53">
        <f t="shared" si="5"/>
        <v>8</v>
      </c>
      <c r="R10" s="22" t="s">
        <v>2226</v>
      </c>
      <c r="S10" s="22" t="s">
        <v>2235</v>
      </c>
      <c r="T10" s="22" t="s">
        <v>2244</v>
      </c>
      <c r="U10" s="22" t="s">
        <v>2427</v>
      </c>
      <c r="V10" s="22" t="s">
        <v>2640</v>
      </c>
      <c r="W10" s="22" t="s">
        <v>2</v>
      </c>
    </row>
    <row r="11" spans="1:23" hidden="1" x14ac:dyDescent="0.25">
      <c r="B11" s="22" t="s">
        <v>1393</v>
      </c>
      <c r="C11" s="22" t="s">
        <v>2416</v>
      </c>
      <c r="D11" s="22" t="s">
        <v>2225</v>
      </c>
      <c r="E11" s="22">
        <v>1507800000</v>
      </c>
      <c r="F11" s="22">
        <v>37640380850</v>
      </c>
      <c r="G11" s="22">
        <v>3323500000</v>
      </c>
      <c r="H11" s="22">
        <v>4596600000</v>
      </c>
      <c r="I11" s="23">
        <v>2.7196333078686016E-2</v>
      </c>
      <c r="J11" s="23">
        <v>0.93585217931873721</v>
      </c>
      <c r="K11" s="23">
        <v>0.68453535531652265</v>
      </c>
      <c r="L11" s="23">
        <f t="shared" si="0"/>
        <v>4.0058043142780796E-2</v>
      </c>
      <c r="M11" s="23">
        <f t="shared" si="1"/>
        <v>0.72303441674280988</v>
      </c>
      <c r="N11" s="26">
        <f t="shared" si="2"/>
        <v>101</v>
      </c>
      <c r="O11" s="26">
        <f t="shared" si="3"/>
        <v>9</v>
      </c>
      <c r="P11" s="52">
        <f t="shared" si="4"/>
        <v>110</v>
      </c>
      <c r="Q11" s="53">
        <f t="shared" si="5"/>
        <v>9</v>
      </c>
      <c r="R11" s="22" t="s">
        <v>2226</v>
      </c>
      <c r="S11" s="22" t="s">
        <v>28</v>
      </c>
      <c r="T11" s="22" t="s">
        <v>2417</v>
      </c>
      <c r="U11" s="22" t="s">
        <v>2418</v>
      </c>
      <c r="V11" s="22" t="s">
        <v>2640</v>
      </c>
      <c r="W11" s="22" t="s">
        <v>2</v>
      </c>
    </row>
    <row r="12" spans="1:23" x14ac:dyDescent="0.25">
      <c r="B12" s="22" t="s">
        <v>1328</v>
      </c>
      <c r="C12" s="22" t="s">
        <v>2388</v>
      </c>
      <c r="D12" s="22" t="s">
        <v>2225</v>
      </c>
      <c r="E12" s="22">
        <v>763932000</v>
      </c>
      <c r="F12" s="22">
        <v>17130361582</v>
      </c>
      <c r="G12" s="22">
        <v>2038140000</v>
      </c>
      <c r="H12" s="22">
        <v>2848533000</v>
      </c>
      <c r="I12" s="23">
        <v>0</v>
      </c>
      <c r="J12" s="23">
        <v>-1</v>
      </c>
      <c r="K12" s="23">
        <v>0</v>
      </c>
      <c r="L12" s="23">
        <f t="shared" si="0"/>
        <v>4.4595205789626398E-2</v>
      </c>
      <c r="M12" s="23">
        <f t="shared" si="1"/>
        <v>0.71550513896100199</v>
      </c>
      <c r="N12" s="26">
        <f t="shared" si="2"/>
        <v>75</v>
      </c>
      <c r="O12" s="26">
        <f t="shared" si="3"/>
        <v>10</v>
      </c>
      <c r="P12" s="52">
        <f t="shared" si="4"/>
        <v>85</v>
      </c>
      <c r="Q12" s="53">
        <f t="shared" si="5"/>
        <v>10</v>
      </c>
      <c r="R12" s="22" t="s">
        <v>2233</v>
      </c>
      <c r="S12" s="22" t="s">
        <v>2254</v>
      </c>
      <c r="T12" s="22" t="s">
        <v>2389</v>
      </c>
      <c r="U12" s="22" t="s">
        <v>2390</v>
      </c>
      <c r="V12" s="22" t="s">
        <v>2640</v>
      </c>
      <c r="W12" s="22" t="s">
        <v>2</v>
      </c>
    </row>
    <row r="13" spans="1:23" hidden="1" x14ac:dyDescent="0.25">
      <c r="B13" s="22" t="s">
        <v>575</v>
      </c>
      <c r="C13" s="22" t="s">
        <v>2485</v>
      </c>
      <c r="D13" s="22" t="s">
        <v>2225</v>
      </c>
      <c r="E13" s="22">
        <v>11574000000</v>
      </c>
      <c r="F13" s="22">
        <v>166989678660</v>
      </c>
      <c r="G13" s="22">
        <v>30073000000</v>
      </c>
      <c r="H13" s="22">
        <v>42519000000</v>
      </c>
      <c r="I13" s="23">
        <v>1.9298088142895613E-2</v>
      </c>
      <c r="J13" s="23">
        <v>1.454391274723756</v>
      </c>
      <c r="K13" s="23">
        <v>0.33172386793683933</v>
      </c>
      <c r="L13" s="23">
        <f t="shared" si="0"/>
        <v>6.9309672866460739E-2</v>
      </c>
      <c r="M13" s="23">
        <f t="shared" si="1"/>
        <v>0.70728380253533718</v>
      </c>
      <c r="N13" s="26">
        <f t="shared" si="2"/>
        <v>15</v>
      </c>
      <c r="O13" s="26">
        <f t="shared" si="3"/>
        <v>11</v>
      </c>
      <c r="P13" s="52">
        <f t="shared" si="4"/>
        <v>26</v>
      </c>
      <c r="Q13" s="53">
        <f t="shared" si="5"/>
        <v>11</v>
      </c>
      <c r="R13" s="22" t="s">
        <v>2240</v>
      </c>
      <c r="S13" s="22" t="s">
        <v>2254</v>
      </c>
      <c r="T13" s="22" t="s">
        <v>2445</v>
      </c>
      <c r="U13" s="22" t="s">
        <v>2486</v>
      </c>
      <c r="V13" s="22" t="s">
        <v>2640</v>
      </c>
      <c r="W13" s="22" t="s">
        <v>2</v>
      </c>
    </row>
    <row r="14" spans="1:23" hidden="1" x14ac:dyDescent="0.25">
      <c r="B14" s="22" t="s">
        <v>1146</v>
      </c>
      <c r="C14" s="22" t="s">
        <v>2374</v>
      </c>
      <c r="D14" s="22" t="s">
        <v>2225</v>
      </c>
      <c r="E14" s="22">
        <v>4556000000</v>
      </c>
      <c r="F14" s="22">
        <v>72852322880</v>
      </c>
      <c r="G14" s="22">
        <v>10950000000</v>
      </c>
      <c r="H14" s="22">
        <v>16043000000</v>
      </c>
      <c r="I14" s="23">
        <v>2.4164979757085016E-2</v>
      </c>
      <c r="J14" s="23">
        <v>0.1541161218416337</v>
      </c>
      <c r="K14" s="23">
        <v>1.0633846153846154</v>
      </c>
      <c r="L14" s="23">
        <f t="shared" si="0"/>
        <v>6.2537470596572414E-2</v>
      </c>
      <c r="M14" s="23">
        <f t="shared" si="1"/>
        <v>0.68254067194415013</v>
      </c>
      <c r="N14" s="26">
        <f t="shared" si="2"/>
        <v>27</v>
      </c>
      <c r="O14" s="26">
        <f t="shared" si="3"/>
        <v>12</v>
      </c>
      <c r="P14" s="52">
        <f t="shared" si="4"/>
        <v>39</v>
      </c>
      <c r="Q14" s="53">
        <f t="shared" si="5"/>
        <v>12</v>
      </c>
      <c r="R14" s="22" t="s">
        <v>2240</v>
      </c>
      <c r="S14" s="22" t="s">
        <v>2268</v>
      </c>
      <c r="T14" s="22" t="s">
        <v>2316</v>
      </c>
      <c r="U14" s="22" t="s">
        <v>2375</v>
      </c>
      <c r="V14" s="22" t="s">
        <v>2640</v>
      </c>
      <c r="W14" s="22" t="s">
        <v>2</v>
      </c>
    </row>
    <row r="15" spans="1:23" hidden="1" x14ac:dyDescent="0.25">
      <c r="B15" s="22" t="s">
        <v>914</v>
      </c>
      <c r="C15" s="22" t="s">
        <v>2587</v>
      </c>
      <c r="D15" s="22" t="s">
        <v>2225</v>
      </c>
      <c r="E15" s="22">
        <v>22298000000</v>
      </c>
      <c r="F15" s="22">
        <v>394851969220</v>
      </c>
      <c r="G15" s="22">
        <v>51378000000</v>
      </c>
      <c r="H15" s="22">
        <v>75577000000</v>
      </c>
      <c r="I15" s="23">
        <v>2.3932896281240158E-2</v>
      </c>
      <c r="J15" s="23">
        <v>1.1315117742058378</v>
      </c>
      <c r="K15" s="23">
        <v>0.52451604686704023</v>
      </c>
      <c r="L15" s="23">
        <f t="shared" si="0"/>
        <v>5.6471796364718663E-2</v>
      </c>
      <c r="M15" s="23">
        <f t="shared" si="1"/>
        <v>0.67980999510433071</v>
      </c>
      <c r="N15" s="26">
        <f t="shared" si="2"/>
        <v>36</v>
      </c>
      <c r="O15" s="26">
        <f t="shared" si="3"/>
        <v>13</v>
      </c>
      <c r="P15" s="52">
        <f t="shared" si="4"/>
        <v>49</v>
      </c>
      <c r="Q15" s="53">
        <f t="shared" si="5"/>
        <v>13</v>
      </c>
      <c r="R15" s="22" t="s">
        <v>2240</v>
      </c>
      <c r="S15" s="22" t="s">
        <v>2254</v>
      </c>
      <c r="T15" s="22" t="s">
        <v>2445</v>
      </c>
      <c r="U15" s="22" t="s">
        <v>2588</v>
      </c>
      <c r="V15" s="22" t="s">
        <v>2640</v>
      </c>
      <c r="W15" s="22" t="s">
        <v>2</v>
      </c>
    </row>
    <row r="16" spans="1:23" hidden="1" x14ac:dyDescent="0.25">
      <c r="B16" s="22" t="s">
        <v>1828</v>
      </c>
      <c r="C16" s="22" t="s">
        <v>2483</v>
      </c>
      <c r="D16" s="22" t="s">
        <v>2225</v>
      </c>
      <c r="E16" s="22">
        <v>223137000</v>
      </c>
      <c r="F16" s="22">
        <v>9725318600</v>
      </c>
      <c r="G16" s="22">
        <v>517789000</v>
      </c>
      <c r="H16" s="22">
        <v>779622000</v>
      </c>
      <c r="I16" s="23" t="s">
        <v>2689</v>
      </c>
      <c r="J16" s="23">
        <v>0</v>
      </c>
      <c r="K16" s="23">
        <v>1.6559255281059792E-2</v>
      </c>
      <c r="L16" s="23">
        <f t="shared" si="0"/>
        <v>2.2943926998957136E-2</v>
      </c>
      <c r="M16" s="23">
        <f t="shared" si="1"/>
        <v>0.66415391048482475</v>
      </c>
      <c r="N16" s="26">
        <f t="shared" si="2"/>
        <v>147</v>
      </c>
      <c r="O16" s="26">
        <f t="shared" si="3"/>
        <v>14</v>
      </c>
      <c r="P16" s="52">
        <f t="shared" si="4"/>
        <v>161</v>
      </c>
      <c r="Q16" s="53">
        <f t="shared" si="5"/>
        <v>14</v>
      </c>
      <c r="R16" s="22" t="s">
        <v>2310</v>
      </c>
      <c r="S16" s="22" t="s">
        <v>2235</v>
      </c>
      <c r="T16" s="22" t="s">
        <v>2236</v>
      </c>
      <c r="U16" s="22" t="s">
        <v>2453</v>
      </c>
      <c r="V16" s="22" t="s">
        <v>2640</v>
      </c>
      <c r="W16" s="22" t="s">
        <v>2</v>
      </c>
    </row>
    <row r="17" spans="2:23" x14ac:dyDescent="0.25">
      <c r="B17" s="22" t="s">
        <v>2512</v>
      </c>
      <c r="C17" s="22" t="s">
        <v>2513</v>
      </c>
      <c r="D17" s="22" t="s">
        <v>2225</v>
      </c>
      <c r="E17" s="22">
        <v>210686000</v>
      </c>
      <c r="F17" s="22">
        <v>4455861876</v>
      </c>
      <c r="G17" s="22">
        <v>419731000</v>
      </c>
      <c r="H17" s="22">
        <v>672886000</v>
      </c>
      <c r="I17" s="23">
        <v>0</v>
      </c>
      <c r="J17" s="23">
        <v>-1</v>
      </c>
      <c r="K17" s="23">
        <v>3.4129434493518525</v>
      </c>
      <c r="L17" s="23">
        <f t="shared" si="0"/>
        <v>4.7282883954457657E-2</v>
      </c>
      <c r="M17" s="23">
        <f t="shared" si="1"/>
        <v>0.62377728173866009</v>
      </c>
      <c r="N17" s="26">
        <f t="shared" si="2"/>
        <v>65</v>
      </c>
      <c r="O17" s="26">
        <f t="shared" si="3"/>
        <v>15</v>
      </c>
      <c r="P17" s="52">
        <f t="shared" si="4"/>
        <v>80</v>
      </c>
      <c r="Q17" s="53">
        <f t="shared" si="5"/>
        <v>15</v>
      </c>
      <c r="R17" s="22" t="s">
        <v>2310</v>
      </c>
      <c r="S17" s="22" t="s">
        <v>2268</v>
      </c>
      <c r="T17" s="22" t="s">
        <v>2289</v>
      </c>
      <c r="U17" s="22" t="s">
        <v>2514</v>
      </c>
      <c r="V17" s="22" t="s">
        <v>2640</v>
      </c>
      <c r="W17" s="22" t="s">
        <v>2</v>
      </c>
    </row>
    <row r="18" spans="2:23" x14ac:dyDescent="0.25">
      <c r="B18" s="22" t="s">
        <v>1714</v>
      </c>
      <c r="C18" s="22" t="s">
        <v>2517</v>
      </c>
      <c r="D18" s="22" t="s">
        <v>2225</v>
      </c>
      <c r="E18" s="22">
        <v>204000000</v>
      </c>
      <c r="F18" s="22">
        <v>12851766761</v>
      </c>
      <c r="G18" s="22">
        <v>1745000000</v>
      </c>
      <c r="H18" s="22">
        <v>2848200000</v>
      </c>
      <c r="I18" s="23">
        <v>0</v>
      </c>
      <c r="J18" s="23">
        <v>0</v>
      </c>
      <c r="K18" s="23">
        <v>0</v>
      </c>
      <c r="L18" s="23">
        <f t="shared" si="0"/>
        <v>1.5873303942852343E-2</v>
      </c>
      <c r="M18" s="23">
        <f t="shared" si="1"/>
        <v>0.61266764974369781</v>
      </c>
      <c r="N18" s="26">
        <f t="shared" si="2"/>
        <v>159</v>
      </c>
      <c r="O18" s="26">
        <f t="shared" si="3"/>
        <v>16</v>
      </c>
      <c r="P18" s="52">
        <f t="shared" si="4"/>
        <v>175</v>
      </c>
      <c r="Q18" s="53">
        <f t="shared" si="5"/>
        <v>16</v>
      </c>
      <c r="R18" s="22" t="s">
        <v>2233</v>
      </c>
      <c r="S18" s="22" t="s">
        <v>4</v>
      </c>
      <c r="T18" s="22" t="s">
        <v>2441</v>
      </c>
      <c r="U18" s="22" t="s">
        <v>2518</v>
      </c>
      <c r="V18" s="22" t="s">
        <v>2640</v>
      </c>
      <c r="W18" s="22" t="s">
        <v>2</v>
      </c>
    </row>
    <row r="19" spans="2:23" hidden="1" x14ac:dyDescent="0.25">
      <c r="B19" s="22" t="s">
        <v>1705</v>
      </c>
      <c r="C19" s="22" t="s">
        <v>2519</v>
      </c>
      <c r="D19" s="22" t="s">
        <v>2225</v>
      </c>
      <c r="E19" s="22">
        <v>5682000000</v>
      </c>
      <c r="F19" s="22">
        <v>168665825897</v>
      </c>
      <c r="G19" s="22">
        <v>22657000000</v>
      </c>
      <c r="H19" s="22">
        <v>37203000000</v>
      </c>
      <c r="I19" s="23">
        <v>1.2867987409738938E-2</v>
      </c>
      <c r="J19" s="23">
        <v>0.69398520863523028</v>
      </c>
      <c r="K19" s="23">
        <v>0.38799773542177768</v>
      </c>
      <c r="L19" s="23">
        <f t="shared" si="0"/>
        <v>3.3687914963104949E-2</v>
      </c>
      <c r="M19" s="23">
        <f t="shared" si="1"/>
        <v>0.60901002607316612</v>
      </c>
      <c r="N19" s="26">
        <f t="shared" si="2"/>
        <v>115</v>
      </c>
      <c r="O19" s="26">
        <f t="shared" si="3"/>
        <v>17</v>
      </c>
      <c r="P19" s="52">
        <f t="shared" si="4"/>
        <v>132</v>
      </c>
      <c r="Q19" s="53">
        <f t="shared" si="5"/>
        <v>17</v>
      </c>
      <c r="R19" s="22" t="s">
        <v>2230</v>
      </c>
      <c r="S19" s="22" t="s">
        <v>2254</v>
      </c>
      <c r="T19" s="22" t="s">
        <v>2389</v>
      </c>
      <c r="U19" s="22" t="s">
        <v>2520</v>
      </c>
      <c r="V19" s="22" t="s">
        <v>2640</v>
      </c>
      <c r="W19" s="22" t="s">
        <v>2</v>
      </c>
    </row>
    <row r="20" spans="2:23" hidden="1" x14ac:dyDescent="0.25">
      <c r="B20" s="22" t="s">
        <v>941</v>
      </c>
      <c r="C20" s="22" t="s">
        <v>2574</v>
      </c>
      <c r="D20" s="22" t="s">
        <v>2225</v>
      </c>
      <c r="E20" s="22">
        <v>2771034000</v>
      </c>
      <c r="F20" s="22">
        <v>48114731760</v>
      </c>
      <c r="G20" s="22">
        <v>14113914000</v>
      </c>
      <c r="H20" s="22">
        <v>23272751000</v>
      </c>
      <c r="I20" s="23">
        <v>2.7001227328514933E-2</v>
      </c>
      <c r="J20" s="23">
        <v>0.42148685382938678</v>
      </c>
      <c r="K20" s="23">
        <v>0.5528759676716366</v>
      </c>
      <c r="L20" s="23">
        <f t="shared" si="0"/>
        <v>5.7592215494874456E-2</v>
      </c>
      <c r="M20" s="23">
        <f t="shared" si="1"/>
        <v>0.60645662388602017</v>
      </c>
      <c r="N20" s="26">
        <f t="shared" si="2"/>
        <v>34</v>
      </c>
      <c r="O20" s="26">
        <f t="shared" si="3"/>
        <v>18</v>
      </c>
      <c r="P20" s="52">
        <f t="shared" si="4"/>
        <v>52</v>
      </c>
      <c r="Q20" s="53">
        <f t="shared" si="5"/>
        <v>18</v>
      </c>
      <c r="R20" s="22" t="s">
        <v>2226</v>
      </c>
      <c r="S20" s="22" t="s">
        <v>2268</v>
      </c>
      <c r="T20" s="22" t="s">
        <v>2469</v>
      </c>
      <c r="U20" s="22" t="s">
        <v>2410</v>
      </c>
      <c r="V20" s="22" t="s">
        <v>2640</v>
      </c>
      <c r="W20" s="22" t="s">
        <v>2</v>
      </c>
    </row>
    <row r="21" spans="2:23" hidden="1" x14ac:dyDescent="0.25">
      <c r="B21" s="22" t="s">
        <v>986</v>
      </c>
      <c r="C21" s="22" t="s">
        <v>2615</v>
      </c>
      <c r="D21" s="22" t="s">
        <v>2225</v>
      </c>
      <c r="E21" s="22">
        <v>26382000000</v>
      </c>
      <c r="F21" s="22">
        <v>478676694300</v>
      </c>
      <c r="G21" s="22">
        <v>155045000000</v>
      </c>
      <c r="H21" s="22">
        <v>259174000000</v>
      </c>
      <c r="I21" s="23">
        <v>1.4577073077168975E-2</v>
      </c>
      <c r="J21" s="23">
        <v>9.7690677539369858E-2</v>
      </c>
      <c r="K21" s="23">
        <v>0.37564448809231527</v>
      </c>
      <c r="L21" s="23">
        <f t="shared" si="0"/>
        <v>5.5114444288080731E-2</v>
      </c>
      <c r="M21" s="23">
        <f t="shared" si="1"/>
        <v>0.59822744565427088</v>
      </c>
      <c r="N21" s="26">
        <f t="shared" si="2"/>
        <v>42</v>
      </c>
      <c r="O21" s="26">
        <f t="shared" si="3"/>
        <v>19</v>
      </c>
      <c r="P21" s="52">
        <f t="shared" si="4"/>
        <v>61</v>
      </c>
      <c r="Q21" s="53">
        <f t="shared" si="5"/>
        <v>19</v>
      </c>
      <c r="R21" s="22" t="s">
        <v>2240</v>
      </c>
      <c r="S21" s="22" t="s">
        <v>2268</v>
      </c>
      <c r="T21" s="22" t="s">
        <v>2384</v>
      </c>
      <c r="U21" s="22" t="s">
        <v>2616</v>
      </c>
      <c r="V21" s="22" t="s">
        <v>2640</v>
      </c>
      <c r="W21" s="22" t="s">
        <v>2</v>
      </c>
    </row>
    <row r="22" spans="2:23" hidden="1" x14ac:dyDescent="0.25">
      <c r="B22" s="22" t="s">
        <v>1801</v>
      </c>
      <c r="C22" s="22" t="s">
        <v>2555</v>
      </c>
      <c r="D22" s="22" t="s">
        <v>2225</v>
      </c>
      <c r="E22" s="22">
        <v>564069000</v>
      </c>
      <c r="F22" s="22">
        <v>21705248260</v>
      </c>
      <c r="G22" s="22">
        <v>1553403000</v>
      </c>
      <c r="H22" s="22">
        <v>2639957000</v>
      </c>
      <c r="I22" s="23">
        <v>1.247977813727756E-2</v>
      </c>
      <c r="J22" s="23">
        <v>0.72789573167487576</v>
      </c>
      <c r="K22" s="23">
        <v>0.62322774308457374</v>
      </c>
      <c r="L22" s="23">
        <f t="shared" si="0"/>
        <v>2.5987677876023518E-2</v>
      </c>
      <c r="M22" s="23">
        <f t="shared" si="1"/>
        <v>0.58841981138329147</v>
      </c>
      <c r="N22" s="26">
        <f t="shared" si="2"/>
        <v>137</v>
      </c>
      <c r="O22" s="26">
        <f t="shared" si="3"/>
        <v>20</v>
      </c>
      <c r="P22" s="52">
        <f t="shared" si="4"/>
        <v>157</v>
      </c>
      <c r="Q22" s="53">
        <f t="shared" si="5"/>
        <v>20</v>
      </c>
      <c r="R22" s="22" t="s">
        <v>2233</v>
      </c>
      <c r="S22" s="22" t="s">
        <v>2254</v>
      </c>
      <c r="T22" s="22" t="s">
        <v>2439</v>
      </c>
      <c r="U22" s="22" t="s">
        <v>2556</v>
      </c>
      <c r="V22" s="22" t="s">
        <v>2640</v>
      </c>
      <c r="W22" s="22" t="s">
        <v>2</v>
      </c>
    </row>
    <row r="23" spans="2:23" x14ac:dyDescent="0.25">
      <c r="B23" s="22" t="s">
        <v>1997</v>
      </c>
      <c r="C23" s="22" t="s">
        <v>2507</v>
      </c>
      <c r="D23" s="22" t="s">
        <v>2225</v>
      </c>
      <c r="E23" s="22">
        <v>20614000000</v>
      </c>
      <c r="F23" s="22">
        <v>1222469300000</v>
      </c>
      <c r="G23" s="22">
        <v>31343000000</v>
      </c>
      <c r="H23" s="22">
        <v>54148000000</v>
      </c>
      <c r="I23" s="23">
        <v>3.2468191318817347E-4</v>
      </c>
      <c r="J23" s="23">
        <v>0.12444889377843989</v>
      </c>
      <c r="K23" s="23">
        <v>2.085980516730199E-2</v>
      </c>
      <c r="L23" s="23">
        <f t="shared" si="0"/>
        <v>1.6862591150550773E-2</v>
      </c>
      <c r="M23" s="23">
        <f t="shared" si="1"/>
        <v>0.57883947698899318</v>
      </c>
      <c r="N23" s="26">
        <f t="shared" si="2"/>
        <v>157</v>
      </c>
      <c r="O23" s="26">
        <f t="shared" si="3"/>
        <v>21</v>
      </c>
      <c r="P23" s="52">
        <f t="shared" si="4"/>
        <v>178</v>
      </c>
      <c r="Q23" s="53">
        <f t="shared" si="5"/>
        <v>21</v>
      </c>
      <c r="R23" s="22" t="s">
        <v>2230</v>
      </c>
      <c r="S23" s="22" t="s">
        <v>2235</v>
      </c>
      <c r="T23" s="22" t="s">
        <v>2236</v>
      </c>
      <c r="U23" s="22" t="s">
        <v>2508</v>
      </c>
      <c r="V23" s="22" t="s">
        <v>2640</v>
      </c>
      <c r="W23" s="22" t="s">
        <v>2</v>
      </c>
    </row>
    <row r="24" spans="2:23" hidden="1" x14ac:dyDescent="0.25">
      <c r="B24" s="22" t="s">
        <v>1019</v>
      </c>
      <c r="C24" s="22" t="s">
        <v>2597</v>
      </c>
      <c r="D24" s="22" t="s">
        <v>2225</v>
      </c>
      <c r="E24" s="22">
        <v>1503887000</v>
      </c>
      <c r="F24" s="22">
        <v>27338459220</v>
      </c>
      <c r="G24" s="22">
        <v>5298781000</v>
      </c>
      <c r="H24" s="22">
        <v>9205014000</v>
      </c>
      <c r="I24" s="23">
        <v>1.955108432591468E-2</v>
      </c>
      <c r="J24" s="23">
        <v>2.507440857181229</v>
      </c>
      <c r="K24" s="23">
        <v>0.3891998977165847</v>
      </c>
      <c r="L24" s="23">
        <f t="shared" si="0"/>
        <v>5.5009939949351688E-2</v>
      </c>
      <c r="M24" s="23">
        <f t="shared" si="1"/>
        <v>0.57564073232262325</v>
      </c>
      <c r="N24" s="26">
        <f t="shared" si="2"/>
        <v>43</v>
      </c>
      <c r="O24" s="26">
        <f t="shared" si="3"/>
        <v>22</v>
      </c>
      <c r="P24" s="52">
        <f t="shared" si="4"/>
        <v>65</v>
      </c>
      <c r="Q24" s="53">
        <f t="shared" si="5"/>
        <v>22</v>
      </c>
      <c r="R24" s="22" t="s">
        <v>2226</v>
      </c>
      <c r="S24" s="22" t="s">
        <v>2254</v>
      </c>
      <c r="T24" s="22" t="s">
        <v>2256</v>
      </c>
      <c r="U24" s="22" t="s">
        <v>2598</v>
      </c>
      <c r="V24" s="22" t="s">
        <v>2640</v>
      </c>
      <c r="W24" s="22" t="s">
        <v>2</v>
      </c>
    </row>
    <row r="25" spans="2:23" x14ac:dyDescent="0.25">
      <c r="B25" s="22" t="s">
        <v>2361</v>
      </c>
      <c r="C25" s="22" t="s">
        <v>2435</v>
      </c>
      <c r="D25" s="22" t="s">
        <v>2225</v>
      </c>
      <c r="E25" s="22">
        <v>242135000</v>
      </c>
      <c r="F25" s="22">
        <v>4334750760</v>
      </c>
      <c r="G25" s="22">
        <v>495210000</v>
      </c>
      <c r="H25" s="22">
        <v>863156000</v>
      </c>
      <c r="I25" s="23">
        <v>0</v>
      </c>
      <c r="J25" s="23">
        <v>0</v>
      </c>
      <c r="K25" s="23">
        <v>0</v>
      </c>
      <c r="L25" s="23">
        <f t="shared" si="0"/>
        <v>5.5859036287475038E-2</v>
      </c>
      <c r="M25" s="23">
        <f t="shared" si="1"/>
        <v>0.5737201618247455</v>
      </c>
      <c r="N25" s="26">
        <f t="shared" si="2"/>
        <v>39</v>
      </c>
      <c r="O25" s="26">
        <f t="shared" si="3"/>
        <v>23</v>
      </c>
      <c r="P25" s="52">
        <f t="shared" si="4"/>
        <v>62</v>
      </c>
      <c r="Q25" s="53">
        <f t="shared" si="5"/>
        <v>23</v>
      </c>
      <c r="R25" s="22" t="s">
        <v>2294</v>
      </c>
      <c r="S25" s="22" t="s">
        <v>2268</v>
      </c>
      <c r="T25" s="22" t="s">
        <v>2436</v>
      </c>
      <c r="U25" s="22" t="s">
        <v>2437</v>
      </c>
      <c r="V25" s="22" t="s">
        <v>2640</v>
      </c>
      <c r="W25" s="22" t="s">
        <v>2</v>
      </c>
    </row>
    <row r="26" spans="2:23" x14ac:dyDescent="0.25">
      <c r="B26" s="22" t="s">
        <v>1893</v>
      </c>
      <c r="C26" s="22" t="s">
        <v>2243</v>
      </c>
      <c r="D26" s="22" t="s">
        <v>2225</v>
      </c>
      <c r="E26" s="22">
        <v>6650000000</v>
      </c>
      <c r="F26" s="22">
        <v>269326778000</v>
      </c>
      <c r="G26" s="22">
        <v>17055000000</v>
      </c>
      <c r="H26" s="22">
        <v>29779000000</v>
      </c>
      <c r="I26" s="23">
        <v>0</v>
      </c>
      <c r="J26" s="23">
        <v>-1</v>
      </c>
      <c r="K26" s="23">
        <v>0</v>
      </c>
      <c r="L26" s="23">
        <f t="shared" si="0"/>
        <v>2.4691195021090698E-2</v>
      </c>
      <c r="M26" s="23">
        <f t="shared" si="1"/>
        <v>0.57271903018905945</v>
      </c>
      <c r="N26" s="26">
        <f t="shared" si="2"/>
        <v>141</v>
      </c>
      <c r="O26" s="26">
        <f t="shared" si="3"/>
        <v>24</v>
      </c>
      <c r="P26" s="52">
        <f t="shared" si="4"/>
        <v>165</v>
      </c>
      <c r="Q26" s="53">
        <f t="shared" si="5"/>
        <v>24</v>
      </c>
      <c r="R26" s="22" t="s">
        <v>2230</v>
      </c>
      <c r="S26" s="22" t="s">
        <v>2235</v>
      </c>
      <c r="T26" s="22" t="s">
        <v>2244</v>
      </c>
      <c r="U26" s="22" t="s">
        <v>2245</v>
      </c>
      <c r="V26" s="22" t="s">
        <v>2640</v>
      </c>
      <c r="W26" s="22" t="s">
        <v>2</v>
      </c>
    </row>
    <row r="27" spans="2:23" hidden="1" x14ac:dyDescent="0.25">
      <c r="B27" s="22" t="s">
        <v>1120</v>
      </c>
      <c r="C27" s="22" t="s">
        <v>2626</v>
      </c>
      <c r="D27" s="22" t="s">
        <v>2225</v>
      </c>
      <c r="E27" s="22">
        <v>2287000000</v>
      </c>
      <c r="F27" s="22">
        <v>47562718740</v>
      </c>
      <c r="G27" s="22">
        <v>3468000000</v>
      </c>
      <c r="H27" s="22">
        <v>6071000000</v>
      </c>
      <c r="I27" s="23">
        <v>1.8486688820136741E-2</v>
      </c>
      <c r="J27" s="23">
        <v>0.82273860398860399</v>
      </c>
      <c r="K27" s="23">
        <v>0.44385382059800665</v>
      </c>
      <c r="L27" s="23">
        <f t="shared" si="0"/>
        <v>4.8083878730772488E-2</v>
      </c>
      <c r="M27" s="23">
        <f t="shared" si="1"/>
        <v>0.57124032284631854</v>
      </c>
      <c r="N27" s="26">
        <f t="shared" si="2"/>
        <v>63</v>
      </c>
      <c r="O27" s="26">
        <f t="shared" si="3"/>
        <v>25</v>
      </c>
      <c r="P27" s="52">
        <f t="shared" si="4"/>
        <v>88</v>
      </c>
      <c r="Q27" s="53">
        <f t="shared" si="5"/>
        <v>25</v>
      </c>
      <c r="R27" s="22" t="s">
        <v>2226</v>
      </c>
      <c r="S27" s="22" t="s">
        <v>2254</v>
      </c>
      <c r="T27" s="22" t="s">
        <v>2356</v>
      </c>
      <c r="U27" s="22" t="s">
        <v>2627</v>
      </c>
      <c r="V27" s="22" t="s">
        <v>2640</v>
      </c>
      <c r="W27" s="22" t="s">
        <v>2</v>
      </c>
    </row>
    <row r="28" spans="2:23" x14ac:dyDescent="0.25">
      <c r="B28" s="22" t="s">
        <v>1711</v>
      </c>
      <c r="C28" s="22" t="s">
        <v>2425</v>
      </c>
      <c r="D28" s="22" t="s">
        <v>2225</v>
      </c>
      <c r="E28" s="22">
        <v>1127507000</v>
      </c>
      <c r="F28" s="22">
        <v>36542917442</v>
      </c>
      <c r="G28" s="22">
        <v>3976867000</v>
      </c>
      <c r="H28" s="22">
        <v>7244404000</v>
      </c>
      <c r="I28" s="23">
        <v>0</v>
      </c>
      <c r="J28" s="23">
        <v>0</v>
      </c>
      <c r="K28" s="23">
        <v>0</v>
      </c>
      <c r="L28" s="23">
        <f t="shared" si="0"/>
        <v>3.085432359880819E-2</v>
      </c>
      <c r="M28" s="23">
        <f t="shared" si="1"/>
        <v>0.5489570984721448</v>
      </c>
      <c r="N28" s="26">
        <f t="shared" si="2"/>
        <v>125</v>
      </c>
      <c r="O28" s="26">
        <f t="shared" si="3"/>
        <v>26</v>
      </c>
      <c r="P28" s="52">
        <f t="shared" si="4"/>
        <v>151</v>
      </c>
      <c r="Q28" s="53">
        <f t="shared" si="5"/>
        <v>26</v>
      </c>
      <c r="R28" s="22" t="s">
        <v>2233</v>
      </c>
      <c r="S28" s="22" t="s">
        <v>2235</v>
      </c>
      <c r="T28" s="22" t="s">
        <v>2241</v>
      </c>
      <c r="U28" s="22" t="s">
        <v>2426</v>
      </c>
      <c r="V28" s="22" t="s">
        <v>2640</v>
      </c>
      <c r="W28" s="22" t="s">
        <v>2</v>
      </c>
    </row>
    <row r="29" spans="2:23" hidden="1" x14ac:dyDescent="0.25">
      <c r="B29" s="22" t="s">
        <v>1375</v>
      </c>
      <c r="C29" s="22" t="s">
        <v>2581</v>
      </c>
      <c r="D29" s="22" t="s">
        <v>2225</v>
      </c>
      <c r="E29" s="22">
        <v>476421000</v>
      </c>
      <c r="F29" s="22">
        <v>11921193244</v>
      </c>
      <c r="G29" s="22">
        <v>574638000</v>
      </c>
      <c r="H29" s="22">
        <v>1079318000</v>
      </c>
      <c r="I29" s="23">
        <v>7.9340376317507972E-3</v>
      </c>
      <c r="J29" s="23">
        <v>22.549480615865143</v>
      </c>
      <c r="K29" s="23">
        <v>0.18655198258324709</v>
      </c>
      <c r="L29" s="23">
        <f t="shared" si="0"/>
        <v>3.9964204106814998E-2</v>
      </c>
      <c r="M29" s="23">
        <f t="shared" si="1"/>
        <v>0.53240842828526902</v>
      </c>
      <c r="N29" s="26">
        <f t="shared" si="2"/>
        <v>102</v>
      </c>
      <c r="O29" s="26">
        <f t="shared" si="3"/>
        <v>27</v>
      </c>
      <c r="P29" s="52">
        <f t="shared" si="4"/>
        <v>129</v>
      </c>
      <c r="Q29" s="53">
        <f t="shared" si="5"/>
        <v>27</v>
      </c>
      <c r="R29" s="22" t="s">
        <v>2233</v>
      </c>
      <c r="S29" s="22" t="s">
        <v>8</v>
      </c>
      <c r="T29" s="22" t="s">
        <v>2582</v>
      </c>
      <c r="U29" s="22" t="s">
        <v>2583</v>
      </c>
      <c r="V29" s="22" t="s">
        <v>2640</v>
      </c>
      <c r="W29" s="22" t="s">
        <v>2</v>
      </c>
    </row>
    <row r="30" spans="2:23" x14ac:dyDescent="0.25">
      <c r="B30" s="22" t="s">
        <v>1729</v>
      </c>
      <c r="C30" s="22" t="s">
        <v>2421</v>
      </c>
      <c r="D30" s="22" t="s">
        <v>2225</v>
      </c>
      <c r="E30" s="22">
        <v>1213500000</v>
      </c>
      <c r="F30" s="22">
        <v>44726018000</v>
      </c>
      <c r="G30" s="22">
        <v>3954100000</v>
      </c>
      <c r="H30" s="22">
        <v>7479300000</v>
      </c>
      <c r="I30" s="23">
        <v>0</v>
      </c>
      <c r="J30" s="23">
        <v>0</v>
      </c>
      <c r="K30" s="23">
        <v>0</v>
      </c>
      <c r="L30" s="23">
        <f t="shared" si="0"/>
        <v>2.7131858686816251E-2</v>
      </c>
      <c r="M30" s="23">
        <f t="shared" si="1"/>
        <v>0.5286724693487358</v>
      </c>
      <c r="N30" s="26">
        <f t="shared" si="2"/>
        <v>134</v>
      </c>
      <c r="O30" s="26">
        <f t="shared" si="3"/>
        <v>28</v>
      </c>
      <c r="P30" s="52">
        <f t="shared" si="4"/>
        <v>162</v>
      </c>
      <c r="Q30" s="53">
        <f t="shared" si="5"/>
        <v>28</v>
      </c>
      <c r="R30" s="22" t="s">
        <v>2233</v>
      </c>
      <c r="S30" s="22" t="s">
        <v>2235</v>
      </c>
      <c r="T30" s="22" t="s">
        <v>2244</v>
      </c>
      <c r="U30" s="22" t="s">
        <v>2422</v>
      </c>
      <c r="V30" s="22" t="s">
        <v>2640</v>
      </c>
      <c r="W30" s="22" t="s">
        <v>2</v>
      </c>
    </row>
    <row r="31" spans="2:23" x14ac:dyDescent="0.25">
      <c r="B31" s="22" t="s">
        <v>2018</v>
      </c>
      <c r="C31" s="22" t="s">
        <v>2271</v>
      </c>
      <c r="D31" s="22" t="s">
        <v>2225</v>
      </c>
      <c r="E31" s="22">
        <v>26560000000</v>
      </c>
      <c r="F31" s="22">
        <v>1672722940000</v>
      </c>
      <c r="G31" s="22">
        <v>256202000000</v>
      </c>
      <c r="H31" s="22">
        <v>486883000000</v>
      </c>
      <c r="I31" s="23">
        <v>0</v>
      </c>
      <c r="J31" s="23">
        <v>0</v>
      </c>
      <c r="K31" s="23">
        <v>0</v>
      </c>
      <c r="L31" s="23">
        <f t="shared" si="0"/>
        <v>1.5878301997819196E-2</v>
      </c>
      <c r="M31" s="23">
        <f t="shared" si="1"/>
        <v>0.52620855523811672</v>
      </c>
      <c r="N31" s="26">
        <f t="shared" si="2"/>
        <v>158</v>
      </c>
      <c r="O31" s="26">
        <f t="shared" si="3"/>
        <v>29</v>
      </c>
      <c r="P31" s="52">
        <f t="shared" si="4"/>
        <v>187</v>
      </c>
      <c r="Q31" s="53">
        <f t="shared" si="5"/>
        <v>29</v>
      </c>
      <c r="R31" s="22" t="s">
        <v>2230</v>
      </c>
      <c r="S31" s="22" t="s">
        <v>2254</v>
      </c>
      <c r="T31" s="22" t="s">
        <v>2255</v>
      </c>
      <c r="U31" s="22" t="s">
        <v>2272</v>
      </c>
      <c r="V31" s="22" t="s">
        <v>2640</v>
      </c>
      <c r="W31" s="22" t="s">
        <v>2</v>
      </c>
    </row>
    <row r="32" spans="2:23" x14ac:dyDescent="0.25">
      <c r="B32" s="22" t="s">
        <v>1908</v>
      </c>
      <c r="C32" s="22" t="s">
        <v>2297</v>
      </c>
      <c r="D32" s="22" t="s">
        <v>2225</v>
      </c>
      <c r="E32" s="22">
        <v>1090000000</v>
      </c>
      <c r="F32" s="22">
        <v>53546149050</v>
      </c>
      <c r="G32" s="22">
        <v>4841000000</v>
      </c>
      <c r="H32" s="22">
        <v>9226000000</v>
      </c>
      <c r="I32" s="23">
        <v>0</v>
      </c>
      <c r="J32" s="23">
        <v>-1</v>
      </c>
      <c r="K32" s="23">
        <v>0</v>
      </c>
      <c r="L32" s="23">
        <f t="shared" si="0"/>
        <v>2.0356272474089339E-2</v>
      </c>
      <c r="M32" s="23">
        <f t="shared" si="1"/>
        <v>0.52471276826360291</v>
      </c>
      <c r="N32" s="26">
        <f t="shared" si="2"/>
        <v>152</v>
      </c>
      <c r="O32" s="26">
        <f t="shared" si="3"/>
        <v>30</v>
      </c>
      <c r="P32" s="52">
        <f t="shared" si="4"/>
        <v>182</v>
      </c>
      <c r="Q32" s="53">
        <f t="shared" si="5"/>
        <v>30</v>
      </c>
      <c r="R32" s="22" t="s">
        <v>2233</v>
      </c>
      <c r="S32" s="22" t="s">
        <v>2235</v>
      </c>
      <c r="T32" s="22" t="s">
        <v>2282</v>
      </c>
      <c r="U32" s="22" t="s">
        <v>2298</v>
      </c>
      <c r="V32" s="22" t="s">
        <v>2640</v>
      </c>
      <c r="W32" s="22" t="s">
        <v>2</v>
      </c>
    </row>
    <row r="33" spans="2:23" hidden="1" x14ac:dyDescent="0.25">
      <c r="B33" s="22" t="s">
        <v>515</v>
      </c>
      <c r="C33" s="22" t="s">
        <v>2487</v>
      </c>
      <c r="D33" s="22" t="s">
        <v>2225</v>
      </c>
      <c r="E33" s="22">
        <v>1179000000</v>
      </c>
      <c r="F33" s="22">
        <v>17827652330</v>
      </c>
      <c r="G33" s="22">
        <v>2727000000</v>
      </c>
      <c r="H33" s="22">
        <v>5371000000</v>
      </c>
      <c r="I33" s="23">
        <v>1.6931531263923955E-2</v>
      </c>
      <c r="J33" s="23">
        <v>1.6874458874458871</v>
      </c>
      <c r="K33" s="23">
        <v>0.30769230769230771</v>
      </c>
      <c r="L33" s="23">
        <f t="shared" si="0"/>
        <v>6.6133216992122032E-2</v>
      </c>
      <c r="M33" s="23">
        <f t="shared" si="1"/>
        <v>0.50772668032023827</v>
      </c>
      <c r="N33" s="26">
        <f t="shared" si="2"/>
        <v>20</v>
      </c>
      <c r="O33" s="26">
        <f t="shared" si="3"/>
        <v>31</v>
      </c>
      <c r="P33" s="52">
        <f t="shared" si="4"/>
        <v>51</v>
      </c>
      <c r="Q33" s="53">
        <f t="shared" si="5"/>
        <v>31</v>
      </c>
      <c r="R33" s="22" t="s">
        <v>2226</v>
      </c>
      <c r="S33" s="22" t="s">
        <v>28</v>
      </c>
      <c r="T33" s="22" t="s">
        <v>2295</v>
      </c>
      <c r="U33" s="22" t="s">
        <v>2488</v>
      </c>
      <c r="V33" s="22" t="s">
        <v>2640</v>
      </c>
      <c r="W33" s="22" t="s">
        <v>2</v>
      </c>
    </row>
    <row r="34" spans="2:23" hidden="1" x14ac:dyDescent="0.25">
      <c r="B34" s="22" t="s">
        <v>19</v>
      </c>
      <c r="C34" s="22" t="s">
        <v>2350</v>
      </c>
      <c r="D34" s="22" t="s">
        <v>2225</v>
      </c>
      <c r="E34" s="22">
        <v>19765000000</v>
      </c>
      <c r="F34" s="22">
        <v>63913806300</v>
      </c>
      <c r="G34" s="22">
        <v>21140000000</v>
      </c>
      <c r="H34" s="22">
        <v>41719000000</v>
      </c>
      <c r="I34" s="23">
        <v>9.4043887147335446E-3</v>
      </c>
      <c r="J34" s="23">
        <v>0</v>
      </c>
      <c r="K34" s="23">
        <v>3.1267582991720923E-2</v>
      </c>
      <c r="L34" s="23">
        <f t="shared" si="0"/>
        <v>0.30924460839066004</v>
      </c>
      <c r="M34" s="23">
        <f t="shared" si="1"/>
        <v>0.5067235552146504</v>
      </c>
      <c r="N34" s="26">
        <f t="shared" si="2"/>
        <v>1</v>
      </c>
      <c r="O34" s="26">
        <f t="shared" si="3"/>
        <v>32</v>
      </c>
      <c r="P34" s="52">
        <f t="shared" si="4"/>
        <v>33</v>
      </c>
      <c r="Q34" s="53">
        <f t="shared" si="5"/>
        <v>32</v>
      </c>
      <c r="R34" s="22" t="s">
        <v>2233</v>
      </c>
      <c r="S34" s="22" t="s">
        <v>8</v>
      </c>
      <c r="T34" s="22" t="s">
        <v>2351</v>
      </c>
      <c r="U34" s="22" t="s">
        <v>2352</v>
      </c>
      <c r="V34" s="22" t="s">
        <v>2640</v>
      </c>
      <c r="W34" s="22" t="s">
        <v>2</v>
      </c>
    </row>
    <row r="35" spans="2:23" hidden="1" x14ac:dyDescent="0.25">
      <c r="B35" s="22" t="s">
        <v>1188</v>
      </c>
      <c r="C35" s="22" t="s">
        <v>2575</v>
      </c>
      <c r="D35" s="22" t="s">
        <v>2225</v>
      </c>
      <c r="E35" s="22">
        <v>5324000000</v>
      </c>
      <c r="F35" s="22">
        <v>113979907200</v>
      </c>
      <c r="G35" s="22">
        <v>15172000000</v>
      </c>
      <c r="H35" s="22">
        <v>30351000000</v>
      </c>
      <c r="I35" s="23">
        <v>1.3929302726586917E-2</v>
      </c>
      <c r="J35" s="23">
        <v>0.86364763274293854</v>
      </c>
      <c r="K35" s="23">
        <v>0.35198345096130446</v>
      </c>
      <c r="L35" s="23">
        <f t="shared" ref="L35:L66" si="6">+E35/F35</f>
        <v>4.6709987144120085E-2</v>
      </c>
      <c r="M35" s="23">
        <f t="shared" ref="M35:M66" si="7">+G35/H35</f>
        <v>0.49988468254752727</v>
      </c>
      <c r="N35" s="26">
        <f t="shared" ref="N35:N66" si="8">+_xlfn.RANK.EQ(L35,L:L,0)</f>
        <v>66</v>
      </c>
      <c r="O35" s="26">
        <f t="shared" ref="O35:O66" si="9">+_xlfn.RANK.EQ(M35,M:M,0)</f>
        <v>34</v>
      </c>
      <c r="P35" s="52">
        <f t="shared" ref="P35:P66" si="10">+N35+O35</f>
        <v>100</v>
      </c>
      <c r="Q35" s="53">
        <f t="shared" ref="Q35:Q66" si="11">+_xlfn.RANK.EQ(O35,O:O,1)</f>
        <v>34</v>
      </c>
      <c r="R35" s="22" t="s">
        <v>2240</v>
      </c>
      <c r="S35" s="22" t="s">
        <v>2254</v>
      </c>
      <c r="T35" s="22" t="s">
        <v>2415</v>
      </c>
      <c r="U35" s="22" t="s">
        <v>2576</v>
      </c>
      <c r="V35" s="22" t="s">
        <v>2640</v>
      </c>
      <c r="W35" s="22" t="s">
        <v>2</v>
      </c>
    </row>
    <row r="36" spans="2:23" hidden="1" x14ac:dyDescent="0.25">
      <c r="B36" s="22" t="s">
        <v>1123</v>
      </c>
      <c r="C36" s="22" t="s">
        <v>2531</v>
      </c>
      <c r="D36" s="22" t="s">
        <v>2225</v>
      </c>
      <c r="E36" s="22">
        <v>11566000000</v>
      </c>
      <c r="F36" s="22">
        <v>266915859600</v>
      </c>
      <c r="G36" s="22">
        <v>49413000000</v>
      </c>
      <c r="H36" s="22">
        <v>99953000000</v>
      </c>
      <c r="I36" s="23">
        <v>2.9284614473528359E-2</v>
      </c>
      <c r="J36" s="23">
        <v>0.42014726089549148</v>
      </c>
      <c r="K36" s="23">
        <v>0.78733413751507841</v>
      </c>
      <c r="L36" s="23">
        <f t="shared" si="6"/>
        <v>4.3332007387394678E-2</v>
      </c>
      <c r="M36" s="23">
        <f t="shared" si="7"/>
        <v>0.49436235030464321</v>
      </c>
      <c r="N36" s="26">
        <f t="shared" si="8"/>
        <v>83</v>
      </c>
      <c r="O36" s="26">
        <f t="shared" si="9"/>
        <v>35</v>
      </c>
      <c r="P36" s="52">
        <f t="shared" si="10"/>
        <v>118</v>
      </c>
      <c r="Q36" s="53">
        <f t="shared" si="11"/>
        <v>35</v>
      </c>
      <c r="R36" s="22" t="s">
        <v>2240</v>
      </c>
      <c r="S36" s="22" t="s">
        <v>2268</v>
      </c>
      <c r="T36" s="22" t="s">
        <v>2289</v>
      </c>
      <c r="U36" s="22" t="s">
        <v>2532</v>
      </c>
      <c r="V36" s="22" t="s">
        <v>2640</v>
      </c>
      <c r="W36" s="22" t="s">
        <v>2</v>
      </c>
    </row>
    <row r="37" spans="2:23" x14ac:dyDescent="0.25">
      <c r="B37" s="22" t="s">
        <v>1543</v>
      </c>
      <c r="C37" s="22" t="s">
        <v>2349</v>
      </c>
      <c r="D37" s="22" t="s">
        <v>2225</v>
      </c>
      <c r="E37" s="22">
        <v>310502000</v>
      </c>
      <c r="F37" s="22">
        <v>8913829660</v>
      </c>
      <c r="G37" s="22">
        <v>768333000</v>
      </c>
      <c r="H37" s="22">
        <v>1562079000</v>
      </c>
      <c r="I37" s="23">
        <v>2.6253786603837089E-3</v>
      </c>
      <c r="J37" s="23">
        <v>0.36322333479538632</v>
      </c>
      <c r="K37" s="23">
        <v>9.4332371147508795E-2</v>
      </c>
      <c r="L37" s="23">
        <f t="shared" si="6"/>
        <v>3.4833737219968366E-2</v>
      </c>
      <c r="M37" s="23">
        <f t="shared" si="7"/>
        <v>0.49186564828027263</v>
      </c>
      <c r="N37" s="26">
        <f t="shared" si="8"/>
        <v>114</v>
      </c>
      <c r="O37" s="26">
        <f t="shared" si="9"/>
        <v>36</v>
      </c>
      <c r="P37" s="52">
        <f t="shared" si="10"/>
        <v>150</v>
      </c>
      <c r="Q37" s="53">
        <f t="shared" si="11"/>
        <v>36</v>
      </c>
      <c r="R37" s="22" t="s">
        <v>2226</v>
      </c>
      <c r="S37" s="22" t="s">
        <v>4</v>
      </c>
      <c r="T37" s="22" t="s">
        <v>2313</v>
      </c>
      <c r="U37" s="22" t="s">
        <v>2315</v>
      </c>
      <c r="V37" s="22" t="s">
        <v>2640</v>
      </c>
      <c r="W37" s="22" t="s">
        <v>2</v>
      </c>
    </row>
    <row r="38" spans="2:23" hidden="1" x14ac:dyDescent="0.25">
      <c r="B38" s="22" t="s">
        <v>1084</v>
      </c>
      <c r="C38" s="22" t="s">
        <v>2540</v>
      </c>
      <c r="D38" s="22" t="s">
        <v>2225</v>
      </c>
      <c r="E38" s="22">
        <v>774518000</v>
      </c>
      <c r="F38" s="22">
        <v>16753673488</v>
      </c>
      <c r="G38" s="22">
        <v>1682000000</v>
      </c>
      <c r="H38" s="22">
        <v>3430734000</v>
      </c>
      <c r="I38" s="23">
        <v>1.0726134351068874E-2</v>
      </c>
      <c r="J38" s="23">
        <v>1.6897885471510594</v>
      </c>
      <c r="K38" s="23">
        <v>0.30172627861419465</v>
      </c>
      <c r="L38" s="23">
        <f t="shared" si="6"/>
        <v>4.6229741826755599E-2</v>
      </c>
      <c r="M38" s="23">
        <f t="shared" si="7"/>
        <v>0.4902740929492056</v>
      </c>
      <c r="N38" s="26">
        <f t="shared" si="8"/>
        <v>68</v>
      </c>
      <c r="O38" s="26">
        <f t="shared" si="9"/>
        <v>37</v>
      </c>
      <c r="P38" s="52">
        <f t="shared" si="10"/>
        <v>105</v>
      </c>
      <c r="Q38" s="53">
        <f t="shared" si="11"/>
        <v>37</v>
      </c>
      <c r="R38" s="22" t="s">
        <v>2226</v>
      </c>
      <c r="S38" s="22" t="s">
        <v>28</v>
      </c>
      <c r="T38" s="22" t="s">
        <v>2417</v>
      </c>
      <c r="U38" s="22" t="s">
        <v>2541</v>
      </c>
      <c r="V38" s="22" t="s">
        <v>2640</v>
      </c>
      <c r="W38" s="22" t="s">
        <v>2</v>
      </c>
    </row>
    <row r="39" spans="2:23" hidden="1" x14ac:dyDescent="0.25">
      <c r="B39" s="22" t="s">
        <v>1717</v>
      </c>
      <c r="C39" s="22" t="s">
        <v>2363</v>
      </c>
      <c r="D39" s="22" t="s">
        <v>2225</v>
      </c>
      <c r="E39" s="22">
        <v>1917849000</v>
      </c>
      <c r="F39" s="22">
        <v>64141635220</v>
      </c>
      <c r="G39" s="22">
        <v>4405928000</v>
      </c>
      <c r="H39" s="22">
        <v>8813869000</v>
      </c>
      <c r="I39" s="23">
        <v>8.299719469481933E-3</v>
      </c>
      <c r="J39" s="23">
        <v>1.6870624677421939</v>
      </c>
      <c r="K39" s="23">
        <v>0.34276041644839866</v>
      </c>
      <c r="L39" s="23">
        <f t="shared" si="6"/>
        <v>2.9900219933931393E-2</v>
      </c>
      <c r="M39" s="23">
        <f t="shared" si="7"/>
        <v>0.4998858049739564</v>
      </c>
      <c r="N39" s="26">
        <f t="shared" si="8"/>
        <v>126</v>
      </c>
      <c r="O39" s="26">
        <f t="shared" si="9"/>
        <v>33</v>
      </c>
      <c r="P39" s="52">
        <f t="shared" si="10"/>
        <v>159</v>
      </c>
      <c r="Q39" s="53">
        <f t="shared" si="11"/>
        <v>33</v>
      </c>
      <c r="R39" s="22" t="s">
        <v>2230</v>
      </c>
      <c r="S39" s="22" t="s">
        <v>28</v>
      </c>
      <c r="T39" s="22" t="s">
        <v>2322</v>
      </c>
      <c r="U39" s="22" t="s">
        <v>2364</v>
      </c>
      <c r="V39" s="22" t="s">
        <v>2640</v>
      </c>
      <c r="W39" s="22" t="s">
        <v>2</v>
      </c>
    </row>
    <row r="40" spans="2:23" x14ac:dyDescent="0.25">
      <c r="B40" s="22" t="s">
        <v>1486</v>
      </c>
      <c r="C40" s="22" t="s">
        <v>2284</v>
      </c>
      <c r="D40" s="22" t="s">
        <v>2225</v>
      </c>
      <c r="E40" s="22">
        <v>114301000000</v>
      </c>
      <c r="F40" s="22">
        <v>3083591040000</v>
      </c>
      <c r="G40" s="22">
        <v>169148000000</v>
      </c>
      <c r="H40" s="22">
        <v>352583000000</v>
      </c>
      <c r="I40" s="23">
        <v>4.9210049210049204E-3</v>
      </c>
      <c r="J40" s="23">
        <v>0.3795229029287352</v>
      </c>
      <c r="K40" s="23">
        <v>0.1549048920047425</v>
      </c>
      <c r="L40" s="23">
        <f t="shared" si="6"/>
        <v>3.7067496473202878E-2</v>
      </c>
      <c r="M40" s="23">
        <f t="shared" si="7"/>
        <v>0.47973952232523975</v>
      </c>
      <c r="N40" s="26">
        <f t="shared" si="8"/>
        <v>108</v>
      </c>
      <c r="O40" s="26">
        <f t="shared" si="9"/>
        <v>38</v>
      </c>
      <c r="P40" s="52">
        <f t="shared" si="10"/>
        <v>146</v>
      </c>
      <c r="Q40" s="53">
        <f t="shared" si="11"/>
        <v>38</v>
      </c>
      <c r="R40" s="22" t="s">
        <v>2240</v>
      </c>
      <c r="S40" s="22" t="s">
        <v>2235</v>
      </c>
      <c r="T40" s="22" t="s">
        <v>2285</v>
      </c>
      <c r="U40" s="22" t="s">
        <v>2286</v>
      </c>
      <c r="V40" s="22" t="s">
        <v>2640</v>
      </c>
      <c r="W40" s="22" t="s">
        <v>2</v>
      </c>
    </row>
    <row r="41" spans="2:23" hidden="1" x14ac:dyDescent="0.25">
      <c r="B41" s="22" t="s">
        <v>1579</v>
      </c>
      <c r="C41" s="22" t="s">
        <v>2368</v>
      </c>
      <c r="D41" s="22" t="s">
        <v>2225</v>
      </c>
      <c r="E41" s="22">
        <v>1077000000</v>
      </c>
      <c r="F41" s="22">
        <v>20295175050</v>
      </c>
      <c r="G41" s="22">
        <v>2814000000</v>
      </c>
      <c r="H41" s="22">
        <v>5991000000</v>
      </c>
      <c r="I41" s="23">
        <v>3.3532934131736525E-2</v>
      </c>
      <c r="J41" s="23">
        <v>0.35534929843630442</v>
      </c>
      <c r="K41" s="23">
        <v>6.6704545454545459</v>
      </c>
      <c r="L41" s="23">
        <f t="shared" si="6"/>
        <v>5.3066800229446653E-2</v>
      </c>
      <c r="M41" s="23">
        <f t="shared" si="7"/>
        <v>0.46970455683525286</v>
      </c>
      <c r="N41" s="26">
        <f t="shared" si="8"/>
        <v>48</v>
      </c>
      <c r="O41" s="26">
        <f t="shared" si="9"/>
        <v>39</v>
      </c>
      <c r="P41" s="52">
        <f t="shared" si="10"/>
        <v>87</v>
      </c>
      <c r="Q41" s="53">
        <f t="shared" si="11"/>
        <v>39</v>
      </c>
      <c r="R41" s="22" t="s">
        <v>2226</v>
      </c>
      <c r="S41" s="22" t="s">
        <v>2268</v>
      </c>
      <c r="T41" s="22" t="s">
        <v>2316</v>
      </c>
      <c r="U41" s="22" t="s">
        <v>2369</v>
      </c>
      <c r="V41" s="22" t="s">
        <v>2640</v>
      </c>
      <c r="W41" s="22" t="s">
        <v>2</v>
      </c>
    </row>
    <row r="42" spans="2:23" x14ac:dyDescent="0.25">
      <c r="B42" s="22" t="s">
        <v>1411</v>
      </c>
      <c r="C42" s="22" t="s">
        <v>2577</v>
      </c>
      <c r="D42" s="22" t="s">
        <v>2225</v>
      </c>
      <c r="E42" s="22">
        <v>543330000</v>
      </c>
      <c r="F42" s="22">
        <v>16344155650</v>
      </c>
      <c r="G42" s="22">
        <v>1577652000</v>
      </c>
      <c r="H42" s="22">
        <v>3370655000</v>
      </c>
      <c r="I42" s="23">
        <v>3.9873130946986874E-3</v>
      </c>
      <c r="J42" s="23">
        <v>0.57177863557434105</v>
      </c>
      <c r="K42" s="23">
        <v>0.13534577518164756</v>
      </c>
      <c r="L42" s="23">
        <f t="shared" si="6"/>
        <v>3.3243075484293984E-2</v>
      </c>
      <c r="M42" s="23">
        <f t="shared" si="7"/>
        <v>0.46805502194677295</v>
      </c>
      <c r="N42" s="26">
        <f t="shared" si="8"/>
        <v>118</v>
      </c>
      <c r="O42" s="26">
        <f t="shared" si="9"/>
        <v>40</v>
      </c>
      <c r="P42" s="52">
        <f t="shared" si="10"/>
        <v>158</v>
      </c>
      <c r="Q42" s="53">
        <f t="shared" si="11"/>
        <v>40</v>
      </c>
      <c r="R42" s="22" t="s">
        <v>2226</v>
      </c>
      <c r="S42" s="22" t="s">
        <v>2235</v>
      </c>
      <c r="T42" s="22" t="s">
        <v>2238</v>
      </c>
      <c r="U42" s="22" t="s">
        <v>2253</v>
      </c>
      <c r="V42" s="22" t="s">
        <v>2640</v>
      </c>
      <c r="W42" s="22" t="s">
        <v>2</v>
      </c>
    </row>
    <row r="43" spans="2:23" x14ac:dyDescent="0.25">
      <c r="B43" s="22" t="s">
        <v>1034</v>
      </c>
      <c r="C43" s="22" t="s">
        <v>2497</v>
      </c>
      <c r="D43" s="22" t="s">
        <v>2225</v>
      </c>
      <c r="E43" s="22">
        <v>36766000000</v>
      </c>
      <c r="F43" s="22">
        <v>911191398163</v>
      </c>
      <c r="G43" s="22">
        <v>100356000000</v>
      </c>
      <c r="H43" s="22">
        <v>216274000000</v>
      </c>
      <c r="I43" s="23">
        <v>0</v>
      </c>
      <c r="J43" s="23">
        <v>0</v>
      </c>
      <c r="K43" s="23">
        <v>0</v>
      </c>
      <c r="L43" s="23">
        <f t="shared" si="6"/>
        <v>4.0349371245296868E-2</v>
      </c>
      <c r="M43" s="23">
        <f t="shared" si="7"/>
        <v>0.46402248998955031</v>
      </c>
      <c r="N43" s="26">
        <f t="shared" si="8"/>
        <v>99</v>
      </c>
      <c r="O43" s="26">
        <f t="shared" si="9"/>
        <v>41</v>
      </c>
      <c r="P43" s="52">
        <f t="shared" si="10"/>
        <v>140</v>
      </c>
      <c r="Q43" s="53">
        <f t="shared" si="11"/>
        <v>41</v>
      </c>
      <c r="R43" s="22" t="s">
        <v>2230</v>
      </c>
      <c r="S43" s="22" t="s">
        <v>122</v>
      </c>
      <c r="T43" s="22" t="s">
        <v>2263</v>
      </c>
      <c r="U43" s="22" t="s">
        <v>2498</v>
      </c>
      <c r="V43" s="22" t="s">
        <v>2640</v>
      </c>
      <c r="W43" s="22" t="s">
        <v>2</v>
      </c>
    </row>
    <row r="44" spans="2:23" hidden="1" x14ac:dyDescent="0.25">
      <c r="B44" s="22" t="s">
        <v>857</v>
      </c>
      <c r="C44" s="22" t="s">
        <v>2515</v>
      </c>
      <c r="D44" s="22" t="s">
        <v>2225</v>
      </c>
      <c r="E44" s="22">
        <v>1143000000</v>
      </c>
      <c r="F44" s="22">
        <v>18227256980</v>
      </c>
      <c r="G44" s="22">
        <v>4182000000</v>
      </c>
      <c r="H44" s="22">
        <v>9073000000</v>
      </c>
      <c r="I44" s="23">
        <v>2.2326412145568207E-2</v>
      </c>
      <c r="J44" s="23">
        <v>1.4931306257806107</v>
      </c>
      <c r="K44" s="23">
        <v>0.61127167630057799</v>
      </c>
      <c r="L44" s="23">
        <f t="shared" si="6"/>
        <v>6.2708283602637832E-2</v>
      </c>
      <c r="M44" s="23">
        <f t="shared" si="7"/>
        <v>0.46092802821558471</v>
      </c>
      <c r="N44" s="26">
        <f t="shared" si="8"/>
        <v>26</v>
      </c>
      <c r="O44" s="26">
        <f t="shared" si="9"/>
        <v>42</v>
      </c>
      <c r="P44" s="52">
        <f t="shared" si="10"/>
        <v>68</v>
      </c>
      <c r="Q44" s="53">
        <f t="shared" si="11"/>
        <v>42</v>
      </c>
      <c r="R44" s="22" t="s">
        <v>2226</v>
      </c>
      <c r="S44" s="22" t="s">
        <v>2235</v>
      </c>
      <c r="T44" s="22" t="s">
        <v>2291</v>
      </c>
      <c r="U44" s="22" t="s">
        <v>2516</v>
      </c>
      <c r="V44" s="22" t="s">
        <v>2640</v>
      </c>
      <c r="W44" s="22" t="s">
        <v>2</v>
      </c>
    </row>
    <row r="45" spans="2:23" hidden="1" x14ac:dyDescent="0.25">
      <c r="B45" s="22" t="s">
        <v>1001</v>
      </c>
      <c r="C45" s="22" t="s">
        <v>2621</v>
      </c>
      <c r="D45" s="22" t="s">
        <v>2225</v>
      </c>
      <c r="E45" s="22">
        <v>339400000</v>
      </c>
      <c r="F45" s="22">
        <v>6811994439</v>
      </c>
      <c r="G45" s="22">
        <v>923900000</v>
      </c>
      <c r="H45" s="22">
        <v>2017600000</v>
      </c>
      <c r="I45" s="23">
        <v>6.4990110200621636E-3</v>
      </c>
      <c r="J45" s="23">
        <v>0.55216924447693694</v>
      </c>
      <c r="K45" s="23">
        <v>0.16181818181818181</v>
      </c>
      <c r="L45" s="23">
        <f t="shared" si="6"/>
        <v>4.9823880955754844E-2</v>
      </c>
      <c r="M45" s="23">
        <f t="shared" si="7"/>
        <v>0.45792030134813638</v>
      </c>
      <c r="N45" s="26">
        <f t="shared" si="8"/>
        <v>53</v>
      </c>
      <c r="O45" s="26">
        <f t="shared" si="9"/>
        <v>43</v>
      </c>
      <c r="P45" s="52">
        <f t="shared" si="10"/>
        <v>96</v>
      </c>
      <c r="Q45" s="53">
        <f t="shared" si="11"/>
        <v>43</v>
      </c>
      <c r="R45" s="22" t="s">
        <v>2310</v>
      </c>
      <c r="S45" s="22" t="s">
        <v>28</v>
      </c>
      <c r="T45" s="22" t="s">
        <v>2227</v>
      </c>
      <c r="U45" s="22" t="s">
        <v>2424</v>
      </c>
      <c r="V45" s="22" t="s">
        <v>2640</v>
      </c>
      <c r="W45" s="22" t="s">
        <v>2</v>
      </c>
    </row>
    <row r="46" spans="2:23" hidden="1" x14ac:dyDescent="0.25">
      <c r="B46" s="22" t="s">
        <v>764</v>
      </c>
      <c r="C46" s="22" t="s">
        <v>2224</v>
      </c>
      <c r="D46" s="22" t="s">
        <v>2225</v>
      </c>
      <c r="E46" s="22">
        <v>337100000</v>
      </c>
      <c r="F46" s="22">
        <v>12047368014</v>
      </c>
      <c r="G46" s="22">
        <v>1463600000</v>
      </c>
      <c r="H46" s="22">
        <v>3200100000</v>
      </c>
      <c r="I46" s="23">
        <v>1.4905314599877826E-2</v>
      </c>
      <c r="J46" s="23">
        <v>1.0764681410394814</v>
      </c>
      <c r="K46" s="23">
        <v>0.60762032085561501</v>
      </c>
      <c r="L46" s="23">
        <f t="shared" si="6"/>
        <v>2.7981215449570645E-2</v>
      </c>
      <c r="M46" s="23">
        <f t="shared" si="7"/>
        <v>0.45736070747789132</v>
      </c>
      <c r="N46" s="26">
        <f t="shared" si="8"/>
        <v>131</v>
      </c>
      <c r="O46" s="26">
        <f t="shared" si="9"/>
        <v>44</v>
      </c>
      <c r="P46" s="52">
        <f t="shared" si="10"/>
        <v>175</v>
      </c>
      <c r="Q46" s="53">
        <f t="shared" si="11"/>
        <v>44</v>
      </c>
      <c r="R46" s="22" t="s">
        <v>2226</v>
      </c>
      <c r="S46" s="22" t="s">
        <v>28</v>
      </c>
      <c r="T46" s="22" t="s">
        <v>2227</v>
      </c>
      <c r="U46" s="22" t="s">
        <v>2228</v>
      </c>
      <c r="V46" s="22" t="s">
        <v>2640</v>
      </c>
      <c r="W46" s="22" t="s">
        <v>2</v>
      </c>
    </row>
    <row r="47" spans="2:23" hidden="1" x14ac:dyDescent="0.25">
      <c r="B47" s="22" t="s">
        <v>1426</v>
      </c>
      <c r="C47" s="22" t="s">
        <v>2565</v>
      </c>
      <c r="D47" s="22" t="s">
        <v>2225</v>
      </c>
      <c r="E47" s="22">
        <v>3460700000</v>
      </c>
      <c r="F47" s="22">
        <v>91409489220</v>
      </c>
      <c r="G47" s="22">
        <v>10443200000</v>
      </c>
      <c r="H47" s="22">
        <v>23004500000</v>
      </c>
      <c r="I47" s="23">
        <v>7.7397895544823606E-3</v>
      </c>
      <c r="J47" s="23">
        <v>1.0944364321111877</v>
      </c>
      <c r="K47" s="23">
        <v>0.25796849807763861</v>
      </c>
      <c r="L47" s="23">
        <f t="shared" si="6"/>
        <v>3.7859307928862308E-2</v>
      </c>
      <c r="M47" s="23">
        <f t="shared" si="7"/>
        <v>0.45396335499576168</v>
      </c>
      <c r="N47" s="26">
        <f t="shared" si="8"/>
        <v>106</v>
      </c>
      <c r="O47" s="26">
        <f t="shared" si="9"/>
        <v>45</v>
      </c>
      <c r="P47" s="52">
        <f t="shared" si="10"/>
        <v>151</v>
      </c>
      <c r="Q47" s="53">
        <f t="shared" si="11"/>
        <v>45</v>
      </c>
      <c r="R47" s="22" t="s">
        <v>2240</v>
      </c>
      <c r="S47" s="22" t="s">
        <v>2250</v>
      </c>
      <c r="T47" s="22" t="s">
        <v>2251</v>
      </c>
      <c r="U47" s="22" t="s">
        <v>2566</v>
      </c>
      <c r="V47" s="22" t="s">
        <v>2640</v>
      </c>
      <c r="W47" s="22" t="s">
        <v>2</v>
      </c>
    </row>
    <row r="48" spans="2:23" x14ac:dyDescent="0.25">
      <c r="B48" s="22" t="s">
        <v>1630</v>
      </c>
      <c r="C48" s="22" t="s">
        <v>2601</v>
      </c>
      <c r="D48" s="22" t="s">
        <v>2225</v>
      </c>
      <c r="E48" s="22">
        <v>282518000</v>
      </c>
      <c r="F48" s="22">
        <v>9139542850</v>
      </c>
      <c r="G48" s="22">
        <v>447263000</v>
      </c>
      <c r="H48" s="22">
        <v>996812000</v>
      </c>
      <c r="I48" s="23">
        <v>0</v>
      </c>
      <c r="J48" s="23">
        <v>0</v>
      </c>
      <c r="K48" s="23">
        <v>0</v>
      </c>
      <c r="L48" s="23">
        <f t="shared" si="6"/>
        <v>3.0911611733403056E-2</v>
      </c>
      <c r="M48" s="23">
        <f t="shared" si="7"/>
        <v>0.44869343466972711</v>
      </c>
      <c r="N48" s="26">
        <f t="shared" si="8"/>
        <v>124</v>
      </c>
      <c r="O48" s="26">
        <f t="shared" si="9"/>
        <v>46</v>
      </c>
      <c r="P48" s="52">
        <f t="shared" si="10"/>
        <v>170</v>
      </c>
      <c r="Q48" s="53">
        <f t="shared" si="11"/>
        <v>46</v>
      </c>
      <c r="R48" s="22" t="s">
        <v>2310</v>
      </c>
      <c r="S48" s="22" t="s">
        <v>28</v>
      </c>
      <c r="T48" s="22" t="s">
        <v>2295</v>
      </c>
      <c r="U48" s="22" t="s">
        <v>2602</v>
      </c>
      <c r="V48" s="22" t="s">
        <v>2640</v>
      </c>
      <c r="W48" s="22" t="s">
        <v>2</v>
      </c>
    </row>
    <row r="49" spans="2:23" hidden="1" x14ac:dyDescent="0.25">
      <c r="B49" s="22" t="s">
        <v>1982</v>
      </c>
      <c r="C49" s="22" t="s">
        <v>2505</v>
      </c>
      <c r="D49" s="22" t="s">
        <v>2225</v>
      </c>
      <c r="E49" s="22">
        <v>509059000</v>
      </c>
      <c r="F49" s="22">
        <v>30100682480</v>
      </c>
      <c r="G49" s="22">
        <v>1037805000</v>
      </c>
      <c r="H49" s="22">
        <v>2328089000</v>
      </c>
      <c r="I49" s="23">
        <v>5.8866005274394078E-3</v>
      </c>
      <c r="J49" s="23">
        <v>2.6579458964232008</v>
      </c>
      <c r="K49" s="23">
        <v>0.38185421713279011</v>
      </c>
      <c r="L49" s="23">
        <f t="shared" si="6"/>
        <v>1.6911875680501183E-2</v>
      </c>
      <c r="M49" s="23">
        <f t="shared" si="7"/>
        <v>0.44577548366922398</v>
      </c>
      <c r="N49" s="26">
        <f t="shared" si="8"/>
        <v>156</v>
      </c>
      <c r="O49" s="26">
        <f t="shared" si="9"/>
        <v>47</v>
      </c>
      <c r="P49" s="52">
        <f t="shared" si="10"/>
        <v>203</v>
      </c>
      <c r="Q49" s="53">
        <f t="shared" si="11"/>
        <v>47</v>
      </c>
      <c r="R49" s="22" t="s">
        <v>2233</v>
      </c>
      <c r="S49" s="22" t="s">
        <v>2235</v>
      </c>
      <c r="T49" s="22" t="s">
        <v>2236</v>
      </c>
      <c r="U49" s="22" t="s">
        <v>2506</v>
      </c>
      <c r="V49" s="22" t="s">
        <v>2640</v>
      </c>
      <c r="W49" s="22" t="s">
        <v>2</v>
      </c>
    </row>
    <row r="50" spans="2:23" x14ac:dyDescent="0.25">
      <c r="B50" s="22" t="s">
        <v>2134</v>
      </c>
      <c r="C50" s="22" t="s">
        <v>2563</v>
      </c>
      <c r="D50" s="22" t="s">
        <v>2225</v>
      </c>
      <c r="E50" s="22">
        <v>647000000</v>
      </c>
      <c r="F50" s="22">
        <v>144900150000</v>
      </c>
      <c r="G50" s="22">
        <v>6654000000</v>
      </c>
      <c r="H50" s="22">
        <v>15091000000</v>
      </c>
      <c r="I50" s="23">
        <v>0</v>
      </c>
      <c r="J50" s="23">
        <v>0</v>
      </c>
      <c r="K50" s="23">
        <v>0</v>
      </c>
      <c r="L50" s="23">
        <f t="shared" si="6"/>
        <v>4.465143755889832E-3</v>
      </c>
      <c r="M50" s="23">
        <f t="shared" si="7"/>
        <v>0.44092505466834536</v>
      </c>
      <c r="N50" s="26">
        <f t="shared" si="8"/>
        <v>165</v>
      </c>
      <c r="O50" s="26">
        <f t="shared" si="9"/>
        <v>48</v>
      </c>
      <c r="P50" s="52">
        <f t="shared" si="10"/>
        <v>213</v>
      </c>
      <c r="Q50" s="53">
        <f t="shared" si="11"/>
        <v>48</v>
      </c>
      <c r="R50" s="22" t="s">
        <v>2230</v>
      </c>
      <c r="S50" s="22" t="s">
        <v>2235</v>
      </c>
      <c r="T50" s="22" t="s">
        <v>2282</v>
      </c>
      <c r="U50" s="22" t="s">
        <v>2564</v>
      </c>
      <c r="V50" s="22" t="s">
        <v>2640</v>
      </c>
      <c r="W50" s="22" t="s">
        <v>2</v>
      </c>
    </row>
    <row r="51" spans="2:23" hidden="1" x14ac:dyDescent="0.25">
      <c r="B51" s="22" t="s">
        <v>69</v>
      </c>
      <c r="C51" s="22" t="s">
        <v>2353</v>
      </c>
      <c r="D51" s="22" t="s">
        <v>2225</v>
      </c>
      <c r="E51" s="22">
        <v>6697000000</v>
      </c>
      <c r="F51" s="22">
        <v>40533672985</v>
      </c>
      <c r="G51" s="22">
        <v>7928000000</v>
      </c>
      <c r="H51" s="22">
        <v>18072000000</v>
      </c>
      <c r="I51" s="23">
        <v>8.0596725758016075E-2</v>
      </c>
      <c r="J51" s="23">
        <v>7.962585034013606</v>
      </c>
      <c r="K51" s="23">
        <v>0.54022356606193878</v>
      </c>
      <c r="L51" s="23">
        <f t="shared" si="6"/>
        <v>0.16522065499660762</v>
      </c>
      <c r="M51" s="23">
        <f t="shared" si="7"/>
        <v>0.43868968570163791</v>
      </c>
      <c r="N51" s="26">
        <f t="shared" si="8"/>
        <v>2</v>
      </c>
      <c r="O51" s="26">
        <f t="shared" si="9"/>
        <v>49</v>
      </c>
      <c r="P51" s="52">
        <f t="shared" si="10"/>
        <v>51</v>
      </c>
      <c r="Q51" s="53">
        <f t="shared" si="11"/>
        <v>49</v>
      </c>
      <c r="R51" s="22" t="s">
        <v>2226</v>
      </c>
      <c r="S51" s="22" t="s">
        <v>8</v>
      </c>
      <c r="T51" s="22" t="s">
        <v>2351</v>
      </c>
      <c r="U51" s="22" t="s">
        <v>2354</v>
      </c>
      <c r="V51" s="22" t="s">
        <v>2640</v>
      </c>
      <c r="W51" s="22" t="s">
        <v>2</v>
      </c>
    </row>
    <row r="52" spans="2:23" hidden="1" x14ac:dyDescent="0.25">
      <c r="B52" s="22" t="s">
        <v>1191</v>
      </c>
      <c r="C52" s="22" t="s">
        <v>2471</v>
      </c>
      <c r="D52" s="22" t="s">
        <v>2225</v>
      </c>
      <c r="E52" s="22">
        <v>3816137000</v>
      </c>
      <c r="F52" s="22">
        <v>84566267840</v>
      </c>
      <c r="G52" s="22">
        <v>6044616000</v>
      </c>
      <c r="H52" s="22">
        <v>14136841000</v>
      </c>
      <c r="I52" s="23">
        <v>9.0467896579129823E-3</v>
      </c>
      <c r="J52" s="23">
        <v>-0.49955325050056792</v>
      </c>
      <c r="K52" s="23">
        <v>0.29655350681237813</v>
      </c>
      <c r="L52" s="23">
        <f t="shared" si="6"/>
        <v>4.5125995239853306E-2</v>
      </c>
      <c r="M52" s="23">
        <f t="shared" si="7"/>
        <v>0.42757897609515449</v>
      </c>
      <c r="N52" s="26">
        <f t="shared" si="8"/>
        <v>71</v>
      </c>
      <c r="O52" s="26">
        <f t="shared" si="9"/>
        <v>50</v>
      </c>
      <c r="P52" s="52">
        <f t="shared" si="10"/>
        <v>121</v>
      </c>
      <c r="Q52" s="53">
        <f t="shared" si="11"/>
        <v>50</v>
      </c>
      <c r="R52" s="22" t="s">
        <v>2230</v>
      </c>
      <c r="S52" s="22" t="s">
        <v>2235</v>
      </c>
      <c r="T52" s="22" t="s">
        <v>2238</v>
      </c>
      <c r="U52" s="22" t="s">
        <v>2472</v>
      </c>
      <c r="V52" s="22" t="s">
        <v>2640</v>
      </c>
      <c r="W52" s="22" t="s">
        <v>2</v>
      </c>
    </row>
    <row r="53" spans="2:23" hidden="1" x14ac:dyDescent="0.25">
      <c r="B53" s="22" t="s">
        <v>1251</v>
      </c>
      <c r="C53" s="22" t="s">
        <v>2432</v>
      </c>
      <c r="D53" s="22" t="s">
        <v>2225</v>
      </c>
      <c r="E53" s="22">
        <v>629417000</v>
      </c>
      <c r="F53" s="22">
        <v>14232576800</v>
      </c>
      <c r="G53" s="22">
        <v>1133895000</v>
      </c>
      <c r="H53" s="22">
        <v>2674917000</v>
      </c>
      <c r="I53" s="23">
        <v>1.079219288174512E-2</v>
      </c>
      <c r="J53" s="23">
        <v>0.75529743817081785</v>
      </c>
      <c r="K53" s="23">
        <v>0.29455819140734846</v>
      </c>
      <c r="L53" s="23">
        <f t="shared" si="6"/>
        <v>4.4223685481886876E-2</v>
      </c>
      <c r="M53" s="23">
        <f t="shared" si="7"/>
        <v>0.42389913406658974</v>
      </c>
      <c r="N53" s="26">
        <f t="shared" si="8"/>
        <v>79</v>
      </c>
      <c r="O53" s="26">
        <f t="shared" si="9"/>
        <v>51</v>
      </c>
      <c r="P53" s="52">
        <f t="shared" si="10"/>
        <v>130</v>
      </c>
      <c r="Q53" s="53">
        <f t="shared" si="11"/>
        <v>51</v>
      </c>
      <c r="R53" s="22" t="s">
        <v>2233</v>
      </c>
      <c r="S53" s="22" t="s">
        <v>28</v>
      </c>
      <c r="T53" s="22" t="s">
        <v>2227</v>
      </c>
      <c r="U53" s="22" t="s">
        <v>2433</v>
      </c>
      <c r="V53" s="22" t="s">
        <v>2640</v>
      </c>
      <c r="W53" s="22" t="s">
        <v>2</v>
      </c>
    </row>
    <row r="54" spans="2:23" hidden="1" x14ac:dyDescent="0.25">
      <c r="B54" s="22" t="s">
        <v>854</v>
      </c>
      <c r="C54" s="22" t="s">
        <v>2586</v>
      </c>
      <c r="D54" s="22" t="s">
        <v>2225</v>
      </c>
      <c r="E54" s="22">
        <v>2397085000</v>
      </c>
      <c r="F54" s="22">
        <v>41947522647</v>
      </c>
      <c r="G54" s="22">
        <v>5019480000</v>
      </c>
      <c r="H54" s="22">
        <v>11935671000</v>
      </c>
      <c r="I54" s="23">
        <v>2.4296619411123228E-2</v>
      </c>
      <c r="J54" s="23">
        <v>0.51193739875718269</v>
      </c>
      <c r="K54" s="23">
        <v>0.44960113481061958</v>
      </c>
      <c r="L54" s="23">
        <f t="shared" si="6"/>
        <v>5.7144852633423268E-2</v>
      </c>
      <c r="M54" s="23">
        <f t="shared" si="7"/>
        <v>0.42054443357227256</v>
      </c>
      <c r="N54" s="26">
        <f t="shared" si="8"/>
        <v>35</v>
      </c>
      <c r="O54" s="26">
        <f t="shared" si="9"/>
        <v>52</v>
      </c>
      <c r="P54" s="52">
        <f t="shared" si="10"/>
        <v>87</v>
      </c>
      <c r="Q54" s="53">
        <f t="shared" si="11"/>
        <v>52</v>
      </c>
      <c r="R54" s="22" t="s">
        <v>2226</v>
      </c>
      <c r="S54" s="22" t="s">
        <v>2268</v>
      </c>
      <c r="T54" s="22" t="s">
        <v>2314</v>
      </c>
      <c r="U54" s="22" t="s">
        <v>2418</v>
      </c>
      <c r="V54" s="22" t="s">
        <v>2640</v>
      </c>
      <c r="W54" s="22" t="s">
        <v>2</v>
      </c>
    </row>
    <row r="55" spans="2:23" x14ac:dyDescent="0.25">
      <c r="B55" s="22" t="s">
        <v>2208</v>
      </c>
      <c r="C55" s="22" t="s">
        <v>2265</v>
      </c>
      <c r="D55" s="22" t="s">
        <v>2225</v>
      </c>
      <c r="E55" s="22">
        <v>78756000000</v>
      </c>
      <c r="F55" s="22">
        <v>1774805381551</v>
      </c>
      <c r="G55" s="22">
        <v>166033000000</v>
      </c>
      <c r="H55" s="22">
        <v>396711000000</v>
      </c>
      <c r="I55" s="23">
        <v>0</v>
      </c>
      <c r="J55" s="23">
        <v>0</v>
      </c>
      <c r="K55" s="23">
        <v>0</v>
      </c>
      <c r="L55" s="23">
        <f t="shared" si="6"/>
        <v>4.4374442864927102E-2</v>
      </c>
      <c r="M55" s="23">
        <f t="shared" si="7"/>
        <v>0.4185238120445362</v>
      </c>
      <c r="N55" s="26">
        <f t="shared" si="8"/>
        <v>77</v>
      </c>
      <c r="O55" s="26">
        <f t="shared" si="9"/>
        <v>53</v>
      </c>
      <c r="P55" s="52">
        <f t="shared" si="10"/>
        <v>130</v>
      </c>
      <c r="Q55" s="53">
        <f t="shared" si="11"/>
        <v>53</v>
      </c>
      <c r="R55" s="22" t="s">
        <v>2230</v>
      </c>
      <c r="S55" s="22" t="s">
        <v>122</v>
      </c>
      <c r="T55" s="22" t="s">
        <v>2263</v>
      </c>
      <c r="U55" s="22" t="s">
        <v>2264</v>
      </c>
      <c r="V55" s="22" t="s">
        <v>2640</v>
      </c>
      <c r="W55" s="22" t="s">
        <v>2</v>
      </c>
    </row>
    <row r="56" spans="2:23" x14ac:dyDescent="0.25">
      <c r="B56" s="22" t="s">
        <v>1046</v>
      </c>
      <c r="C56" s="22" t="s">
        <v>2262</v>
      </c>
      <c r="D56" s="22" t="s">
        <v>2225</v>
      </c>
      <c r="E56" s="22">
        <v>78756000000</v>
      </c>
      <c r="F56" s="22">
        <v>1774805381551</v>
      </c>
      <c r="G56" s="22">
        <v>166033000000</v>
      </c>
      <c r="H56" s="22">
        <v>396711000000</v>
      </c>
      <c r="I56" s="23">
        <v>0</v>
      </c>
      <c r="J56" s="23">
        <v>0</v>
      </c>
      <c r="K56" s="23">
        <v>0</v>
      </c>
      <c r="L56" s="23">
        <f t="shared" si="6"/>
        <v>4.4374442864927102E-2</v>
      </c>
      <c r="M56" s="23">
        <f t="shared" si="7"/>
        <v>0.4185238120445362</v>
      </c>
      <c r="N56" s="26">
        <f t="shared" si="8"/>
        <v>77</v>
      </c>
      <c r="O56" s="26">
        <f t="shared" si="9"/>
        <v>53</v>
      </c>
      <c r="P56" s="52">
        <f t="shared" si="10"/>
        <v>130</v>
      </c>
      <c r="Q56" s="53">
        <f t="shared" si="11"/>
        <v>53</v>
      </c>
      <c r="R56" s="22" t="s">
        <v>2230</v>
      </c>
      <c r="S56" s="22" t="s">
        <v>122</v>
      </c>
      <c r="T56" s="22" t="s">
        <v>2263</v>
      </c>
      <c r="U56" s="22" t="s">
        <v>2264</v>
      </c>
      <c r="V56" s="22" t="s">
        <v>2640</v>
      </c>
      <c r="W56" s="22" t="s">
        <v>2</v>
      </c>
    </row>
    <row r="57" spans="2:23" hidden="1" x14ac:dyDescent="0.25">
      <c r="B57" s="22" t="s">
        <v>1666</v>
      </c>
      <c r="C57" s="22" t="s">
        <v>2629</v>
      </c>
      <c r="D57" s="22" t="s">
        <v>2225</v>
      </c>
      <c r="E57" s="22">
        <v>3144000000</v>
      </c>
      <c r="F57" s="22">
        <v>94750787000</v>
      </c>
      <c r="G57" s="22">
        <v>5885000000</v>
      </c>
      <c r="H57" s="22">
        <v>14106000000</v>
      </c>
      <c r="I57" s="23">
        <v>7.6726342710997436E-3</v>
      </c>
      <c r="J57" s="23">
        <v>2.0990279211391858</v>
      </c>
      <c r="K57" s="23">
        <v>0.29429824561403511</v>
      </c>
      <c r="L57" s="23">
        <f t="shared" si="6"/>
        <v>3.3181782437332157E-2</v>
      </c>
      <c r="M57" s="23">
        <f t="shared" si="7"/>
        <v>0.41719835530979726</v>
      </c>
      <c r="N57" s="26">
        <f t="shared" si="8"/>
        <v>119</v>
      </c>
      <c r="O57" s="26">
        <f t="shared" si="9"/>
        <v>55</v>
      </c>
      <c r="P57" s="52">
        <f t="shared" si="10"/>
        <v>174</v>
      </c>
      <c r="Q57" s="53">
        <f t="shared" si="11"/>
        <v>55</v>
      </c>
      <c r="R57" s="22" t="s">
        <v>2230</v>
      </c>
      <c r="S57" s="22" t="s">
        <v>4</v>
      </c>
      <c r="T57" s="22" t="s">
        <v>2441</v>
      </c>
      <c r="U57" s="22" t="s">
        <v>2630</v>
      </c>
      <c r="V57" s="22" t="s">
        <v>2640</v>
      </c>
      <c r="W57" s="22" t="s">
        <v>2</v>
      </c>
    </row>
    <row r="58" spans="2:23" hidden="1" x14ac:dyDescent="0.25">
      <c r="B58" s="22" t="s">
        <v>779</v>
      </c>
      <c r="C58" s="22" t="s">
        <v>2482</v>
      </c>
      <c r="D58" s="22" t="s">
        <v>2225</v>
      </c>
      <c r="E58" s="22">
        <v>393916000</v>
      </c>
      <c r="F58" s="22">
        <v>6784800834</v>
      </c>
      <c r="G58" s="22">
        <v>768907000</v>
      </c>
      <c r="H58" s="22">
        <v>1852527000</v>
      </c>
      <c r="I58" s="23">
        <v>1.6502569034903439E-2</v>
      </c>
      <c r="J58" s="23">
        <v>7.4718314779081902</v>
      </c>
      <c r="K58" s="23">
        <v>0.34773063204641835</v>
      </c>
      <c r="L58" s="23">
        <f t="shared" si="6"/>
        <v>5.8058594443333958E-2</v>
      </c>
      <c r="M58" s="23">
        <f t="shared" si="7"/>
        <v>0.41505845798738694</v>
      </c>
      <c r="N58" s="26">
        <f t="shared" si="8"/>
        <v>33</v>
      </c>
      <c r="O58" s="26">
        <f t="shared" si="9"/>
        <v>56</v>
      </c>
      <c r="P58" s="52">
        <f t="shared" si="10"/>
        <v>89</v>
      </c>
      <c r="Q58" s="53">
        <f t="shared" si="11"/>
        <v>56</v>
      </c>
      <c r="R58" s="22" t="s">
        <v>2294</v>
      </c>
      <c r="S58" s="22" t="s">
        <v>28</v>
      </c>
      <c r="T58" s="22" t="s">
        <v>2332</v>
      </c>
      <c r="U58" s="22" t="s">
        <v>2307</v>
      </c>
      <c r="V58" s="22" t="s">
        <v>2640</v>
      </c>
      <c r="W58" s="22" t="s">
        <v>2</v>
      </c>
    </row>
    <row r="59" spans="2:23" hidden="1" x14ac:dyDescent="0.25">
      <c r="B59" s="22" t="s">
        <v>1720</v>
      </c>
      <c r="C59" s="22" t="s">
        <v>2383</v>
      </c>
      <c r="D59" s="22" t="s">
        <v>2225</v>
      </c>
      <c r="E59" s="22">
        <v>8347000000</v>
      </c>
      <c r="F59" s="22">
        <v>291683783360</v>
      </c>
      <c r="G59" s="22">
        <v>30378000000</v>
      </c>
      <c r="H59" s="22">
        <v>73723000000</v>
      </c>
      <c r="I59" s="23">
        <v>2.8104710800154163E-2</v>
      </c>
      <c r="J59" s="23">
        <v>0.79383462780812275</v>
      </c>
      <c r="K59" s="23">
        <v>0.26944913303667334</v>
      </c>
      <c r="L59" s="23">
        <f t="shared" si="6"/>
        <v>2.8616606325686682E-2</v>
      </c>
      <c r="M59" s="23">
        <f t="shared" si="7"/>
        <v>0.41205593912347571</v>
      </c>
      <c r="N59" s="26">
        <f t="shared" si="8"/>
        <v>130</v>
      </c>
      <c r="O59" s="26">
        <f t="shared" si="9"/>
        <v>57</v>
      </c>
      <c r="P59" s="52">
        <f t="shared" si="10"/>
        <v>187</v>
      </c>
      <c r="Q59" s="53">
        <f t="shared" si="11"/>
        <v>57</v>
      </c>
      <c r="R59" s="22" t="s">
        <v>2240</v>
      </c>
      <c r="S59" s="22" t="s">
        <v>2268</v>
      </c>
      <c r="T59" s="22" t="s">
        <v>2384</v>
      </c>
      <c r="U59" s="22" t="s">
        <v>2385</v>
      </c>
      <c r="V59" s="22" t="s">
        <v>2640</v>
      </c>
      <c r="W59" s="22" t="s">
        <v>2</v>
      </c>
    </row>
    <row r="60" spans="2:23" hidden="1" x14ac:dyDescent="0.25">
      <c r="B60" s="22" t="s">
        <v>1973</v>
      </c>
      <c r="C60" s="22" t="s">
        <v>2611</v>
      </c>
      <c r="D60" s="22" t="s">
        <v>2225</v>
      </c>
      <c r="E60" s="22">
        <v>1163700000</v>
      </c>
      <c r="F60" s="22">
        <v>37015771210</v>
      </c>
      <c r="G60" s="22">
        <v>1779100000</v>
      </c>
      <c r="H60" s="22">
        <v>4363900000</v>
      </c>
      <c r="I60" s="23">
        <v>5.742515728581683E-3</v>
      </c>
      <c r="J60" s="23">
        <v>0</v>
      </c>
      <c r="K60" s="23">
        <v>0.24657016991818756</v>
      </c>
      <c r="L60" s="23">
        <f t="shared" si="6"/>
        <v>3.1437950958742161E-2</v>
      </c>
      <c r="M60" s="23">
        <f t="shared" si="7"/>
        <v>0.40768578565045027</v>
      </c>
      <c r="N60" s="26">
        <f t="shared" si="8"/>
        <v>122</v>
      </c>
      <c r="O60" s="26">
        <f t="shared" si="9"/>
        <v>58</v>
      </c>
      <c r="P60" s="52">
        <f t="shared" si="10"/>
        <v>180</v>
      </c>
      <c r="Q60" s="53">
        <f t="shared" si="11"/>
        <v>58</v>
      </c>
      <c r="R60" s="22" t="s">
        <v>2226</v>
      </c>
      <c r="S60" s="22" t="s">
        <v>28</v>
      </c>
      <c r="T60" s="22" t="s">
        <v>2405</v>
      </c>
      <c r="U60" s="22" t="s">
        <v>2612</v>
      </c>
      <c r="V60" s="22" t="s">
        <v>2640</v>
      </c>
      <c r="W60" s="22" t="s">
        <v>2</v>
      </c>
    </row>
    <row r="61" spans="2:23" hidden="1" x14ac:dyDescent="0.25">
      <c r="B61" s="22" t="s">
        <v>2360</v>
      </c>
      <c r="C61" s="22" t="s">
        <v>2423</v>
      </c>
      <c r="D61" s="22" t="s">
        <v>2225</v>
      </c>
      <c r="E61" s="22">
        <v>267835000</v>
      </c>
      <c r="F61" s="22">
        <v>4602943267</v>
      </c>
      <c r="G61" s="22">
        <v>703217000</v>
      </c>
      <c r="H61" s="22">
        <v>1725296000</v>
      </c>
      <c r="I61" s="23">
        <v>9.2340840301646764E-3</v>
      </c>
      <c r="J61" s="23">
        <v>0.84345963001049518</v>
      </c>
      <c r="K61" s="23">
        <v>0.2110786301736472</v>
      </c>
      <c r="L61" s="23">
        <f t="shared" si="6"/>
        <v>5.8187769099870591E-2</v>
      </c>
      <c r="M61" s="23">
        <f t="shared" si="7"/>
        <v>0.40759208854596546</v>
      </c>
      <c r="N61" s="26">
        <f t="shared" si="8"/>
        <v>32</v>
      </c>
      <c r="O61" s="26">
        <f t="shared" si="9"/>
        <v>59</v>
      </c>
      <c r="P61" s="52">
        <f t="shared" si="10"/>
        <v>91</v>
      </c>
      <c r="Q61" s="53">
        <f t="shared" si="11"/>
        <v>59</v>
      </c>
      <c r="R61" s="22" t="s">
        <v>2310</v>
      </c>
      <c r="S61" s="22" t="s">
        <v>28</v>
      </c>
      <c r="T61" s="22" t="s">
        <v>2227</v>
      </c>
      <c r="U61" s="22" t="s">
        <v>2312</v>
      </c>
      <c r="V61" s="22" t="s">
        <v>2640</v>
      </c>
      <c r="W61" s="22" t="s">
        <v>2</v>
      </c>
    </row>
    <row r="62" spans="2:23" hidden="1" x14ac:dyDescent="0.25">
      <c r="B62" s="22" t="s">
        <v>1140</v>
      </c>
      <c r="C62" s="22" t="s">
        <v>2239</v>
      </c>
      <c r="D62" s="22" t="s">
        <v>2225</v>
      </c>
      <c r="E62" s="22">
        <v>8921340000</v>
      </c>
      <c r="F62" s="22">
        <v>217537163560</v>
      </c>
      <c r="G62" s="22">
        <v>20993406000</v>
      </c>
      <c r="H62" s="22">
        <v>51531354000</v>
      </c>
      <c r="I62" s="23">
        <v>1.3156777862660216E-2</v>
      </c>
      <c r="J62" s="23">
        <v>0.64902311352323772</v>
      </c>
      <c r="K62" s="23">
        <v>0.4261426259776272</v>
      </c>
      <c r="L62" s="23">
        <f t="shared" si="6"/>
        <v>4.1010647808411647E-2</v>
      </c>
      <c r="M62" s="23">
        <f t="shared" si="7"/>
        <v>0.40739092553244383</v>
      </c>
      <c r="N62" s="26">
        <f t="shared" si="8"/>
        <v>93</v>
      </c>
      <c r="O62" s="26">
        <f t="shared" si="9"/>
        <v>60</v>
      </c>
      <c r="P62" s="52">
        <f t="shared" si="10"/>
        <v>153</v>
      </c>
      <c r="Q62" s="53">
        <f t="shared" si="11"/>
        <v>60</v>
      </c>
      <c r="R62" s="22" t="s">
        <v>2240</v>
      </c>
      <c r="S62" s="22" t="s">
        <v>2235</v>
      </c>
      <c r="T62" s="22" t="s">
        <v>2241</v>
      </c>
      <c r="U62" s="22" t="s">
        <v>2242</v>
      </c>
      <c r="V62" s="22" t="s">
        <v>2641</v>
      </c>
      <c r="W62" s="22" t="s">
        <v>2</v>
      </c>
    </row>
    <row r="63" spans="2:23" x14ac:dyDescent="0.25">
      <c r="B63" s="22" t="s">
        <v>1040</v>
      </c>
      <c r="C63" s="22" t="s">
        <v>2477</v>
      </c>
      <c r="D63" s="22" t="s">
        <v>2225</v>
      </c>
      <c r="E63" s="22">
        <v>1345000000</v>
      </c>
      <c r="F63" s="22">
        <v>27611963050</v>
      </c>
      <c r="G63" s="22">
        <v>3532000000</v>
      </c>
      <c r="H63" s="22">
        <v>8683000000</v>
      </c>
      <c r="I63" s="23">
        <v>0</v>
      </c>
      <c r="J63" s="23">
        <v>-1</v>
      </c>
      <c r="K63" s="23">
        <v>0</v>
      </c>
      <c r="L63" s="23">
        <f t="shared" si="6"/>
        <v>4.8710770674452279E-2</v>
      </c>
      <c r="M63" s="23">
        <f t="shared" si="7"/>
        <v>0.40677185304618219</v>
      </c>
      <c r="N63" s="26">
        <f t="shared" si="8"/>
        <v>60</v>
      </c>
      <c r="O63" s="26">
        <f t="shared" si="9"/>
        <v>61</v>
      </c>
      <c r="P63" s="52">
        <f t="shared" si="10"/>
        <v>121</v>
      </c>
      <c r="Q63" s="53">
        <f t="shared" si="11"/>
        <v>61</v>
      </c>
      <c r="R63" s="22" t="s">
        <v>2226</v>
      </c>
      <c r="S63" s="22" t="s">
        <v>2235</v>
      </c>
      <c r="T63" s="22" t="s">
        <v>2311</v>
      </c>
      <c r="U63" s="22" t="s">
        <v>2358</v>
      </c>
      <c r="V63" s="22" t="s">
        <v>2640</v>
      </c>
      <c r="W63" s="22" t="s">
        <v>2</v>
      </c>
    </row>
    <row r="64" spans="2:23" x14ac:dyDescent="0.25">
      <c r="B64" s="22" t="s">
        <v>225</v>
      </c>
      <c r="C64" s="22" t="s">
        <v>2509</v>
      </c>
      <c r="D64" s="22" t="s">
        <v>2225</v>
      </c>
      <c r="E64" s="22">
        <v>1916435000</v>
      </c>
      <c r="F64" s="22">
        <v>20387796046</v>
      </c>
      <c r="G64" s="22">
        <v>2581340000</v>
      </c>
      <c r="H64" s="22">
        <v>6372263000</v>
      </c>
      <c r="I64" s="23">
        <v>0</v>
      </c>
      <c r="J64" s="23">
        <v>0</v>
      </c>
      <c r="K64" s="23">
        <v>0.73910776970538483</v>
      </c>
      <c r="L64" s="23">
        <f t="shared" si="6"/>
        <v>9.3999125539417805E-2</v>
      </c>
      <c r="M64" s="23">
        <f t="shared" si="7"/>
        <v>0.40508999707011467</v>
      </c>
      <c r="N64" s="26">
        <f t="shared" si="8"/>
        <v>7</v>
      </c>
      <c r="O64" s="26">
        <f t="shared" si="9"/>
        <v>62</v>
      </c>
      <c r="P64" s="52">
        <f t="shared" si="10"/>
        <v>69</v>
      </c>
      <c r="Q64" s="53">
        <f t="shared" si="11"/>
        <v>62</v>
      </c>
      <c r="R64" s="22" t="s">
        <v>2226</v>
      </c>
      <c r="S64" s="22" t="s">
        <v>2254</v>
      </c>
      <c r="T64" s="22" t="s">
        <v>2510</v>
      </c>
      <c r="U64" s="22" t="s">
        <v>2511</v>
      </c>
      <c r="V64" s="22" t="s">
        <v>2640</v>
      </c>
      <c r="W64" s="22" t="s">
        <v>2</v>
      </c>
    </row>
    <row r="65" spans="2:23" hidden="1" x14ac:dyDescent="0.25">
      <c r="B65" s="22" t="s">
        <v>1702</v>
      </c>
      <c r="C65" s="22" t="s">
        <v>2495</v>
      </c>
      <c r="D65" s="22" t="s">
        <v>2225</v>
      </c>
      <c r="E65" s="22">
        <v>6663000000</v>
      </c>
      <c r="F65" s="22">
        <v>298990572600</v>
      </c>
      <c r="G65" s="22">
        <v>43219000000</v>
      </c>
      <c r="H65" s="22">
        <v>106727000000</v>
      </c>
      <c r="I65" s="23">
        <v>2.7501625940722849E-2</v>
      </c>
      <c r="J65" s="23">
        <v>0.44530047100584558</v>
      </c>
      <c r="K65" s="23">
        <v>1.5935329861111112</v>
      </c>
      <c r="L65" s="23">
        <f t="shared" si="6"/>
        <v>2.2284983576769803E-2</v>
      </c>
      <c r="M65" s="23">
        <f t="shared" si="7"/>
        <v>0.40494907567906901</v>
      </c>
      <c r="N65" s="26">
        <f t="shared" si="8"/>
        <v>148</v>
      </c>
      <c r="O65" s="26">
        <f t="shared" si="9"/>
        <v>63</v>
      </c>
      <c r="P65" s="52">
        <f t="shared" si="10"/>
        <v>211</v>
      </c>
      <c r="Q65" s="53">
        <f t="shared" si="11"/>
        <v>63</v>
      </c>
      <c r="R65" s="22" t="s">
        <v>2240</v>
      </c>
      <c r="S65" s="22" t="s">
        <v>4</v>
      </c>
      <c r="T65" s="22" t="s">
        <v>2274</v>
      </c>
      <c r="U65" s="22" t="s">
        <v>2496</v>
      </c>
      <c r="V65" s="22" t="s">
        <v>2640</v>
      </c>
      <c r="W65" s="22" t="s">
        <v>2</v>
      </c>
    </row>
    <row r="66" spans="2:23" hidden="1" x14ac:dyDescent="0.25">
      <c r="B66" s="22" t="s">
        <v>1964</v>
      </c>
      <c r="C66" s="22" t="s">
        <v>2456</v>
      </c>
      <c r="D66" s="22" t="s">
        <v>2225</v>
      </c>
      <c r="E66" s="22">
        <v>3372000000</v>
      </c>
      <c r="F66" s="22">
        <v>179621009600</v>
      </c>
      <c r="G66" s="22">
        <v>11522000000</v>
      </c>
      <c r="H66" s="22">
        <v>28488000000</v>
      </c>
      <c r="I66" s="23">
        <v>5.1852444586700805E-3</v>
      </c>
      <c r="J66" s="23">
        <v>0.98994465186636016</v>
      </c>
      <c r="K66" s="23">
        <v>0.3586073500967118</v>
      </c>
      <c r="L66" s="23">
        <f t="shared" si="6"/>
        <v>1.8772859631003877E-2</v>
      </c>
      <c r="M66" s="23">
        <f t="shared" si="7"/>
        <v>0.40445099691098008</v>
      </c>
      <c r="N66" s="26">
        <f t="shared" si="8"/>
        <v>153</v>
      </c>
      <c r="O66" s="26">
        <f t="shared" si="9"/>
        <v>64</v>
      </c>
      <c r="P66" s="52">
        <f t="shared" si="10"/>
        <v>217</v>
      </c>
      <c r="Q66" s="53">
        <f t="shared" si="11"/>
        <v>64</v>
      </c>
      <c r="R66" s="22" t="s">
        <v>2230</v>
      </c>
      <c r="S66" s="22" t="s">
        <v>2235</v>
      </c>
      <c r="T66" s="22" t="s">
        <v>2282</v>
      </c>
      <c r="U66" s="22" t="s">
        <v>2457</v>
      </c>
      <c r="V66" s="22" t="s">
        <v>2640</v>
      </c>
      <c r="W66" s="22" t="s">
        <v>2</v>
      </c>
    </row>
    <row r="67" spans="2:23" hidden="1" x14ac:dyDescent="0.25">
      <c r="B67" s="22" t="s">
        <v>875</v>
      </c>
      <c r="C67" s="22" t="s">
        <v>2287</v>
      </c>
      <c r="D67" s="22" t="s">
        <v>2225</v>
      </c>
      <c r="E67" s="22">
        <v>7654000000</v>
      </c>
      <c r="F67" s="22">
        <v>135956686760</v>
      </c>
      <c r="G67" s="22">
        <v>12384000000</v>
      </c>
      <c r="H67" s="22">
        <v>30729000000</v>
      </c>
      <c r="I67" s="23">
        <v>7.4263452641831033E-3</v>
      </c>
      <c r="J67" s="23">
        <v>0.94347697756788662</v>
      </c>
      <c r="K67" s="23">
        <v>0.14221120186697783</v>
      </c>
      <c r="L67" s="23">
        <f t="shared" ref="L67:L98" si="12">+E67/F67</f>
        <v>5.6297341325413155E-2</v>
      </c>
      <c r="M67" s="23">
        <f t="shared" ref="M67:M98" si="13">+G67/H67</f>
        <v>0.40300693156301864</v>
      </c>
      <c r="N67" s="26">
        <f t="shared" ref="N67:N98" si="14">+_xlfn.RANK.EQ(L67,L:L,0)</f>
        <v>37</v>
      </c>
      <c r="O67" s="26">
        <f t="shared" ref="O67:O98" si="15">+_xlfn.RANK.EQ(M67,M:M,0)</f>
        <v>65</v>
      </c>
      <c r="P67" s="52">
        <f t="shared" ref="P67:P98" si="16">+N67+O67</f>
        <v>102</v>
      </c>
      <c r="Q67" s="53">
        <f t="shared" ref="Q67:Q98" si="17">+_xlfn.RANK.EQ(O67,O:O,1)</f>
        <v>65</v>
      </c>
      <c r="R67" s="22" t="s">
        <v>2240</v>
      </c>
      <c r="S67" s="22" t="s">
        <v>2235</v>
      </c>
      <c r="T67" s="22" t="s">
        <v>2238</v>
      </c>
      <c r="U67" s="22" t="s">
        <v>2288</v>
      </c>
      <c r="V67" s="22" t="s">
        <v>2640</v>
      </c>
      <c r="W67" s="22" t="s">
        <v>2</v>
      </c>
    </row>
    <row r="68" spans="2:23" hidden="1" x14ac:dyDescent="0.25">
      <c r="B68" s="22" t="s">
        <v>1408</v>
      </c>
      <c r="C68" s="22" t="s">
        <v>2619</v>
      </c>
      <c r="D68" s="22" t="s">
        <v>2225</v>
      </c>
      <c r="E68" s="22">
        <v>839736000</v>
      </c>
      <c r="F68" s="22">
        <v>21735749110</v>
      </c>
      <c r="G68" s="22">
        <v>1770399000</v>
      </c>
      <c r="H68" s="22">
        <v>4497180000</v>
      </c>
      <c r="J68" s="23">
        <v>0</v>
      </c>
      <c r="K68" s="23">
        <v>0</v>
      </c>
      <c r="L68" s="23">
        <f t="shared" si="12"/>
        <v>3.8633865147700903E-2</v>
      </c>
      <c r="M68" s="23">
        <f t="shared" si="13"/>
        <v>0.39366869905140556</v>
      </c>
      <c r="N68" s="26">
        <f t="shared" si="14"/>
        <v>103</v>
      </c>
      <c r="O68" s="26">
        <f t="shared" si="15"/>
        <v>66</v>
      </c>
      <c r="P68" s="52">
        <f t="shared" si="16"/>
        <v>169</v>
      </c>
      <c r="Q68" s="53">
        <f t="shared" si="17"/>
        <v>66</v>
      </c>
      <c r="R68" s="22" t="s">
        <v>2226</v>
      </c>
      <c r="S68" s="22" t="s">
        <v>4</v>
      </c>
      <c r="T68" s="22" t="s">
        <v>2248</v>
      </c>
      <c r="U68" s="22" t="s">
        <v>2620</v>
      </c>
      <c r="V68" s="22" t="s">
        <v>2640</v>
      </c>
      <c r="W68" s="22" t="s">
        <v>2</v>
      </c>
    </row>
    <row r="69" spans="2:23" hidden="1" x14ac:dyDescent="0.25">
      <c r="B69" s="22" t="s">
        <v>1064</v>
      </c>
      <c r="C69" s="22" t="s">
        <v>2525</v>
      </c>
      <c r="D69" s="22" t="s">
        <v>2225</v>
      </c>
      <c r="E69" s="22">
        <v>2155000000</v>
      </c>
      <c r="F69" s="22">
        <v>42957511999</v>
      </c>
      <c r="G69" s="22">
        <v>4085000000</v>
      </c>
      <c r="H69" s="22">
        <v>10390000000</v>
      </c>
      <c r="I69" s="23">
        <v>1.4531804129029113E-2</v>
      </c>
      <c r="J69" s="23">
        <v>0</v>
      </c>
      <c r="K69" s="23">
        <v>0.37681159420289856</v>
      </c>
      <c r="L69" s="23">
        <f t="shared" si="12"/>
        <v>5.0165847594948375E-2</v>
      </c>
      <c r="M69" s="23">
        <f t="shared" si="13"/>
        <v>0.3931665062560154</v>
      </c>
      <c r="N69" s="26">
        <f t="shared" si="14"/>
        <v>52</v>
      </c>
      <c r="O69" s="26">
        <f t="shared" si="15"/>
        <v>67</v>
      </c>
      <c r="P69" s="52">
        <f t="shared" si="16"/>
        <v>119</v>
      </c>
      <c r="Q69" s="53">
        <f t="shared" si="17"/>
        <v>67</v>
      </c>
      <c r="R69" s="22" t="s">
        <v>2226</v>
      </c>
      <c r="S69" s="22" t="s">
        <v>28</v>
      </c>
      <c r="T69" s="22" t="s">
        <v>2227</v>
      </c>
      <c r="U69" s="22" t="s">
        <v>2526</v>
      </c>
      <c r="V69" s="22" t="s">
        <v>2640</v>
      </c>
      <c r="W69" s="22" t="s">
        <v>2</v>
      </c>
    </row>
    <row r="70" spans="2:23" hidden="1" x14ac:dyDescent="0.25">
      <c r="B70" s="22" t="s">
        <v>144</v>
      </c>
      <c r="C70" s="22" t="s">
        <v>2266</v>
      </c>
      <c r="D70" s="22" t="s">
        <v>2225</v>
      </c>
      <c r="E70" s="22">
        <v>11569000000</v>
      </c>
      <c r="F70" s="22">
        <v>94908341000</v>
      </c>
      <c r="G70" s="22">
        <v>14295000000</v>
      </c>
      <c r="H70" s="22">
        <v>36469000000</v>
      </c>
      <c r="I70" s="23">
        <v>9.5190877540902316E-2</v>
      </c>
      <c r="J70" s="23">
        <v>0.44644813836738922</v>
      </c>
      <c r="K70" s="23">
        <v>0.76837899543378996</v>
      </c>
      <c r="L70" s="23">
        <f t="shared" si="12"/>
        <v>0.12189655701599504</v>
      </c>
      <c r="M70" s="23">
        <f t="shared" si="13"/>
        <v>0.39197674737448246</v>
      </c>
      <c r="N70" s="26">
        <f t="shared" si="14"/>
        <v>3</v>
      </c>
      <c r="O70" s="26">
        <f t="shared" si="15"/>
        <v>68</v>
      </c>
      <c r="P70" s="52">
        <f t="shared" si="16"/>
        <v>71</v>
      </c>
      <c r="Q70" s="53">
        <f t="shared" si="17"/>
        <v>68</v>
      </c>
      <c r="R70" s="22" t="s">
        <v>2267</v>
      </c>
      <c r="S70" s="22" t="s">
        <v>2268</v>
      </c>
      <c r="T70" s="22" t="s">
        <v>2269</v>
      </c>
      <c r="U70" s="22" t="s">
        <v>2270</v>
      </c>
      <c r="V70" s="22" t="s">
        <v>2640</v>
      </c>
      <c r="W70" s="22" t="s">
        <v>2</v>
      </c>
    </row>
    <row r="71" spans="2:23" hidden="1" x14ac:dyDescent="0.25">
      <c r="B71" s="22" t="s">
        <v>545</v>
      </c>
      <c r="C71" s="22" t="s">
        <v>546</v>
      </c>
      <c r="D71" s="22" t="s">
        <v>2225</v>
      </c>
      <c r="E71" s="22">
        <v>25222000000</v>
      </c>
      <c r="F71" s="22">
        <v>386065699200</v>
      </c>
      <c r="G71" s="22">
        <v>64355000000</v>
      </c>
      <c r="H71" s="22">
        <v>166061000000</v>
      </c>
      <c r="I71" s="23">
        <v>3.0101191238631995E-2</v>
      </c>
      <c r="J71" s="23">
        <v>0.33479740499827665</v>
      </c>
      <c r="K71" s="23">
        <v>0.34250808687615525</v>
      </c>
      <c r="L71" s="23">
        <f t="shared" si="12"/>
        <v>6.5330849262870749E-2</v>
      </c>
      <c r="M71" s="23">
        <f t="shared" si="13"/>
        <v>0.3875383142339261</v>
      </c>
      <c r="N71" s="26">
        <f t="shared" si="14"/>
        <v>23</v>
      </c>
      <c r="O71" s="26">
        <f t="shared" si="15"/>
        <v>69</v>
      </c>
      <c r="P71" s="52">
        <f t="shared" si="16"/>
        <v>92</v>
      </c>
      <c r="Q71" s="53">
        <f t="shared" si="17"/>
        <v>69</v>
      </c>
      <c r="R71" s="22" t="s">
        <v>2267</v>
      </c>
      <c r="S71" s="22" t="s">
        <v>4</v>
      </c>
      <c r="T71" s="22" t="s">
        <v>2274</v>
      </c>
      <c r="U71" s="22" t="s">
        <v>2470</v>
      </c>
      <c r="V71" s="22" t="s">
        <v>2640</v>
      </c>
      <c r="W71" s="22" t="s">
        <v>2</v>
      </c>
    </row>
    <row r="72" spans="2:23" hidden="1" x14ac:dyDescent="0.25">
      <c r="B72" s="22" t="s">
        <v>1152</v>
      </c>
      <c r="C72" s="22" t="s">
        <v>2478</v>
      </c>
      <c r="D72" s="22" t="s">
        <v>2225</v>
      </c>
      <c r="E72" s="22">
        <v>4500049000</v>
      </c>
      <c r="F72" s="22">
        <v>104726383320</v>
      </c>
      <c r="G72" s="22">
        <v>7094792000</v>
      </c>
      <c r="H72" s="22">
        <v>18538457000</v>
      </c>
      <c r="I72" s="23">
        <v>9.3627075190710184E-3</v>
      </c>
      <c r="J72" s="23">
        <v>2.5216783408975254</v>
      </c>
      <c r="K72" s="23">
        <v>0.23477325076464148</v>
      </c>
      <c r="L72" s="23">
        <f t="shared" si="12"/>
        <v>4.2969582805602417E-2</v>
      </c>
      <c r="M72" s="23">
        <f t="shared" si="13"/>
        <v>0.38270671609832468</v>
      </c>
      <c r="N72" s="26">
        <f t="shared" si="14"/>
        <v>86</v>
      </c>
      <c r="O72" s="26">
        <f t="shared" si="15"/>
        <v>70</v>
      </c>
      <c r="P72" s="52">
        <f t="shared" si="16"/>
        <v>156</v>
      </c>
      <c r="Q72" s="53">
        <f t="shared" si="17"/>
        <v>70</v>
      </c>
      <c r="R72" s="22" t="s">
        <v>2240</v>
      </c>
      <c r="S72" s="22" t="s">
        <v>2235</v>
      </c>
      <c r="T72" s="22" t="s">
        <v>2238</v>
      </c>
      <c r="U72" s="22" t="s">
        <v>2479</v>
      </c>
      <c r="V72" s="22" t="s">
        <v>2640</v>
      </c>
      <c r="W72" s="22" t="s">
        <v>2</v>
      </c>
    </row>
    <row r="73" spans="2:23" hidden="1" x14ac:dyDescent="0.25">
      <c r="B73" s="22" t="s">
        <v>2308</v>
      </c>
      <c r="C73" s="22" t="s">
        <v>2309</v>
      </c>
      <c r="D73" s="22" t="s">
        <v>2225</v>
      </c>
      <c r="E73" s="22">
        <v>108444000</v>
      </c>
      <c r="F73" s="22">
        <v>4428999443</v>
      </c>
      <c r="G73" s="22">
        <v>261938000</v>
      </c>
      <c r="H73" s="22">
        <v>689757000</v>
      </c>
      <c r="I73" s="23">
        <v>6.3270914552310351E-3</v>
      </c>
      <c r="J73" s="23">
        <v>0.73293067586084415</v>
      </c>
      <c r="K73" s="23">
        <v>0.32456448440573193</v>
      </c>
      <c r="L73" s="23">
        <f t="shared" si="12"/>
        <v>2.448498840328258E-2</v>
      </c>
      <c r="M73" s="23">
        <f t="shared" si="13"/>
        <v>0.37975402931757124</v>
      </c>
      <c r="N73" s="26">
        <f t="shared" si="14"/>
        <v>143</v>
      </c>
      <c r="O73" s="26">
        <f t="shared" si="15"/>
        <v>71</v>
      </c>
      <c r="P73" s="52">
        <f t="shared" si="16"/>
        <v>214</v>
      </c>
      <c r="Q73" s="53">
        <f t="shared" si="17"/>
        <v>71</v>
      </c>
      <c r="R73" s="22" t="s">
        <v>2310</v>
      </c>
      <c r="S73" s="22" t="s">
        <v>2235</v>
      </c>
      <c r="T73" s="22" t="s">
        <v>2311</v>
      </c>
      <c r="U73" s="22" t="s">
        <v>2312</v>
      </c>
      <c r="V73" s="22" t="s">
        <v>2640</v>
      </c>
      <c r="W73" s="22" t="s">
        <v>2</v>
      </c>
    </row>
    <row r="74" spans="2:23" x14ac:dyDescent="0.25">
      <c r="B74" s="22" t="s">
        <v>1284</v>
      </c>
      <c r="C74" s="22" t="s">
        <v>2328</v>
      </c>
      <c r="D74" s="22" t="s">
        <v>2225</v>
      </c>
      <c r="E74" s="22">
        <v>464400000</v>
      </c>
      <c r="F74" s="22">
        <v>11031976720</v>
      </c>
      <c r="G74" s="22">
        <v>1448900000</v>
      </c>
      <c r="H74" s="22">
        <v>3818200000</v>
      </c>
      <c r="I74" s="23">
        <v>2.720348204570185E-3</v>
      </c>
      <c r="J74" s="23">
        <v>0.24823285043609131</v>
      </c>
      <c r="K74" s="23">
        <v>9.2447508617988075E-2</v>
      </c>
      <c r="L74" s="23">
        <f t="shared" si="12"/>
        <v>4.2095810368968943E-2</v>
      </c>
      <c r="M74" s="23">
        <f t="shared" si="13"/>
        <v>0.37947200251427377</v>
      </c>
      <c r="N74" s="26">
        <f t="shared" si="14"/>
        <v>87</v>
      </c>
      <c r="O74" s="26">
        <f t="shared" si="15"/>
        <v>72</v>
      </c>
      <c r="P74" s="52">
        <f t="shared" si="16"/>
        <v>159</v>
      </c>
      <c r="Q74" s="53">
        <f t="shared" si="17"/>
        <v>72</v>
      </c>
      <c r="R74" s="22" t="s">
        <v>2233</v>
      </c>
      <c r="S74" s="22" t="s">
        <v>4</v>
      </c>
      <c r="T74" s="22" t="s">
        <v>2329</v>
      </c>
      <c r="U74" s="22" t="s">
        <v>2330</v>
      </c>
      <c r="V74" s="22" t="s">
        <v>2640</v>
      </c>
      <c r="W74" s="22" t="s">
        <v>2</v>
      </c>
    </row>
    <row r="75" spans="2:23" hidden="1" x14ac:dyDescent="0.25">
      <c r="B75" s="22" t="s">
        <v>794</v>
      </c>
      <c r="C75" s="22" t="s">
        <v>2323</v>
      </c>
      <c r="D75" s="22" t="s">
        <v>2225</v>
      </c>
      <c r="E75" s="22">
        <v>13584000000</v>
      </c>
      <c r="F75" s="22">
        <v>136441402000</v>
      </c>
      <c r="G75" s="22">
        <v>34394000000</v>
      </c>
      <c r="H75" s="22">
        <v>91263000000</v>
      </c>
      <c r="I75" s="23">
        <v>4.4314868804664717E-2</v>
      </c>
      <c r="J75" s="23">
        <v>0.37392644676792691</v>
      </c>
      <c r="K75" s="23">
        <v>0.5707905853952927</v>
      </c>
      <c r="L75" s="23">
        <f t="shared" si="12"/>
        <v>9.9559223233428806E-2</v>
      </c>
      <c r="M75" s="23">
        <f t="shared" si="13"/>
        <v>0.37686685732443598</v>
      </c>
      <c r="N75" s="26">
        <f t="shared" si="14"/>
        <v>6</v>
      </c>
      <c r="O75" s="26">
        <f t="shared" si="15"/>
        <v>73</v>
      </c>
      <c r="P75" s="52">
        <f t="shared" si="16"/>
        <v>79</v>
      </c>
      <c r="Q75" s="53">
        <f t="shared" si="17"/>
        <v>73</v>
      </c>
      <c r="R75" s="22" t="s">
        <v>2267</v>
      </c>
      <c r="S75" s="22" t="s">
        <v>4</v>
      </c>
      <c r="T75" s="22" t="s">
        <v>2274</v>
      </c>
      <c r="U75" s="22" t="s">
        <v>2324</v>
      </c>
      <c r="V75" s="22" t="s">
        <v>2640</v>
      </c>
      <c r="W75" s="22" t="s">
        <v>2</v>
      </c>
    </row>
    <row r="76" spans="2:23" hidden="1" x14ac:dyDescent="0.25">
      <c r="B76" s="22" t="s">
        <v>1585</v>
      </c>
      <c r="C76" s="22" t="s">
        <v>2393</v>
      </c>
      <c r="D76" s="22" t="s">
        <v>2225</v>
      </c>
      <c r="E76" s="22">
        <v>207846000</v>
      </c>
      <c r="F76" s="22">
        <v>7504457367</v>
      </c>
      <c r="G76" s="22">
        <v>1133193000</v>
      </c>
      <c r="H76" s="22">
        <v>3007938000</v>
      </c>
      <c r="I76" s="23">
        <v>1.2849453030039938E-2</v>
      </c>
      <c r="J76" s="23">
        <v>0.2655960468998671</v>
      </c>
      <c r="K76" s="23">
        <v>0.46452063167689966</v>
      </c>
      <c r="L76" s="23">
        <f t="shared" si="12"/>
        <v>2.7696339633293036E-2</v>
      </c>
      <c r="M76" s="23">
        <f t="shared" si="13"/>
        <v>0.37673416140891203</v>
      </c>
      <c r="N76" s="26">
        <f t="shared" si="14"/>
        <v>132</v>
      </c>
      <c r="O76" s="26">
        <f t="shared" si="15"/>
        <v>74</v>
      </c>
      <c r="P76" s="52">
        <f t="shared" si="16"/>
        <v>206</v>
      </c>
      <c r="Q76" s="53">
        <f t="shared" si="17"/>
        <v>74</v>
      </c>
      <c r="R76" s="22" t="s">
        <v>2226</v>
      </c>
      <c r="S76" s="22" t="s">
        <v>28</v>
      </c>
      <c r="T76" s="22" t="s">
        <v>2322</v>
      </c>
      <c r="U76" s="22" t="s">
        <v>2394</v>
      </c>
      <c r="V76" s="22" t="s">
        <v>2640</v>
      </c>
      <c r="W76" s="22" t="s">
        <v>2</v>
      </c>
    </row>
    <row r="77" spans="2:23" x14ac:dyDescent="0.25">
      <c r="B77" s="22" t="s">
        <v>1699</v>
      </c>
      <c r="C77" s="22" t="s">
        <v>2290</v>
      </c>
      <c r="D77" s="22" t="s">
        <v>2225</v>
      </c>
      <c r="E77" s="22">
        <v>2086254000</v>
      </c>
      <c r="F77" s="22">
        <v>72194809000</v>
      </c>
      <c r="G77" s="22">
        <v>3399661000</v>
      </c>
      <c r="H77" s="22">
        <v>9069035000</v>
      </c>
      <c r="I77" s="23">
        <v>0</v>
      </c>
      <c r="J77" s="23">
        <v>0</v>
      </c>
      <c r="K77" s="23">
        <v>0</v>
      </c>
      <c r="L77" s="23">
        <f t="shared" si="12"/>
        <v>2.889756242723767E-2</v>
      </c>
      <c r="M77" s="23">
        <f t="shared" si="13"/>
        <v>0.37486469067546879</v>
      </c>
      <c r="N77" s="26">
        <f t="shared" si="14"/>
        <v>129</v>
      </c>
      <c r="O77" s="26">
        <f t="shared" si="15"/>
        <v>75</v>
      </c>
      <c r="P77" s="52">
        <f t="shared" si="16"/>
        <v>204</v>
      </c>
      <c r="Q77" s="53">
        <f t="shared" si="17"/>
        <v>75</v>
      </c>
      <c r="R77" s="22" t="s">
        <v>2230</v>
      </c>
      <c r="S77" s="22" t="s">
        <v>2235</v>
      </c>
      <c r="T77" s="22" t="s">
        <v>2291</v>
      </c>
      <c r="U77" s="22" t="s">
        <v>2237</v>
      </c>
      <c r="V77" s="22" t="s">
        <v>2640</v>
      </c>
      <c r="W77" s="22" t="s">
        <v>2</v>
      </c>
    </row>
    <row r="78" spans="2:23" hidden="1" x14ac:dyDescent="0.25">
      <c r="B78" s="22" t="s">
        <v>2164</v>
      </c>
      <c r="C78" s="22" t="s">
        <v>2624</v>
      </c>
      <c r="D78" s="22" t="s">
        <v>2225</v>
      </c>
      <c r="E78" s="22">
        <v>15354000</v>
      </c>
      <c r="F78" s="22">
        <v>73576562726</v>
      </c>
      <c r="G78" s="22">
        <v>5218750000</v>
      </c>
      <c r="H78" s="22">
        <v>13925933000</v>
      </c>
      <c r="J78" s="23">
        <v>0</v>
      </c>
      <c r="K78" s="23">
        <v>0</v>
      </c>
      <c r="L78" s="23">
        <f t="shared" si="12"/>
        <v>2.0868058293479241E-4</v>
      </c>
      <c r="M78" s="23">
        <f t="shared" si="13"/>
        <v>0.37475047452834936</v>
      </c>
      <c r="N78" s="26">
        <f t="shared" si="14"/>
        <v>167</v>
      </c>
      <c r="O78" s="26">
        <f t="shared" si="15"/>
        <v>76</v>
      </c>
      <c r="P78" s="52">
        <f t="shared" si="16"/>
        <v>243</v>
      </c>
      <c r="Q78" s="53">
        <f t="shared" si="17"/>
        <v>76</v>
      </c>
      <c r="R78" s="22" t="s">
        <v>2230</v>
      </c>
      <c r="S78" s="22" t="s">
        <v>2235</v>
      </c>
      <c r="T78" s="22" t="s">
        <v>2282</v>
      </c>
      <c r="U78" s="22" t="s">
        <v>2625</v>
      </c>
      <c r="V78" s="22" t="s">
        <v>2640</v>
      </c>
      <c r="W78" s="22" t="s">
        <v>2</v>
      </c>
    </row>
    <row r="79" spans="2:23" hidden="1" x14ac:dyDescent="0.25">
      <c r="B79" s="22" t="s">
        <v>327</v>
      </c>
      <c r="C79" s="22" t="s">
        <v>2365</v>
      </c>
      <c r="D79" s="22" t="s">
        <v>2225</v>
      </c>
      <c r="E79" s="22">
        <v>15767000000</v>
      </c>
      <c r="F79" s="22">
        <v>202359774400</v>
      </c>
      <c r="G79" s="22">
        <v>36964000000</v>
      </c>
      <c r="H79" s="22">
        <v>98782000000</v>
      </c>
      <c r="I79" s="23">
        <v>3.0827366746221167E-2</v>
      </c>
      <c r="J79" s="23">
        <v>0.24791190281714209</v>
      </c>
      <c r="K79" s="23">
        <v>0.4655032766364775</v>
      </c>
      <c r="L79" s="23">
        <f t="shared" si="12"/>
        <v>7.7915682831478789E-2</v>
      </c>
      <c r="M79" s="23">
        <f t="shared" si="13"/>
        <v>0.37419772833107245</v>
      </c>
      <c r="N79" s="26">
        <f t="shared" si="14"/>
        <v>10</v>
      </c>
      <c r="O79" s="26">
        <f t="shared" si="15"/>
        <v>77</v>
      </c>
      <c r="P79" s="52">
        <f t="shared" si="16"/>
        <v>87</v>
      </c>
      <c r="Q79" s="53">
        <f t="shared" si="17"/>
        <v>77</v>
      </c>
      <c r="R79" s="22" t="s">
        <v>2267</v>
      </c>
      <c r="S79" s="22" t="s">
        <v>2235</v>
      </c>
      <c r="T79" s="22" t="s">
        <v>2366</v>
      </c>
      <c r="U79" s="22" t="s">
        <v>2367</v>
      </c>
      <c r="V79" s="22" t="s">
        <v>2640</v>
      </c>
      <c r="W79" s="22" t="s">
        <v>2</v>
      </c>
    </row>
    <row r="80" spans="2:23" hidden="1" x14ac:dyDescent="0.25">
      <c r="B80" s="22" t="s">
        <v>773</v>
      </c>
      <c r="C80" s="22" t="s">
        <v>2258</v>
      </c>
      <c r="D80" s="22" t="s">
        <v>2225</v>
      </c>
      <c r="E80" s="22">
        <v>708100000</v>
      </c>
      <c r="F80" s="22">
        <v>12844563248</v>
      </c>
      <c r="G80" s="22">
        <v>1546900000</v>
      </c>
      <c r="H80" s="22">
        <v>4183100000</v>
      </c>
      <c r="I80" s="23">
        <v>1.4119861939127709E-2</v>
      </c>
      <c r="J80" s="23">
        <v>1.5535322436184504</v>
      </c>
      <c r="K80" s="23">
        <v>0.2785855322204272</v>
      </c>
      <c r="L80" s="23">
        <f t="shared" si="12"/>
        <v>5.5128382828451311E-2</v>
      </c>
      <c r="M80" s="23">
        <f t="shared" si="13"/>
        <v>0.36979751858669407</v>
      </c>
      <c r="N80" s="26">
        <f t="shared" si="14"/>
        <v>41</v>
      </c>
      <c r="O80" s="26">
        <f t="shared" si="15"/>
        <v>78</v>
      </c>
      <c r="P80" s="52">
        <f t="shared" si="16"/>
        <v>119</v>
      </c>
      <c r="Q80" s="53">
        <f t="shared" si="17"/>
        <v>78</v>
      </c>
      <c r="R80" s="22" t="s">
        <v>2226</v>
      </c>
      <c r="S80" s="22" t="s">
        <v>28</v>
      </c>
      <c r="T80" s="22" t="s">
        <v>2259</v>
      </c>
      <c r="U80" s="22" t="s">
        <v>2260</v>
      </c>
      <c r="V80" s="22" t="s">
        <v>2641</v>
      </c>
      <c r="W80" s="22" t="s">
        <v>2</v>
      </c>
    </row>
    <row r="81" spans="2:23" hidden="1" x14ac:dyDescent="0.25">
      <c r="B81" s="22" t="s">
        <v>1043</v>
      </c>
      <c r="C81" s="22" t="s">
        <v>2579</v>
      </c>
      <c r="D81" s="22" t="s">
        <v>2225</v>
      </c>
      <c r="E81" s="22">
        <v>7974000000</v>
      </c>
      <c r="F81" s="22">
        <v>163786325240</v>
      </c>
      <c r="G81" s="22">
        <v>11675000000</v>
      </c>
      <c r="H81" s="22">
        <v>31638000000</v>
      </c>
      <c r="I81" s="23">
        <v>2.9389380012879805E-2</v>
      </c>
      <c r="J81" s="23">
        <v>1.1927623800715963</v>
      </c>
      <c r="K81" s="23">
        <v>0.63357273623433319</v>
      </c>
      <c r="L81" s="23">
        <f t="shared" si="12"/>
        <v>4.8685383155861808E-2</v>
      </c>
      <c r="M81" s="23">
        <f t="shared" si="13"/>
        <v>0.36901826916998548</v>
      </c>
      <c r="N81" s="26">
        <f t="shared" si="14"/>
        <v>61</v>
      </c>
      <c r="O81" s="26">
        <f t="shared" si="15"/>
        <v>79</v>
      </c>
      <c r="P81" s="52">
        <f t="shared" si="16"/>
        <v>140</v>
      </c>
      <c r="Q81" s="53">
        <f t="shared" si="17"/>
        <v>79</v>
      </c>
      <c r="R81" s="22" t="s">
        <v>2240</v>
      </c>
      <c r="S81" s="22" t="s">
        <v>2235</v>
      </c>
      <c r="T81" s="22" t="s">
        <v>2236</v>
      </c>
      <c r="U81" s="22" t="s">
        <v>2580</v>
      </c>
      <c r="V81" s="22" t="s">
        <v>2640</v>
      </c>
      <c r="W81" s="22" t="s">
        <v>2</v>
      </c>
    </row>
    <row r="82" spans="2:23" hidden="1" x14ac:dyDescent="0.25">
      <c r="B82" s="22" t="s">
        <v>728</v>
      </c>
      <c r="C82" s="22" t="s">
        <v>2499</v>
      </c>
      <c r="D82" s="22" t="s">
        <v>2225</v>
      </c>
      <c r="E82" s="22">
        <v>3447700000</v>
      </c>
      <c r="F82" s="22">
        <v>55254318950</v>
      </c>
      <c r="G82" s="22">
        <v>6075900000</v>
      </c>
      <c r="H82" s="22">
        <v>16601400000</v>
      </c>
      <c r="I82" s="23">
        <v>1.7413207753805716E-2</v>
      </c>
      <c r="J82" s="23">
        <v>0.74349020241171404</v>
      </c>
      <c r="K82" s="23">
        <v>0.32089937631589399</v>
      </c>
      <c r="L82" s="23">
        <f t="shared" si="12"/>
        <v>6.2396932321613564E-2</v>
      </c>
      <c r="M82" s="23">
        <f t="shared" si="13"/>
        <v>0.36598720589829775</v>
      </c>
      <c r="N82" s="26">
        <f t="shared" si="14"/>
        <v>28</v>
      </c>
      <c r="O82" s="26">
        <f t="shared" si="15"/>
        <v>80</v>
      </c>
      <c r="P82" s="52">
        <f t="shared" si="16"/>
        <v>108</v>
      </c>
      <c r="Q82" s="53">
        <f t="shared" si="17"/>
        <v>80</v>
      </c>
      <c r="R82" s="22" t="s">
        <v>2226</v>
      </c>
      <c r="S82" s="22" t="s">
        <v>2235</v>
      </c>
      <c r="T82" s="22" t="s">
        <v>2236</v>
      </c>
      <c r="U82" s="22" t="s">
        <v>2500</v>
      </c>
      <c r="V82" s="22" t="s">
        <v>2640</v>
      </c>
      <c r="W82" s="22" t="s">
        <v>2</v>
      </c>
    </row>
    <row r="83" spans="2:23" hidden="1" x14ac:dyDescent="0.25">
      <c r="B83" s="22" t="s">
        <v>1275</v>
      </c>
      <c r="C83" s="22" t="s">
        <v>2559</v>
      </c>
      <c r="D83" s="22" t="s">
        <v>2225</v>
      </c>
      <c r="E83" s="22">
        <v>2159509000</v>
      </c>
      <c r="F83" s="22">
        <v>47403572000</v>
      </c>
      <c r="G83" s="22">
        <v>5216227000</v>
      </c>
      <c r="H83" s="22">
        <v>14270620000</v>
      </c>
      <c r="I83" s="23">
        <v>9.7810218978102194E-3</v>
      </c>
      <c r="J83" s="23">
        <v>0.93379672133162195</v>
      </c>
      <c r="K83" s="23">
        <v>0.26215564175058997</v>
      </c>
      <c r="L83" s="23">
        <f t="shared" si="12"/>
        <v>4.5555828577643898E-2</v>
      </c>
      <c r="M83" s="23">
        <f t="shared" si="13"/>
        <v>0.36552210065154844</v>
      </c>
      <c r="N83" s="26">
        <f t="shared" si="14"/>
        <v>69</v>
      </c>
      <c r="O83" s="26">
        <f t="shared" si="15"/>
        <v>81</v>
      </c>
      <c r="P83" s="52">
        <f t="shared" si="16"/>
        <v>150</v>
      </c>
      <c r="Q83" s="53">
        <f t="shared" si="17"/>
        <v>81</v>
      </c>
      <c r="R83" s="22" t="s">
        <v>2226</v>
      </c>
      <c r="S83" s="22" t="s">
        <v>2254</v>
      </c>
      <c r="T83" s="22" t="s">
        <v>2415</v>
      </c>
      <c r="U83" s="22" t="s">
        <v>2560</v>
      </c>
      <c r="V83" s="22" t="s">
        <v>2640</v>
      </c>
      <c r="W83" s="22" t="s">
        <v>2</v>
      </c>
    </row>
    <row r="84" spans="2:23" hidden="1" x14ac:dyDescent="0.25">
      <c r="B84" s="22" t="s">
        <v>1105</v>
      </c>
      <c r="C84" s="22" t="s">
        <v>2333</v>
      </c>
      <c r="D84" s="22" t="s">
        <v>2225</v>
      </c>
      <c r="E84" s="22">
        <v>1620500000</v>
      </c>
      <c r="F84" s="22">
        <v>35999272000</v>
      </c>
      <c r="G84" s="22">
        <v>4679700000</v>
      </c>
      <c r="H84" s="22">
        <v>12875300000</v>
      </c>
      <c r="I84" s="23">
        <v>1.047326906222612E-2</v>
      </c>
      <c r="J84" s="23">
        <v>2.038566707811869</v>
      </c>
      <c r="K84" s="23">
        <v>0.29057878400584264</v>
      </c>
      <c r="L84" s="23">
        <f t="shared" si="12"/>
        <v>4.5014799188161363E-2</v>
      </c>
      <c r="M84" s="23">
        <f t="shared" si="13"/>
        <v>0.36346337561066538</v>
      </c>
      <c r="N84" s="26">
        <f t="shared" si="14"/>
        <v>72</v>
      </c>
      <c r="O84" s="26">
        <f t="shared" si="15"/>
        <v>82</v>
      </c>
      <c r="P84" s="52">
        <f t="shared" si="16"/>
        <v>154</v>
      </c>
      <c r="Q84" s="53">
        <f t="shared" si="17"/>
        <v>82</v>
      </c>
      <c r="R84" s="22" t="s">
        <v>2226</v>
      </c>
      <c r="S84" s="22" t="s">
        <v>2235</v>
      </c>
      <c r="T84" s="22" t="s">
        <v>2241</v>
      </c>
      <c r="U84" s="22" t="s">
        <v>2334</v>
      </c>
      <c r="V84" s="22" t="s">
        <v>2640</v>
      </c>
      <c r="W84" s="22" t="s">
        <v>2</v>
      </c>
    </row>
    <row r="85" spans="2:23" x14ac:dyDescent="0.25">
      <c r="B85" s="22" t="s">
        <v>2473</v>
      </c>
      <c r="C85" s="22" t="s">
        <v>2474</v>
      </c>
      <c r="D85" s="22" t="s">
        <v>2225</v>
      </c>
      <c r="E85" s="22">
        <v>165691000</v>
      </c>
      <c r="F85" s="22">
        <v>3396894677</v>
      </c>
      <c r="G85" s="22">
        <v>414272000</v>
      </c>
      <c r="H85" s="22">
        <v>1154104000</v>
      </c>
      <c r="I85" s="23">
        <v>3.9528456990939945E-3</v>
      </c>
      <c r="J85" s="23">
        <v>0.25604916798199684</v>
      </c>
      <c r="K85" s="23">
        <v>8.2456079196876739E-2</v>
      </c>
      <c r="L85" s="23">
        <f t="shared" si="12"/>
        <v>4.8777196750277696E-2</v>
      </c>
      <c r="M85" s="23">
        <f t="shared" si="13"/>
        <v>0.35895551874007886</v>
      </c>
      <c r="N85" s="26">
        <f t="shared" si="14"/>
        <v>59</v>
      </c>
      <c r="O85" s="26">
        <f t="shared" si="15"/>
        <v>83</v>
      </c>
      <c r="P85" s="52">
        <f t="shared" si="16"/>
        <v>142</v>
      </c>
      <c r="Q85" s="53">
        <f t="shared" si="17"/>
        <v>83</v>
      </c>
      <c r="R85" s="22" t="s">
        <v>2310</v>
      </c>
      <c r="S85" s="22" t="s">
        <v>28</v>
      </c>
      <c r="T85" s="22" t="s">
        <v>2227</v>
      </c>
      <c r="U85" s="22" t="s">
        <v>2475</v>
      </c>
      <c r="V85" s="22" t="s">
        <v>2640</v>
      </c>
      <c r="W85" s="22" t="s">
        <v>2</v>
      </c>
    </row>
    <row r="86" spans="2:23" hidden="1" x14ac:dyDescent="0.25">
      <c r="B86" s="22" t="s">
        <v>2537</v>
      </c>
      <c r="C86" s="22" t="s">
        <v>2538</v>
      </c>
      <c r="D86" s="22" t="s">
        <v>2225</v>
      </c>
      <c r="E86" s="22">
        <v>815100000</v>
      </c>
      <c r="F86" s="22">
        <v>7319766844</v>
      </c>
      <c r="G86" s="22">
        <v>2056000000</v>
      </c>
      <c r="H86" s="22">
        <v>5733000000</v>
      </c>
      <c r="I86" s="23">
        <v>2.7162557459256165E-2</v>
      </c>
      <c r="J86" s="23">
        <v>9.4370984202983219E-2</v>
      </c>
      <c r="K86" s="23">
        <v>0.24726844847873591</v>
      </c>
      <c r="L86" s="23">
        <f t="shared" si="12"/>
        <v>0.1113560059181579</v>
      </c>
      <c r="M86" s="23">
        <f t="shared" si="13"/>
        <v>0.35862550148264433</v>
      </c>
      <c r="N86" s="26">
        <f t="shared" si="14"/>
        <v>5</v>
      </c>
      <c r="O86" s="26">
        <f t="shared" si="15"/>
        <v>84</v>
      </c>
      <c r="P86" s="52">
        <f t="shared" si="16"/>
        <v>89</v>
      </c>
      <c r="Q86" s="53">
        <f t="shared" si="17"/>
        <v>84</v>
      </c>
      <c r="R86" s="22" t="s">
        <v>2294</v>
      </c>
      <c r="S86" s="22" t="s">
        <v>2254</v>
      </c>
      <c r="T86" s="22" t="s">
        <v>2305</v>
      </c>
      <c r="U86" s="22" t="s">
        <v>2539</v>
      </c>
      <c r="V86" s="22" t="s">
        <v>2640</v>
      </c>
      <c r="W86" s="22" t="s">
        <v>2</v>
      </c>
    </row>
    <row r="87" spans="2:23" hidden="1" x14ac:dyDescent="0.25">
      <c r="B87" s="22" t="s">
        <v>2549</v>
      </c>
      <c r="C87" s="22" t="s">
        <v>2550</v>
      </c>
      <c r="D87" s="22" t="s">
        <v>2225</v>
      </c>
      <c r="E87" s="22">
        <v>1145129000</v>
      </c>
      <c r="F87" s="22">
        <v>26498110387</v>
      </c>
      <c r="G87" s="22">
        <v>2414913000</v>
      </c>
      <c r="H87" s="22">
        <v>6740786000</v>
      </c>
      <c r="I87" s="23">
        <v>1.1333538651062521E-2</v>
      </c>
      <c r="J87" s="23">
        <v>0.25934259032741153</v>
      </c>
      <c r="K87" s="23">
        <v>0.29171759514616658</v>
      </c>
      <c r="L87" s="23">
        <f t="shared" si="12"/>
        <v>4.3215496625065061E-2</v>
      </c>
      <c r="M87" s="23">
        <f t="shared" si="13"/>
        <v>0.35825391875665535</v>
      </c>
      <c r="N87" s="26">
        <f t="shared" si="14"/>
        <v>84</v>
      </c>
      <c r="O87" s="26">
        <f t="shared" si="15"/>
        <v>85</v>
      </c>
      <c r="P87" s="52">
        <f t="shared" si="16"/>
        <v>169</v>
      </c>
      <c r="Q87" s="53">
        <f t="shared" si="17"/>
        <v>85</v>
      </c>
      <c r="R87" s="22" t="s">
        <v>2226</v>
      </c>
      <c r="S87" s="22" t="s">
        <v>4</v>
      </c>
      <c r="T87" s="22" t="s">
        <v>2376</v>
      </c>
      <c r="U87" s="22" t="s">
        <v>2354</v>
      </c>
      <c r="V87" s="22" t="s">
        <v>2640</v>
      </c>
      <c r="W87" s="22" t="s">
        <v>2</v>
      </c>
    </row>
    <row r="88" spans="2:23" x14ac:dyDescent="0.25">
      <c r="B88" s="22" t="s">
        <v>2113</v>
      </c>
      <c r="C88" s="22" t="s">
        <v>2527</v>
      </c>
      <c r="D88" s="22" t="s">
        <v>2225</v>
      </c>
      <c r="E88" s="22">
        <v>673400000</v>
      </c>
      <c r="F88" s="22">
        <v>94579646000</v>
      </c>
      <c r="G88" s="22">
        <v>5286800000</v>
      </c>
      <c r="H88" s="22">
        <v>14808500000</v>
      </c>
      <c r="I88" s="23">
        <v>0</v>
      </c>
      <c r="J88" s="23">
        <v>0</v>
      </c>
      <c r="K88" s="23">
        <v>0</v>
      </c>
      <c r="L88" s="23">
        <f t="shared" si="12"/>
        <v>7.1199251475312138E-3</v>
      </c>
      <c r="M88" s="23">
        <f t="shared" si="13"/>
        <v>0.35701117601377585</v>
      </c>
      <c r="N88" s="26">
        <f t="shared" si="14"/>
        <v>163</v>
      </c>
      <c r="O88" s="26">
        <f t="shared" si="15"/>
        <v>86</v>
      </c>
      <c r="P88" s="52">
        <f t="shared" si="16"/>
        <v>249</v>
      </c>
      <c r="Q88" s="53">
        <f t="shared" si="17"/>
        <v>86</v>
      </c>
      <c r="R88" s="22" t="s">
        <v>2230</v>
      </c>
      <c r="S88" s="22" t="s">
        <v>2235</v>
      </c>
      <c r="T88" s="22" t="s">
        <v>2244</v>
      </c>
      <c r="U88" s="22" t="s">
        <v>2528</v>
      </c>
      <c r="V88" s="22" t="s">
        <v>2640</v>
      </c>
      <c r="W88" s="22" t="s">
        <v>2</v>
      </c>
    </row>
    <row r="89" spans="2:23" hidden="1" x14ac:dyDescent="0.25">
      <c r="B89" s="22" t="s">
        <v>2480</v>
      </c>
      <c r="C89" s="22" t="s">
        <v>2481</v>
      </c>
      <c r="D89" s="22" t="s">
        <v>2225</v>
      </c>
      <c r="E89" s="22">
        <v>148985000</v>
      </c>
      <c r="F89" s="22">
        <v>4446072900</v>
      </c>
      <c r="G89" s="22">
        <v>398235000</v>
      </c>
      <c r="H89" s="22">
        <v>1130302000</v>
      </c>
      <c r="I89" s="23">
        <v>2.1075137446548563E-2</v>
      </c>
      <c r="J89" s="23">
        <v>0.42829887091259966</v>
      </c>
      <c r="K89" s="23">
        <v>0.79685494496153686</v>
      </c>
      <c r="L89" s="23">
        <f t="shared" si="12"/>
        <v>3.3509347091452327E-2</v>
      </c>
      <c r="M89" s="23">
        <f t="shared" si="13"/>
        <v>0.35232619246891539</v>
      </c>
      <c r="N89" s="26">
        <f t="shared" si="14"/>
        <v>117</v>
      </c>
      <c r="O89" s="26">
        <f t="shared" si="15"/>
        <v>87</v>
      </c>
      <c r="P89" s="52">
        <f t="shared" si="16"/>
        <v>204</v>
      </c>
      <c r="Q89" s="53">
        <f t="shared" si="17"/>
        <v>87</v>
      </c>
      <c r="R89" s="22" t="s">
        <v>2294</v>
      </c>
      <c r="S89" s="22" t="s">
        <v>2268</v>
      </c>
      <c r="T89" s="22" t="s">
        <v>2342</v>
      </c>
      <c r="U89" s="22" t="s">
        <v>2312</v>
      </c>
      <c r="V89" s="22" t="s">
        <v>2640</v>
      </c>
      <c r="W89" s="22" t="s">
        <v>2</v>
      </c>
    </row>
    <row r="90" spans="2:23" hidden="1" x14ac:dyDescent="0.25">
      <c r="B90" s="22" t="s">
        <v>473</v>
      </c>
      <c r="C90" s="22" t="s">
        <v>2430</v>
      </c>
      <c r="D90" s="22" t="s">
        <v>2225</v>
      </c>
      <c r="E90" s="22">
        <v>8260000000</v>
      </c>
      <c r="F90" s="22">
        <v>119821898000</v>
      </c>
      <c r="G90" s="22">
        <v>21586000000</v>
      </c>
      <c r="H90" s="22">
        <v>62373000000</v>
      </c>
      <c r="I90" s="23">
        <v>3.7523452157598496E-2</v>
      </c>
      <c r="J90" s="23">
        <v>0.41438289318011751</v>
      </c>
      <c r="K90" s="23">
        <v>0.48136170212765961</v>
      </c>
      <c r="L90" s="23">
        <f t="shared" si="12"/>
        <v>6.8935646470898004E-2</v>
      </c>
      <c r="M90" s="23">
        <f t="shared" si="13"/>
        <v>0.34607923300145899</v>
      </c>
      <c r="N90" s="26">
        <f t="shared" si="14"/>
        <v>17</v>
      </c>
      <c r="O90" s="26">
        <f t="shared" si="15"/>
        <v>88</v>
      </c>
      <c r="P90" s="52">
        <f t="shared" si="16"/>
        <v>105</v>
      </c>
      <c r="Q90" s="53">
        <f t="shared" si="17"/>
        <v>88</v>
      </c>
      <c r="R90" s="22" t="s">
        <v>2267</v>
      </c>
      <c r="S90" s="22" t="s">
        <v>4</v>
      </c>
      <c r="T90" s="22" t="s">
        <v>2274</v>
      </c>
      <c r="U90" s="22" t="s">
        <v>2431</v>
      </c>
      <c r="V90" s="22" t="s">
        <v>2640</v>
      </c>
      <c r="W90" s="22" t="s">
        <v>2</v>
      </c>
    </row>
    <row r="91" spans="2:23" hidden="1" x14ac:dyDescent="0.25">
      <c r="B91" s="22" t="s">
        <v>758</v>
      </c>
      <c r="C91" s="22" t="s">
        <v>2535</v>
      </c>
      <c r="D91" s="22" t="s">
        <v>2225</v>
      </c>
      <c r="E91" s="22">
        <v>11591000000</v>
      </c>
      <c r="F91" s="22">
        <v>189460232500</v>
      </c>
      <c r="G91" s="22">
        <v>21637000000</v>
      </c>
      <c r="H91" s="22">
        <v>62927000000</v>
      </c>
      <c r="I91" s="23">
        <v>5.5120643431635377E-2</v>
      </c>
      <c r="J91" s="23">
        <v>0.19970552147239259</v>
      </c>
      <c r="K91" s="23">
        <v>0.98752183678562522</v>
      </c>
      <c r="L91" s="23">
        <f t="shared" si="12"/>
        <v>6.1179065638484319E-2</v>
      </c>
      <c r="M91" s="23">
        <f t="shared" si="13"/>
        <v>0.3438428655426129</v>
      </c>
      <c r="N91" s="26">
        <f t="shared" si="14"/>
        <v>30</v>
      </c>
      <c r="O91" s="26">
        <f t="shared" si="15"/>
        <v>89</v>
      </c>
      <c r="P91" s="52">
        <f t="shared" si="16"/>
        <v>119</v>
      </c>
      <c r="Q91" s="53">
        <f t="shared" si="17"/>
        <v>89</v>
      </c>
      <c r="R91" s="22" t="s">
        <v>2267</v>
      </c>
      <c r="S91" s="22" t="s">
        <v>2268</v>
      </c>
      <c r="T91" s="22" t="s">
        <v>2269</v>
      </c>
      <c r="U91" s="22" t="s">
        <v>2536</v>
      </c>
      <c r="V91" s="22" t="s">
        <v>2640</v>
      </c>
      <c r="W91" s="22" t="s">
        <v>2</v>
      </c>
    </row>
    <row r="92" spans="2:23" hidden="1" x14ac:dyDescent="0.25">
      <c r="B92" s="22" t="s">
        <v>1612</v>
      </c>
      <c r="C92" s="22" t="s">
        <v>2501</v>
      </c>
      <c r="D92" s="22" t="s">
        <v>2225</v>
      </c>
      <c r="E92" s="22">
        <v>93529000000</v>
      </c>
      <c r="F92" s="22">
        <v>2789107531600</v>
      </c>
      <c r="G92" s="22">
        <v>151445000000</v>
      </c>
      <c r="H92" s="22">
        <v>445785000000</v>
      </c>
      <c r="I92" s="23">
        <v>7.4467517215608811E-3</v>
      </c>
      <c r="J92" s="23">
        <v>0.62269006893993895</v>
      </c>
      <c r="K92" s="23">
        <v>0.26240012452007888</v>
      </c>
      <c r="L92" s="23">
        <f t="shared" si="12"/>
        <v>3.35336658555958E-2</v>
      </c>
      <c r="M92" s="23">
        <f t="shared" si="13"/>
        <v>0.33972654979418332</v>
      </c>
      <c r="N92" s="26">
        <f t="shared" si="14"/>
        <v>116</v>
      </c>
      <c r="O92" s="26">
        <f t="shared" si="15"/>
        <v>90</v>
      </c>
      <c r="P92" s="52">
        <f t="shared" si="16"/>
        <v>206</v>
      </c>
      <c r="Q92" s="53">
        <f t="shared" si="17"/>
        <v>90</v>
      </c>
      <c r="R92" s="22" t="s">
        <v>2230</v>
      </c>
      <c r="S92" s="22" t="s">
        <v>2235</v>
      </c>
      <c r="T92" s="22" t="s">
        <v>2244</v>
      </c>
      <c r="U92" s="22" t="s">
        <v>2502</v>
      </c>
      <c r="V92" s="22" t="s">
        <v>2640</v>
      </c>
      <c r="W92" s="22" t="s">
        <v>2</v>
      </c>
    </row>
    <row r="93" spans="2:23" hidden="1" x14ac:dyDescent="0.25">
      <c r="B93" s="22" t="s">
        <v>1567</v>
      </c>
      <c r="C93" s="22" t="s">
        <v>2325</v>
      </c>
      <c r="D93" s="22" t="s">
        <v>2225</v>
      </c>
      <c r="E93" s="22">
        <v>16207000000</v>
      </c>
      <c r="F93" s="22">
        <v>554924116490</v>
      </c>
      <c r="G93" s="22">
        <v>24690000000</v>
      </c>
      <c r="H93" s="22">
        <v>72861000000</v>
      </c>
      <c r="I93" s="23">
        <v>1.6830257357163678E-2</v>
      </c>
      <c r="J93" s="23">
        <v>1.5684672763328165</v>
      </c>
      <c r="K93" s="23">
        <v>0.54289163471097857</v>
      </c>
      <c r="L93" s="23">
        <f t="shared" si="12"/>
        <v>2.9205795023853606E-2</v>
      </c>
      <c r="M93" s="23">
        <f t="shared" si="13"/>
        <v>0.33886441306048504</v>
      </c>
      <c r="N93" s="26">
        <f t="shared" si="14"/>
        <v>128</v>
      </c>
      <c r="O93" s="26">
        <f t="shared" si="15"/>
        <v>91</v>
      </c>
      <c r="P93" s="52">
        <f t="shared" si="16"/>
        <v>219</v>
      </c>
      <c r="Q93" s="53">
        <f t="shared" si="17"/>
        <v>91</v>
      </c>
      <c r="R93" s="22" t="s">
        <v>2240</v>
      </c>
      <c r="S93" s="22" t="s">
        <v>2235</v>
      </c>
      <c r="T93" s="22" t="s">
        <v>2236</v>
      </c>
      <c r="U93" s="22" t="s">
        <v>2326</v>
      </c>
      <c r="V93" s="22" t="s">
        <v>2640</v>
      </c>
      <c r="W93" s="22" t="s">
        <v>2</v>
      </c>
    </row>
    <row r="94" spans="2:23" hidden="1" x14ac:dyDescent="0.25">
      <c r="B94" s="22" t="s">
        <v>1372</v>
      </c>
      <c r="C94" s="22" t="s">
        <v>2570</v>
      </c>
      <c r="D94" s="22" t="s">
        <v>2225</v>
      </c>
      <c r="E94" s="22">
        <v>5870700000</v>
      </c>
      <c r="F94" s="22">
        <v>129796389000</v>
      </c>
      <c r="G94" s="22">
        <v>9846200000</v>
      </c>
      <c r="H94" s="22">
        <v>29445500000</v>
      </c>
      <c r="I94" s="23">
        <v>2.2577610536218248E-2</v>
      </c>
      <c r="J94" s="23">
        <v>0.59812010673607263</v>
      </c>
      <c r="K94" s="23">
        <v>0.58959873924112016</v>
      </c>
      <c r="L94" s="23">
        <f t="shared" si="12"/>
        <v>4.5230071847376277E-2</v>
      </c>
      <c r="M94" s="23">
        <f t="shared" si="13"/>
        <v>0.33438725781528589</v>
      </c>
      <c r="N94" s="26">
        <f t="shared" si="14"/>
        <v>70</v>
      </c>
      <c r="O94" s="26">
        <f t="shared" si="15"/>
        <v>92</v>
      </c>
      <c r="P94" s="52">
        <f t="shared" si="16"/>
        <v>162</v>
      </c>
      <c r="Q94" s="53">
        <f t="shared" si="17"/>
        <v>92</v>
      </c>
      <c r="R94" s="22" t="s">
        <v>2230</v>
      </c>
      <c r="S94" s="22" t="s">
        <v>2254</v>
      </c>
      <c r="T94" s="22" t="s">
        <v>2356</v>
      </c>
      <c r="U94" s="22" t="s">
        <v>2571</v>
      </c>
      <c r="V94" s="22" t="s">
        <v>2640</v>
      </c>
      <c r="W94" s="22" t="s">
        <v>2</v>
      </c>
    </row>
    <row r="95" spans="2:23" hidden="1" x14ac:dyDescent="0.25">
      <c r="B95" s="22" t="s">
        <v>1028</v>
      </c>
      <c r="C95" s="22" t="s">
        <v>2542</v>
      </c>
      <c r="D95" s="22" t="s">
        <v>2225</v>
      </c>
      <c r="E95" s="22">
        <v>18962000000</v>
      </c>
      <c r="F95" s="22">
        <v>370111526600</v>
      </c>
      <c r="G95" s="22">
        <v>40850000000</v>
      </c>
      <c r="H95" s="22">
        <v>122531000000</v>
      </c>
      <c r="I95" s="23">
        <v>2.5595450185007539E-2</v>
      </c>
      <c r="J95" s="23">
        <v>0.2898504523930498</v>
      </c>
      <c r="K95" s="23">
        <v>0.59297669839186085</v>
      </c>
      <c r="L95" s="23">
        <f t="shared" si="12"/>
        <v>5.1233205769603829E-2</v>
      </c>
      <c r="M95" s="23">
        <f t="shared" si="13"/>
        <v>0.33338502093347805</v>
      </c>
      <c r="N95" s="26">
        <f t="shared" si="14"/>
        <v>50</v>
      </c>
      <c r="O95" s="26">
        <f t="shared" si="15"/>
        <v>93</v>
      </c>
      <c r="P95" s="52">
        <f t="shared" si="16"/>
        <v>143</v>
      </c>
      <c r="Q95" s="53">
        <f t="shared" si="17"/>
        <v>93</v>
      </c>
      <c r="R95" s="22" t="s">
        <v>2240</v>
      </c>
      <c r="S95" s="22" t="s">
        <v>2268</v>
      </c>
      <c r="T95" s="22" t="s">
        <v>2316</v>
      </c>
      <c r="U95" s="22" t="s">
        <v>2543</v>
      </c>
      <c r="V95" s="22" t="s">
        <v>2640</v>
      </c>
      <c r="W95" s="22" t="s">
        <v>2</v>
      </c>
    </row>
    <row r="96" spans="2:23" hidden="1" x14ac:dyDescent="0.25">
      <c r="B96" s="22" t="s">
        <v>1678</v>
      </c>
      <c r="C96" s="22" t="s">
        <v>2572</v>
      </c>
      <c r="D96" s="22" t="s">
        <v>2225</v>
      </c>
      <c r="E96" s="22">
        <v>3819000000</v>
      </c>
      <c r="F96" s="22">
        <v>122150057660</v>
      </c>
      <c r="G96" s="22">
        <v>12591000000</v>
      </c>
      <c r="H96" s="22">
        <v>38042000000</v>
      </c>
      <c r="I96" s="23">
        <v>1.0031096398836392E-2</v>
      </c>
      <c r="J96" s="23">
        <v>0.63416414728488801</v>
      </c>
      <c r="K96" s="23">
        <v>0.43210831721470017</v>
      </c>
      <c r="L96" s="23">
        <f t="shared" si="12"/>
        <v>3.1264823555221234E-2</v>
      </c>
      <c r="M96" s="23">
        <f t="shared" si="13"/>
        <v>0.33097628936438672</v>
      </c>
      <c r="N96" s="26">
        <f t="shared" si="14"/>
        <v>123</v>
      </c>
      <c r="O96" s="26">
        <f t="shared" si="15"/>
        <v>94</v>
      </c>
      <c r="P96" s="52">
        <f t="shared" si="16"/>
        <v>217</v>
      </c>
      <c r="Q96" s="53">
        <f t="shared" si="17"/>
        <v>94</v>
      </c>
      <c r="R96" s="22" t="s">
        <v>2240</v>
      </c>
      <c r="S96" s="22" t="s">
        <v>4</v>
      </c>
      <c r="T96" s="22" t="s">
        <v>2329</v>
      </c>
      <c r="U96" s="22" t="s">
        <v>2573</v>
      </c>
      <c r="V96" s="22" t="s">
        <v>2640</v>
      </c>
      <c r="W96" s="22" t="s">
        <v>2</v>
      </c>
    </row>
    <row r="97" spans="2:23" x14ac:dyDescent="0.25">
      <c r="B97" s="22" t="s">
        <v>2335</v>
      </c>
      <c r="C97" s="22" t="s">
        <v>2336</v>
      </c>
      <c r="D97" s="22" t="s">
        <v>2225</v>
      </c>
      <c r="E97" s="22">
        <v>140827000</v>
      </c>
      <c r="F97" s="22">
        <v>3403341034</v>
      </c>
      <c r="G97" s="22">
        <v>334269000</v>
      </c>
      <c r="H97" s="22">
        <v>1011306000</v>
      </c>
      <c r="I97" s="23">
        <v>3.5471191640302942E-3</v>
      </c>
      <c r="J97" s="23">
        <v>0</v>
      </c>
      <c r="K97" s="23">
        <v>0.10802597578561268</v>
      </c>
      <c r="L97" s="23">
        <f t="shared" si="12"/>
        <v>4.1379044472214944E-2</v>
      </c>
      <c r="M97" s="23">
        <f t="shared" si="13"/>
        <v>0.33053200514977665</v>
      </c>
      <c r="N97" s="26">
        <f t="shared" si="14"/>
        <v>92</v>
      </c>
      <c r="O97" s="26">
        <f t="shared" si="15"/>
        <v>95</v>
      </c>
      <c r="P97" s="52">
        <f t="shared" si="16"/>
        <v>187</v>
      </c>
      <c r="Q97" s="53">
        <f t="shared" si="17"/>
        <v>95</v>
      </c>
      <c r="R97" s="22" t="s">
        <v>2310</v>
      </c>
      <c r="S97" s="22" t="s">
        <v>28</v>
      </c>
      <c r="T97" s="22" t="s">
        <v>2227</v>
      </c>
      <c r="U97" s="22" t="s">
        <v>2337</v>
      </c>
      <c r="V97" s="22" t="s">
        <v>2640</v>
      </c>
      <c r="W97" s="22" t="s">
        <v>2</v>
      </c>
    </row>
    <row r="98" spans="2:23" hidden="1" x14ac:dyDescent="0.25">
      <c r="B98" s="22" t="s">
        <v>1263</v>
      </c>
      <c r="C98" s="22" t="s">
        <v>2553</v>
      </c>
      <c r="D98" s="22" t="s">
        <v>2225</v>
      </c>
      <c r="E98" s="22">
        <v>1553400000</v>
      </c>
      <c r="F98" s="22">
        <v>37951054580</v>
      </c>
      <c r="G98" s="22">
        <v>3717000000</v>
      </c>
      <c r="H98" s="22">
        <v>11304000000</v>
      </c>
      <c r="I98" s="23">
        <v>1.5343220474710914E-2</v>
      </c>
      <c r="J98" s="23">
        <v>0.29914857190777799</v>
      </c>
      <c r="K98" s="23">
        <v>0.39247467438494937</v>
      </c>
      <c r="L98" s="23">
        <f t="shared" si="12"/>
        <v>4.0931668887499988E-2</v>
      </c>
      <c r="M98" s="23">
        <f t="shared" si="13"/>
        <v>0.32882165605095542</v>
      </c>
      <c r="N98" s="26">
        <f t="shared" si="14"/>
        <v>95</v>
      </c>
      <c r="O98" s="26">
        <f t="shared" si="15"/>
        <v>96</v>
      </c>
      <c r="P98" s="52">
        <f t="shared" si="16"/>
        <v>191</v>
      </c>
      <c r="Q98" s="53">
        <f t="shared" si="17"/>
        <v>96</v>
      </c>
      <c r="R98" s="22" t="s">
        <v>2233</v>
      </c>
      <c r="S98" s="22" t="s">
        <v>28</v>
      </c>
      <c r="T98" s="22" t="s">
        <v>2227</v>
      </c>
      <c r="U98" s="22" t="s">
        <v>2554</v>
      </c>
      <c r="V98" s="22" t="s">
        <v>2640</v>
      </c>
      <c r="W98" s="22" t="s">
        <v>2</v>
      </c>
    </row>
    <row r="99" spans="2:23" hidden="1" x14ac:dyDescent="0.25">
      <c r="B99" s="22" t="s">
        <v>354</v>
      </c>
      <c r="C99" s="22" t="s">
        <v>2377</v>
      </c>
      <c r="D99" s="22" t="s">
        <v>2225</v>
      </c>
      <c r="E99" s="22">
        <v>23360000000</v>
      </c>
      <c r="F99" s="22">
        <v>267301065200</v>
      </c>
      <c r="G99" s="22">
        <v>84558000000</v>
      </c>
      <c r="H99" s="22">
        <v>261072000000</v>
      </c>
      <c r="I99" s="23">
        <v>2.5950375597541545E-2</v>
      </c>
      <c r="J99" s="23">
        <v>0.80984045619582001</v>
      </c>
      <c r="K99" s="23">
        <v>0.31388595564941923</v>
      </c>
      <c r="L99" s="23">
        <f t="shared" ref="L99:L130" si="18">+E99/F99</f>
        <v>8.7392094687395214E-2</v>
      </c>
      <c r="M99" s="23">
        <f t="shared" ref="M99:M130" si="19">+G99/H99</f>
        <v>0.32388766317337747</v>
      </c>
      <c r="N99" s="26">
        <f t="shared" ref="N99:N130" si="20">+_xlfn.RANK.EQ(L99,L:L,0)</f>
        <v>9</v>
      </c>
      <c r="O99" s="26">
        <f t="shared" ref="O99:O130" si="21">+_xlfn.RANK.EQ(M99,M:M,0)</f>
        <v>97</v>
      </c>
      <c r="P99" s="52">
        <f t="shared" ref="P99:P130" si="22">+N99+O99</f>
        <v>106</v>
      </c>
      <c r="Q99" s="53">
        <f t="shared" ref="Q99:Q130" si="23">+_xlfn.RANK.EQ(O99,O:O,1)</f>
        <v>97</v>
      </c>
      <c r="R99" s="22" t="s">
        <v>2267</v>
      </c>
      <c r="S99" s="22" t="s">
        <v>122</v>
      </c>
      <c r="T99" s="22" t="s">
        <v>2246</v>
      </c>
      <c r="U99" s="22" t="s">
        <v>2378</v>
      </c>
      <c r="V99" s="22" t="s">
        <v>2640</v>
      </c>
      <c r="W99" s="22" t="s">
        <v>2</v>
      </c>
    </row>
    <row r="100" spans="2:23" hidden="1" x14ac:dyDescent="0.25">
      <c r="B100" s="22" t="s">
        <v>1633</v>
      </c>
      <c r="C100" s="22" t="s">
        <v>2247</v>
      </c>
      <c r="D100" s="22" t="s">
        <v>2225</v>
      </c>
      <c r="E100" s="22">
        <v>1350000000</v>
      </c>
      <c r="F100" s="22">
        <v>41910646520</v>
      </c>
      <c r="G100" s="22">
        <v>3465000000</v>
      </c>
      <c r="H100" s="22">
        <v>10763000000</v>
      </c>
      <c r="I100" s="23">
        <v>6.4687702149069217E-3</v>
      </c>
      <c r="J100" s="23">
        <v>0.51485201410407111</v>
      </c>
      <c r="K100" s="23">
        <v>0.21370967741935484</v>
      </c>
      <c r="L100" s="23">
        <f t="shared" si="18"/>
        <v>3.2211385700188909E-2</v>
      </c>
      <c r="M100" s="23">
        <f t="shared" si="19"/>
        <v>0.32193626312366441</v>
      </c>
      <c r="N100" s="26">
        <f t="shared" si="20"/>
        <v>120</v>
      </c>
      <c r="O100" s="26">
        <f t="shared" si="21"/>
        <v>98</v>
      </c>
      <c r="P100" s="52">
        <f t="shared" si="22"/>
        <v>218</v>
      </c>
      <c r="Q100" s="53">
        <f t="shared" si="23"/>
        <v>98</v>
      </c>
      <c r="R100" s="22" t="s">
        <v>2226</v>
      </c>
      <c r="S100" s="22" t="s">
        <v>4</v>
      </c>
      <c r="T100" s="22" t="s">
        <v>2248</v>
      </c>
      <c r="U100" s="22" t="s">
        <v>2249</v>
      </c>
      <c r="V100" s="22" t="s">
        <v>2640</v>
      </c>
      <c r="W100" s="22" t="s">
        <v>2</v>
      </c>
    </row>
    <row r="101" spans="2:23" x14ac:dyDescent="0.25">
      <c r="B101" s="22" t="s">
        <v>1780</v>
      </c>
      <c r="C101" s="22" t="s">
        <v>2419</v>
      </c>
      <c r="D101" s="22" t="s">
        <v>2225</v>
      </c>
      <c r="E101" s="22">
        <v>342898000</v>
      </c>
      <c r="F101" s="22">
        <v>13300390700</v>
      </c>
      <c r="G101" s="22">
        <v>1174608000</v>
      </c>
      <c r="H101" s="22">
        <v>3657438000</v>
      </c>
      <c r="I101" s="23">
        <v>0</v>
      </c>
      <c r="J101" s="23">
        <v>0</v>
      </c>
      <c r="K101" s="23">
        <v>0</v>
      </c>
      <c r="L101" s="23">
        <f t="shared" si="18"/>
        <v>2.5781047168787305E-2</v>
      </c>
      <c r="M101" s="23">
        <f t="shared" si="19"/>
        <v>0.32115595671068109</v>
      </c>
      <c r="N101" s="26">
        <f t="shared" si="20"/>
        <v>138</v>
      </c>
      <c r="O101" s="26">
        <f t="shared" si="21"/>
        <v>99</v>
      </c>
      <c r="P101" s="52">
        <f t="shared" si="22"/>
        <v>237</v>
      </c>
      <c r="Q101" s="53">
        <f t="shared" si="23"/>
        <v>99</v>
      </c>
      <c r="R101" s="22" t="s">
        <v>2233</v>
      </c>
      <c r="S101" s="22" t="s">
        <v>2254</v>
      </c>
      <c r="T101" s="22" t="s">
        <v>2256</v>
      </c>
      <c r="U101" s="22" t="s">
        <v>2420</v>
      </c>
      <c r="V101" s="22" t="s">
        <v>2640</v>
      </c>
      <c r="W101" s="22" t="s">
        <v>2</v>
      </c>
    </row>
    <row r="102" spans="2:23" hidden="1" x14ac:dyDescent="0.25">
      <c r="B102" s="22" t="s">
        <v>2460</v>
      </c>
      <c r="C102" s="22" t="s">
        <v>2461</v>
      </c>
      <c r="D102" s="22" t="s">
        <v>2225</v>
      </c>
      <c r="E102" s="22">
        <v>425803000</v>
      </c>
      <c r="F102" s="22">
        <v>11947315336</v>
      </c>
      <c r="G102" s="22">
        <v>876064000</v>
      </c>
      <c r="H102" s="22">
        <v>2734223000</v>
      </c>
      <c r="I102" s="23">
        <v>1.264591439688716E-2</v>
      </c>
      <c r="J102" s="23">
        <v>0.48374159340411538</v>
      </c>
      <c r="K102" s="23">
        <v>0.41293783998938571</v>
      </c>
      <c r="L102" s="23">
        <f t="shared" si="18"/>
        <v>3.5640057035822764E-2</v>
      </c>
      <c r="M102" s="23">
        <f t="shared" si="19"/>
        <v>0.32040693096356809</v>
      </c>
      <c r="N102" s="26">
        <f t="shared" si="20"/>
        <v>112</v>
      </c>
      <c r="O102" s="26">
        <f t="shared" si="21"/>
        <v>100</v>
      </c>
      <c r="P102" s="52">
        <f t="shared" si="22"/>
        <v>212</v>
      </c>
      <c r="Q102" s="53">
        <f t="shared" si="23"/>
        <v>100</v>
      </c>
      <c r="R102" s="22" t="s">
        <v>2226</v>
      </c>
      <c r="S102" s="22" t="s">
        <v>2235</v>
      </c>
      <c r="T102" s="22" t="s">
        <v>2241</v>
      </c>
      <c r="U102" s="22" t="s">
        <v>2462</v>
      </c>
      <c r="V102" s="22" t="s">
        <v>2640</v>
      </c>
      <c r="W102" s="22" t="s">
        <v>2</v>
      </c>
    </row>
    <row r="103" spans="2:23" hidden="1" x14ac:dyDescent="0.25">
      <c r="B103" s="22" t="s">
        <v>1783</v>
      </c>
      <c r="C103" s="22" t="s">
        <v>2372</v>
      </c>
      <c r="D103" s="22" t="s">
        <v>2225</v>
      </c>
      <c r="E103" s="22">
        <v>172310000</v>
      </c>
      <c r="F103" s="22">
        <v>7009623040</v>
      </c>
      <c r="G103" s="22">
        <v>635761000</v>
      </c>
      <c r="H103" s="22">
        <v>1989899000</v>
      </c>
      <c r="I103" s="23">
        <v>6.6870014077897713E-3</v>
      </c>
      <c r="J103" s="23">
        <v>0.58037063209328776</v>
      </c>
      <c r="K103" s="23">
        <v>0.30698085382287882</v>
      </c>
      <c r="L103" s="23">
        <f t="shared" si="18"/>
        <v>2.4581921027239717E-2</v>
      </c>
      <c r="M103" s="23">
        <f t="shared" si="19"/>
        <v>0.31949410497718728</v>
      </c>
      <c r="N103" s="26">
        <f t="shared" si="20"/>
        <v>142</v>
      </c>
      <c r="O103" s="26">
        <f t="shared" si="21"/>
        <v>101</v>
      </c>
      <c r="P103" s="52">
        <f t="shared" si="22"/>
        <v>243</v>
      </c>
      <c r="Q103" s="53">
        <f t="shared" si="23"/>
        <v>101</v>
      </c>
      <c r="R103" s="22" t="s">
        <v>2294</v>
      </c>
      <c r="S103" s="22" t="s">
        <v>2235</v>
      </c>
      <c r="T103" s="22" t="s">
        <v>2311</v>
      </c>
      <c r="U103" s="22" t="s">
        <v>2373</v>
      </c>
      <c r="V103" s="22" t="s">
        <v>2640</v>
      </c>
      <c r="W103" s="22" t="s">
        <v>2</v>
      </c>
    </row>
    <row r="104" spans="2:23" x14ac:dyDescent="0.25">
      <c r="B104" s="22" t="s">
        <v>2467</v>
      </c>
      <c r="C104" s="22" t="s">
        <v>2468</v>
      </c>
      <c r="D104" s="22" t="s">
        <v>2225</v>
      </c>
      <c r="E104" s="22">
        <v>814000000</v>
      </c>
      <c r="F104" s="22">
        <v>17546534214</v>
      </c>
      <c r="G104" s="22">
        <v>1396600000</v>
      </c>
      <c r="H104" s="22">
        <v>4450600000</v>
      </c>
      <c r="I104" s="23">
        <v>0</v>
      </c>
      <c r="J104" s="23">
        <v>-0.27625670445951378</v>
      </c>
      <c r="K104" s="23">
        <v>0</v>
      </c>
      <c r="L104" s="23">
        <f t="shared" si="18"/>
        <v>4.6390927693887661E-2</v>
      </c>
      <c r="M104" s="23">
        <f t="shared" si="19"/>
        <v>0.31380038646474634</v>
      </c>
      <c r="N104" s="26">
        <f t="shared" si="20"/>
        <v>67</v>
      </c>
      <c r="O104" s="26">
        <f t="shared" si="21"/>
        <v>102</v>
      </c>
      <c r="P104" s="52">
        <f t="shared" si="22"/>
        <v>169</v>
      </c>
      <c r="Q104" s="53">
        <f t="shared" si="23"/>
        <v>102</v>
      </c>
      <c r="R104" s="22" t="s">
        <v>2233</v>
      </c>
      <c r="S104" s="22" t="s">
        <v>2250</v>
      </c>
      <c r="T104" s="22" t="s">
        <v>2465</v>
      </c>
      <c r="U104" s="22" t="s">
        <v>2466</v>
      </c>
      <c r="V104" s="22" t="s">
        <v>2641</v>
      </c>
      <c r="W104" s="22" t="s">
        <v>2</v>
      </c>
    </row>
    <row r="105" spans="2:23" x14ac:dyDescent="0.25">
      <c r="B105" s="22" t="s">
        <v>1887</v>
      </c>
      <c r="C105" s="22" t="s">
        <v>2355</v>
      </c>
      <c r="D105" s="22" t="s">
        <v>2225</v>
      </c>
      <c r="E105" s="22">
        <v>1490697000</v>
      </c>
      <c r="F105" s="22">
        <v>67074304544</v>
      </c>
      <c r="G105" s="22">
        <v>2470330000</v>
      </c>
      <c r="H105" s="22">
        <v>7911493000</v>
      </c>
      <c r="I105" s="23">
        <v>0</v>
      </c>
      <c r="J105" s="23">
        <v>0</v>
      </c>
      <c r="K105" s="23">
        <v>0</v>
      </c>
      <c r="L105" s="23">
        <f t="shared" si="18"/>
        <v>2.2224561404466287E-2</v>
      </c>
      <c r="M105" s="23">
        <f t="shared" si="19"/>
        <v>0.31224574173294473</v>
      </c>
      <c r="N105" s="26">
        <f t="shared" si="20"/>
        <v>149</v>
      </c>
      <c r="O105" s="26">
        <f t="shared" si="21"/>
        <v>103</v>
      </c>
      <c r="P105" s="52">
        <f t="shared" si="22"/>
        <v>252</v>
      </c>
      <c r="Q105" s="53">
        <f t="shared" si="23"/>
        <v>103</v>
      </c>
      <c r="R105" s="22" t="s">
        <v>2230</v>
      </c>
      <c r="S105" s="22" t="s">
        <v>2254</v>
      </c>
      <c r="T105" s="22" t="s">
        <v>2356</v>
      </c>
      <c r="U105" s="22" t="s">
        <v>2357</v>
      </c>
      <c r="V105" s="22" t="s">
        <v>2640</v>
      </c>
      <c r="W105" s="22" t="s">
        <v>2</v>
      </c>
    </row>
    <row r="106" spans="2:23" hidden="1" x14ac:dyDescent="0.25">
      <c r="B106" s="22" t="s">
        <v>959</v>
      </c>
      <c r="C106" s="22" t="s">
        <v>2450</v>
      </c>
      <c r="D106" s="22" t="s">
        <v>2225</v>
      </c>
      <c r="E106" s="22">
        <v>983500000</v>
      </c>
      <c r="F106" s="22">
        <v>18519613190</v>
      </c>
      <c r="G106" s="22">
        <v>1798700000</v>
      </c>
      <c r="H106" s="22">
        <v>5768300000</v>
      </c>
      <c r="I106" s="23">
        <v>1.391483996414954E-2</v>
      </c>
      <c r="J106" s="23">
        <v>0.48669521405817262</v>
      </c>
      <c r="K106" s="23">
        <v>0.33736124771673459</v>
      </c>
      <c r="L106" s="23">
        <f t="shared" si="18"/>
        <v>5.3105860792549309E-2</v>
      </c>
      <c r="M106" s="23">
        <f t="shared" si="19"/>
        <v>0.31182497442920792</v>
      </c>
      <c r="N106" s="26">
        <f t="shared" si="20"/>
        <v>47</v>
      </c>
      <c r="O106" s="26">
        <f t="shared" si="21"/>
        <v>104</v>
      </c>
      <c r="P106" s="52">
        <f t="shared" si="22"/>
        <v>151</v>
      </c>
      <c r="Q106" s="53">
        <f t="shared" si="23"/>
        <v>104</v>
      </c>
      <c r="R106" s="22" t="s">
        <v>2233</v>
      </c>
      <c r="S106" s="22" t="s">
        <v>28</v>
      </c>
      <c r="T106" s="22" t="s">
        <v>2231</v>
      </c>
      <c r="U106" s="22" t="s">
        <v>2451</v>
      </c>
      <c r="V106" s="22" t="s">
        <v>2640</v>
      </c>
      <c r="W106" s="22" t="s">
        <v>2</v>
      </c>
    </row>
    <row r="107" spans="2:23" x14ac:dyDescent="0.25">
      <c r="B107" s="22" t="s">
        <v>2015</v>
      </c>
      <c r="C107" s="22" t="s">
        <v>2608</v>
      </c>
      <c r="D107" s="22" t="s">
        <v>2225</v>
      </c>
      <c r="E107" s="22">
        <v>402991000</v>
      </c>
      <c r="F107" s="22">
        <v>29916654960</v>
      </c>
      <c r="G107" s="22">
        <v>1628767000</v>
      </c>
      <c r="H107" s="22">
        <v>5225772000</v>
      </c>
      <c r="I107" s="23">
        <v>0</v>
      </c>
      <c r="J107" s="23">
        <v>0</v>
      </c>
      <c r="K107" s="23">
        <v>0</v>
      </c>
      <c r="L107" s="23">
        <f t="shared" si="18"/>
        <v>1.3470456524595355E-2</v>
      </c>
      <c r="M107" s="23">
        <f t="shared" si="19"/>
        <v>0.31167969057968853</v>
      </c>
      <c r="N107" s="26">
        <f t="shared" si="20"/>
        <v>160</v>
      </c>
      <c r="O107" s="26">
        <f t="shared" si="21"/>
        <v>105</v>
      </c>
      <c r="P107" s="52">
        <f t="shared" si="22"/>
        <v>265</v>
      </c>
      <c r="Q107" s="53">
        <f t="shared" si="23"/>
        <v>105</v>
      </c>
      <c r="R107" s="22" t="s">
        <v>2233</v>
      </c>
      <c r="S107" s="22" t="s">
        <v>4</v>
      </c>
      <c r="T107" s="22" t="s">
        <v>2609</v>
      </c>
      <c r="U107" s="22" t="s">
        <v>2585</v>
      </c>
      <c r="V107" s="22" t="s">
        <v>2640</v>
      </c>
      <c r="W107" s="22" t="s">
        <v>2</v>
      </c>
    </row>
    <row r="108" spans="2:23" x14ac:dyDescent="0.25">
      <c r="B108" s="22" t="s">
        <v>2024</v>
      </c>
      <c r="C108" s="22" t="s">
        <v>2458</v>
      </c>
      <c r="D108" s="22" t="s">
        <v>2225</v>
      </c>
      <c r="E108" s="22">
        <v>1392900000</v>
      </c>
      <c r="F108" s="22">
        <v>115183572080</v>
      </c>
      <c r="G108" s="22">
        <v>4563000000</v>
      </c>
      <c r="H108" s="22">
        <v>14712700000</v>
      </c>
      <c r="I108" s="23">
        <v>0</v>
      </c>
      <c r="J108" s="23">
        <v>0</v>
      </c>
      <c r="K108" s="23">
        <v>0</v>
      </c>
      <c r="L108" s="23">
        <f t="shared" si="18"/>
        <v>1.2092870318629902E-2</v>
      </c>
      <c r="M108" s="23">
        <f t="shared" si="19"/>
        <v>0.31014021899447414</v>
      </c>
      <c r="N108" s="26">
        <f t="shared" si="20"/>
        <v>161</v>
      </c>
      <c r="O108" s="26">
        <f t="shared" si="21"/>
        <v>106</v>
      </c>
      <c r="P108" s="52">
        <f t="shared" si="22"/>
        <v>267</v>
      </c>
      <c r="Q108" s="53">
        <f t="shared" si="23"/>
        <v>106</v>
      </c>
      <c r="R108" s="22" t="s">
        <v>2230</v>
      </c>
      <c r="S108" s="22" t="s">
        <v>4</v>
      </c>
      <c r="T108" s="22" t="s">
        <v>2376</v>
      </c>
      <c r="U108" s="22" t="s">
        <v>2459</v>
      </c>
      <c r="V108" s="22" t="s">
        <v>2640</v>
      </c>
      <c r="W108" s="22" t="s">
        <v>2</v>
      </c>
    </row>
    <row r="109" spans="2:23" hidden="1" x14ac:dyDescent="0.25">
      <c r="B109" s="22" t="s">
        <v>692</v>
      </c>
      <c r="C109" s="22" t="s">
        <v>2476</v>
      </c>
      <c r="D109" s="22" t="s">
        <v>2225</v>
      </c>
      <c r="E109" s="22">
        <v>2636000000</v>
      </c>
      <c r="F109" s="22">
        <v>48140428897</v>
      </c>
      <c r="G109" s="22">
        <v>8521000000</v>
      </c>
      <c r="H109" s="22">
        <v>27542000000</v>
      </c>
      <c r="I109" s="23">
        <v>1.878816345702208E-2</v>
      </c>
      <c r="J109" s="23">
        <v>0</v>
      </c>
      <c r="K109" s="23">
        <v>0</v>
      </c>
      <c r="L109" s="23">
        <f t="shared" si="18"/>
        <v>5.4756471024384024E-2</v>
      </c>
      <c r="M109" s="23">
        <f t="shared" si="19"/>
        <v>0.30938203471062375</v>
      </c>
      <c r="N109" s="26">
        <f t="shared" si="20"/>
        <v>44</v>
      </c>
      <c r="O109" s="26">
        <f t="shared" si="21"/>
        <v>107</v>
      </c>
      <c r="P109" s="52">
        <f t="shared" si="22"/>
        <v>151</v>
      </c>
      <c r="Q109" s="53">
        <f t="shared" si="23"/>
        <v>107</v>
      </c>
      <c r="R109" s="22" t="s">
        <v>2226</v>
      </c>
      <c r="S109" s="22" t="s">
        <v>2268</v>
      </c>
      <c r="T109" s="22" t="s">
        <v>2316</v>
      </c>
      <c r="U109" s="22" t="s">
        <v>2249</v>
      </c>
      <c r="V109" s="22" t="s">
        <v>2640</v>
      </c>
      <c r="W109" s="22" t="s">
        <v>2</v>
      </c>
    </row>
    <row r="110" spans="2:23" hidden="1" x14ac:dyDescent="0.25">
      <c r="B110" s="22" t="s">
        <v>710</v>
      </c>
      <c r="C110" s="22" t="s">
        <v>2408</v>
      </c>
      <c r="D110" s="22" t="s">
        <v>2225</v>
      </c>
      <c r="E110" s="22">
        <v>1070241000</v>
      </c>
      <c r="F110" s="22">
        <v>17534911564</v>
      </c>
      <c r="G110" s="22">
        <v>1407303000</v>
      </c>
      <c r="H110" s="22">
        <v>4578121000</v>
      </c>
      <c r="I110" s="23">
        <v>1.0755202244563946E-2</v>
      </c>
      <c r="J110" s="23">
        <v>0.56214465284620874</v>
      </c>
      <c r="K110" s="23">
        <v>0.25353314319433518</v>
      </c>
      <c r="L110" s="23">
        <f t="shared" si="18"/>
        <v>6.1034867275707005E-2</v>
      </c>
      <c r="M110" s="23">
        <f t="shared" si="19"/>
        <v>0.30739751090021428</v>
      </c>
      <c r="N110" s="26">
        <f t="shared" si="20"/>
        <v>31</v>
      </c>
      <c r="O110" s="26">
        <f t="shared" si="21"/>
        <v>108</v>
      </c>
      <c r="P110" s="52">
        <f t="shared" si="22"/>
        <v>139</v>
      </c>
      <c r="Q110" s="53">
        <f t="shared" si="23"/>
        <v>108</v>
      </c>
      <c r="R110" s="22" t="s">
        <v>2304</v>
      </c>
      <c r="S110" s="22" t="s">
        <v>28</v>
      </c>
      <c r="T110" s="22" t="s">
        <v>2332</v>
      </c>
      <c r="U110" s="22" t="s">
        <v>2409</v>
      </c>
      <c r="V110" s="22" t="s">
        <v>2640</v>
      </c>
      <c r="W110" s="22" t="s">
        <v>2</v>
      </c>
    </row>
    <row r="111" spans="2:23" hidden="1" x14ac:dyDescent="0.25">
      <c r="B111" s="22" t="s">
        <v>1242</v>
      </c>
      <c r="C111" s="22" t="s">
        <v>2529</v>
      </c>
      <c r="D111" s="22" t="s">
        <v>2225</v>
      </c>
      <c r="E111" s="22">
        <v>2107700000</v>
      </c>
      <c r="F111" s="22">
        <v>42915261760</v>
      </c>
      <c r="G111" s="22">
        <v>3687500000</v>
      </c>
      <c r="H111" s="22">
        <v>12052100000</v>
      </c>
      <c r="I111" s="23">
        <v>2.8790148111166584E-2</v>
      </c>
      <c r="J111" s="23">
        <v>0.58187232256882648</v>
      </c>
      <c r="K111" s="23">
        <v>0.76566239185126095</v>
      </c>
      <c r="L111" s="23">
        <f t="shared" si="18"/>
        <v>4.9113064060686273E-2</v>
      </c>
      <c r="M111" s="23">
        <f t="shared" si="19"/>
        <v>0.30596327610955765</v>
      </c>
      <c r="N111" s="26">
        <f t="shared" si="20"/>
        <v>57</v>
      </c>
      <c r="O111" s="26">
        <f t="shared" si="21"/>
        <v>109</v>
      </c>
      <c r="P111" s="52">
        <f t="shared" si="22"/>
        <v>166</v>
      </c>
      <c r="Q111" s="53">
        <f t="shared" si="23"/>
        <v>109</v>
      </c>
      <c r="R111" s="22" t="s">
        <v>2226</v>
      </c>
      <c r="S111" s="22" t="s">
        <v>28</v>
      </c>
      <c r="T111" s="22" t="s">
        <v>2300</v>
      </c>
      <c r="U111" s="22" t="s">
        <v>2530</v>
      </c>
      <c r="V111" s="22" t="s">
        <v>2640</v>
      </c>
      <c r="W111" s="22" t="s">
        <v>2</v>
      </c>
    </row>
    <row r="112" spans="2:23" hidden="1" x14ac:dyDescent="0.25">
      <c r="B112" s="22" t="s">
        <v>2463</v>
      </c>
      <c r="C112" s="22" t="s">
        <v>2464</v>
      </c>
      <c r="D112" s="22" t="s">
        <v>2225</v>
      </c>
      <c r="E112" s="22">
        <v>754000000</v>
      </c>
      <c r="F112" s="22">
        <v>13617412302</v>
      </c>
      <c r="G112" s="22">
        <v>1346300000</v>
      </c>
      <c r="H112" s="22">
        <v>4461700000</v>
      </c>
      <c r="J112" s="23">
        <v>-0.27625670445951378</v>
      </c>
      <c r="K112" s="23">
        <v>0.61101243339253997</v>
      </c>
      <c r="L112" s="23">
        <f t="shared" si="18"/>
        <v>5.5370284990875943E-2</v>
      </c>
      <c r="M112" s="23">
        <f t="shared" si="19"/>
        <v>0.30174597126655761</v>
      </c>
      <c r="N112" s="26">
        <f t="shared" si="20"/>
        <v>40</v>
      </c>
      <c r="O112" s="26">
        <f t="shared" si="21"/>
        <v>110</v>
      </c>
      <c r="P112" s="52">
        <f t="shared" si="22"/>
        <v>150</v>
      </c>
      <c r="Q112" s="53">
        <f t="shared" si="23"/>
        <v>110</v>
      </c>
      <c r="R112" s="22" t="s">
        <v>2233</v>
      </c>
      <c r="S112" s="22" t="s">
        <v>2250</v>
      </c>
      <c r="T112" s="22" t="s">
        <v>2465</v>
      </c>
      <c r="U112" s="22" t="s">
        <v>2466</v>
      </c>
      <c r="V112" s="22" t="s">
        <v>2641</v>
      </c>
      <c r="W112" s="22" t="s">
        <v>2</v>
      </c>
    </row>
    <row r="113" spans="2:23" x14ac:dyDescent="0.25">
      <c r="B113" s="22" t="s">
        <v>1750</v>
      </c>
      <c r="C113" s="22" t="s">
        <v>2622</v>
      </c>
      <c r="D113" s="22" t="s">
        <v>2225</v>
      </c>
      <c r="E113" s="22">
        <v>613700000</v>
      </c>
      <c r="F113" s="22">
        <v>25847679398</v>
      </c>
      <c r="G113" s="22">
        <v>1113100000</v>
      </c>
      <c r="H113" s="22">
        <v>3754700000</v>
      </c>
      <c r="I113" s="23">
        <v>2.1548105445793925E-3</v>
      </c>
      <c r="J113" s="23">
        <v>0.37433311332948338</v>
      </c>
      <c r="K113" s="23">
        <v>0.10064354665713264</v>
      </c>
      <c r="L113" s="23">
        <f t="shared" si="18"/>
        <v>2.3742943826805817E-2</v>
      </c>
      <c r="M113" s="23">
        <f t="shared" si="19"/>
        <v>0.29645510959597304</v>
      </c>
      <c r="N113" s="26">
        <f t="shared" si="20"/>
        <v>145</v>
      </c>
      <c r="O113" s="26">
        <f t="shared" si="21"/>
        <v>111</v>
      </c>
      <c r="P113" s="52">
        <f t="shared" si="22"/>
        <v>256</v>
      </c>
      <c r="Q113" s="53">
        <f t="shared" si="23"/>
        <v>111</v>
      </c>
      <c r="R113" s="22" t="s">
        <v>2233</v>
      </c>
      <c r="S113" s="22" t="s">
        <v>4</v>
      </c>
      <c r="T113" s="22" t="s">
        <v>2376</v>
      </c>
      <c r="U113" s="22" t="s">
        <v>2623</v>
      </c>
      <c r="V113" s="22" t="s">
        <v>2640</v>
      </c>
      <c r="W113" s="22" t="s">
        <v>2</v>
      </c>
    </row>
    <row r="114" spans="2:23" hidden="1" x14ac:dyDescent="0.25">
      <c r="B114" s="22" t="s">
        <v>536</v>
      </c>
      <c r="C114" s="22" t="s">
        <v>2567</v>
      </c>
      <c r="D114" s="22" t="s">
        <v>2225</v>
      </c>
      <c r="E114" s="22">
        <v>4693600000</v>
      </c>
      <c r="F114" s="22">
        <v>72741785820</v>
      </c>
      <c r="G114" s="22">
        <v>4872000000</v>
      </c>
      <c r="H114" s="22">
        <v>16965000000</v>
      </c>
      <c r="I114" s="23">
        <v>4.5081031727915999E-2</v>
      </c>
      <c r="J114" s="23">
        <v>4.9317035879576157</v>
      </c>
      <c r="K114" s="23">
        <v>0.93866648164851163</v>
      </c>
      <c r="L114" s="23">
        <f t="shared" si="18"/>
        <v>6.4524123886844656E-2</v>
      </c>
      <c r="M114" s="23">
        <f t="shared" si="19"/>
        <v>0.28717948717948716</v>
      </c>
      <c r="N114" s="26">
        <f t="shared" si="20"/>
        <v>24</v>
      </c>
      <c r="O114" s="26">
        <f t="shared" si="21"/>
        <v>112</v>
      </c>
      <c r="P114" s="52">
        <f t="shared" si="22"/>
        <v>136</v>
      </c>
      <c r="Q114" s="53">
        <f t="shared" si="23"/>
        <v>112</v>
      </c>
      <c r="R114" s="22" t="s">
        <v>2267</v>
      </c>
      <c r="S114" s="22" t="s">
        <v>2250</v>
      </c>
      <c r="T114" s="22" t="s">
        <v>2568</v>
      </c>
      <c r="U114" s="22" t="s">
        <v>2569</v>
      </c>
      <c r="V114" s="22" t="s">
        <v>2640</v>
      </c>
      <c r="W114" s="22" t="s">
        <v>2</v>
      </c>
    </row>
    <row r="115" spans="2:23" hidden="1" x14ac:dyDescent="0.25">
      <c r="B115" s="22" t="s">
        <v>2292</v>
      </c>
      <c r="C115" s="22" t="s">
        <v>2293</v>
      </c>
      <c r="D115" s="22" t="s">
        <v>2225</v>
      </c>
      <c r="E115" s="22">
        <v>307400000</v>
      </c>
      <c r="F115" s="22">
        <v>4983366895</v>
      </c>
      <c r="G115" s="22">
        <v>489000000</v>
      </c>
      <c r="H115" s="22">
        <v>1713800000</v>
      </c>
      <c r="I115" s="23">
        <v>1.0456598093326644E-2</v>
      </c>
      <c r="J115" s="23">
        <v>0</v>
      </c>
      <c r="K115" s="23">
        <v>0.20372010628875112</v>
      </c>
      <c r="L115" s="23">
        <f t="shared" si="18"/>
        <v>6.1685203292662638E-2</v>
      </c>
      <c r="M115" s="23">
        <f t="shared" si="19"/>
        <v>0.28533084373905943</v>
      </c>
      <c r="N115" s="26">
        <f t="shared" si="20"/>
        <v>29</v>
      </c>
      <c r="O115" s="26">
        <f t="shared" si="21"/>
        <v>113</v>
      </c>
      <c r="P115" s="52">
        <f t="shared" si="22"/>
        <v>142</v>
      </c>
      <c r="Q115" s="53">
        <f t="shared" si="23"/>
        <v>113</v>
      </c>
      <c r="R115" s="22" t="s">
        <v>2294</v>
      </c>
      <c r="S115" s="22" t="s">
        <v>28</v>
      </c>
      <c r="T115" s="22" t="s">
        <v>2295</v>
      </c>
      <c r="U115" s="22" t="s">
        <v>2296</v>
      </c>
      <c r="V115" s="22" t="s">
        <v>2640</v>
      </c>
      <c r="W115" s="22" t="s">
        <v>2</v>
      </c>
    </row>
    <row r="116" spans="2:23" hidden="1" x14ac:dyDescent="0.25">
      <c r="B116" s="22" t="s">
        <v>842</v>
      </c>
      <c r="C116" s="22" t="s">
        <v>2397</v>
      </c>
      <c r="D116" s="22" t="s">
        <v>2225</v>
      </c>
      <c r="E116" s="22">
        <v>1219683000</v>
      </c>
      <c r="F116" s="22">
        <v>24500494600</v>
      </c>
      <c r="G116" s="22">
        <v>3065199000</v>
      </c>
      <c r="H116" s="22">
        <v>10772105000</v>
      </c>
      <c r="I116" s="23">
        <v>1.3127263321262289E-2</v>
      </c>
      <c r="J116" s="23">
        <v>0.1049429892457969</v>
      </c>
      <c r="K116" s="23">
        <v>0.27710626913181241</v>
      </c>
      <c r="L116" s="23">
        <f t="shared" si="18"/>
        <v>4.9781974605524901E-2</v>
      </c>
      <c r="M116" s="23">
        <f t="shared" si="19"/>
        <v>0.28454967715223717</v>
      </c>
      <c r="N116" s="26">
        <f t="shared" si="20"/>
        <v>54</v>
      </c>
      <c r="O116" s="26">
        <f t="shared" si="21"/>
        <v>114</v>
      </c>
      <c r="P116" s="52">
        <f t="shared" si="22"/>
        <v>168</v>
      </c>
      <c r="Q116" s="53">
        <f t="shared" si="23"/>
        <v>114</v>
      </c>
      <c r="R116" s="22" t="s">
        <v>2226</v>
      </c>
      <c r="S116" s="22" t="s">
        <v>28</v>
      </c>
      <c r="T116" s="22" t="s">
        <v>2227</v>
      </c>
      <c r="U116" s="22" t="s">
        <v>2398</v>
      </c>
      <c r="V116" s="22" t="s">
        <v>2640</v>
      </c>
      <c r="W116" s="22" t="s">
        <v>2</v>
      </c>
    </row>
    <row r="117" spans="2:23" x14ac:dyDescent="0.25">
      <c r="B117" s="22" t="s">
        <v>1929</v>
      </c>
      <c r="C117" s="22" t="s">
        <v>2281</v>
      </c>
      <c r="D117" s="22" t="s">
        <v>2225</v>
      </c>
      <c r="E117" s="22">
        <v>553236000</v>
      </c>
      <c r="F117" s="22">
        <v>31465126064</v>
      </c>
      <c r="G117" s="22">
        <v>1896280000</v>
      </c>
      <c r="H117" s="22">
        <v>6673520000</v>
      </c>
      <c r="I117" s="23">
        <v>0</v>
      </c>
      <c r="J117" s="23">
        <v>0</v>
      </c>
      <c r="K117" s="23">
        <v>0</v>
      </c>
      <c r="L117" s="23">
        <f t="shared" si="18"/>
        <v>1.7582513379247842E-2</v>
      </c>
      <c r="M117" s="23">
        <f t="shared" si="19"/>
        <v>0.28414989390906148</v>
      </c>
      <c r="N117" s="26">
        <f t="shared" si="20"/>
        <v>154</v>
      </c>
      <c r="O117" s="26">
        <f t="shared" si="21"/>
        <v>115</v>
      </c>
      <c r="P117" s="52">
        <f t="shared" si="22"/>
        <v>269</v>
      </c>
      <c r="Q117" s="53">
        <f t="shared" si="23"/>
        <v>115</v>
      </c>
      <c r="R117" s="22" t="s">
        <v>2233</v>
      </c>
      <c r="S117" s="22" t="s">
        <v>2235</v>
      </c>
      <c r="T117" s="22" t="s">
        <v>2282</v>
      </c>
      <c r="U117" s="22" t="s">
        <v>2283</v>
      </c>
      <c r="V117" s="22" t="s">
        <v>2640</v>
      </c>
      <c r="W117" s="22" t="s">
        <v>2</v>
      </c>
    </row>
    <row r="118" spans="2:23" x14ac:dyDescent="0.25">
      <c r="B118" s="22" t="s">
        <v>1881</v>
      </c>
      <c r="C118" s="22" t="s">
        <v>2317</v>
      </c>
      <c r="D118" s="22" t="s">
        <v>2225</v>
      </c>
      <c r="E118" s="22">
        <v>298489000</v>
      </c>
      <c r="F118" s="22">
        <v>12765034000</v>
      </c>
      <c r="G118" s="22">
        <v>775410000</v>
      </c>
      <c r="H118" s="22">
        <v>2755360000</v>
      </c>
      <c r="I118" s="23">
        <v>4.0931184446149904E-3</v>
      </c>
      <c r="J118" s="23">
        <v>-3.216730774601053E-4</v>
      </c>
      <c r="K118" s="23">
        <v>0.20427239562221319</v>
      </c>
      <c r="L118" s="23">
        <f t="shared" si="18"/>
        <v>2.3383329805467028E-2</v>
      </c>
      <c r="M118" s="23">
        <f t="shared" si="19"/>
        <v>0.28141876197665638</v>
      </c>
      <c r="N118" s="26">
        <f t="shared" si="20"/>
        <v>146</v>
      </c>
      <c r="O118" s="26">
        <f t="shared" si="21"/>
        <v>116</v>
      </c>
      <c r="P118" s="52">
        <f t="shared" si="22"/>
        <v>262</v>
      </c>
      <c r="Q118" s="53">
        <f t="shared" si="23"/>
        <v>116</v>
      </c>
      <c r="R118" s="22" t="s">
        <v>2226</v>
      </c>
      <c r="S118" s="22" t="s">
        <v>4</v>
      </c>
      <c r="T118" s="22" t="s">
        <v>2318</v>
      </c>
      <c r="U118" s="22" t="s">
        <v>2319</v>
      </c>
      <c r="V118" s="22" t="s">
        <v>2640</v>
      </c>
      <c r="W118" s="22" t="s">
        <v>2</v>
      </c>
    </row>
    <row r="119" spans="2:23" x14ac:dyDescent="0.25">
      <c r="B119" s="22" t="s">
        <v>1934</v>
      </c>
      <c r="C119" s="22" t="s">
        <v>2561</v>
      </c>
      <c r="D119" s="22" t="s">
        <v>2225</v>
      </c>
      <c r="E119" s="22">
        <v>7279000000</v>
      </c>
      <c r="F119" s="22">
        <v>263959960000</v>
      </c>
      <c r="G119" s="22">
        <v>25461000000</v>
      </c>
      <c r="H119" s="22">
        <v>91022000000</v>
      </c>
      <c r="I119" s="23">
        <v>0</v>
      </c>
      <c r="J119" s="23">
        <v>0</v>
      </c>
      <c r="K119" s="23">
        <v>0</v>
      </c>
      <c r="L119" s="23">
        <f t="shared" si="18"/>
        <v>2.7576152080035169E-2</v>
      </c>
      <c r="M119" s="23">
        <f t="shared" si="19"/>
        <v>0.27972358330952957</v>
      </c>
      <c r="N119" s="26">
        <f t="shared" si="20"/>
        <v>133</v>
      </c>
      <c r="O119" s="26">
        <f t="shared" si="21"/>
        <v>117</v>
      </c>
      <c r="P119" s="52">
        <f t="shared" si="22"/>
        <v>250</v>
      </c>
      <c r="Q119" s="53">
        <f t="shared" si="23"/>
        <v>117</v>
      </c>
      <c r="R119" s="22" t="s">
        <v>2230</v>
      </c>
      <c r="S119" s="22" t="s">
        <v>2235</v>
      </c>
      <c r="T119" s="22" t="s">
        <v>2282</v>
      </c>
      <c r="U119" s="22" t="s">
        <v>2562</v>
      </c>
      <c r="V119" s="22" t="s">
        <v>2640</v>
      </c>
      <c r="W119" s="22" t="s">
        <v>2</v>
      </c>
    </row>
    <row r="120" spans="2:23" hidden="1" x14ac:dyDescent="0.25">
      <c r="B120" s="22" t="s">
        <v>1420</v>
      </c>
      <c r="C120" s="22" t="s">
        <v>2584</v>
      </c>
      <c r="D120" s="22" t="s">
        <v>2225</v>
      </c>
      <c r="E120" s="22">
        <v>339069000</v>
      </c>
      <c r="F120" s="22">
        <v>8885845596</v>
      </c>
      <c r="G120" s="22">
        <v>703734000</v>
      </c>
      <c r="H120" s="22">
        <v>2546337000</v>
      </c>
      <c r="I120" s="23">
        <v>1.7862942513803184E-2</v>
      </c>
      <c r="J120" s="23">
        <v>1.2402157768364921</v>
      </c>
      <c r="K120" s="23">
        <v>0.4831705523151395</v>
      </c>
      <c r="L120" s="23">
        <f t="shared" si="18"/>
        <v>3.8158326783512116E-2</v>
      </c>
      <c r="M120" s="23">
        <f t="shared" si="19"/>
        <v>0.276371116627532</v>
      </c>
      <c r="N120" s="26">
        <f t="shared" si="20"/>
        <v>104</v>
      </c>
      <c r="O120" s="26">
        <f t="shared" si="21"/>
        <v>118</v>
      </c>
      <c r="P120" s="52">
        <f t="shared" si="22"/>
        <v>222</v>
      </c>
      <c r="Q120" s="53">
        <f t="shared" si="23"/>
        <v>118</v>
      </c>
      <c r="R120" s="22" t="s">
        <v>2310</v>
      </c>
      <c r="S120" s="22" t="s">
        <v>2254</v>
      </c>
      <c r="T120" s="22" t="s">
        <v>2356</v>
      </c>
      <c r="U120" s="22" t="s">
        <v>2394</v>
      </c>
      <c r="V120" s="22" t="s">
        <v>2640</v>
      </c>
      <c r="W120" s="22" t="s">
        <v>2</v>
      </c>
    </row>
    <row r="121" spans="2:23" x14ac:dyDescent="0.25">
      <c r="B121" s="22" t="s">
        <v>2098</v>
      </c>
      <c r="C121" s="22" t="s">
        <v>2302</v>
      </c>
      <c r="D121" s="22" t="s">
        <v>2225</v>
      </c>
      <c r="E121" s="22">
        <v>134521000</v>
      </c>
      <c r="F121" s="22">
        <v>19646765118</v>
      </c>
      <c r="G121" s="22">
        <v>897174000</v>
      </c>
      <c r="H121" s="22">
        <v>3254183000</v>
      </c>
      <c r="I121" s="23">
        <v>0</v>
      </c>
      <c r="J121" s="23">
        <v>0</v>
      </c>
      <c r="K121" s="23">
        <v>0</v>
      </c>
      <c r="L121" s="23">
        <f t="shared" si="18"/>
        <v>6.8469796015810441E-3</v>
      </c>
      <c r="M121" s="23">
        <f t="shared" si="19"/>
        <v>0.27569869303600936</v>
      </c>
      <c r="N121" s="26">
        <f t="shared" si="20"/>
        <v>164</v>
      </c>
      <c r="O121" s="26">
        <f t="shared" si="21"/>
        <v>119</v>
      </c>
      <c r="P121" s="52">
        <f t="shared" si="22"/>
        <v>283</v>
      </c>
      <c r="Q121" s="53">
        <f t="shared" si="23"/>
        <v>119</v>
      </c>
      <c r="R121" s="22" t="s">
        <v>2233</v>
      </c>
      <c r="S121" s="22" t="s">
        <v>28</v>
      </c>
      <c r="T121" s="22" t="s">
        <v>2252</v>
      </c>
      <c r="U121" s="22" t="s">
        <v>2303</v>
      </c>
      <c r="V121" s="22" t="s">
        <v>2640</v>
      </c>
      <c r="W121" s="22" t="s">
        <v>2</v>
      </c>
    </row>
    <row r="122" spans="2:23" hidden="1" x14ac:dyDescent="0.25">
      <c r="B122" s="22" t="s">
        <v>1290</v>
      </c>
      <c r="C122" s="22" t="s">
        <v>2491</v>
      </c>
      <c r="D122" s="22" t="s">
        <v>2225</v>
      </c>
      <c r="E122" s="22">
        <v>11427500000</v>
      </c>
      <c r="F122" s="22">
        <v>258677258120</v>
      </c>
      <c r="G122" s="22">
        <v>14317200000</v>
      </c>
      <c r="H122" s="22">
        <v>52089300000</v>
      </c>
      <c r="I122" s="23">
        <v>2.1272963190603018E-2</v>
      </c>
      <c r="J122" s="23">
        <v>0.47917145416671397</v>
      </c>
      <c r="K122" s="23">
        <v>0.53235251764028224</v>
      </c>
      <c r="L122" s="23">
        <f t="shared" si="18"/>
        <v>4.4176670508463481E-2</v>
      </c>
      <c r="M122" s="23">
        <f t="shared" si="19"/>
        <v>0.27485875218135009</v>
      </c>
      <c r="N122" s="26">
        <f t="shared" si="20"/>
        <v>80</v>
      </c>
      <c r="O122" s="26">
        <f t="shared" si="21"/>
        <v>120</v>
      </c>
      <c r="P122" s="52">
        <f t="shared" si="22"/>
        <v>200</v>
      </c>
      <c r="Q122" s="53">
        <f t="shared" si="23"/>
        <v>120</v>
      </c>
      <c r="R122" s="22" t="s">
        <v>2240</v>
      </c>
      <c r="S122" s="22" t="s">
        <v>2254</v>
      </c>
      <c r="T122" s="22" t="s">
        <v>2356</v>
      </c>
      <c r="U122" s="22" t="s">
        <v>2492</v>
      </c>
      <c r="V122" s="22" t="s">
        <v>2640</v>
      </c>
      <c r="W122" s="22" t="s">
        <v>2</v>
      </c>
    </row>
    <row r="123" spans="2:23" hidden="1" x14ac:dyDescent="0.25">
      <c r="B123" s="22" t="s">
        <v>1257</v>
      </c>
      <c r="C123" s="22" t="s">
        <v>2370</v>
      </c>
      <c r="D123" s="22" t="s">
        <v>2225</v>
      </c>
      <c r="E123" s="22">
        <v>11842000000</v>
      </c>
      <c r="F123" s="22">
        <v>281466889600</v>
      </c>
      <c r="G123" s="22">
        <v>26631000000</v>
      </c>
      <c r="H123" s="22">
        <v>97578000000</v>
      </c>
      <c r="I123" s="23">
        <v>3.1420765027322405E-2</v>
      </c>
      <c r="J123" s="23">
        <v>0.18947097498771612</v>
      </c>
      <c r="K123" s="23">
        <v>0.72261418492387675</v>
      </c>
      <c r="L123" s="23">
        <f t="shared" si="18"/>
        <v>4.2072444175686091E-2</v>
      </c>
      <c r="M123" s="23">
        <f t="shared" si="19"/>
        <v>0.27292012543811106</v>
      </c>
      <c r="N123" s="26">
        <f t="shared" si="20"/>
        <v>88</v>
      </c>
      <c r="O123" s="26">
        <f t="shared" si="21"/>
        <v>121</v>
      </c>
      <c r="P123" s="52">
        <f t="shared" si="22"/>
        <v>209</v>
      </c>
      <c r="Q123" s="53">
        <f t="shared" si="23"/>
        <v>121</v>
      </c>
      <c r="R123" s="22" t="s">
        <v>2240</v>
      </c>
      <c r="S123" s="22" t="s">
        <v>2268</v>
      </c>
      <c r="T123" s="22" t="s">
        <v>2289</v>
      </c>
      <c r="U123" s="22" t="s">
        <v>2371</v>
      </c>
      <c r="V123" s="22" t="s">
        <v>2640</v>
      </c>
      <c r="W123" s="22" t="s">
        <v>2</v>
      </c>
    </row>
    <row r="124" spans="2:23" hidden="1" x14ac:dyDescent="0.25">
      <c r="B124" s="22" t="s">
        <v>1669</v>
      </c>
      <c r="C124" s="22" t="s">
        <v>2399</v>
      </c>
      <c r="D124" s="22" t="s">
        <v>2225</v>
      </c>
      <c r="E124" s="22">
        <v>1651900000</v>
      </c>
      <c r="F124" s="22">
        <v>64670109600</v>
      </c>
      <c r="G124" s="22">
        <v>5927600000</v>
      </c>
      <c r="H124" s="22">
        <v>21858100000</v>
      </c>
      <c r="I124" s="23">
        <v>1.0873942811115587E-2</v>
      </c>
      <c r="J124" s="23">
        <v>0.36416282537897376</v>
      </c>
      <c r="K124" s="23">
        <v>0.50377588306942755</v>
      </c>
      <c r="L124" s="23">
        <f t="shared" si="18"/>
        <v>2.5543485394062173E-2</v>
      </c>
      <c r="M124" s="23">
        <f t="shared" si="19"/>
        <v>0.27118551017700532</v>
      </c>
      <c r="N124" s="26">
        <f t="shared" si="20"/>
        <v>140</v>
      </c>
      <c r="O124" s="26">
        <f t="shared" si="21"/>
        <v>122</v>
      </c>
      <c r="P124" s="52">
        <f t="shared" si="22"/>
        <v>262</v>
      </c>
      <c r="Q124" s="53">
        <f t="shared" si="23"/>
        <v>122</v>
      </c>
      <c r="R124" s="22" t="s">
        <v>2240</v>
      </c>
      <c r="S124" s="22" t="s">
        <v>2250</v>
      </c>
      <c r="T124" s="22" t="s">
        <v>2251</v>
      </c>
      <c r="U124" s="22" t="s">
        <v>2400</v>
      </c>
      <c r="V124" s="22" t="s">
        <v>2640</v>
      </c>
      <c r="W124" s="22" t="s">
        <v>2</v>
      </c>
    </row>
    <row r="125" spans="2:23" x14ac:dyDescent="0.25">
      <c r="B125" s="22" t="s">
        <v>1129</v>
      </c>
      <c r="C125" s="22" t="s">
        <v>2320</v>
      </c>
      <c r="D125" s="22" t="s">
        <v>2225</v>
      </c>
      <c r="E125" s="22">
        <v>1381500000</v>
      </c>
      <c r="F125" s="22">
        <v>43202208600</v>
      </c>
      <c r="G125" s="22">
        <v>7507300000</v>
      </c>
      <c r="H125" s="22">
        <v>28193200000</v>
      </c>
      <c r="I125" s="23">
        <v>0</v>
      </c>
      <c r="J125" s="23">
        <v>0</v>
      </c>
      <c r="K125" s="23">
        <v>0</v>
      </c>
      <c r="L125" s="23">
        <f t="shared" si="18"/>
        <v>3.1977531815352608E-2</v>
      </c>
      <c r="M125" s="23">
        <f t="shared" si="19"/>
        <v>0.26628052154420218</v>
      </c>
      <c r="N125" s="26">
        <f t="shared" si="20"/>
        <v>121</v>
      </c>
      <c r="O125" s="26">
        <f t="shared" si="21"/>
        <v>123</v>
      </c>
      <c r="P125" s="52">
        <f t="shared" si="22"/>
        <v>244</v>
      </c>
      <c r="Q125" s="53">
        <f t="shared" si="23"/>
        <v>123</v>
      </c>
      <c r="R125" s="22" t="s">
        <v>2304</v>
      </c>
      <c r="S125" s="22" t="s">
        <v>4</v>
      </c>
      <c r="T125" s="22" t="s">
        <v>2274</v>
      </c>
      <c r="U125" s="22" t="s">
        <v>2321</v>
      </c>
      <c r="V125" s="22" t="s">
        <v>2640</v>
      </c>
      <c r="W125" s="22" t="s">
        <v>2</v>
      </c>
    </row>
    <row r="126" spans="2:23" hidden="1" x14ac:dyDescent="0.25">
      <c r="B126" s="22" t="s">
        <v>824</v>
      </c>
      <c r="C126" s="22" t="s">
        <v>2344</v>
      </c>
      <c r="D126" s="22" t="s">
        <v>2225</v>
      </c>
      <c r="E126" s="22">
        <v>898100000</v>
      </c>
      <c r="F126" s="22">
        <v>17473337446</v>
      </c>
      <c r="G126" s="22">
        <v>1785200000</v>
      </c>
      <c r="H126" s="22">
        <v>6816000000</v>
      </c>
      <c r="I126" s="23">
        <v>1.0184919952894746E-2</v>
      </c>
      <c r="J126" s="23">
        <v>0.77686063914076964</v>
      </c>
      <c r="K126" s="23">
        <v>0.21478060046189376</v>
      </c>
      <c r="L126" s="23">
        <f t="shared" si="18"/>
        <v>5.1398309153904267E-2</v>
      </c>
      <c r="M126" s="23">
        <f t="shared" si="19"/>
        <v>0.26191314553990608</v>
      </c>
      <c r="N126" s="26">
        <f t="shared" si="20"/>
        <v>49</v>
      </c>
      <c r="O126" s="26">
        <f t="shared" si="21"/>
        <v>124</v>
      </c>
      <c r="P126" s="52">
        <f t="shared" si="22"/>
        <v>173</v>
      </c>
      <c r="Q126" s="53">
        <f t="shared" si="23"/>
        <v>124</v>
      </c>
      <c r="R126" s="22" t="s">
        <v>2226</v>
      </c>
      <c r="S126" s="22" t="s">
        <v>28</v>
      </c>
      <c r="T126" s="22" t="s">
        <v>2295</v>
      </c>
      <c r="U126" s="22" t="s">
        <v>2345</v>
      </c>
      <c r="V126" s="22" t="s">
        <v>2640</v>
      </c>
      <c r="W126" s="22" t="s">
        <v>2</v>
      </c>
    </row>
    <row r="127" spans="2:23" hidden="1" x14ac:dyDescent="0.25">
      <c r="B127" s="22" t="s">
        <v>392</v>
      </c>
      <c r="C127" s="22" t="s">
        <v>2346</v>
      </c>
      <c r="D127" s="22" t="s">
        <v>2225</v>
      </c>
      <c r="E127" s="22">
        <v>12973000000</v>
      </c>
      <c r="F127" s="22">
        <v>181094798550</v>
      </c>
      <c r="G127" s="22">
        <v>22292000000</v>
      </c>
      <c r="H127" s="22">
        <v>86791000000</v>
      </c>
      <c r="I127" s="23">
        <v>1.6913033183371107E-2</v>
      </c>
      <c r="J127" s="23">
        <v>0.44969801137276327</v>
      </c>
      <c r="K127" s="23">
        <v>0.27663777021836938</v>
      </c>
      <c r="L127" s="23">
        <f t="shared" si="18"/>
        <v>7.1636513604327379E-2</v>
      </c>
      <c r="M127" s="23">
        <f t="shared" si="19"/>
        <v>0.25684690808954846</v>
      </c>
      <c r="N127" s="26">
        <f t="shared" si="20"/>
        <v>14</v>
      </c>
      <c r="O127" s="26">
        <f t="shared" si="21"/>
        <v>125</v>
      </c>
      <c r="P127" s="52">
        <f t="shared" si="22"/>
        <v>139</v>
      </c>
      <c r="Q127" s="53">
        <f t="shared" si="23"/>
        <v>125</v>
      </c>
      <c r="R127" s="22" t="s">
        <v>2240</v>
      </c>
      <c r="S127" s="22" t="s">
        <v>28</v>
      </c>
      <c r="T127" s="22" t="s">
        <v>2347</v>
      </c>
      <c r="U127" s="22" t="s">
        <v>2348</v>
      </c>
      <c r="V127" s="22" t="s">
        <v>2640</v>
      </c>
      <c r="W127" s="22" t="s">
        <v>2</v>
      </c>
    </row>
    <row r="128" spans="2:23" hidden="1" x14ac:dyDescent="0.25">
      <c r="B128" s="22" t="s">
        <v>1334</v>
      </c>
      <c r="C128" s="22" t="s">
        <v>2276</v>
      </c>
      <c r="D128" s="22" t="s">
        <v>2225</v>
      </c>
      <c r="E128" s="22">
        <v>2535700000</v>
      </c>
      <c r="F128" s="22">
        <v>62336361900</v>
      </c>
      <c r="G128" s="22">
        <v>4021100000</v>
      </c>
      <c r="H128" s="22">
        <v>15759000000</v>
      </c>
      <c r="I128" s="23">
        <v>8.5435722183133979E-3</v>
      </c>
      <c r="J128" s="23">
        <v>1.3881522815228156</v>
      </c>
      <c r="K128" s="23">
        <v>0.25714434438602884</v>
      </c>
      <c r="L128" s="23">
        <f t="shared" si="18"/>
        <v>4.0677702751850842E-2</v>
      </c>
      <c r="M128" s="23">
        <f t="shared" si="19"/>
        <v>0.25516212957674977</v>
      </c>
      <c r="N128" s="26">
        <f t="shared" si="20"/>
        <v>96</v>
      </c>
      <c r="O128" s="26">
        <f t="shared" si="21"/>
        <v>126</v>
      </c>
      <c r="P128" s="52">
        <f t="shared" si="22"/>
        <v>222</v>
      </c>
      <c r="Q128" s="53">
        <f t="shared" si="23"/>
        <v>126</v>
      </c>
      <c r="R128" s="22" t="s">
        <v>2240</v>
      </c>
      <c r="S128" s="22" t="s">
        <v>2235</v>
      </c>
      <c r="T128" s="22" t="s">
        <v>2277</v>
      </c>
      <c r="U128" s="22" t="s">
        <v>2278</v>
      </c>
      <c r="V128" s="22" t="s">
        <v>2640</v>
      </c>
      <c r="W128" s="22" t="s">
        <v>2</v>
      </c>
    </row>
    <row r="129" spans="2:23" x14ac:dyDescent="0.25">
      <c r="B129" s="22" t="s">
        <v>1591</v>
      </c>
      <c r="C129" s="22" t="s">
        <v>2381</v>
      </c>
      <c r="D129" s="22" t="s">
        <v>2225</v>
      </c>
      <c r="E129" s="22">
        <v>1570442000</v>
      </c>
      <c r="F129" s="22">
        <v>44602615000</v>
      </c>
      <c r="G129" s="22">
        <v>1831527000</v>
      </c>
      <c r="H129" s="22">
        <v>7333786000</v>
      </c>
      <c r="I129" s="23">
        <v>0</v>
      </c>
      <c r="J129" s="23">
        <v>0</v>
      </c>
      <c r="K129" s="23">
        <v>0</v>
      </c>
      <c r="L129" s="23">
        <f t="shared" si="18"/>
        <v>3.5209639614179569E-2</v>
      </c>
      <c r="M129" s="23">
        <f t="shared" si="19"/>
        <v>0.24973826615611636</v>
      </c>
      <c r="N129" s="26">
        <f t="shared" si="20"/>
        <v>113</v>
      </c>
      <c r="O129" s="26">
        <f t="shared" si="21"/>
        <v>127</v>
      </c>
      <c r="P129" s="52">
        <f t="shared" si="22"/>
        <v>240</v>
      </c>
      <c r="Q129" s="53">
        <f t="shared" si="23"/>
        <v>127</v>
      </c>
      <c r="R129" s="22" t="s">
        <v>2230</v>
      </c>
      <c r="S129" s="22" t="s">
        <v>28</v>
      </c>
      <c r="T129" s="22" t="s">
        <v>2322</v>
      </c>
      <c r="U129" s="22" t="s">
        <v>2382</v>
      </c>
      <c r="V129" s="22" t="s">
        <v>2640</v>
      </c>
      <c r="W129" s="22" t="s">
        <v>2</v>
      </c>
    </row>
    <row r="130" spans="2:23" hidden="1" x14ac:dyDescent="0.25">
      <c r="B130" s="22" t="s">
        <v>1143</v>
      </c>
      <c r="C130" s="22" t="s">
        <v>2628</v>
      </c>
      <c r="D130" s="22" t="s">
        <v>2225</v>
      </c>
      <c r="E130" s="22">
        <v>1246400000</v>
      </c>
      <c r="F130" s="22">
        <v>30812726840</v>
      </c>
      <c r="G130" s="22">
        <v>5214100000</v>
      </c>
      <c r="H130" s="22">
        <v>21217300000</v>
      </c>
      <c r="I130" s="23">
        <v>7.9057893436547799E-3</v>
      </c>
      <c r="J130" s="23">
        <v>1.0774162513405322E-3</v>
      </c>
      <c r="K130" s="23">
        <v>0.44733333333333336</v>
      </c>
      <c r="L130" s="23">
        <f t="shared" si="18"/>
        <v>4.0450817821873764E-2</v>
      </c>
      <c r="M130" s="23">
        <f t="shared" si="19"/>
        <v>0.24574757391374019</v>
      </c>
      <c r="N130" s="26">
        <f t="shared" si="20"/>
        <v>98</v>
      </c>
      <c r="O130" s="26">
        <f t="shared" si="21"/>
        <v>128</v>
      </c>
      <c r="P130" s="52">
        <f t="shared" si="22"/>
        <v>226</v>
      </c>
      <c r="Q130" s="53">
        <f t="shared" si="23"/>
        <v>128</v>
      </c>
      <c r="R130" s="22" t="s">
        <v>2226</v>
      </c>
      <c r="S130" s="22" t="s">
        <v>4</v>
      </c>
      <c r="T130" s="22" t="s">
        <v>2329</v>
      </c>
      <c r="U130" s="22" t="s">
        <v>2354</v>
      </c>
      <c r="V130" s="22" t="s">
        <v>2640</v>
      </c>
      <c r="W130" s="22" t="s">
        <v>2</v>
      </c>
    </row>
    <row r="131" spans="2:23" x14ac:dyDescent="0.25">
      <c r="B131" s="22" t="s">
        <v>1013</v>
      </c>
      <c r="C131" s="22" t="s">
        <v>2386</v>
      </c>
      <c r="D131" s="22" t="s">
        <v>2225</v>
      </c>
      <c r="E131" s="22">
        <v>463504000</v>
      </c>
      <c r="F131" s="22">
        <v>9478559852</v>
      </c>
      <c r="G131" s="22">
        <v>1054933000</v>
      </c>
      <c r="H131" s="22">
        <v>4413955000</v>
      </c>
      <c r="I131" s="23">
        <v>3.5712671217395242E-3</v>
      </c>
      <c r="J131" s="23">
        <v>0.33890115514275032</v>
      </c>
      <c r="K131" s="23">
        <v>4.2366272268555431E-2</v>
      </c>
      <c r="L131" s="23">
        <f t="shared" ref="L131:L162" si="24">+E131/F131</f>
        <v>4.8900255654575994E-2</v>
      </c>
      <c r="M131" s="23">
        <f t="shared" ref="M131:M162" si="25">+G131/H131</f>
        <v>0.23899949138584331</v>
      </c>
      <c r="N131" s="26">
        <f t="shared" ref="N131:N162" si="26">+_xlfn.RANK.EQ(L131,L:L,0)</f>
        <v>58</v>
      </c>
      <c r="O131" s="26">
        <f t="shared" ref="O131:O162" si="27">+_xlfn.RANK.EQ(M131,M:M,0)</f>
        <v>129</v>
      </c>
      <c r="P131" s="52">
        <f t="shared" ref="P131:P162" si="28">+N131+O131</f>
        <v>187</v>
      </c>
      <c r="Q131" s="53">
        <f t="shared" ref="Q131:Q162" si="29">+_xlfn.RANK.EQ(O131,O:O,1)</f>
        <v>129</v>
      </c>
      <c r="R131" s="22" t="s">
        <v>2310</v>
      </c>
      <c r="S131" s="22" t="s">
        <v>28</v>
      </c>
      <c r="T131" s="22" t="s">
        <v>2252</v>
      </c>
      <c r="U131" s="22" t="s">
        <v>2387</v>
      </c>
      <c r="V131" s="22" t="s">
        <v>2640</v>
      </c>
      <c r="W131" s="22" t="s">
        <v>2</v>
      </c>
    </row>
    <row r="132" spans="2:23" hidden="1" x14ac:dyDescent="0.25">
      <c r="B132" s="22" t="s">
        <v>695</v>
      </c>
      <c r="C132" s="22" t="s">
        <v>2589</v>
      </c>
      <c r="D132" s="22" t="s">
        <v>2225</v>
      </c>
      <c r="E132" s="22">
        <v>430651000</v>
      </c>
      <c r="F132" s="22">
        <v>11315850400</v>
      </c>
      <c r="G132" s="22">
        <v>868169000</v>
      </c>
      <c r="H132" s="22">
        <v>3644300000</v>
      </c>
      <c r="I132" s="23">
        <v>1.3855421686746989E-2</v>
      </c>
      <c r="J132" s="23">
        <v>0.70027702540398729</v>
      </c>
      <c r="K132" s="23">
        <v>0.43044087580612872</v>
      </c>
      <c r="L132" s="23">
        <f t="shared" si="24"/>
        <v>3.8057325324838159E-2</v>
      </c>
      <c r="M132" s="23">
        <f t="shared" si="25"/>
        <v>0.23822654556430589</v>
      </c>
      <c r="N132" s="26">
        <f t="shared" si="26"/>
        <v>105</v>
      </c>
      <c r="O132" s="26">
        <f t="shared" si="27"/>
        <v>130</v>
      </c>
      <c r="P132" s="52">
        <f t="shared" si="28"/>
        <v>235</v>
      </c>
      <c r="Q132" s="53">
        <f t="shared" si="29"/>
        <v>130</v>
      </c>
      <c r="R132" s="22" t="s">
        <v>2226</v>
      </c>
      <c r="S132" s="22" t="s">
        <v>28</v>
      </c>
      <c r="T132" s="22" t="s">
        <v>2590</v>
      </c>
      <c r="U132" s="22" t="s">
        <v>2591</v>
      </c>
      <c r="V132" s="22" t="s">
        <v>2640</v>
      </c>
      <c r="W132" s="22" t="s">
        <v>2</v>
      </c>
    </row>
    <row r="133" spans="2:23" hidden="1" x14ac:dyDescent="0.25">
      <c r="B133" s="22" t="s">
        <v>1381</v>
      </c>
      <c r="C133" s="22" t="s">
        <v>2617</v>
      </c>
      <c r="D133" s="22" t="s">
        <v>2225</v>
      </c>
      <c r="E133" s="22">
        <v>3555000000</v>
      </c>
      <c r="F133" s="22">
        <v>86780618000</v>
      </c>
      <c r="G133" s="22">
        <v>7591000000</v>
      </c>
      <c r="H133" s="22">
        <v>31935000000</v>
      </c>
      <c r="I133" s="23">
        <v>1.5772870662460567E-2</v>
      </c>
      <c r="J133" s="23">
        <v>0.52644573643410864</v>
      </c>
      <c r="K133" s="23">
        <v>0.48528138528138526</v>
      </c>
      <c r="L133" s="23">
        <f t="shared" si="24"/>
        <v>4.0965368557296974E-2</v>
      </c>
      <c r="M133" s="23">
        <f t="shared" si="25"/>
        <v>0.23770158133709096</v>
      </c>
      <c r="N133" s="26">
        <f t="shared" si="26"/>
        <v>94</v>
      </c>
      <c r="O133" s="26">
        <f t="shared" si="27"/>
        <v>131</v>
      </c>
      <c r="P133" s="52">
        <f t="shared" si="28"/>
        <v>225</v>
      </c>
      <c r="Q133" s="53">
        <f t="shared" si="29"/>
        <v>131</v>
      </c>
      <c r="R133" s="22" t="s">
        <v>2240</v>
      </c>
      <c r="S133" s="22" t="s">
        <v>28</v>
      </c>
      <c r="T133" s="22" t="s">
        <v>2547</v>
      </c>
      <c r="U133" s="22" t="s">
        <v>2618</v>
      </c>
      <c r="V133" s="22" t="s">
        <v>2640</v>
      </c>
      <c r="W133" s="22" t="s">
        <v>2</v>
      </c>
    </row>
    <row r="134" spans="2:23" hidden="1" x14ac:dyDescent="0.25">
      <c r="B134" s="22" t="s">
        <v>527</v>
      </c>
      <c r="C134" s="22" t="s">
        <v>2341</v>
      </c>
      <c r="D134" s="22" t="s">
        <v>2225</v>
      </c>
      <c r="E134" s="22">
        <v>1202000000</v>
      </c>
      <c r="F134" s="22">
        <v>17427338000</v>
      </c>
      <c r="G134" s="22">
        <v>2871000000</v>
      </c>
      <c r="H134" s="22">
        <v>12257000000</v>
      </c>
      <c r="I134" s="23">
        <v>3.4434620753838997E-2</v>
      </c>
      <c r="J134" s="23">
        <v>5.6314475481652422E-2</v>
      </c>
      <c r="K134" s="23">
        <v>0.56100628930817609</v>
      </c>
      <c r="L134" s="23">
        <f t="shared" si="24"/>
        <v>6.8972094303788686E-2</v>
      </c>
      <c r="M134" s="23">
        <f t="shared" si="25"/>
        <v>0.2342334992249327</v>
      </c>
      <c r="N134" s="26">
        <f t="shared" si="26"/>
        <v>16</v>
      </c>
      <c r="O134" s="26">
        <f t="shared" si="27"/>
        <v>132</v>
      </c>
      <c r="P134" s="52">
        <f t="shared" si="28"/>
        <v>148</v>
      </c>
      <c r="Q134" s="53">
        <f t="shared" si="29"/>
        <v>132</v>
      </c>
      <c r="R134" s="22" t="s">
        <v>2304</v>
      </c>
      <c r="S134" s="22" t="s">
        <v>2268</v>
      </c>
      <c r="T134" s="22" t="s">
        <v>2342</v>
      </c>
      <c r="U134" s="22" t="s">
        <v>2343</v>
      </c>
      <c r="V134" s="22" t="s">
        <v>2640</v>
      </c>
      <c r="W134" s="22" t="s">
        <v>2</v>
      </c>
    </row>
    <row r="135" spans="2:23" hidden="1" x14ac:dyDescent="0.25">
      <c r="B135" s="22" t="s">
        <v>1158</v>
      </c>
      <c r="C135" s="22" t="s">
        <v>2493</v>
      </c>
      <c r="D135" s="22" t="s">
        <v>2225</v>
      </c>
      <c r="E135" s="22">
        <v>5565000000</v>
      </c>
      <c r="F135" s="22">
        <v>133199195000</v>
      </c>
      <c r="G135" s="22">
        <v>20899000000</v>
      </c>
      <c r="H135" s="22">
        <v>90087000000</v>
      </c>
      <c r="I135" s="23">
        <v>3.3414337788578372E-2</v>
      </c>
      <c r="J135" s="23">
        <v>0.47920875645239369</v>
      </c>
      <c r="K135" s="23">
        <v>0.88880760790051205</v>
      </c>
      <c r="L135" s="23">
        <f t="shared" si="24"/>
        <v>4.1779531775698792E-2</v>
      </c>
      <c r="M135" s="23">
        <f t="shared" si="25"/>
        <v>0.23198685714920023</v>
      </c>
      <c r="N135" s="26">
        <f t="shared" si="26"/>
        <v>90</v>
      </c>
      <c r="O135" s="26">
        <f t="shared" si="27"/>
        <v>133</v>
      </c>
      <c r="P135" s="52">
        <f t="shared" si="28"/>
        <v>223</v>
      </c>
      <c r="Q135" s="53">
        <f t="shared" si="29"/>
        <v>133</v>
      </c>
      <c r="R135" s="22" t="s">
        <v>2267</v>
      </c>
      <c r="S135" s="22" t="s">
        <v>4</v>
      </c>
      <c r="T135" s="22" t="s">
        <v>2329</v>
      </c>
      <c r="U135" s="22" t="s">
        <v>2494</v>
      </c>
      <c r="V135" s="22" t="s">
        <v>2641</v>
      </c>
      <c r="W135" s="22" t="s">
        <v>2</v>
      </c>
    </row>
    <row r="136" spans="2:23" hidden="1" x14ac:dyDescent="0.25">
      <c r="B136" s="22" t="s">
        <v>1822</v>
      </c>
      <c r="C136" s="22" t="s">
        <v>2404</v>
      </c>
      <c r="D136" s="22" t="s">
        <v>2225</v>
      </c>
      <c r="E136" s="22">
        <v>864800000</v>
      </c>
      <c r="F136" s="22">
        <v>36172491570</v>
      </c>
      <c r="G136" s="22">
        <v>2843900000</v>
      </c>
      <c r="H136" s="22">
        <v>12348900000</v>
      </c>
      <c r="I136" s="23">
        <v>6.2850006043269815E-3</v>
      </c>
      <c r="J136" s="23">
        <v>5.8200975160607054E-4</v>
      </c>
      <c r="K136" s="23">
        <v>0.36749184417578201</v>
      </c>
      <c r="L136" s="23">
        <f t="shared" si="24"/>
        <v>2.3907670234063448E-2</v>
      </c>
      <c r="M136" s="23">
        <f t="shared" si="25"/>
        <v>0.23029581582165212</v>
      </c>
      <c r="N136" s="26">
        <f t="shared" si="26"/>
        <v>144</v>
      </c>
      <c r="O136" s="26">
        <f t="shared" si="27"/>
        <v>134</v>
      </c>
      <c r="P136" s="52">
        <f t="shared" si="28"/>
        <v>278</v>
      </c>
      <c r="Q136" s="53">
        <f t="shared" si="29"/>
        <v>134</v>
      </c>
      <c r="R136" s="22" t="s">
        <v>2226</v>
      </c>
      <c r="S136" s="22" t="s">
        <v>28</v>
      </c>
      <c r="T136" s="22" t="s">
        <v>2405</v>
      </c>
      <c r="U136" s="22" t="s">
        <v>2406</v>
      </c>
      <c r="V136" s="22" t="s">
        <v>2640</v>
      </c>
      <c r="W136" s="22" t="s">
        <v>2</v>
      </c>
    </row>
    <row r="137" spans="2:23" hidden="1" x14ac:dyDescent="0.25">
      <c r="B137" s="22" t="s">
        <v>1004</v>
      </c>
      <c r="C137" s="22" t="s">
        <v>2331</v>
      </c>
      <c r="D137" s="22" t="s">
        <v>2225</v>
      </c>
      <c r="E137" s="22">
        <v>571212000</v>
      </c>
      <c r="F137" s="22">
        <v>11955184750</v>
      </c>
      <c r="G137" s="22">
        <v>1222934000</v>
      </c>
      <c r="H137" s="22">
        <v>5317667000</v>
      </c>
      <c r="I137" s="23">
        <v>2.7965616045845271E-2</v>
      </c>
      <c r="J137" s="23">
        <v>0.23556841835455089</v>
      </c>
      <c r="K137" s="23">
        <v>0.73780386269722731</v>
      </c>
      <c r="L137" s="23">
        <f t="shared" si="24"/>
        <v>4.7779437285567668E-2</v>
      </c>
      <c r="M137" s="23">
        <f t="shared" si="25"/>
        <v>0.22997566413993203</v>
      </c>
      <c r="N137" s="26">
        <f t="shared" si="26"/>
        <v>64</v>
      </c>
      <c r="O137" s="26">
        <f t="shared" si="27"/>
        <v>135</v>
      </c>
      <c r="P137" s="52">
        <f t="shared" si="28"/>
        <v>199</v>
      </c>
      <c r="Q137" s="53">
        <f t="shared" si="29"/>
        <v>135</v>
      </c>
      <c r="R137" s="22" t="s">
        <v>2304</v>
      </c>
      <c r="S137" s="22" t="s">
        <v>28</v>
      </c>
      <c r="T137" s="22" t="s">
        <v>2332</v>
      </c>
      <c r="U137" s="22" t="s">
        <v>2330</v>
      </c>
      <c r="V137" s="22" t="s">
        <v>2640</v>
      </c>
      <c r="W137" s="22" t="s">
        <v>2</v>
      </c>
    </row>
    <row r="138" spans="2:23" hidden="1" x14ac:dyDescent="0.25">
      <c r="B138" s="22" t="s">
        <v>455</v>
      </c>
      <c r="C138" s="22" t="s">
        <v>2391</v>
      </c>
      <c r="D138" s="22" t="s">
        <v>2225</v>
      </c>
      <c r="E138" s="22">
        <v>15472000000</v>
      </c>
      <c r="F138" s="22">
        <v>168410923850</v>
      </c>
      <c r="G138" s="22">
        <v>23019000000</v>
      </c>
      <c r="H138" s="22">
        <v>104087000000</v>
      </c>
      <c r="I138" s="23">
        <v>1.2585042490093954E-2</v>
      </c>
      <c r="J138" s="23">
        <v>1.0010362698804942</v>
      </c>
      <c r="K138" s="23">
        <v>0.14036986031870943</v>
      </c>
      <c r="L138" s="23">
        <f t="shared" si="24"/>
        <v>9.1870525060361155E-2</v>
      </c>
      <c r="M138" s="23">
        <f t="shared" si="25"/>
        <v>0.22115153669526455</v>
      </c>
      <c r="N138" s="26">
        <f t="shared" si="26"/>
        <v>8</v>
      </c>
      <c r="O138" s="26">
        <f t="shared" si="27"/>
        <v>136</v>
      </c>
      <c r="P138" s="52">
        <f t="shared" si="28"/>
        <v>144</v>
      </c>
      <c r="Q138" s="53">
        <f t="shared" si="29"/>
        <v>136</v>
      </c>
      <c r="R138" s="22" t="s">
        <v>2240</v>
      </c>
      <c r="S138" s="22" t="s">
        <v>28</v>
      </c>
      <c r="T138" s="22" t="s">
        <v>2347</v>
      </c>
      <c r="U138" s="22" t="s">
        <v>2392</v>
      </c>
      <c r="V138" s="22" t="s">
        <v>2640</v>
      </c>
      <c r="W138" s="22" t="s">
        <v>2</v>
      </c>
    </row>
    <row r="139" spans="2:23" hidden="1" x14ac:dyDescent="0.25">
      <c r="B139" s="22" t="s">
        <v>1067</v>
      </c>
      <c r="C139" s="22" t="s">
        <v>2446</v>
      </c>
      <c r="D139" s="22" t="s">
        <v>2225</v>
      </c>
      <c r="E139" s="22">
        <v>6698000000</v>
      </c>
      <c r="F139" s="22">
        <v>150365384100</v>
      </c>
      <c r="G139" s="22">
        <v>13490000000</v>
      </c>
      <c r="H139" s="22">
        <v>61296000000</v>
      </c>
      <c r="I139" s="23">
        <v>1.9942611190817791E-2</v>
      </c>
      <c r="J139" s="23">
        <v>0.4125241473371517</v>
      </c>
      <c r="K139" s="23">
        <v>0.52364240857037314</v>
      </c>
      <c r="L139" s="23">
        <f t="shared" si="24"/>
        <v>4.4544826856861668E-2</v>
      </c>
      <c r="M139" s="23">
        <f t="shared" si="25"/>
        <v>0.22007961367789089</v>
      </c>
      <c r="N139" s="26">
        <f t="shared" si="26"/>
        <v>76</v>
      </c>
      <c r="O139" s="26">
        <f t="shared" si="27"/>
        <v>137</v>
      </c>
      <c r="P139" s="52">
        <f t="shared" si="28"/>
        <v>213</v>
      </c>
      <c r="Q139" s="53">
        <f t="shared" si="29"/>
        <v>137</v>
      </c>
      <c r="R139" s="22" t="s">
        <v>2240</v>
      </c>
      <c r="S139" s="22" t="s">
        <v>28</v>
      </c>
      <c r="T139" s="22" t="s">
        <v>2442</v>
      </c>
      <c r="U139" s="22" t="s">
        <v>2447</v>
      </c>
      <c r="V139" s="22" t="s">
        <v>2640</v>
      </c>
      <c r="W139" s="22" t="s">
        <v>2</v>
      </c>
    </row>
    <row r="140" spans="2:23" hidden="1" x14ac:dyDescent="0.25">
      <c r="B140" s="22" t="s">
        <v>968</v>
      </c>
      <c r="C140" s="22" t="s">
        <v>2273</v>
      </c>
      <c r="D140" s="22" t="s">
        <v>2225</v>
      </c>
      <c r="E140" s="22">
        <v>9042000000</v>
      </c>
      <c r="F140" s="22">
        <v>177664034200</v>
      </c>
      <c r="G140" s="22">
        <v>19747000000</v>
      </c>
      <c r="H140" s="22">
        <v>90534000000</v>
      </c>
      <c r="I140" s="23">
        <v>3.0010567101091932E-2</v>
      </c>
      <c r="J140" s="23">
        <v>0.69428127951744678</v>
      </c>
      <c r="K140" s="23">
        <v>0.58895056833201165</v>
      </c>
      <c r="L140" s="23">
        <f t="shared" si="24"/>
        <v>5.0893812249142321E-2</v>
      </c>
      <c r="M140" s="23">
        <f t="shared" si="25"/>
        <v>0.21811695053791946</v>
      </c>
      <c r="N140" s="26">
        <f t="shared" si="26"/>
        <v>51</v>
      </c>
      <c r="O140" s="26">
        <f t="shared" si="27"/>
        <v>138</v>
      </c>
      <c r="P140" s="52">
        <f t="shared" si="28"/>
        <v>189</v>
      </c>
      <c r="Q140" s="53">
        <f t="shared" si="29"/>
        <v>138</v>
      </c>
      <c r="R140" s="22" t="s">
        <v>2240</v>
      </c>
      <c r="S140" s="22" t="s">
        <v>4</v>
      </c>
      <c r="T140" s="22" t="s">
        <v>2274</v>
      </c>
      <c r="U140" s="22" t="s">
        <v>2275</v>
      </c>
      <c r="V140" s="22" t="s">
        <v>2640</v>
      </c>
      <c r="W140" s="22" t="s">
        <v>2</v>
      </c>
    </row>
    <row r="141" spans="2:23" hidden="1" x14ac:dyDescent="0.25">
      <c r="B141" s="22" t="s">
        <v>1627</v>
      </c>
      <c r="C141" s="22" t="s">
        <v>2306</v>
      </c>
      <c r="D141" s="22" t="s">
        <v>2225</v>
      </c>
      <c r="E141" s="22">
        <v>314809000</v>
      </c>
      <c r="F141" s="22">
        <v>8319629319</v>
      </c>
      <c r="G141" s="22">
        <v>592430000</v>
      </c>
      <c r="H141" s="22">
        <v>2776839000</v>
      </c>
      <c r="I141" s="23">
        <v>1.1977591488619335E-2</v>
      </c>
      <c r="J141" s="23">
        <v>1.0946815621621124</v>
      </c>
      <c r="K141" s="23">
        <v>0.37702925172814417</v>
      </c>
      <c r="L141" s="23">
        <f t="shared" si="24"/>
        <v>3.7839306047091931E-2</v>
      </c>
      <c r="M141" s="23">
        <f t="shared" si="25"/>
        <v>0.213346902719243</v>
      </c>
      <c r="N141" s="26">
        <f t="shared" si="26"/>
        <v>107</v>
      </c>
      <c r="O141" s="26">
        <f t="shared" si="27"/>
        <v>139</v>
      </c>
      <c r="P141" s="52">
        <f t="shared" si="28"/>
        <v>246</v>
      </c>
      <c r="Q141" s="53">
        <f t="shared" si="29"/>
        <v>139</v>
      </c>
      <c r="R141" s="22" t="s">
        <v>2294</v>
      </c>
      <c r="S141" s="22" t="s">
        <v>28</v>
      </c>
      <c r="T141" s="22" t="s">
        <v>2252</v>
      </c>
      <c r="U141" s="22" t="s">
        <v>2307</v>
      </c>
      <c r="V141" s="22" t="s">
        <v>2640</v>
      </c>
      <c r="W141" s="22" t="s">
        <v>2</v>
      </c>
    </row>
    <row r="142" spans="2:23" hidden="1" x14ac:dyDescent="0.25">
      <c r="B142" s="22" t="s">
        <v>1010</v>
      </c>
      <c r="C142" s="22" t="s">
        <v>2379</v>
      </c>
      <c r="D142" s="22" t="s">
        <v>2225</v>
      </c>
      <c r="E142" s="22">
        <v>2956800000</v>
      </c>
      <c r="F142" s="22">
        <v>55516820370</v>
      </c>
      <c r="G142" s="22">
        <v>4895800000</v>
      </c>
      <c r="H142" s="22">
        <v>24930000000</v>
      </c>
      <c r="I142" s="23">
        <v>1.4519435959663584E-2</v>
      </c>
      <c r="J142" s="23">
        <v>0.48604770482018422</v>
      </c>
      <c r="K142" s="23">
        <v>0.4088091784254253</v>
      </c>
      <c r="L142" s="23">
        <f t="shared" si="24"/>
        <v>5.3259534323002872E-2</v>
      </c>
      <c r="M142" s="23">
        <f t="shared" si="25"/>
        <v>0.19638186923385478</v>
      </c>
      <c r="N142" s="26">
        <f t="shared" si="26"/>
        <v>46</v>
      </c>
      <c r="O142" s="26">
        <f t="shared" si="27"/>
        <v>140</v>
      </c>
      <c r="P142" s="52">
        <f t="shared" si="28"/>
        <v>186</v>
      </c>
      <c r="Q142" s="53">
        <f t="shared" si="29"/>
        <v>140</v>
      </c>
      <c r="R142" s="22" t="s">
        <v>2226</v>
      </c>
      <c r="S142" s="22" t="s">
        <v>2268</v>
      </c>
      <c r="T142" s="22" t="s">
        <v>2327</v>
      </c>
      <c r="U142" s="22" t="s">
        <v>2380</v>
      </c>
      <c r="V142" s="22" t="s">
        <v>2640</v>
      </c>
      <c r="W142" s="22" t="s">
        <v>2</v>
      </c>
    </row>
    <row r="143" spans="2:23" hidden="1" x14ac:dyDescent="0.25">
      <c r="B143" s="22" t="s">
        <v>1364</v>
      </c>
      <c r="C143" s="22" t="s">
        <v>2546</v>
      </c>
      <c r="D143" s="22" t="s">
        <v>2225</v>
      </c>
      <c r="E143" s="22">
        <v>2656300000</v>
      </c>
      <c r="F143" s="22">
        <v>63202883575</v>
      </c>
      <c r="G143" s="22">
        <v>5803100000</v>
      </c>
      <c r="H143" s="22">
        <v>30042800000</v>
      </c>
      <c r="I143" s="23">
        <v>1.2356629454044962E-2</v>
      </c>
      <c r="J143" s="23">
        <v>0.433439647213059</v>
      </c>
      <c r="K143" s="23">
        <v>0.38204236098394678</v>
      </c>
      <c r="L143" s="23">
        <f t="shared" si="24"/>
        <v>4.2028145707116181E-2</v>
      </c>
      <c r="M143" s="23">
        <f t="shared" si="25"/>
        <v>0.1931610901780127</v>
      </c>
      <c r="N143" s="26">
        <f t="shared" si="26"/>
        <v>89</v>
      </c>
      <c r="O143" s="26">
        <f t="shared" si="27"/>
        <v>141</v>
      </c>
      <c r="P143" s="52">
        <f t="shared" si="28"/>
        <v>230</v>
      </c>
      <c r="Q143" s="53">
        <f t="shared" si="29"/>
        <v>141</v>
      </c>
      <c r="R143" s="22" t="s">
        <v>2240</v>
      </c>
      <c r="S143" s="22" t="s">
        <v>28</v>
      </c>
      <c r="T143" s="22" t="s">
        <v>2547</v>
      </c>
      <c r="U143" s="22" t="s">
        <v>2548</v>
      </c>
      <c r="V143" s="22" t="s">
        <v>2640</v>
      </c>
      <c r="W143" s="22" t="s">
        <v>2</v>
      </c>
    </row>
    <row r="144" spans="2:23" hidden="1" x14ac:dyDescent="0.25">
      <c r="B144" s="22" t="s">
        <v>1230</v>
      </c>
      <c r="C144" s="22" t="s">
        <v>2533</v>
      </c>
      <c r="D144" s="22" t="s">
        <v>2225</v>
      </c>
      <c r="E144" s="22">
        <v>14769000000</v>
      </c>
      <c r="F144" s="22">
        <v>220862508100</v>
      </c>
      <c r="G144" s="22">
        <v>41498000000</v>
      </c>
      <c r="H144" s="22">
        <v>215021000000</v>
      </c>
      <c r="I144" s="23">
        <v>5.7726152763111577E-2</v>
      </c>
      <c r="J144" s="23">
        <v>0.24857793661676311</v>
      </c>
      <c r="K144" s="23">
        <v>0.87541734236382718</v>
      </c>
      <c r="L144" s="23">
        <f t="shared" si="24"/>
        <v>6.686965627191481E-2</v>
      </c>
      <c r="M144" s="23">
        <f t="shared" si="25"/>
        <v>0.19299510280391219</v>
      </c>
      <c r="N144" s="26">
        <f t="shared" si="26"/>
        <v>19</v>
      </c>
      <c r="O144" s="26">
        <f t="shared" si="27"/>
        <v>142</v>
      </c>
      <c r="P144" s="52">
        <f t="shared" si="28"/>
        <v>161</v>
      </c>
      <c r="Q144" s="53">
        <f t="shared" si="29"/>
        <v>142</v>
      </c>
      <c r="R144" s="22" t="s">
        <v>2267</v>
      </c>
      <c r="S144" s="22" t="s">
        <v>4</v>
      </c>
      <c r="T144" s="22" t="s">
        <v>2274</v>
      </c>
      <c r="U144" s="22" t="s">
        <v>2534</v>
      </c>
      <c r="V144" s="22" t="s">
        <v>2640</v>
      </c>
      <c r="W144" s="22" t="s">
        <v>2</v>
      </c>
    </row>
    <row r="145" spans="2:23" hidden="1" x14ac:dyDescent="0.25">
      <c r="B145" s="22" t="s">
        <v>1399</v>
      </c>
      <c r="C145" s="22" t="s">
        <v>2599</v>
      </c>
      <c r="D145" s="22" t="s">
        <v>2225</v>
      </c>
      <c r="E145" s="22">
        <v>2924000000</v>
      </c>
      <c r="F145" s="22">
        <v>52118670500</v>
      </c>
      <c r="G145" s="22">
        <v>3842000000</v>
      </c>
      <c r="H145" s="22">
        <v>19970000000</v>
      </c>
      <c r="I145" s="23">
        <v>3.482587064676617E-2</v>
      </c>
      <c r="J145" s="23">
        <v>-0.34214819874148789</v>
      </c>
      <c r="K145" s="23">
        <v>2.9298380878951428E-2</v>
      </c>
      <c r="L145" s="23">
        <f t="shared" si="24"/>
        <v>5.6102735774888959E-2</v>
      </c>
      <c r="M145" s="23">
        <f t="shared" si="25"/>
        <v>0.19238858287431146</v>
      </c>
      <c r="N145" s="26">
        <f t="shared" si="26"/>
        <v>38</v>
      </c>
      <c r="O145" s="26">
        <f t="shared" si="27"/>
        <v>143</v>
      </c>
      <c r="P145" s="52">
        <f t="shared" si="28"/>
        <v>181</v>
      </c>
      <c r="Q145" s="53">
        <f t="shared" si="29"/>
        <v>143</v>
      </c>
      <c r="R145" s="22" t="s">
        <v>2230</v>
      </c>
      <c r="S145" s="22" t="s">
        <v>28</v>
      </c>
      <c r="T145" s="22" t="s">
        <v>2252</v>
      </c>
      <c r="U145" s="22" t="s">
        <v>2600</v>
      </c>
      <c r="V145" s="22" t="s">
        <v>2640</v>
      </c>
      <c r="W145" s="22" t="s">
        <v>2</v>
      </c>
    </row>
    <row r="146" spans="2:23" hidden="1" x14ac:dyDescent="0.25">
      <c r="B146" s="22" t="s">
        <v>2362</v>
      </c>
      <c r="C146" s="22" t="s">
        <v>2443</v>
      </c>
      <c r="D146" s="22" t="s">
        <v>2225</v>
      </c>
      <c r="E146" s="22">
        <v>766560000</v>
      </c>
      <c r="F146" s="22">
        <v>10602326100</v>
      </c>
      <c r="G146" s="22">
        <v>2367904000</v>
      </c>
      <c r="H146" s="22">
        <v>12462216000</v>
      </c>
      <c r="I146" s="23">
        <v>1.7775383786695395E-2</v>
      </c>
      <c r="J146" s="23">
        <v>-0.58612496549938475</v>
      </c>
      <c r="K146" s="23">
        <v>0.13255674608281476</v>
      </c>
      <c r="L146" s="23">
        <f t="shared" si="24"/>
        <v>7.2301115129820431E-2</v>
      </c>
      <c r="M146" s="23">
        <f t="shared" si="25"/>
        <v>0.1900066569220113</v>
      </c>
      <c r="N146" s="26">
        <f t="shared" si="26"/>
        <v>13</v>
      </c>
      <c r="O146" s="26">
        <f t="shared" si="27"/>
        <v>144</v>
      </c>
      <c r="P146" s="52">
        <f t="shared" si="28"/>
        <v>157</v>
      </c>
      <c r="Q146" s="53">
        <f t="shared" si="29"/>
        <v>144</v>
      </c>
      <c r="R146" s="22" t="s">
        <v>2434</v>
      </c>
      <c r="S146" s="22" t="s">
        <v>2254</v>
      </c>
      <c r="T146" s="22" t="s">
        <v>2305</v>
      </c>
      <c r="U146" s="22" t="s">
        <v>2444</v>
      </c>
      <c r="V146" s="22" t="s">
        <v>2640</v>
      </c>
      <c r="W146" s="22" t="s">
        <v>2</v>
      </c>
    </row>
    <row r="147" spans="2:23" hidden="1" x14ac:dyDescent="0.25">
      <c r="B147" s="22" t="s">
        <v>1331</v>
      </c>
      <c r="C147" s="22" t="s">
        <v>2578</v>
      </c>
      <c r="D147" s="22" t="s">
        <v>2225</v>
      </c>
      <c r="E147" s="22">
        <v>479697000</v>
      </c>
      <c r="F147" s="22">
        <v>9856417014</v>
      </c>
      <c r="G147" s="22">
        <v>725030000</v>
      </c>
      <c r="H147" s="22">
        <v>3825034000</v>
      </c>
      <c r="I147" s="23">
        <v>6.0183529972589684E-3</v>
      </c>
      <c r="J147" s="23">
        <v>1.2277835181381569</v>
      </c>
      <c r="K147" s="23">
        <v>0.19059688391485627</v>
      </c>
      <c r="L147" s="23">
        <f t="shared" si="24"/>
        <v>4.8668496809605465E-2</v>
      </c>
      <c r="M147" s="23">
        <f t="shared" si="25"/>
        <v>0.18954864192056856</v>
      </c>
      <c r="N147" s="26">
        <f t="shared" si="26"/>
        <v>62</v>
      </c>
      <c r="O147" s="26">
        <f t="shared" si="27"/>
        <v>145</v>
      </c>
      <c r="P147" s="52">
        <f t="shared" si="28"/>
        <v>207</v>
      </c>
      <c r="Q147" s="53">
        <f t="shared" si="29"/>
        <v>145</v>
      </c>
      <c r="R147" s="22" t="s">
        <v>2233</v>
      </c>
      <c r="S147" s="22" t="s">
        <v>28</v>
      </c>
      <c r="T147" s="22" t="s">
        <v>2412</v>
      </c>
      <c r="U147" s="22" t="s">
        <v>2261</v>
      </c>
      <c r="V147" s="22" t="s">
        <v>2640</v>
      </c>
      <c r="W147" s="22" t="s">
        <v>2</v>
      </c>
    </row>
    <row r="148" spans="2:23" hidden="1" x14ac:dyDescent="0.25">
      <c r="B148" s="22" t="s">
        <v>1081</v>
      </c>
      <c r="C148" s="22" t="s">
        <v>2503</v>
      </c>
      <c r="D148" s="22" t="s">
        <v>2225</v>
      </c>
      <c r="E148" s="22">
        <v>5143000000</v>
      </c>
      <c r="F148" s="22">
        <v>116432139000</v>
      </c>
      <c r="G148" s="22">
        <v>13369000000</v>
      </c>
      <c r="H148" s="22">
        <v>70860000000</v>
      </c>
      <c r="I148" s="23">
        <v>2.2033189234416401E-2</v>
      </c>
      <c r="J148" s="23">
        <v>0.81925427236007775</v>
      </c>
      <c r="K148" s="23">
        <v>0.51716527709661597</v>
      </c>
      <c r="L148" s="23">
        <f t="shared" si="24"/>
        <v>4.4171652639654758E-2</v>
      </c>
      <c r="M148" s="23">
        <f t="shared" si="25"/>
        <v>0.18866779565340108</v>
      </c>
      <c r="N148" s="26">
        <f t="shared" si="26"/>
        <v>81</v>
      </c>
      <c r="O148" s="26">
        <f t="shared" si="27"/>
        <v>146</v>
      </c>
      <c r="P148" s="52">
        <f t="shared" si="28"/>
        <v>227</v>
      </c>
      <c r="Q148" s="53">
        <f t="shared" si="29"/>
        <v>146</v>
      </c>
      <c r="R148" s="22" t="s">
        <v>2240</v>
      </c>
      <c r="S148" s="22" t="s">
        <v>2268</v>
      </c>
      <c r="T148" s="22" t="s">
        <v>2314</v>
      </c>
      <c r="U148" s="22" t="s">
        <v>2504</v>
      </c>
      <c r="V148" s="22" t="s">
        <v>2640</v>
      </c>
      <c r="W148" s="22" t="s">
        <v>2</v>
      </c>
    </row>
    <row r="149" spans="2:23" hidden="1" x14ac:dyDescent="0.25">
      <c r="B149" s="22" t="s">
        <v>1325</v>
      </c>
      <c r="C149" s="22" t="s">
        <v>2490</v>
      </c>
      <c r="D149" s="22" t="s">
        <v>2225</v>
      </c>
      <c r="E149" s="22">
        <v>930100000</v>
      </c>
      <c r="F149" s="22">
        <v>22907961020</v>
      </c>
      <c r="G149" s="22">
        <v>2425600000</v>
      </c>
      <c r="H149" s="22">
        <v>12990100000</v>
      </c>
      <c r="I149" s="23">
        <v>2.2887323943661973E-2</v>
      </c>
      <c r="J149" s="23">
        <v>0.57872410407831754</v>
      </c>
      <c r="K149" s="23">
        <v>0.63833075734157652</v>
      </c>
      <c r="L149" s="23">
        <f t="shared" si="24"/>
        <v>4.0601605668351186E-2</v>
      </c>
      <c r="M149" s="23">
        <f t="shared" si="25"/>
        <v>0.18672681503606592</v>
      </c>
      <c r="N149" s="26">
        <f t="shared" si="26"/>
        <v>97</v>
      </c>
      <c r="O149" s="26">
        <f t="shared" si="27"/>
        <v>147</v>
      </c>
      <c r="P149" s="52">
        <f t="shared" si="28"/>
        <v>244</v>
      </c>
      <c r="Q149" s="53">
        <f t="shared" si="29"/>
        <v>147</v>
      </c>
      <c r="R149" s="22" t="s">
        <v>2226</v>
      </c>
      <c r="S149" s="22" t="s">
        <v>2268</v>
      </c>
      <c r="T149" s="22" t="s">
        <v>2342</v>
      </c>
      <c r="U149" s="22" t="s">
        <v>2489</v>
      </c>
      <c r="V149" s="22" t="s">
        <v>2640</v>
      </c>
      <c r="W149" s="22" t="s">
        <v>2</v>
      </c>
    </row>
    <row r="150" spans="2:23" hidden="1" x14ac:dyDescent="0.25">
      <c r="B150" s="22" t="s">
        <v>677</v>
      </c>
      <c r="C150" s="22" t="s">
        <v>2606</v>
      </c>
      <c r="D150" s="22" t="s">
        <v>2225</v>
      </c>
      <c r="E150" s="22">
        <v>11522000000</v>
      </c>
      <c r="F150" s="22">
        <v>155758805571</v>
      </c>
      <c r="G150" s="22">
        <v>12937000000</v>
      </c>
      <c r="H150" s="22">
        <v>70281000000</v>
      </c>
      <c r="I150" s="23">
        <v>4.1004872492564702E-2</v>
      </c>
      <c r="J150" s="23">
        <v>0.85405774172024718</v>
      </c>
      <c r="K150" s="23">
        <v>0.62014960261804586</v>
      </c>
      <c r="L150" s="23">
        <f t="shared" si="24"/>
        <v>7.3973345890533893E-2</v>
      </c>
      <c r="M150" s="23">
        <f t="shared" si="25"/>
        <v>0.18407535464777108</v>
      </c>
      <c r="N150" s="26">
        <f t="shared" si="26"/>
        <v>11</v>
      </c>
      <c r="O150" s="26">
        <f t="shared" si="27"/>
        <v>148</v>
      </c>
      <c r="P150" s="52">
        <f t="shared" si="28"/>
        <v>159</v>
      </c>
      <c r="Q150" s="53">
        <f t="shared" si="29"/>
        <v>148</v>
      </c>
      <c r="R150" s="22" t="s">
        <v>2267</v>
      </c>
      <c r="S150" s="22" t="s">
        <v>28</v>
      </c>
      <c r="T150" s="22" t="s">
        <v>2332</v>
      </c>
      <c r="U150" s="22" t="s">
        <v>2607</v>
      </c>
      <c r="V150" s="22" t="s">
        <v>2640</v>
      </c>
      <c r="W150" s="22" t="s">
        <v>2</v>
      </c>
    </row>
    <row r="151" spans="2:23" x14ac:dyDescent="0.25">
      <c r="B151" s="22" t="s">
        <v>1657</v>
      </c>
      <c r="C151" s="22" t="s">
        <v>2595</v>
      </c>
      <c r="D151" s="22" t="s">
        <v>2225</v>
      </c>
      <c r="E151" s="22">
        <v>6866000000</v>
      </c>
      <c r="F151" s="22">
        <v>233794248400</v>
      </c>
      <c r="G151" s="22">
        <v>17801000000</v>
      </c>
      <c r="H151" s="22">
        <v>97057000000</v>
      </c>
      <c r="I151" s="23">
        <v>2.6430054747970545E-3</v>
      </c>
      <c r="J151" s="23">
        <v>0.93452380952380976</v>
      </c>
      <c r="K151" s="23">
        <v>8.4834202996128594E-2</v>
      </c>
      <c r="L151" s="23">
        <f t="shared" si="24"/>
        <v>2.9367702785625928E-2</v>
      </c>
      <c r="M151" s="23">
        <f t="shared" si="25"/>
        <v>0.18340768826565831</v>
      </c>
      <c r="N151" s="26">
        <f t="shared" si="26"/>
        <v>127</v>
      </c>
      <c r="O151" s="26">
        <f t="shared" si="27"/>
        <v>149</v>
      </c>
      <c r="P151" s="52">
        <f t="shared" si="28"/>
        <v>276</v>
      </c>
      <c r="Q151" s="53">
        <f t="shared" si="29"/>
        <v>149</v>
      </c>
      <c r="R151" s="22" t="s">
        <v>2240</v>
      </c>
      <c r="S151" s="22" t="s">
        <v>4</v>
      </c>
      <c r="T151" s="22" t="s">
        <v>2248</v>
      </c>
      <c r="U151" s="22" t="s">
        <v>2596</v>
      </c>
      <c r="V151" s="22" t="s">
        <v>2640</v>
      </c>
      <c r="W151" s="22" t="s">
        <v>2</v>
      </c>
    </row>
    <row r="152" spans="2:23" x14ac:dyDescent="0.25">
      <c r="B152" s="22" t="s">
        <v>2066</v>
      </c>
      <c r="C152" s="22" t="s">
        <v>2603</v>
      </c>
      <c r="D152" s="22" t="s">
        <v>2225</v>
      </c>
      <c r="E152" s="22">
        <v>211500000</v>
      </c>
      <c r="F152" s="22">
        <v>18086617992</v>
      </c>
      <c r="G152" s="22">
        <v>841508000</v>
      </c>
      <c r="H152" s="22">
        <v>4637429000</v>
      </c>
      <c r="I152" s="23">
        <v>0</v>
      </c>
      <c r="J152" s="23">
        <v>0</v>
      </c>
      <c r="K152" s="23">
        <v>0</v>
      </c>
      <c r="L152" s="23">
        <f t="shared" si="24"/>
        <v>1.1693728484426985E-2</v>
      </c>
      <c r="M152" s="23">
        <f t="shared" si="25"/>
        <v>0.1814600288220046</v>
      </c>
      <c r="N152" s="26">
        <f t="shared" si="26"/>
        <v>162</v>
      </c>
      <c r="O152" s="26">
        <f t="shared" si="27"/>
        <v>150</v>
      </c>
      <c r="P152" s="52">
        <f t="shared" si="28"/>
        <v>312</v>
      </c>
      <c r="Q152" s="53">
        <f t="shared" si="29"/>
        <v>150</v>
      </c>
      <c r="R152" s="22" t="s">
        <v>2233</v>
      </c>
      <c r="S152" s="22" t="s">
        <v>2235</v>
      </c>
      <c r="T152" s="22" t="s">
        <v>2282</v>
      </c>
      <c r="U152" s="22" t="s">
        <v>2451</v>
      </c>
      <c r="V152" s="22" t="s">
        <v>2640</v>
      </c>
      <c r="W152" s="22" t="s">
        <v>2</v>
      </c>
    </row>
    <row r="153" spans="2:23" hidden="1" x14ac:dyDescent="0.25">
      <c r="B153" s="22" t="s">
        <v>1352</v>
      </c>
      <c r="C153" s="22" t="s">
        <v>2232</v>
      </c>
      <c r="D153" s="22" t="s">
        <v>2225</v>
      </c>
      <c r="E153" s="22">
        <v>1575533000</v>
      </c>
      <c r="F153" s="22">
        <v>39288605485</v>
      </c>
      <c r="G153" s="22">
        <v>2331440000</v>
      </c>
      <c r="H153" s="22">
        <v>13093376000</v>
      </c>
      <c r="I153" s="23">
        <v>6.0784730875604051E-3</v>
      </c>
      <c r="J153" s="23">
        <v>1.4437957603251901</v>
      </c>
      <c r="K153" s="23">
        <v>0.17475023602519482</v>
      </c>
      <c r="L153" s="23">
        <f t="shared" si="24"/>
        <v>4.0101525125434218E-2</v>
      </c>
      <c r="M153" s="23">
        <f t="shared" si="25"/>
        <v>0.17806255621162945</v>
      </c>
      <c r="N153" s="26">
        <f t="shared" si="26"/>
        <v>100</v>
      </c>
      <c r="O153" s="26">
        <f t="shared" si="27"/>
        <v>151</v>
      </c>
      <c r="P153" s="52">
        <f t="shared" si="28"/>
        <v>251</v>
      </c>
      <c r="Q153" s="53">
        <f t="shared" si="29"/>
        <v>151</v>
      </c>
      <c r="R153" s="22" t="s">
        <v>2233</v>
      </c>
      <c r="S153" s="22" t="s">
        <v>28</v>
      </c>
      <c r="T153" s="22" t="s">
        <v>2227</v>
      </c>
      <c r="U153" s="22" t="s">
        <v>2234</v>
      </c>
      <c r="V153" s="22" t="s">
        <v>2640</v>
      </c>
      <c r="W153" s="22" t="s">
        <v>2</v>
      </c>
    </row>
    <row r="154" spans="2:23" hidden="1" x14ac:dyDescent="0.25">
      <c r="B154" s="22" t="s">
        <v>626</v>
      </c>
      <c r="C154" s="22" t="s">
        <v>2523</v>
      </c>
      <c r="D154" s="22" t="s">
        <v>2225</v>
      </c>
      <c r="E154" s="22">
        <v>5502000000</v>
      </c>
      <c r="F154" s="22">
        <v>83313166725</v>
      </c>
      <c r="G154" s="22">
        <v>7890000000</v>
      </c>
      <c r="H154" s="22">
        <v>44896000000</v>
      </c>
      <c r="I154" s="23">
        <v>1.5842011546970271E-2</v>
      </c>
      <c r="J154" s="23">
        <v>0.71906216005269552</v>
      </c>
      <c r="K154" s="23">
        <v>0.23549561121815457</v>
      </c>
      <c r="L154" s="23">
        <f t="shared" si="24"/>
        <v>6.6039981629326311E-2</v>
      </c>
      <c r="M154" s="23">
        <f t="shared" si="25"/>
        <v>0.17573948681397006</v>
      </c>
      <c r="N154" s="26">
        <f t="shared" si="26"/>
        <v>21</v>
      </c>
      <c r="O154" s="26">
        <f t="shared" si="27"/>
        <v>152</v>
      </c>
      <c r="P154" s="52">
        <f t="shared" si="28"/>
        <v>173</v>
      </c>
      <c r="Q154" s="53">
        <f t="shared" si="29"/>
        <v>152</v>
      </c>
      <c r="R154" s="22" t="s">
        <v>2240</v>
      </c>
      <c r="S154" s="22" t="s">
        <v>28</v>
      </c>
      <c r="T154" s="22" t="s">
        <v>2252</v>
      </c>
      <c r="U154" s="22" t="s">
        <v>2524</v>
      </c>
      <c r="V154" s="22" t="s">
        <v>2640</v>
      </c>
      <c r="W154" s="22" t="s">
        <v>2</v>
      </c>
    </row>
    <row r="155" spans="2:23" x14ac:dyDescent="0.25">
      <c r="B155" s="22" t="s">
        <v>1307</v>
      </c>
      <c r="C155" s="22" t="s">
        <v>2448</v>
      </c>
      <c r="D155" s="22" t="s">
        <v>2225</v>
      </c>
      <c r="E155" s="22">
        <v>1097000000</v>
      </c>
      <c r="F155" s="22">
        <v>25493005120</v>
      </c>
      <c r="G155" s="22">
        <v>1769000000</v>
      </c>
      <c r="H155" s="22">
        <v>10166000000</v>
      </c>
      <c r="I155" s="23">
        <v>3.1639679880885912E-3</v>
      </c>
      <c r="J155" s="23">
        <v>-0.70557435310489758</v>
      </c>
      <c r="K155" s="23">
        <v>0.10781250000000001</v>
      </c>
      <c r="L155" s="23">
        <f t="shared" si="24"/>
        <v>4.3031411747506056E-2</v>
      </c>
      <c r="M155" s="23">
        <f t="shared" si="25"/>
        <v>0.17401141058430061</v>
      </c>
      <c r="N155" s="26">
        <f t="shared" si="26"/>
        <v>85</v>
      </c>
      <c r="O155" s="26">
        <f t="shared" si="27"/>
        <v>153</v>
      </c>
      <c r="P155" s="52">
        <f t="shared" si="28"/>
        <v>238</v>
      </c>
      <c r="Q155" s="53">
        <f t="shared" si="29"/>
        <v>153</v>
      </c>
      <c r="R155" s="22" t="s">
        <v>2233</v>
      </c>
      <c r="S155" s="22" t="s">
        <v>28</v>
      </c>
      <c r="T155" s="22" t="s">
        <v>2252</v>
      </c>
      <c r="U155" s="22" t="s">
        <v>2449</v>
      </c>
      <c r="V155" s="22" t="s">
        <v>2640</v>
      </c>
      <c r="W155" s="22" t="s">
        <v>2</v>
      </c>
    </row>
    <row r="156" spans="2:23" hidden="1" x14ac:dyDescent="0.25">
      <c r="B156" s="22" t="s">
        <v>1114</v>
      </c>
      <c r="C156" s="22" t="s">
        <v>2401</v>
      </c>
      <c r="D156" s="22" t="s">
        <v>2225</v>
      </c>
      <c r="E156" s="22">
        <v>2493000000</v>
      </c>
      <c r="F156" s="22">
        <v>55702152000</v>
      </c>
      <c r="G156" s="22">
        <v>7427000000</v>
      </c>
      <c r="H156" s="22">
        <v>42746000000</v>
      </c>
      <c r="I156" s="23">
        <v>2.1380229696472519E-2</v>
      </c>
      <c r="J156" s="23">
        <v>7.7967776403864875E-2</v>
      </c>
      <c r="K156" s="23">
        <v>0.10965675057208238</v>
      </c>
      <c r="L156" s="23">
        <f t="shared" si="24"/>
        <v>4.4755900992837765E-2</v>
      </c>
      <c r="M156" s="23">
        <f t="shared" si="25"/>
        <v>0.17374725120479109</v>
      </c>
      <c r="N156" s="26">
        <f t="shared" si="26"/>
        <v>74</v>
      </c>
      <c r="O156" s="26">
        <f t="shared" si="27"/>
        <v>154</v>
      </c>
      <c r="P156" s="52">
        <f t="shared" si="28"/>
        <v>228</v>
      </c>
      <c r="Q156" s="53">
        <f t="shared" si="29"/>
        <v>154</v>
      </c>
      <c r="R156" s="22" t="s">
        <v>2240</v>
      </c>
      <c r="S156" s="22" t="s">
        <v>28</v>
      </c>
      <c r="T156" s="22" t="s">
        <v>2227</v>
      </c>
      <c r="U156" s="22" t="s">
        <v>2257</v>
      </c>
      <c r="V156" s="22" t="s">
        <v>2640</v>
      </c>
      <c r="W156" s="22" t="s">
        <v>2</v>
      </c>
    </row>
    <row r="157" spans="2:23" hidden="1" x14ac:dyDescent="0.25">
      <c r="B157" s="22" t="s">
        <v>1453</v>
      </c>
      <c r="C157" s="22" t="s">
        <v>2279</v>
      </c>
      <c r="D157" s="22" t="s">
        <v>2225</v>
      </c>
      <c r="E157" s="22">
        <v>3823112000</v>
      </c>
      <c r="F157" s="22">
        <v>104627938060</v>
      </c>
      <c r="G157" s="22">
        <v>7877218000</v>
      </c>
      <c r="H157" s="22">
        <v>48794478000</v>
      </c>
      <c r="I157" s="23">
        <v>1.7318632633539749E-2</v>
      </c>
      <c r="J157" s="23">
        <v>0.7609010182586412</v>
      </c>
      <c r="K157" s="23">
        <v>0.50658530087833176</v>
      </c>
      <c r="L157" s="23">
        <f t="shared" si="24"/>
        <v>3.6540068273233063E-2</v>
      </c>
      <c r="M157" s="23">
        <f t="shared" si="25"/>
        <v>0.1614366691247317</v>
      </c>
      <c r="N157" s="26">
        <f t="shared" si="26"/>
        <v>110</v>
      </c>
      <c r="O157" s="26">
        <f t="shared" si="27"/>
        <v>155</v>
      </c>
      <c r="P157" s="52">
        <f t="shared" si="28"/>
        <v>265</v>
      </c>
      <c r="Q157" s="53">
        <f t="shared" si="29"/>
        <v>155</v>
      </c>
      <c r="R157" s="22" t="s">
        <v>2240</v>
      </c>
      <c r="S157" s="22" t="s">
        <v>2235</v>
      </c>
      <c r="T157" s="22" t="s">
        <v>2236</v>
      </c>
      <c r="U157" s="22" t="s">
        <v>2280</v>
      </c>
      <c r="V157" s="22" t="s">
        <v>2640</v>
      </c>
      <c r="W157" s="22" t="s">
        <v>2</v>
      </c>
    </row>
    <row r="158" spans="2:23" hidden="1" x14ac:dyDescent="0.25">
      <c r="B158" s="22" t="s">
        <v>1087</v>
      </c>
      <c r="C158" s="22" t="s">
        <v>2604</v>
      </c>
      <c r="D158" s="22" t="s">
        <v>2225</v>
      </c>
      <c r="E158" s="22">
        <v>9087000000</v>
      </c>
      <c r="F158" s="22">
        <v>183261293420</v>
      </c>
      <c r="G158" s="22">
        <v>10474000000</v>
      </c>
      <c r="H158" s="22">
        <v>66540000000</v>
      </c>
      <c r="I158" s="23">
        <v>1.5899547474418036E-2</v>
      </c>
      <c r="J158" s="23">
        <v>1.0435611526704855</v>
      </c>
      <c r="K158" s="23">
        <v>0.49913589945011783</v>
      </c>
      <c r="L158" s="23">
        <f t="shared" si="24"/>
        <v>4.9584938698289803E-2</v>
      </c>
      <c r="M158" s="23">
        <f t="shared" si="25"/>
        <v>0.15740907724676886</v>
      </c>
      <c r="N158" s="26">
        <f t="shared" si="26"/>
        <v>55</v>
      </c>
      <c r="O158" s="26">
        <f t="shared" si="27"/>
        <v>156</v>
      </c>
      <c r="P158" s="52">
        <f t="shared" si="28"/>
        <v>211</v>
      </c>
      <c r="Q158" s="53">
        <f t="shared" si="29"/>
        <v>156</v>
      </c>
      <c r="R158" s="22" t="s">
        <v>2240</v>
      </c>
      <c r="S158" s="22" t="s">
        <v>28</v>
      </c>
      <c r="T158" s="22" t="s">
        <v>2339</v>
      </c>
      <c r="U158" s="22" t="s">
        <v>2605</v>
      </c>
      <c r="V158" s="22" t="s">
        <v>2640</v>
      </c>
      <c r="W158" s="22" t="s">
        <v>2</v>
      </c>
    </row>
    <row r="159" spans="2:23" hidden="1" x14ac:dyDescent="0.25">
      <c r="B159" s="22" t="s">
        <v>1224</v>
      </c>
      <c r="C159" s="22" t="s">
        <v>2299</v>
      </c>
      <c r="D159" s="22" t="s">
        <v>2225</v>
      </c>
      <c r="E159" s="22">
        <v>3481600000</v>
      </c>
      <c r="F159" s="22">
        <v>97527564700</v>
      </c>
      <c r="G159" s="22">
        <v>7561400000</v>
      </c>
      <c r="H159" s="22">
        <v>49323600000</v>
      </c>
      <c r="I159" s="23">
        <v>2.2146727444740694E-2</v>
      </c>
      <c r="J159" s="23">
        <v>0.90596757856428523</v>
      </c>
      <c r="K159" s="23">
        <v>0.56882283853048132</v>
      </c>
      <c r="L159" s="23">
        <f t="shared" si="24"/>
        <v>3.5698625416410099E-2</v>
      </c>
      <c r="M159" s="23">
        <f t="shared" si="25"/>
        <v>0.15330186766578272</v>
      </c>
      <c r="N159" s="26">
        <f t="shared" si="26"/>
        <v>111</v>
      </c>
      <c r="O159" s="26">
        <f t="shared" si="27"/>
        <v>157</v>
      </c>
      <c r="P159" s="52">
        <f t="shared" si="28"/>
        <v>268</v>
      </c>
      <c r="Q159" s="53">
        <f t="shared" si="29"/>
        <v>157</v>
      </c>
      <c r="R159" s="22" t="s">
        <v>2240</v>
      </c>
      <c r="S159" s="22" t="s">
        <v>28</v>
      </c>
      <c r="T159" s="22" t="s">
        <v>2300</v>
      </c>
      <c r="U159" s="22" t="s">
        <v>2301</v>
      </c>
      <c r="V159" s="22" t="s">
        <v>2640</v>
      </c>
      <c r="W159" s="22" t="s">
        <v>2</v>
      </c>
    </row>
    <row r="160" spans="2:23" hidden="1" x14ac:dyDescent="0.25">
      <c r="B160" s="22" t="s">
        <v>551</v>
      </c>
      <c r="C160" s="22" t="s">
        <v>2484</v>
      </c>
      <c r="D160" s="22" t="s">
        <v>2225</v>
      </c>
      <c r="E160" s="22">
        <v>8507000000</v>
      </c>
      <c r="F160" s="22">
        <v>125527207820</v>
      </c>
      <c r="G160" s="22">
        <v>8486000000</v>
      </c>
      <c r="H160" s="22">
        <v>56666000000</v>
      </c>
      <c r="I160" s="23">
        <v>2.6989204318272689E-2</v>
      </c>
      <c r="J160" s="23">
        <v>0.52179263375790763</v>
      </c>
      <c r="K160" s="23">
        <v>0.43855871375251221</v>
      </c>
      <c r="L160" s="23">
        <f t="shared" si="24"/>
        <v>6.7770168298482591E-2</v>
      </c>
      <c r="M160" s="23">
        <f t="shared" si="25"/>
        <v>0.14975470299650584</v>
      </c>
      <c r="N160" s="26">
        <f t="shared" si="26"/>
        <v>18</v>
      </c>
      <c r="O160" s="26">
        <f t="shared" si="27"/>
        <v>158</v>
      </c>
      <c r="P160" s="52">
        <f t="shared" si="28"/>
        <v>176</v>
      </c>
      <c r="Q160" s="53">
        <f t="shared" si="29"/>
        <v>158</v>
      </c>
      <c r="R160" s="22" t="s">
        <v>2240</v>
      </c>
      <c r="S160" s="22" t="s">
        <v>28</v>
      </c>
      <c r="T160" s="22" t="s">
        <v>2252</v>
      </c>
      <c r="U160" s="22" t="s">
        <v>2392</v>
      </c>
      <c r="V160" s="22" t="s">
        <v>2640</v>
      </c>
      <c r="W160" s="22" t="s">
        <v>2</v>
      </c>
    </row>
    <row r="161" spans="2:23" hidden="1" x14ac:dyDescent="0.25">
      <c r="B161" s="22" t="s">
        <v>1807</v>
      </c>
      <c r="C161" s="22" t="s">
        <v>2557</v>
      </c>
      <c r="D161" s="22" t="s">
        <v>2225</v>
      </c>
      <c r="E161" s="22">
        <v>1694900000</v>
      </c>
      <c r="F161" s="22">
        <v>64641898100</v>
      </c>
      <c r="G161" s="22">
        <v>4184300000</v>
      </c>
      <c r="H161" s="22">
        <v>28188000000</v>
      </c>
      <c r="I161" s="23">
        <v>5.0225370251126859E-3</v>
      </c>
      <c r="J161" s="23">
        <v>0.77268666818450604</v>
      </c>
      <c r="K161" s="23">
        <v>0.22824949698189131</v>
      </c>
      <c r="L161" s="23">
        <f t="shared" si="24"/>
        <v>2.6219836511886089E-2</v>
      </c>
      <c r="M161" s="23">
        <f t="shared" si="25"/>
        <v>0.14844259968781043</v>
      </c>
      <c r="N161" s="26">
        <f t="shared" si="26"/>
        <v>136</v>
      </c>
      <c r="O161" s="26">
        <f t="shared" si="27"/>
        <v>159</v>
      </c>
      <c r="P161" s="52">
        <f t="shared" si="28"/>
        <v>295</v>
      </c>
      <c r="Q161" s="53">
        <f t="shared" si="29"/>
        <v>159</v>
      </c>
      <c r="R161" s="22" t="s">
        <v>2240</v>
      </c>
      <c r="S161" s="22" t="s">
        <v>2235</v>
      </c>
      <c r="T161" s="22" t="s">
        <v>2282</v>
      </c>
      <c r="U161" s="22" t="s">
        <v>2558</v>
      </c>
      <c r="V161" s="22" t="s">
        <v>2640</v>
      </c>
      <c r="W161" s="22" t="s">
        <v>2</v>
      </c>
    </row>
    <row r="162" spans="2:23" hidden="1" x14ac:dyDescent="0.25">
      <c r="B162" s="22" t="s">
        <v>929</v>
      </c>
      <c r="C162" s="22" t="s">
        <v>2452</v>
      </c>
      <c r="D162" s="22" t="s">
        <v>2225</v>
      </c>
      <c r="E162" s="22">
        <v>574000000</v>
      </c>
      <c r="F162" s="22">
        <v>12815690650</v>
      </c>
      <c r="G162" s="22">
        <v>1494000000</v>
      </c>
      <c r="H162" s="22">
        <v>10621000000</v>
      </c>
      <c r="I162" s="23">
        <v>1.9464908879410624E-2</v>
      </c>
      <c r="J162" s="23">
        <v>0.90272145722649877</v>
      </c>
      <c r="K162" s="23">
        <v>0.37547169811320757</v>
      </c>
      <c r="L162" s="23">
        <f t="shared" si="24"/>
        <v>4.478884639744328E-2</v>
      </c>
      <c r="M162" s="23">
        <f t="shared" si="25"/>
        <v>0.14066472083607948</v>
      </c>
      <c r="N162" s="26">
        <f t="shared" si="26"/>
        <v>73</v>
      </c>
      <c r="O162" s="26">
        <f t="shared" si="27"/>
        <v>160</v>
      </c>
      <c r="P162" s="52">
        <f t="shared" si="28"/>
        <v>233</v>
      </c>
      <c r="Q162" s="53">
        <f t="shared" si="29"/>
        <v>160</v>
      </c>
      <c r="R162" s="22" t="s">
        <v>2226</v>
      </c>
      <c r="S162" s="22" t="s">
        <v>28</v>
      </c>
      <c r="T162" s="22" t="s">
        <v>2252</v>
      </c>
      <c r="U162" s="22" t="s">
        <v>2330</v>
      </c>
      <c r="V162" s="22" t="s">
        <v>2640</v>
      </c>
      <c r="W162" s="22" t="s">
        <v>2</v>
      </c>
    </row>
    <row r="163" spans="2:23" hidden="1" x14ac:dyDescent="0.25">
      <c r="B163" s="22" t="s">
        <v>620</v>
      </c>
      <c r="C163" s="22" t="s">
        <v>2338</v>
      </c>
      <c r="D163" s="22" t="s">
        <v>2225</v>
      </c>
      <c r="E163" s="22">
        <v>5700000000</v>
      </c>
      <c r="F163" s="22">
        <v>86654743500</v>
      </c>
      <c r="G163" s="22">
        <v>5619000000</v>
      </c>
      <c r="H163" s="22">
        <v>41850000000</v>
      </c>
      <c r="I163" s="23">
        <v>1.2589413447782546E-2</v>
      </c>
      <c r="J163" s="23">
        <v>0.53973052751856776</v>
      </c>
      <c r="K163" s="23">
        <v>0.22693007538341564</v>
      </c>
      <c r="L163" s="23">
        <f t="shared" ref="L163:L169" si="30">+E163/F163</f>
        <v>6.577828021613151E-2</v>
      </c>
      <c r="M163" s="23">
        <f t="shared" ref="M163:M169" si="31">+G163/H163</f>
        <v>0.13426523297491039</v>
      </c>
      <c r="N163" s="26">
        <f t="shared" ref="N163:N169" si="32">+_xlfn.RANK.EQ(L163,L:L,0)</f>
        <v>22</v>
      </c>
      <c r="O163" s="26">
        <f t="shared" ref="O163:O169" si="33">+_xlfn.RANK.EQ(M163,M:M,0)</f>
        <v>161</v>
      </c>
      <c r="P163" s="52">
        <f t="shared" ref="P163:P169" si="34">+N163+O163</f>
        <v>183</v>
      </c>
      <c r="Q163" s="53">
        <f t="shared" ref="Q163:Q169" si="35">+_xlfn.RANK.EQ(O163,O:O,1)</f>
        <v>161</v>
      </c>
      <c r="R163" s="22" t="s">
        <v>2240</v>
      </c>
      <c r="S163" s="22" t="s">
        <v>28</v>
      </c>
      <c r="T163" s="22" t="s">
        <v>2339</v>
      </c>
      <c r="U163" s="22" t="s">
        <v>2340</v>
      </c>
      <c r="V163" s="22" t="s">
        <v>2640</v>
      </c>
      <c r="W163" s="22" t="s">
        <v>2</v>
      </c>
    </row>
    <row r="164" spans="2:23" hidden="1" x14ac:dyDescent="0.25">
      <c r="B164" s="22" t="s">
        <v>1049</v>
      </c>
      <c r="C164" s="22" t="s">
        <v>2521</v>
      </c>
      <c r="D164" s="22" t="s">
        <v>2225</v>
      </c>
      <c r="E164" s="22">
        <v>3392000000</v>
      </c>
      <c r="F164" s="22">
        <v>68522982240</v>
      </c>
      <c r="G164" s="22">
        <v>5345000000</v>
      </c>
      <c r="H164" s="22">
        <v>40739000000</v>
      </c>
      <c r="I164" s="23">
        <v>2.284843869002285E-2</v>
      </c>
      <c r="J164" s="23">
        <v>1.0354437419576843</v>
      </c>
      <c r="K164" s="23">
        <v>0.57703349282296645</v>
      </c>
      <c r="L164" s="23">
        <f t="shared" si="30"/>
        <v>4.9501640020856164E-2</v>
      </c>
      <c r="M164" s="23">
        <f t="shared" si="31"/>
        <v>0.13120106040894475</v>
      </c>
      <c r="N164" s="26">
        <f t="shared" si="32"/>
        <v>56</v>
      </c>
      <c r="O164" s="26">
        <f t="shared" si="33"/>
        <v>162</v>
      </c>
      <c r="P164" s="52">
        <f t="shared" si="34"/>
        <v>218</v>
      </c>
      <c r="Q164" s="53">
        <f t="shared" si="35"/>
        <v>162</v>
      </c>
      <c r="R164" s="22" t="s">
        <v>2267</v>
      </c>
      <c r="S164" s="22" t="s">
        <v>28</v>
      </c>
      <c r="T164" s="22" t="s">
        <v>2339</v>
      </c>
      <c r="U164" s="22" t="s">
        <v>2522</v>
      </c>
      <c r="V164" s="22" t="s">
        <v>2640</v>
      </c>
      <c r="W164" s="22" t="s">
        <v>2</v>
      </c>
    </row>
    <row r="165" spans="2:23" hidden="1" x14ac:dyDescent="0.25">
      <c r="B165" s="22" t="s">
        <v>1099</v>
      </c>
      <c r="C165" s="22" t="s">
        <v>2428</v>
      </c>
      <c r="D165" s="22" t="s">
        <v>2225</v>
      </c>
      <c r="E165" s="22">
        <v>4184000000</v>
      </c>
      <c r="F165" s="22">
        <v>77821940370</v>
      </c>
      <c r="G165" s="22">
        <v>6580000000</v>
      </c>
      <c r="H165" s="22">
        <v>53525000000</v>
      </c>
      <c r="I165" s="23">
        <v>2.0373912025291759E-2</v>
      </c>
      <c r="J165" s="23">
        <v>0.48152885041074334</v>
      </c>
      <c r="K165" s="23">
        <v>0.42792247122955773</v>
      </c>
      <c r="L165" s="23">
        <f t="shared" si="30"/>
        <v>5.3763758396506302E-2</v>
      </c>
      <c r="M165" s="23">
        <f t="shared" si="31"/>
        <v>0.12293320878094348</v>
      </c>
      <c r="N165" s="26">
        <f t="shared" si="32"/>
        <v>45</v>
      </c>
      <c r="O165" s="26">
        <f t="shared" si="33"/>
        <v>163</v>
      </c>
      <c r="P165" s="52">
        <f t="shared" si="34"/>
        <v>208</v>
      </c>
      <c r="Q165" s="53">
        <f t="shared" si="35"/>
        <v>163</v>
      </c>
      <c r="R165" s="22" t="s">
        <v>2240</v>
      </c>
      <c r="S165" s="22" t="s">
        <v>28</v>
      </c>
      <c r="T165" s="22" t="s">
        <v>2252</v>
      </c>
      <c r="U165" s="22" t="s">
        <v>2429</v>
      </c>
      <c r="V165" s="22" t="s">
        <v>2640</v>
      </c>
      <c r="W165" s="22" t="s">
        <v>2</v>
      </c>
    </row>
    <row r="166" spans="2:23" hidden="1" x14ac:dyDescent="0.25">
      <c r="B166" s="22" t="s">
        <v>1958</v>
      </c>
      <c r="C166" s="22" t="s">
        <v>2454</v>
      </c>
      <c r="D166" s="22" t="s">
        <v>2225</v>
      </c>
      <c r="E166" s="22">
        <v>531000000</v>
      </c>
      <c r="F166" s="22">
        <v>30615300320</v>
      </c>
      <c r="G166" s="22">
        <v>3690000000</v>
      </c>
      <c r="H166" s="22">
        <v>33395000000</v>
      </c>
      <c r="I166" s="23">
        <v>3.9473684210526321E-2</v>
      </c>
      <c r="J166" s="23">
        <v>-1</v>
      </c>
      <c r="K166" s="23">
        <v>17.1875</v>
      </c>
      <c r="L166" s="23">
        <f t="shared" si="30"/>
        <v>1.7344268860662281E-2</v>
      </c>
      <c r="M166" s="23">
        <f t="shared" si="31"/>
        <v>0.11049558317113341</v>
      </c>
      <c r="N166" s="26">
        <f t="shared" si="32"/>
        <v>155</v>
      </c>
      <c r="O166" s="26">
        <f t="shared" si="33"/>
        <v>164</v>
      </c>
      <c r="P166" s="52">
        <f t="shared" si="34"/>
        <v>319</v>
      </c>
      <c r="Q166" s="53">
        <f t="shared" si="35"/>
        <v>164</v>
      </c>
      <c r="R166" s="22" t="s">
        <v>2304</v>
      </c>
      <c r="S166" s="22" t="s">
        <v>2250</v>
      </c>
      <c r="T166" s="22" t="s">
        <v>2251</v>
      </c>
      <c r="U166" s="22" t="s">
        <v>2455</v>
      </c>
      <c r="V166" s="22" t="s">
        <v>2640</v>
      </c>
      <c r="W166" s="22" t="s">
        <v>2</v>
      </c>
    </row>
    <row r="167" spans="2:23" hidden="1" x14ac:dyDescent="0.25">
      <c r="B167" s="22" t="s">
        <v>539</v>
      </c>
      <c r="C167" s="22" t="s">
        <v>2402</v>
      </c>
      <c r="D167" s="22" t="s">
        <v>2225</v>
      </c>
      <c r="E167" s="22">
        <v>6289000000</v>
      </c>
      <c r="F167" s="22">
        <v>85648256000</v>
      </c>
      <c r="G167" s="22">
        <v>6531000000</v>
      </c>
      <c r="H167" s="22">
        <v>69804000000</v>
      </c>
      <c r="I167" s="23">
        <v>7.5572519083969461E-2</v>
      </c>
      <c r="J167" s="23">
        <v>0.13836872073735421</v>
      </c>
      <c r="K167" s="23">
        <v>0.78919019316493311</v>
      </c>
      <c r="L167" s="23">
        <f t="shared" si="30"/>
        <v>7.3428231860319493E-2</v>
      </c>
      <c r="M167" s="23">
        <f t="shared" si="31"/>
        <v>9.3561973525872449E-2</v>
      </c>
      <c r="N167" s="26">
        <f t="shared" si="32"/>
        <v>12</v>
      </c>
      <c r="O167" s="26">
        <f t="shared" si="33"/>
        <v>165</v>
      </c>
      <c r="P167" s="52">
        <f t="shared" si="34"/>
        <v>177</v>
      </c>
      <c r="Q167" s="53">
        <f t="shared" si="35"/>
        <v>165</v>
      </c>
      <c r="R167" s="22" t="s">
        <v>2267</v>
      </c>
      <c r="S167" s="22" t="s">
        <v>8</v>
      </c>
      <c r="T167" s="22" t="s">
        <v>2351</v>
      </c>
      <c r="U167" s="22" t="s">
        <v>2403</v>
      </c>
      <c r="V167" s="22" t="s">
        <v>2640</v>
      </c>
      <c r="W167" s="22" t="s">
        <v>2</v>
      </c>
    </row>
    <row r="168" spans="2:23" hidden="1" x14ac:dyDescent="0.25">
      <c r="B168" s="22" t="s">
        <v>1672</v>
      </c>
      <c r="C168" s="22" t="s">
        <v>2544</v>
      </c>
      <c r="D168" s="22" t="s">
        <v>2225</v>
      </c>
      <c r="E168" s="22">
        <v>3215000000</v>
      </c>
      <c r="F168" s="22">
        <v>152182495000</v>
      </c>
      <c r="G168" s="22">
        <v>11647000000</v>
      </c>
      <c r="H168" s="22">
        <v>162443000000</v>
      </c>
      <c r="I168" s="23">
        <v>2.7602617489589528E-2</v>
      </c>
      <c r="J168" s="23">
        <v>-0.19249379204604161</v>
      </c>
      <c r="K168" s="23">
        <v>1.022563459730492</v>
      </c>
      <c r="L168" s="23">
        <f t="shared" si="30"/>
        <v>2.1125951444021206E-2</v>
      </c>
      <c r="M168" s="23">
        <f t="shared" si="31"/>
        <v>7.1698995955504385E-2</v>
      </c>
      <c r="N168" s="26">
        <f t="shared" si="32"/>
        <v>150</v>
      </c>
      <c r="O168" s="26">
        <f t="shared" si="33"/>
        <v>166</v>
      </c>
      <c r="P168" s="52">
        <f t="shared" si="34"/>
        <v>316</v>
      </c>
      <c r="Q168" s="53">
        <f t="shared" si="35"/>
        <v>166</v>
      </c>
      <c r="R168" s="22" t="s">
        <v>2267</v>
      </c>
      <c r="S168" s="22" t="s">
        <v>28</v>
      </c>
      <c r="T168" s="22" t="s">
        <v>2252</v>
      </c>
      <c r="U168" s="22" t="s">
        <v>2545</v>
      </c>
      <c r="V168" s="22" t="s">
        <v>2640</v>
      </c>
      <c r="W168" s="22" t="s">
        <v>2</v>
      </c>
    </row>
    <row r="169" spans="2:23" x14ac:dyDescent="0.25">
      <c r="B169" s="22" t="s">
        <v>1349</v>
      </c>
      <c r="C169" s="22" t="s">
        <v>2592</v>
      </c>
      <c r="D169" s="22" t="s">
        <v>2225</v>
      </c>
      <c r="E169" s="22">
        <v>7322000000</v>
      </c>
      <c r="F169" s="22">
        <v>198716604000</v>
      </c>
      <c r="G169" s="22">
        <v>8992000000</v>
      </c>
      <c r="H169" s="22">
        <v>205579000000</v>
      </c>
      <c r="I169" s="23">
        <v>3.2985156679494225E-3</v>
      </c>
      <c r="J169" s="23">
        <v>-1</v>
      </c>
      <c r="K169" s="23">
        <v>0</v>
      </c>
      <c r="L169" s="23">
        <f t="shared" si="30"/>
        <v>3.6846442887077516E-2</v>
      </c>
      <c r="M169" s="23">
        <f t="shared" si="31"/>
        <v>4.3739876154665604E-2</v>
      </c>
      <c r="N169" s="26">
        <f t="shared" si="32"/>
        <v>109</v>
      </c>
      <c r="O169" s="26">
        <f t="shared" si="33"/>
        <v>167</v>
      </c>
      <c r="P169" s="52">
        <f t="shared" si="34"/>
        <v>276</v>
      </c>
      <c r="Q169" s="53">
        <f t="shared" si="35"/>
        <v>167</v>
      </c>
      <c r="R169" s="22" t="s">
        <v>2240</v>
      </c>
      <c r="S169" s="22" t="s">
        <v>122</v>
      </c>
      <c r="T169" s="22" t="s">
        <v>2593</v>
      </c>
      <c r="U169" s="22" t="s">
        <v>2594</v>
      </c>
      <c r="V169" s="22" t="s">
        <v>2640</v>
      </c>
      <c r="W169" s="22" t="s">
        <v>2</v>
      </c>
    </row>
  </sheetData>
  <autoFilter ref="B2:W169" xr:uid="{53D7AF19-72C4-41DA-83BA-7BB981E0A02D}">
    <filterColumn colId="7">
      <filters>
        <filter val="0%"/>
      </filters>
    </filterColumn>
  </autoFilter>
  <hyperlinks>
    <hyperlink ref="A1" location="Inicio!A1" display="Inicio" xr:uid="{00D4B69D-DCFA-48CD-8989-382A0E50BAF9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B4EB-B6A5-45A9-B8EC-A957E0E62971}">
  <sheetPr>
    <tabColor theme="9" tint="-0.499984740745262"/>
  </sheetPr>
  <dimension ref="A1:S128"/>
  <sheetViews>
    <sheetView showGridLines="0" workbookViewId="0"/>
  </sheetViews>
  <sheetFormatPr defaultColWidth="8.85546875" defaultRowHeight="15" x14ac:dyDescent="0.25"/>
  <cols>
    <col min="1" max="2" width="8.85546875" style="22"/>
    <col min="3" max="3" width="28.7109375" style="22" customWidth="1"/>
    <col min="4" max="4" width="10.85546875" style="22" customWidth="1"/>
    <col min="5" max="5" width="25" style="22" bestFit="1" customWidth="1"/>
    <col min="6" max="6" width="6.7109375" style="17" customWidth="1"/>
    <col min="7" max="7" width="10.28515625" style="22" customWidth="1"/>
    <col min="8" max="8" width="10.7109375" style="22" customWidth="1"/>
    <col min="9" max="13" width="8.85546875" style="22"/>
    <col min="14" max="14" width="24.85546875" style="22" customWidth="1"/>
    <col min="15" max="17" width="8.85546875" style="22"/>
    <col min="18" max="18" width="10.85546875" style="22" bestFit="1" customWidth="1"/>
    <col min="19" max="19" width="15.140625" style="22" customWidth="1"/>
    <col min="20" max="16384" width="8.85546875" style="22"/>
  </cols>
  <sheetData>
    <row r="1" spans="1:19" ht="15.75" thickBot="1" x14ac:dyDescent="0.3">
      <c r="A1" s="879" t="s">
        <v>2821</v>
      </c>
    </row>
    <row r="2" spans="1:19" ht="15.75" thickBot="1" x14ac:dyDescent="0.3">
      <c r="B2" s="48" t="s">
        <v>2217</v>
      </c>
      <c r="C2" s="48" t="s">
        <v>2218</v>
      </c>
      <c r="D2" s="48" t="s">
        <v>2219</v>
      </c>
      <c r="E2" s="49" t="s">
        <v>2631</v>
      </c>
      <c r="F2" s="68" t="s">
        <v>2632</v>
      </c>
      <c r="G2" s="49" t="s">
        <v>2633</v>
      </c>
      <c r="H2" s="49" t="s">
        <v>2634</v>
      </c>
      <c r="I2" s="50" t="s">
        <v>2678</v>
      </c>
      <c r="J2" s="50" t="s">
        <v>2635</v>
      </c>
      <c r="K2" s="51" t="s">
        <v>2679</v>
      </c>
      <c r="L2" s="51" t="s">
        <v>2636</v>
      </c>
      <c r="M2" s="51" t="s">
        <v>2637</v>
      </c>
      <c r="N2" s="55" t="s">
        <v>2680</v>
      </c>
      <c r="O2" s="56" t="s">
        <v>2681</v>
      </c>
      <c r="P2" s="56" t="s">
        <v>2181</v>
      </c>
      <c r="Q2" s="56" t="s">
        <v>2182</v>
      </c>
      <c r="R2" s="56" t="s">
        <v>2682</v>
      </c>
      <c r="S2" s="56" t="s">
        <v>2185</v>
      </c>
    </row>
    <row r="3" spans="1:19" x14ac:dyDescent="0.25">
      <c r="B3" s="22" t="s">
        <v>1340</v>
      </c>
      <c r="C3" s="22" t="s">
        <v>2395</v>
      </c>
      <c r="D3" s="22" t="s">
        <v>2225</v>
      </c>
      <c r="E3" s="22">
        <v>811136000</v>
      </c>
      <c r="F3" s="17">
        <v>19424197040</v>
      </c>
      <c r="G3" s="22">
        <v>1700239000</v>
      </c>
      <c r="H3" s="22">
        <v>1619464000</v>
      </c>
      <c r="I3" s="23">
        <f t="shared" ref="I3:I22" si="0">+E3/F3</f>
        <v>4.1759049207009076E-2</v>
      </c>
      <c r="J3" s="23">
        <f t="shared" ref="J3:J22" si="1">+G3/H3</f>
        <v>1.049877613827785</v>
      </c>
      <c r="K3" s="26">
        <f t="shared" ref="K3:K22" si="2">+_xlfn.RANK.EQ(I3,I:I,0)</f>
        <v>11</v>
      </c>
      <c r="L3" s="26">
        <f t="shared" ref="L3:L22" si="3">+_xlfn.RANK.EQ(J3,J:J,0)</f>
        <v>1</v>
      </c>
      <c r="M3" s="52">
        <f t="shared" ref="M3:M22" si="4">+K3+L3</f>
        <v>12</v>
      </c>
      <c r="N3" s="53">
        <f t="shared" ref="N3:N22" si="5">+_xlfn.RANK.EQ(L3,L:L,1)</f>
        <v>1</v>
      </c>
      <c r="O3" s="22" cm="1">
        <f t="array" ref="O3">+_xldudf_WISEPRICE(B3,$O$2)</f>
        <v>299.45999999999998</v>
      </c>
      <c r="P3" s="57">
        <v>0.05</v>
      </c>
      <c r="Q3" s="22">
        <f t="shared" ref="Q3:Q22" si="6">+$F$24*P3</f>
        <v>1000</v>
      </c>
      <c r="R3" s="22">
        <f>ROUNDDOWN(Q3/O3,)</f>
        <v>3</v>
      </c>
      <c r="S3" s="22">
        <f>+R3*O3</f>
        <v>898.37999999999988</v>
      </c>
    </row>
    <row r="4" spans="1:19" x14ac:dyDescent="0.25">
      <c r="B4" s="22" t="s">
        <v>590</v>
      </c>
      <c r="C4" s="22" t="s">
        <v>2551</v>
      </c>
      <c r="D4" s="22" t="s">
        <v>2225</v>
      </c>
      <c r="E4" s="22">
        <v>553591000</v>
      </c>
      <c r="F4" s="17">
        <v>8727385650</v>
      </c>
      <c r="G4" s="22">
        <v>2709887000</v>
      </c>
      <c r="H4" s="22">
        <v>3021050000</v>
      </c>
      <c r="I4" s="23">
        <f t="shared" si="0"/>
        <v>6.3431481339431814E-2</v>
      </c>
      <c r="J4" s="23">
        <f t="shared" si="1"/>
        <v>0.8970017047053177</v>
      </c>
      <c r="K4" s="26">
        <f t="shared" si="2"/>
        <v>3</v>
      </c>
      <c r="L4" s="26">
        <f t="shared" si="3"/>
        <v>2</v>
      </c>
      <c r="M4" s="52">
        <f t="shared" si="4"/>
        <v>5</v>
      </c>
      <c r="N4" s="53">
        <f t="shared" si="5"/>
        <v>2</v>
      </c>
      <c r="O4" s="22" cm="1">
        <f t="array" ref="O4">+_xldudf_WISEPRICE(B4,$O$2)</f>
        <v>32.4</v>
      </c>
      <c r="P4" s="57">
        <v>0.05</v>
      </c>
      <c r="Q4" s="22">
        <f t="shared" si="6"/>
        <v>1000</v>
      </c>
      <c r="R4" s="22">
        <f t="shared" ref="R4:R21" si="7">ROUNDDOWN(Q4/O4,)</f>
        <v>30</v>
      </c>
      <c r="S4" s="22">
        <f t="shared" ref="S4:S21" si="8">+R4*O4</f>
        <v>972</v>
      </c>
    </row>
    <row r="5" spans="1:19" x14ac:dyDescent="0.25">
      <c r="B5" s="22" t="s">
        <v>303</v>
      </c>
      <c r="C5" s="22" t="s">
        <v>2438</v>
      </c>
      <c r="D5" s="22" t="s">
        <v>2225</v>
      </c>
      <c r="E5" s="22">
        <v>989527127</v>
      </c>
      <c r="F5" s="17">
        <v>8448834400</v>
      </c>
      <c r="G5" s="22">
        <v>2130355000</v>
      </c>
      <c r="H5" s="22">
        <v>2511052000</v>
      </c>
      <c r="I5" s="23">
        <f t="shared" si="0"/>
        <v>0.11711995763581305</v>
      </c>
      <c r="J5" s="23">
        <f t="shared" si="1"/>
        <v>0.84839143116112292</v>
      </c>
      <c r="K5" s="26">
        <f t="shared" si="2"/>
        <v>1</v>
      </c>
      <c r="L5" s="26">
        <f t="shared" si="3"/>
        <v>3</v>
      </c>
      <c r="M5" s="52">
        <f t="shared" si="4"/>
        <v>4</v>
      </c>
      <c r="N5" s="53">
        <f t="shared" si="5"/>
        <v>3</v>
      </c>
      <c r="O5" s="22" cm="1">
        <f t="array" ref="O5">+_xldudf_WISEPRICE(B5,$O$2)</f>
        <v>39.590000000000003</v>
      </c>
      <c r="P5" s="57">
        <v>0.05</v>
      </c>
      <c r="Q5" s="22">
        <f t="shared" si="6"/>
        <v>1000</v>
      </c>
      <c r="R5" s="22">
        <f t="shared" si="7"/>
        <v>25</v>
      </c>
      <c r="S5" s="22">
        <f t="shared" si="8"/>
        <v>989.75000000000011</v>
      </c>
    </row>
    <row r="6" spans="1:19" x14ac:dyDescent="0.25">
      <c r="B6" s="22" t="s">
        <v>2359</v>
      </c>
      <c r="C6" s="22" t="s">
        <v>2411</v>
      </c>
      <c r="D6" s="22" t="s">
        <v>2225</v>
      </c>
      <c r="E6" s="22">
        <v>114963000</v>
      </c>
      <c r="F6" s="17">
        <v>4447087224</v>
      </c>
      <c r="G6" s="22">
        <v>510358000</v>
      </c>
      <c r="H6" s="22">
        <v>602462000</v>
      </c>
      <c r="I6" s="23">
        <f t="shared" si="0"/>
        <v>2.5851303158518843E-2</v>
      </c>
      <c r="J6" s="23">
        <f t="shared" si="1"/>
        <v>0.84712064827325206</v>
      </c>
      <c r="K6" s="26">
        <f t="shared" si="2"/>
        <v>15</v>
      </c>
      <c r="L6" s="26">
        <f t="shared" si="3"/>
        <v>4</v>
      </c>
      <c r="M6" s="52">
        <f t="shared" si="4"/>
        <v>19</v>
      </c>
      <c r="N6" s="53">
        <f t="shared" si="5"/>
        <v>4</v>
      </c>
      <c r="O6" s="22" cm="1">
        <f t="array" ref="O6">+_xldudf_WISEPRICE(B6,$O$2)</f>
        <v>62.1</v>
      </c>
      <c r="P6" s="57">
        <v>0.05</v>
      </c>
      <c r="Q6" s="22">
        <f t="shared" si="6"/>
        <v>1000</v>
      </c>
      <c r="R6" s="22">
        <f t="shared" si="7"/>
        <v>16</v>
      </c>
      <c r="S6" s="22">
        <f t="shared" si="8"/>
        <v>993.6</v>
      </c>
    </row>
    <row r="7" spans="1:19" x14ac:dyDescent="0.25">
      <c r="B7" s="22" t="s">
        <v>2613</v>
      </c>
      <c r="C7" s="22" t="s">
        <v>2614</v>
      </c>
      <c r="D7" s="22" t="s">
        <v>2225</v>
      </c>
      <c r="E7" s="22">
        <v>1173553</v>
      </c>
      <c r="F7" s="17">
        <v>3414820920</v>
      </c>
      <c r="G7" s="22">
        <v>2035000</v>
      </c>
      <c r="H7" s="22">
        <v>2443095</v>
      </c>
      <c r="I7" s="23">
        <f t="shared" si="0"/>
        <v>3.4366458080618763E-4</v>
      </c>
      <c r="J7" s="23">
        <f t="shared" si="1"/>
        <v>0.83295983168890275</v>
      </c>
      <c r="K7" s="26">
        <f t="shared" si="2"/>
        <v>21</v>
      </c>
      <c r="L7" s="26">
        <f t="shared" si="3"/>
        <v>5</v>
      </c>
      <c r="M7" s="52">
        <f t="shared" si="4"/>
        <v>26</v>
      </c>
      <c r="N7" s="53">
        <f t="shared" si="5"/>
        <v>5</v>
      </c>
      <c r="O7" s="22" cm="1">
        <f t="array" ref="O7">+_xldudf_WISEPRICE(B7,$O$2)</f>
        <v>1.11E-2</v>
      </c>
      <c r="P7" s="57">
        <v>0.05</v>
      </c>
      <c r="Q7" s="22">
        <f t="shared" si="6"/>
        <v>1000</v>
      </c>
      <c r="R7" s="22">
        <f t="shared" si="7"/>
        <v>90090</v>
      </c>
      <c r="S7" s="22">
        <f t="shared" si="8"/>
        <v>999.99900000000002</v>
      </c>
    </row>
    <row r="8" spans="1:19" x14ac:dyDescent="0.25">
      <c r="B8" s="22" t="s">
        <v>1639</v>
      </c>
      <c r="C8" s="22" t="s">
        <v>2407</v>
      </c>
      <c r="D8" s="22" t="s">
        <v>2225</v>
      </c>
      <c r="E8" s="22">
        <v>303727000</v>
      </c>
      <c r="F8" s="17">
        <v>11819550700</v>
      </c>
      <c r="G8" s="22">
        <v>1914603000</v>
      </c>
      <c r="H8" s="22">
        <v>2449197000</v>
      </c>
      <c r="I8" s="23">
        <f t="shared" si="0"/>
        <v>2.5697000479045284E-2</v>
      </c>
      <c r="J8" s="23">
        <f t="shared" si="1"/>
        <v>0.78172682720091524</v>
      </c>
      <c r="K8" s="26">
        <f t="shared" si="2"/>
        <v>16</v>
      </c>
      <c r="L8" s="26">
        <f t="shared" si="3"/>
        <v>6</v>
      </c>
      <c r="M8" s="52">
        <f t="shared" si="4"/>
        <v>22</v>
      </c>
      <c r="N8" s="53">
        <f t="shared" si="5"/>
        <v>6</v>
      </c>
      <c r="O8" s="22" cm="1">
        <f t="array" ref="O8">+_xldudf_WISEPRICE(B8,$O$2)</f>
        <v>81.05</v>
      </c>
      <c r="P8" s="57">
        <v>0.05</v>
      </c>
      <c r="Q8" s="22">
        <f t="shared" si="6"/>
        <v>1000</v>
      </c>
      <c r="R8" s="22">
        <f t="shared" si="7"/>
        <v>12</v>
      </c>
      <c r="S8" s="22">
        <f t="shared" si="8"/>
        <v>972.59999999999991</v>
      </c>
    </row>
    <row r="9" spans="1:19" x14ac:dyDescent="0.25">
      <c r="B9" s="22" t="s">
        <v>1343</v>
      </c>
      <c r="C9" s="22" t="s">
        <v>2610</v>
      </c>
      <c r="D9" s="22" t="s">
        <v>2225</v>
      </c>
      <c r="E9" s="22">
        <v>989800000</v>
      </c>
      <c r="F9" s="17">
        <v>22704319000</v>
      </c>
      <c r="G9" s="22">
        <v>1282600000</v>
      </c>
      <c r="H9" s="22">
        <v>1695900000</v>
      </c>
      <c r="I9" s="23">
        <f t="shared" si="0"/>
        <v>4.3595229612480337E-2</v>
      </c>
      <c r="J9" s="23">
        <f t="shared" si="1"/>
        <v>0.75629459284155909</v>
      </c>
      <c r="K9" s="26">
        <f t="shared" si="2"/>
        <v>10</v>
      </c>
      <c r="L9" s="26">
        <f t="shared" si="3"/>
        <v>8</v>
      </c>
      <c r="M9" s="52">
        <f t="shared" si="4"/>
        <v>18</v>
      </c>
      <c r="N9" s="53">
        <f t="shared" si="5"/>
        <v>8</v>
      </c>
      <c r="O9" s="22" cm="1">
        <f t="array" ref="O9">+_xldudf_WISEPRICE(B9,$O$2)</f>
        <v>270.11</v>
      </c>
      <c r="P9" s="57">
        <v>0.05</v>
      </c>
      <c r="Q9" s="22">
        <f t="shared" si="6"/>
        <v>1000</v>
      </c>
      <c r="R9" s="22">
        <f t="shared" si="7"/>
        <v>3</v>
      </c>
      <c r="S9" s="22">
        <f t="shared" si="8"/>
        <v>810.33</v>
      </c>
    </row>
    <row r="10" spans="1:19" x14ac:dyDescent="0.25">
      <c r="B10" s="22" t="s">
        <v>1393</v>
      </c>
      <c r="C10" s="22" t="s">
        <v>2416</v>
      </c>
      <c r="D10" s="22" t="s">
        <v>2225</v>
      </c>
      <c r="E10" s="22">
        <v>1507800000</v>
      </c>
      <c r="F10" s="17">
        <v>37434672170</v>
      </c>
      <c r="G10" s="22">
        <v>3323500000</v>
      </c>
      <c r="H10" s="22">
        <v>4596600000</v>
      </c>
      <c r="I10" s="23">
        <f t="shared" si="0"/>
        <v>4.0278167607631546E-2</v>
      </c>
      <c r="J10" s="23">
        <f t="shared" si="1"/>
        <v>0.72303441674280988</v>
      </c>
      <c r="K10" s="26">
        <f t="shared" si="2"/>
        <v>12</v>
      </c>
      <c r="L10" s="26">
        <f t="shared" si="3"/>
        <v>9</v>
      </c>
      <c r="M10" s="52">
        <f t="shared" si="4"/>
        <v>21</v>
      </c>
      <c r="N10" s="53">
        <f t="shared" si="5"/>
        <v>9</v>
      </c>
      <c r="O10" s="22" cm="1">
        <f t="array" ref="O10">+_xldudf_WISEPRICE(B10,$O$2)</f>
        <v>46.49</v>
      </c>
      <c r="P10" s="57">
        <v>0.05</v>
      </c>
      <c r="Q10" s="22">
        <f t="shared" si="6"/>
        <v>1000</v>
      </c>
      <c r="R10" s="22">
        <f t="shared" si="7"/>
        <v>21</v>
      </c>
      <c r="S10" s="22">
        <f t="shared" si="8"/>
        <v>976.29000000000008</v>
      </c>
    </row>
    <row r="11" spans="1:19" x14ac:dyDescent="0.25">
      <c r="B11" s="22" t="s">
        <v>1328</v>
      </c>
      <c r="C11" s="22" t="s">
        <v>2388</v>
      </c>
      <c r="D11" s="22" t="s">
        <v>2225</v>
      </c>
      <c r="E11" s="22">
        <v>763932000</v>
      </c>
      <c r="F11" s="17">
        <v>17277285021</v>
      </c>
      <c r="G11" s="22">
        <v>2038140000</v>
      </c>
      <c r="H11" s="22">
        <v>2848533000</v>
      </c>
      <c r="I11" s="23">
        <f t="shared" si="0"/>
        <v>4.4215974852036329E-2</v>
      </c>
      <c r="J11" s="23">
        <f t="shared" si="1"/>
        <v>0.71550513896100199</v>
      </c>
      <c r="K11" s="26">
        <f t="shared" si="2"/>
        <v>9</v>
      </c>
      <c r="L11" s="26">
        <f t="shared" si="3"/>
        <v>10</v>
      </c>
      <c r="M11" s="52">
        <f t="shared" si="4"/>
        <v>19</v>
      </c>
      <c r="N11" s="53">
        <f t="shared" si="5"/>
        <v>10</v>
      </c>
      <c r="O11" s="22" cm="1">
        <f t="array" ref="O11">+_xldudf_WISEPRICE(B11,$O$2)</f>
        <v>105.99</v>
      </c>
      <c r="P11" s="57">
        <v>0.05</v>
      </c>
      <c r="Q11" s="22">
        <f t="shared" si="6"/>
        <v>1000</v>
      </c>
      <c r="R11" s="22">
        <f t="shared" si="7"/>
        <v>9</v>
      </c>
      <c r="S11" s="22">
        <f t="shared" si="8"/>
        <v>953.91</v>
      </c>
    </row>
    <row r="12" spans="1:19" x14ac:dyDescent="0.25">
      <c r="B12" s="22" t="s">
        <v>575</v>
      </c>
      <c r="C12" s="22" t="s">
        <v>2485</v>
      </c>
      <c r="D12" s="22" t="s">
        <v>2225</v>
      </c>
      <c r="E12" s="22">
        <v>11574000000</v>
      </c>
      <c r="F12" s="17">
        <v>167093199000</v>
      </c>
      <c r="G12" s="22">
        <v>30073000000</v>
      </c>
      <c r="H12" s="22">
        <v>42519000000</v>
      </c>
      <c r="I12" s="23">
        <f t="shared" si="0"/>
        <v>6.926673299252592E-2</v>
      </c>
      <c r="J12" s="23">
        <f t="shared" si="1"/>
        <v>0.70728380253533718</v>
      </c>
      <c r="K12" s="26">
        <f t="shared" si="2"/>
        <v>2</v>
      </c>
      <c r="L12" s="26">
        <f t="shared" si="3"/>
        <v>11</v>
      </c>
      <c r="M12" s="52">
        <f t="shared" si="4"/>
        <v>13</v>
      </c>
      <c r="N12" s="53">
        <f t="shared" si="5"/>
        <v>11</v>
      </c>
      <c r="O12" s="22" cm="1">
        <f t="array" ref="O12">+_xldudf_WISEPRICE(B12,$O$2)</f>
        <v>211.63</v>
      </c>
      <c r="P12" s="57">
        <v>0.05</v>
      </c>
      <c r="Q12" s="22">
        <f t="shared" si="6"/>
        <v>1000</v>
      </c>
      <c r="R12" s="22">
        <f t="shared" si="7"/>
        <v>4</v>
      </c>
      <c r="S12" s="22">
        <f t="shared" si="8"/>
        <v>846.52</v>
      </c>
    </row>
    <row r="13" spans="1:19" x14ac:dyDescent="0.25">
      <c r="B13" s="22" t="s">
        <v>1146</v>
      </c>
      <c r="C13" s="22" t="s">
        <v>2374</v>
      </c>
      <c r="D13" s="22" t="s">
        <v>2225</v>
      </c>
      <c r="E13" s="22">
        <v>4556000000</v>
      </c>
      <c r="F13" s="17">
        <v>72514822697</v>
      </c>
      <c r="G13" s="22">
        <v>10950000000</v>
      </c>
      <c r="H13" s="22">
        <v>16043000000</v>
      </c>
      <c r="I13" s="23">
        <f t="shared" si="0"/>
        <v>6.2828533954182655E-2</v>
      </c>
      <c r="J13" s="23">
        <f t="shared" si="1"/>
        <v>0.68254067194415013</v>
      </c>
      <c r="K13" s="26">
        <f t="shared" si="2"/>
        <v>4</v>
      </c>
      <c r="L13" s="26">
        <f t="shared" si="3"/>
        <v>12</v>
      </c>
      <c r="M13" s="52">
        <f t="shared" si="4"/>
        <v>16</v>
      </c>
      <c r="N13" s="53">
        <f t="shared" si="5"/>
        <v>12</v>
      </c>
      <c r="O13" s="22" cm="1">
        <f t="array" ref="O13">+_xldudf_WISEPRICE(B13,$O$2)</f>
        <v>92.24</v>
      </c>
      <c r="P13" s="57">
        <v>0.05</v>
      </c>
      <c r="Q13" s="22">
        <f t="shared" si="6"/>
        <v>1000</v>
      </c>
      <c r="R13" s="22">
        <f t="shared" si="7"/>
        <v>10</v>
      </c>
      <c r="S13" s="22">
        <f t="shared" si="8"/>
        <v>922.4</v>
      </c>
    </row>
    <row r="14" spans="1:19" x14ac:dyDescent="0.25">
      <c r="B14" s="22" t="s">
        <v>914</v>
      </c>
      <c r="C14" s="22" t="s">
        <v>2587</v>
      </c>
      <c r="D14" s="22" t="s">
        <v>2225</v>
      </c>
      <c r="E14" s="22">
        <v>22298000000</v>
      </c>
      <c r="F14" s="17">
        <v>394513580140</v>
      </c>
      <c r="G14" s="22">
        <v>51378000000</v>
      </c>
      <c r="H14" s="22">
        <v>75577000000</v>
      </c>
      <c r="I14" s="23">
        <f t="shared" si="0"/>
        <v>5.6520234340443155E-2</v>
      </c>
      <c r="J14" s="23">
        <f t="shared" si="1"/>
        <v>0.67980999510433071</v>
      </c>
      <c r="K14" s="26">
        <f t="shared" si="2"/>
        <v>6</v>
      </c>
      <c r="L14" s="26">
        <f t="shared" si="3"/>
        <v>13</v>
      </c>
      <c r="M14" s="52">
        <f t="shared" si="4"/>
        <v>19</v>
      </c>
      <c r="N14" s="53">
        <f t="shared" si="5"/>
        <v>13</v>
      </c>
      <c r="O14" s="22" cm="1">
        <f t="array" ref="O14">+_xldudf_WISEPRICE(B14,$O$2)</f>
        <v>343.3</v>
      </c>
      <c r="P14" s="57">
        <v>0.05</v>
      </c>
      <c r="Q14" s="22">
        <f t="shared" si="6"/>
        <v>1000</v>
      </c>
      <c r="R14" s="22">
        <f t="shared" si="7"/>
        <v>2</v>
      </c>
      <c r="S14" s="22">
        <f t="shared" si="8"/>
        <v>686.6</v>
      </c>
    </row>
    <row r="15" spans="1:19" x14ac:dyDescent="0.25">
      <c r="B15" s="22" t="s">
        <v>1828</v>
      </c>
      <c r="C15" s="22" t="s">
        <v>2483</v>
      </c>
      <c r="D15" s="22" t="s">
        <v>2225</v>
      </c>
      <c r="E15" s="22">
        <v>223137000</v>
      </c>
      <c r="F15" s="17">
        <v>9667346840</v>
      </c>
      <c r="G15" s="22">
        <v>517789000</v>
      </c>
      <c r="H15" s="22">
        <v>779622000</v>
      </c>
      <c r="I15" s="23">
        <f t="shared" si="0"/>
        <v>2.3081513852046712E-2</v>
      </c>
      <c r="J15" s="23">
        <f t="shared" si="1"/>
        <v>0.66415391048482475</v>
      </c>
      <c r="K15" s="26">
        <f t="shared" si="2"/>
        <v>17</v>
      </c>
      <c r="L15" s="26">
        <f t="shared" si="3"/>
        <v>14</v>
      </c>
      <c r="M15" s="52">
        <f t="shared" si="4"/>
        <v>31</v>
      </c>
      <c r="N15" s="53">
        <f t="shared" si="5"/>
        <v>14</v>
      </c>
      <c r="O15" s="22" cm="1">
        <f t="array" ref="O15">+_xldudf_WISEPRICE(B15,$O$2)</f>
        <v>137.44</v>
      </c>
      <c r="P15" s="57">
        <v>0.05</v>
      </c>
      <c r="Q15" s="22">
        <f t="shared" si="6"/>
        <v>1000</v>
      </c>
      <c r="R15" s="22">
        <f t="shared" si="7"/>
        <v>7</v>
      </c>
      <c r="S15" s="22">
        <f t="shared" si="8"/>
        <v>962.07999999999993</v>
      </c>
    </row>
    <row r="16" spans="1:19" x14ac:dyDescent="0.25">
      <c r="B16" s="22" t="s">
        <v>2512</v>
      </c>
      <c r="C16" s="22" t="s">
        <v>2513</v>
      </c>
      <c r="D16" s="22" t="s">
        <v>2225</v>
      </c>
      <c r="E16" s="22">
        <v>210686000</v>
      </c>
      <c r="F16" s="17">
        <v>4386751278</v>
      </c>
      <c r="G16" s="22">
        <v>419731000</v>
      </c>
      <c r="H16" s="22">
        <v>672886000</v>
      </c>
      <c r="I16" s="23">
        <f t="shared" si="0"/>
        <v>4.8027797029800055E-2</v>
      </c>
      <c r="J16" s="23">
        <f t="shared" si="1"/>
        <v>0.62377728173866009</v>
      </c>
      <c r="K16" s="26">
        <f t="shared" si="2"/>
        <v>8</v>
      </c>
      <c r="L16" s="26">
        <f t="shared" si="3"/>
        <v>15</v>
      </c>
      <c r="M16" s="52">
        <f t="shared" si="4"/>
        <v>23</v>
      </c>
      <c r="N16" s="53">
        <f t="shared" si="5"/>
        <v>15</v>
      </c>
      <c r="O16" s="22" cm="1">
        <f t="array" ref="O16">+_xldudf_WISEPRICE(B16,$O$2)</f>
        <v>33.82</v>
      </c>
      <c r="P16" s="57">
        <v>0.05</v>
      </c>
      <c r="Q16" s="22">
        <f t="shared" si="6"/>
        <v>1000</v>
      </c>
      <c r="R16" s="22">
        <f t="shared" si="7"/>
        <v>29</v>
      </c>
      <c r="S16" s="22">
        <f t="shared" si="8"/>
        <v>980.78</v>
      </c>
    </row>
    <row r="17" spans="2:19" x14ac:dyDescent="0.25">
      <c r="B17" s="22" t="s">
        <v>1714</v>
      </c>
      <c r="C17" s="22" t="s">
        <v>2517</v>
      </c>
      <c r="D17" s="22" t="s">
        <v>2225</v>
      </c>
      <c r="E17" s="22">
        <v>204000000</v>
      </c>
      <c r="F17" s="17">
        <v>12751549823</v>
      </c>
      <c r="G17" s="22">
        <v>1745000000</v>
      </c>
      <c r="H17" s="22">
        <v>2848200000</v>
      </c>
      <c r="I17" s="23">
        <f t="shared" si="0"/>
        <v>1.5998055360458594E-2</v>
      </c>
      <c r="J17" s="23">
        <f t="shared" si="1"/>
        <v>0.61266764974369781</v>
      </c>
      <c r="K17" s="26">
        <f t="shared" si="2"/>
        <v>20</v>
      </c>
      <c r="L17" s="26">
        <f t="shared" si="3"/>
        <v>16</v>
      </c>
      <c r="M17" s="52">
        <f t="shared" si="4"/>
        <v>36</v>
      </c>
      <c r="N17" s="53">
        <f t="shared" si="5"/>
        <v>16</v>
      </c>
      <c r="O17" s="22" cm="1">
        <f t="array" ref="O17">+_xldudf_WISEPRICE(B17,$O$2)</f>
        <v>177.11</v>
      </c>
      <c r="P17" s="57">
        <v>0.05</v>
      </c>
      <c r="Q17" s="22">
        <f t="shared" si="6"/>
        <v>1000</v>
      </c>
      <c r="R17" s="22">
        <f t="shared" si="7"/>
        <v>5</v>
      </c>
      <c r="S17" s="22">
        <f t="shared" si="8"/>
        <v>885.55000000000007</v>
      </c>
    </row>
    <row r="18" spans="2:19" x14ac:dyDescent="0.25">
      <c r="B18" s="22" t="s">
        <v>1705</v>
      </c>
      <c r="C18" s="22" t="s">
        <v>2519</v>
      </c>
      <c r="D18" s="22" t="s">
        <v>2225</v>
      </c>
      <c r="E18" s="22">
        <v>5682000000</v>
      </c>
      <c r="F18" s="17">
        <v>192567604396</v>
      </c>
      <c r="G18" s="22">
        <v>22657000000</v>
      </c>
      <c r="H18" s="22">
        <v>37203000000</v>
      </c>
      <c r="I18" s="23">
        <f t="shared" si="0"/>
        <v>2.9506520672684996E-2</v>
      </c>
      <c r="J18" s="23">
        <f t="shared" si="1"/>
        <v>0.60901002607316612</v>
      </c>
      <c r="K18" s="26">
        <f t="shared" si="2"/>
        <v>13</v>
      </c>
      <c r="L18" s="26">
        <f t="shared" si="3"/>
        <v>17</v>
      </c>
      <c r="M18" s="52">
        <f t="shared" si="4"/>
        <v>30</v>
      </c>
      <c r="N18" s="53">
        <f t="shared" si="5"/>
        <v>17</v>
      </c>
      <c r="O18" s="22" cm="1">
        <f t="array" ref="O18">+_xldudf_WISEPRICE(B18,$O$2)</f>
        <v>44.37</v>
      </c>
      <c r="P18" s="57">
        <v>0.05</v>
      </c>
      <c r="Q18" s="22">
        <f t="shared" si="6"/>
        <v>1000</v>
      </c>
      <c r="R18" s="22">
        <f t="shared" si="7"/>
        <v>22</v>
      </c>
      <c r="S18" s="22">
        <f t="shared" si="8"/>
        <v>976.14</v>
      </c>
    </row>
    <row r="19" spans="2:19" x14ac:dyDescent="0.25">
      <c r="B19" s="22" t="s">
        <v>941</v>
      </c>
      <c r="C19" s="22" t="s">
        <v>2574</v>
      </c>
      <c r="D19" s="22" t="s">
        <v>2225</v>
      </c>
      <c r="E19" s="22">
        <v>2771034000</v>
      </c>
      <c r="F19" s="17">
        <v>48215606160</v>
      </c>
      <c r="G19" s="22">
        <v>14113914000</v>
      </c>
      <c r="H19" s="22">
        <v>23272751000</v>
      </c>
      <c r="I19" s="23">
        <f t="shared" si="0"/>
        <v>5.7471723798400959E-2</v>
      </c>
      <c r="J19" s="23">
        <f t="shared" si="1"/>
        <v>0.60645662388602017</v>
      </c>
      <c r="K19" s="26">
        <f t="shared" si="2"/>
        <v>5</v>
      </c>
      <c r="L19" s="26">
        <f t="shared" si="3"/>
        <v>18</v>
      </c>
      <c r="M19" s="52">
        <f t="shared" si="4"/>
        <v>23</v>
      </c>
      <c r="N19" s="53">
        <f t="shared" si="5"/>
        <v>18</v>
      </c>
      <c r="O19" s="22" cm="1">
        <f t="array" ref="O19">+_xldudf_WISEPRICE(B19,$O$2)</f>
        <v>83.83</v>
      </c>
      <c r="P19" s="57">
        <v>0.05</v>
      </c>
      <c r="Q19" s="22">
        <f t="shared" si="6"/>
        <v>1000</v>
      </c>
      <c r="R19" s="22">
        <f t="shared" si="7"/>
        <v>11</v>
      </c>
      <c r="S19" s="22">
        <f t="shared" si="8"/>
        <v>922.13</v>
      </c>
    </row>
    <row r="20" spans="2:19" x14ac:dyDescent="0.25">
      <c r="B20" s="22" t="s">
        <v>986</v>
      </c>
      <c r="C20" s="22" t="s">
        <v>2615</v>
      </c>
      <c r="D20" s="22" t="s">
        <v>2225</v>
      </c>
      <c r="E20" s="22">
        <v>26382000000</v>
      </c>
      <c r="F20" s="17">
        <v>479322829500</v>
      </c>
      <c r="G20" s="22">
        <v>155045000000</v>
      </c>
      <c r="H20" s="22">
        <v>259174000000</v>
      </c>
      <c r="I20" s="23">
        <f t="shared" si="0"/>
        <v>5.5040149094338096E-2</v>
      </c>
      <c r="J20" s="23">
        <f t="shared" si="1"/>
        <v>0.59822744565427088</v>
      </c>
      <c r="K20" s="26">
        <f t="shared" si="2"/>
        <v>7</v>
      </c>
      <c r="L20" s="26">
        <f t="shared" si="3"/>
        <v>19</v>
      </c>
      <c r="M20" s="52">
        <f t="shared" si="4"/>
        <v>26</v>
      </c>
      <c r="N20" s="53">
        <f t="shared" si="5"/>
        <v>19</v>
      </c>
      <c r="O20" s="22" cm="1">
        <f t="array" ref="O20">+_xldudf_WISEPRICE(B20,$O$2)</f>
        <v>113.9</v>
      </c>
      <c r="P20" s="57">
        <v>0.05</v>
      </c>
      <c r="Q20" s="22">
        <f t="shared" si="6"/>
        <v>1000</v>
      </c>
      <c r="R20" s="22">
        <f t="shared" si="7"/>
        <v>8</v>
      </c>
      <c r="S20" s="22">
        <f t="shared" si="8"/>
        <v>911.2</v>
      </c>
    </row>
    <row r="21" spans="2:19" x14ac:dyDescent="0.25">
      <c r="B21" s="22" t="s">
        <v>1801</v>
      </c>
      <c r="C21" s="22" t="s">
        <v>2555</v>
      </c>
      <c r="D21" s="22" t="s">
        <v>2225</v>
      </c>
      <c r="E21" s="22">
        <v>564069000</v>
      </c>
      <c r="F21" s="17">
        <v>21564877240</v>
      </c>
      <c r="G21" s="22">
        <v>1553403000</v>
      </c>
      <c r="H21" s="22">
        <v>2639957000</v>
      </c>
      <c r="I21" s="23">
        <f t="shared" si="0"/>
        <v>2.6156837978828208E-2</v>
      </c>
      <c r="J21" s="23">
        <f t="shared" si="1"/>
        <v>0.58841981138329147</v>
      </c>
      <c r="K21" s="26">
        <f t="shared" si="2"/>
        <v>14</v>
      </c>
      <c r="L21" s="26">
        <f t="shared" si="3"/>
        <v>20</v>
      </c>
      <c r="M21" s="52">
        <f t="shared" si="4"/>
        <v>34</v>
      </c>
      <c r="N21" s="53">
        <f t="shared" si="5"/>
        <v>20</v>
      </c>
      <c r="O21" s="22" cm="1">
        <f t="array" ref="O21">+_xldudf_WISEPRICE(B21,$O$2)</f>
        <v>44.47</v>
      </c>
      <c r="P21" s="57">
        <v>0.05</v>
      </c>
      <c r="Q21" s="22">
        <f t="shared" si="6"/>
        <v>1000</v>
      </c>
      <c r="R21" s="22">
        <f t="shared" si="7"/>
        <v>22</v>
      </c>
      <c r="S21" s="22">
        <f t="shared" si="8"/>
        <v>978.33999999999992</v>
      </c>
    </row>
    <row r="22" spans="2:19" x14ac:dyDescent="0.25">
      <c r="B22" s="22" t="s">
        <v>1997</v>
      </c>
      <c r="C22" s="22" t="s">
        <v>2507</v>
      </c>
      <c r="D22" s="22" t="s">
        <v>2225</v>
      </c>
      <c r="E22" s="22">
        <v>20614000000</v>
      </c>
      <c r="F22" s="17">
        <v>1215331000000</v>
      </c>
      <c r="G22" s="22">
        <v>31343000000</v>
      </c>
      <c r="H22" s="22">
        <v>54148000000</v>
      </c>
      <c r="I22" s="23">
        <f t="shared" si="0"/>
        <v>1.6961634320197542E-2</v>
      </c>
      <c r="J22" s="23">
        <f t="shared" si="1"/>
        <v>0.57883947698899318</v>
      </c>
      <c r="K22" s="26">
        <f t="shared" si="2"/>
        <v>19</v>
      </c>
      <c r="L22" s="26">
        <f t="shared" si="3"/>
        <v>21</v>
      </c>
      <c r="M22" s="52">
        <f t="shared" si="4"/>
        <v>40</v>
      </c>
      <c r="N22" s="53">
        <f t="shared" si="5"/>
        <v>21</v>
      </c>
      <c r="O22" s="22" cm="1">
        <f t="array" ref="O22">+_xldudf_WISEPRICE(B22,$O$2)</f>
        <v>210.96</v>
      </c>
      <c r="P22" s="57">
        <v>0.05</v>
      </c>
      <c r="Q22" s="22">
        <f t="shared" si="6"/>
        <v>1000</v>
      </c>
      <c r="R22" s="22">
        <f>ROUNDDOWN(Q22/O22,)</f>
        <v>4</v>
      </c>
      <c r="S22" s="22">
        <f t="shared" ref="S22" si="9">+R22*O22</f>
        <v>843.84</v>
      </c>
    </row>
    <row r="23" spans="2:19" x14ac:dyDescent="0.25">
      <c r="S23" s="59">
        <f>+SUM(S3:S22)</f>
        <v>18482.438999999998</v>
      </c>
    </row>
    <row r="24" spans="2:19" x14ac:dyDescent="0.25">
      <c r="E24" s="58" t="s">
        <v>2180</v>
      </c>
      <c r="F24" s="58">
        <v>20000</v>
      </c>
    </row>
    <row r="27" spans="2:19" x14ac:dyDescent="0.25">
      <c r="E27" s="22" t="s">
        <v>2185</v>
      </c>
      <c r="F27" s="17">
        <f>+S23</f>
        <v>18482.438999999998</v>
      </c>
    </row>
    <row r="28" spans="2:19" x14ac:dyDescent="0.25">
      <c r="E28" s="22" t="s">
        <v>2683</v>
      </c>
      <c r="F28" s="17">
        <f>+F24-F27</f>
        <v>1517.5610000000015</v>
      </c>
    </row>
    <row r="30" spans="2:19" x14ac:dyDescent="0.25">
      <c r="C30" s="22" t="s">
        <v>3903</v>
      </c>
    </row>
    <row r="31" spans="2:19" x14ac:dyDescent="0.25">
      <c r="C31" s="48" t="s">
        <v>2218</v>
      </c>
      <c r="D31" s="56" t="s">
        <v>2682</v>
      </c>
      <c r="E31" s="56" t="s">
        <v>2185</v>
      </c>
    </row>
    <row r="32" spans="2:19" x14ac:dyDescent="0.25">
      <c r="C32" s="22" t="s">
        <v>2395</v>
      </c>
      <c r="D32" s="22">
        <v>2</v>
      </c>
      <c r="E32" s="25">
        <v>821.23</v>
      </c>
    </row>
    <row r="33" spans="3:5" x14ac:dyDescent="0.25">
      <c r="C33" s="22" t="s">
        <v>2551</v>
      </c>
      <c r="D33" s="22">
        <v>11</v>
      </c>
      <c r="E33" s="25">
        <v>965.03000000000009</v>
      </c>
    </row>
    <row r="34" spans="3:5" x14ac:dyDescent="0.25">
      <c r="C34" s="22" t="s">
        <v>2438</v>
      </c>
      <c r="D34" s="22">
        <v>20</v>
      </c>
      <c r="E34" s="25">
        <v>972</v>
      </c>
    </row>
    <row r="35" spans="3:5" x14ac:dyDescent="0.25">
      <c r="C35" s="22" t="s">
        <v>2411</v>
      </c>
      <c r="D35" s="22">
        <v>11</v>
      </c>
      <c r="E35" s="25">
        <v>994.95</v>
      </c>
    </row>
    <row r="36" spans="3:5" x14ac:dyDescent="0.25">
      <c r="C36" s="22" t="s">
        <v>2614</v>
      </c>
      <c r="D36" s="22">
        <v>62</v>
      </c>
      <c r="E36" s="25">
        <v>992</v>
      </c>
    </row>
    <row r="37" spans="3:5" x14ac:dyDescent="0.25">
      <c r="C37" s="22" t="s">
        <v>2407</v>
      </c>
      <c r="D37" s="22">
        <v>12</v>
      </c>
      <c r="E37" s="25">
        <v>995.64</v>
      </c>
    </row>
    <row r="38" spans="3:5" x14ac:dyDescent="0.25">
      <c r="C38" s="22" t="s">
        <v>2610</v>
      </c>
      <c r="D38" s="22">
        <v>4</v>
      </c>
      <c r="E38" s="25">
        <v>825.32</v>
      </c>
    </row>
    <row r="39" spans="3:5" x14ac:dyDescent="0.25">
      <c r="C39" s="22" t="s">
        <v>2416</v>
      </c>
      <c r="D39" s="22">
        <v>15</v>
      </c>
      <c r="E39" s="25">
        <v>984.6</v>
      </c>
    </row>
    <row r="40" spans="3:5" x14ac:dyDescent="0.25">
      <c r="C40" s="22" t="s">
        <v>2388</v>
      </c>
      <c r="D40" s="22">
        <v>1</v>
      </c>
      <c r="E40" s="25">
        <v>691.71</v>
      </c>
    </row>
    <row r="41" spans="3:5" x14ac:dyDescent="0.25">
      <c r="C41" s="22" t="s">
        <v>2485</v>
      </c>
      <c r="D41" s="22">
        <v>4</v>
      </c>
      <c r="E41" s="25">
        <v>893.12</v>
      </c>
    </row>
    <row r="42" spans="3:5" x14ac:dyDescent="0.25">
      <c r="C42" s="22" t="s">
        <v>2374</v>
      </c>
      <c r="D42" s="22">
        <v>12</v>
      </c>
      <c r="E42" s="25">
        <v>948.06</v>
      </c>
    </row>
    <row r="43" spans="3:5" x14ac:dyDescent="0.25">
      <c r="C43" s="22" t="s">
        <v>2587</v>
      </c>
      <c r="D43" s="22">
        <v>2</v>
      </c>
      <c r="E43" s="25">
        <v>699.47979999999995</v>
      </c>
    </row>
    <row r="44" spans="3:5" x14ac:dyDescent="0.25">
      <c r="C44" s="22" t="s">
        <v>2483</v>
      </c>
      <c r="D44" s="22">
        <v>14</v>
      </c>
      <c r="E44" s="25">
        <v>996.10000000000014</v>
      </c>
    </row>
    <row r="45" spans="3:5" x14ac:dyDescent="0.25">
      <c r="C45" s="22" t="s">
        <v>2513</v>
      </c>
      <c r="D45" s="22">
        <v>20</v>
      </c>
      <c r="E45" s="25">
        <v>993</v>
      </c>
    </row>
    <row r="46" spans="3:5" x14ac:dyDescent="0.25">
      <c r="C46" s="22" t="s">
        <v>2517</v>
      </c>
      <c r="D46" s="22">
        <v>7</v>
      </c>
      <c r="E46" s="25">
        <v>916.57999999999993</v>
      </c>
    </row>
    <row r="47" spans="3:5" x14ac:dyDescent="0.25">
      <c r="C47" s="22" t="s">
        <v>2519</v>
      </c>
      <c r="D47" s="22">
        <v>9</v>
      </c>
      <c r="E47" s="25">
        <v>975.3057</v>
      </c>
    </row>
    <row r="48" spans="3:5" x14ac:dyDescent="0.25">
      <c r="C48" s="22" t="s">
        <v>2574</v>
      </c>
      <c r="D48" s="22">
        <v>13</v>
      </c>
      <c r="E48" s="25">
        <v>954.72</v>
      </c>
    </row>
    <row r="49" spans="2:18" x14ac:dyDescent="0.25">
      <c r="C49" s="22" t="s">
        <v>2615</v>
      </c>
      <c r="D49" s="22">
        <v>6</v>
      </c>
      <c r="E49" s="25">
        <v>938.04420000000005</v>
      </c>
    </row>
    <row r="50" spans="2:18" x14ac:dyDescent="0.25">
      <c r="C50" s="22" t="s">
        <v>2555</v>
      </c>
      <c r="D50" s="22">
        <v>23</v>
      </c>
      <c r="E50" s="25">
        <v>994.86500000000001</v>
      </c>
    </row>
    <row r="51" spans="2:18" x14ac:dyDescent="0.25">
      <c r="C51" s="22" t="s">
        <v>2507</v>
      </c>
      <c r="D51" s="22">
        <v>2</v>
      </c>
      <c r="E51" s="22">
        <v>986.76120000000003</v>
      </c>
    </row>
    <row r="52" spans="2:18" x14ac:dyDescent="0.25">
      <c r="E52" s="60">
        <f>+SUM(E32:E51)</f>
        <v>18538.515900000002</v>
      </c>
    </row>
    <row r="54" spans="2:18" x14ac:dyDescent="0.25">
      <c r="B54" s="22" t="s">
        <v>1940</v>
      </c>
      <c r="C54" s="22" t="s">
        <v>2413</v>
      </c>
      <c r="D54" s="22" t="s">
        <v>2225</v>
      </c>
      <c r="E54" s="22">
        <v>642830000</v>
      </c>
      <c r="F54" s="17">
        <v>30636015768</v>
      </c>
      <c r="G54" s="22">
        <v>1202504000</v>
      </c>
      <c r="H54" s="22">
        <v>1575281000</v>
      </c>
      <c r="I54" s="23">
        <f>+E54/F54</f>
        <v>2.0982819857125488E-2</v>
      </c>
      <c r="J54" s="23">
        <f>+G54/H54</f>
        <v>0.76335841034075824</v>
      </c>
      <c r="K54" s="26">
        <f>+_xlfn.RANK.EQ(I54,I:I,0)</f>
        <v>18</v>
      </c>
      <c r="L54" s="26">
        <f>+_xlfn.RANK.EQ(J54,J:J,0)</f>
        <v>7</v>
      </c>
      <c r="M54" s="52">
        <f>+K54+L54</f>
        <v>25</v>
      </c>
      <c r="N54" s="53">
        <f>+_xlfn.RANK.EQ(L54,L:L,1)</f>
        <v>7</v>
      </c>
      <c r="O54" s="22" cm="1">
        <f t="array" ref="O54">+_xldudf_WISEPRICE(B54,$O$2)</f>
        <v>1250.9000000000001</v>
      </c>
      <c r="P54" s="57">
        <v>0.05</v>
      </c>
      <c r="Q54" s="22">
        <f>+$F$24*P54</f>
        <v>1000</v>
      </c>
      <c r="R54" s="22">
        <f>ROUNDDOWN(Q54/O54,)</f>
        <v>0</v>
      </c>
    </row>
    <row r="61" spans="2:18" x14ac:dyDescent="0.25">
      <c r="C61" s="995" t="s">
        <v>2685</v>
      </c>
      <c r="D61" s="995"/>
      <c r="F61" s="996" t="s">
        <v>2686</v>
      </c>
      <c r="G61" s="996"/>
    </row>
    <row r="62" spans="2:18" x14ac:dyDescent="0.25">
      <c r="C62" s="48" t="s">
        <v>2218</v>
      </c>
      <c r="D62" s="62" t="s">
        <v>2678</v>
      </c>
      <c r="F62" s="69" t="s">
        <v>2218</v>
      </c>
      <c r="G62" s="62" t="s">
        <v>2678</v>
      </c>
      <c r="I62" s="61"/>
      <c r="J62" s="61"/>
      <c r="K62" s="61"/>
      <c r="L62" s="61"/>
    </row>
    <row r="63" spans="2:18" x14ac:dyDescent="0.25">
      <c r="C63" s="22" t="s">
        <v>2350</v>
      </c>
      <c r="D63" s="63">
        <v>0.30774179478145852</v>
      </c>
      <c r="F63" s="17" t="s">
        <v>2395</v>
      </c>
      <c r="G63" s="63">
        <v>4.1759049207009076E-2</v>
      </c>
    </row>
    <row r="64" spans="2:18" x14ac:dyDescent="0.25">
      <c r="C64" s="22" t="s">
        <v>2353</v>
      </c>
      <c r="D64" s="63">
        <v>0.15976063186429643</v>
      </c>
      <c r="F64" s="17" t="s">
        <v>2551</v>
      </c>
      <c r="G64" s="63">
        <v>6.3431481339431814E-2</v>
      </c>
    </row>
    <row r="65" spans="3:7" x14ac:dyDescent="0.25">
      <c r="C65" s="22" t="s">
        <v>2266</v>
      </c>
      <c r="D65" s="63">
        <v>0.12185114224623654</v>
      </c>
      <c r="F65" s="17" t="s">
        <v>2438</v>
      </c>
      <c r="G65" s="63">
        <v>0.11711995763581305</v>
      </c>
    </row>
    <row r="66" spans="3:7" x14ac:dyDescent="0.25">
      <c r="C66" s="22" t="s">
        <v>2438</v>
      </c>
      <c r="D66" s="63">
        <v>0.11711995763581305</v>
      </c>
      <c r="F66" s="17" t="s">
        <v>2411</v>
      </c>
      <c r="G66" s="63">
        <v>2.5851303158518843E-2</v>
      </c>
    </row>
    <row r="67" spans="3:7" x14ac:dyDescent="0.25">
      <c r="C67" s="22" t="s">
        <v>2538</v>
      </c>
      <c r="D67" s="63">
        <v>0.11159699463502069</v>
      </c>
      <c r="F67" s="17" t="s">
        <v>2684</v>
      </c>
      <c r="G67" s="63">
        <v>3.4366458080618763E-4</v>
      </c>
    </row>
    <row r="68" spans="3:7" x14ac:dyDescent="0.25">
      <c r="C68" s="22" t="s">
        <v>2323</v>
      </c>
      <c r="D68" s="63">
        <v>9.8327477120396217E-2</v>
      </c>
      <c r="F68" s="17" t="s">
        <v>2407</v>
      </c>
      <c r="G68" s="63">
        <v>2.5697000479045284E-2</v>
      </c>
    </row>
    <row r="69" spans="3:7" x14ac:dyDescent="0.25">
      <c r="C69" s="22" t="s">
        <v>2509</v>
      </c>
      <c r="D69" s="63">
        <v>9.4411767675720792E-2</v>
      </c>
      <c r="F69" s="17" t="s">
        <v>2413</v>
      </c>
      <c r="G69" s="63">
        <v>2.0982819857125488E-2</v>
      </c>
    </row>
    <row r="70" spans="3:7" x14ac:dyDescent="0.25">
      <c r="C70" s="22" t="s">
        <v>2391</v>
      </c>
      <c r="D70" s="63">
        <v>9.3099100369348833E-2</v>
      </c>
      <c r="F70" s="17" t="s">
        <v>2610</v>
      </c>
      <c r="G70" s="63">
        <v>4.3595229612480337E-2</v>
      </c>
    </row>
    <row r="71" spans="3:7" x14ac:dyDescent="0.25">
      <c r="C71" s="22" t="s">
        <v>2377</v>
      </c>
      <c r="D71" s="63">
        <v>8.7300289376541398E-2</v>
      </c>
      <c r="F71" s="17" t="s">
        <v>2416</v>
      </c>
      <c r="G71" s="63">
        <v>4.0278167607631546E-2</v>
      </c>
    </row>
    <row r="72" spans="3:7" x14ac:dyDescent="0.25">
      <c r="C72" s="22" t="s">
        <v>2365</v>
      </c>
      <c r="D72" s="63">
        <v>7.8214092266412988E-2</v>
      </c>
      <c r="F72" s="17" t="s">
        <v>2388</v>
      </c>
      <c r="G72" s="63">
        <v>4.4215974852036329E-2</v>
      </c>
    </row>
    <row r="73" spans="3:7" x14ac:dyDescent="0.25">
      <c r="C73" s="22" t="s">
        <v>2606</v>
      </c>
      <c r="D73" s="63">
        <v>7.3884441185852079E-2</v>
      </c>
      <c r="F73" s="17" t="s">
        <v>2485</v>
      </c>
      <c r="G73" s="63">
        <v>6.926673299252592E-2</v>
      </c>
    </row>
    <row r="74" spans="3:7" x14ac:dyDescent="0.25">
      <c r="C74" s="22" t="s">
        <v>2402</v>
      </c>
      <c r="D74" s="63">
        <v>7.365235421733872E-2</v>
      </c>
      <c r="F74" s="17" t="s">
        <v>2374</v>
      </c>
      <c r="G74" s="63">
        <v>6.2828533954182655E-2</v>
      </c>
    </row>
    <row r="75" spans="3:7" x14ac:dyDescent="0.25">
      <c r="C75" s="22" t="s">
        <v>2443</v>
      </c>
      <c r="D75" s="63">
        <v>7.315151465962566E-2</v>
      </c>
      <c r="F75" s="17" t="s">
        <v>2587</v>
      </c>
      <c r="G75" s="63">
        <v>5.6520234340443155E-2</v>
      </c>
    </row>
    <row r="76" spans="3:7" x14ac:dyDescent="0.25">
      <c r="C76" s="22" t="s">
        <v>2346</v>
      </c>
      <c r="D76" s="63">
        <v>7.2713751168485538E-2</v>
      </c>
      <c r="F76" s="17" t="s">
        <v>2483</v>
      </c>
      <c r="G76" s="63">
        <v>2.3081513852046712E-2</v>
      </c>
    </row>
    <row r="77" spans="3:7" x14ac:dyDescent="0.25">
      <c r="C77" s="22" t="s">
        <v>2430</v>
      </c>
      <c r="D77" s="63">
        <v>6.9274229629639375E-2</v>
      </c>
      <c r="F77" s="17" t="s">
        <v>2513</v>
      </c>
      <c r="G77" s="63">
        <v>4.8027797029800055E-2</v>
      </c>
    </row>
    <row r="78" spans="3:7" x14ac:dyDescent="0.25">
      <c r="C78" s="22" t="s">
        <v>2485</v>
      </c>
      <c r="D78" s="63">
        <v>6.926673299252592E-2</v>
      </c>
      <c r="F78" s="17" t="s">
        <v>2517</v>
      </c>
      <c r="G78" s="63">
        <v>1.5998055360458594E-2</v>
      </c>
    </row>
    <row r="79" spans="3:7" x14ac:dyDescent="0.25">
      <c r="C79" s="22" t="s">
        <v>2341</v>
      </c>
      <c r="D79" s="63">
        <v>6.8948506593702857E-2</v>
      </c>
      <c r="F79" s="17" t="s">
        <v>2519</v>
      </c>
      <c r="G79" s="63">
        <v>2.9506520672684996E-2</v>
      </c>
    </row>
    <row r="80" spans="3:7" x14ac:dyDescent="0.25">
      <c r="C80" s="22" t="s">
        <v>2484</v>
      </c>
      <c r="D80" s="63">
        <v>6.8033720981062237E-2</v>
      </c>
      <c r="F80" s="17" t="s">
        <v>2574</v>
      </c>
      <c r="G80" s="63">
        <v>5.7471723798400959E-2</v>
      </c>
    </row>
    <row r="81" spans="3:8" x14ac:dyDescent="0.25">
      <c r="C81" s="22" t="s">
        <v>2533</v>
      </c>
      <c r="D81" s="63">
        <v>6.6886756052746452E-2</v>
      </c>
      <c r="F81" s="17" t="s">
        <v>2615</v>
      </c>
      <c r="G81" s="63">
        <v>5.5040149094338096E-2</v>
      </c>
    </row>
    <row r="82" spans="3:8" x14ac:dyDescent="0.25">
      <c r="C82" s="22" t="s">
        <v>2338</v>
      </c>
      <c r="D82" s="63">
        <v>6.6261824819338094E-2</v>
      </c>
      <c r="F82" s="17" t="s">
        <v>2555</v>
      </c>
      <c r="G82" s="63">
        <v>2.6156837978828208E-2</v>
      </c>
    </row>
    <row r="87" spans="3:8" x14ac:dyDescent="0.25">
      <c r="C87" s="22" t="s">
        <v>3905</v>
      </c>
    </row>
    <row r="89" spans="3:8" x14ac:dyDescent="0.25">
      <c r="C89" s="48" t="s">
        <v>2694</v>
      </c>
      <c r="D89" s="65" t="s">
        <v>2691</v>
      </c>
      <c r="E89" s="65" t="s">
        <v>2692</v>
      </c>
      <c r="F89" s="65" t="s">
        <v>2693</v>
      </c>
      <c r="G89" s="62" t="s">
        <v>2678</v>
      </c>
      <c r="H89" s="62" t="s">
        <v>2635</v>
      </c>
    </row>
    <row r="90" spans="3:8" x14ac:dyDescent="0.25">
      <c r="C90" s="22" t="s">
        <v>2551</v>
      </c>
      <c r="D90" s="63">
        <v>2.1922813427723224E-2</v>
      </c>
      <c r="E90" s="63">
        <v>0.72286476490206264</v>
      </c>
      <c r="F90" s="63">
        <v>0.32104264096119789</v>
      </c>
      <c r="G90" s="63">
        <v>6.3193782352166758E-2</v>
      </c>
      <c r="H90" s="63">
        <v>0.8970017047053177</v>
      </c>
    </row>
    <row r="91" spans="3:8" x14ac:dyDescent="0.25">
      <c r="C91" s="22" t="s">
        <v>2438</v>
      </c>
      <c r="D91" s="63">
        <v>2.4928483857785039E-2</v>
      </c>
      <c r="E91" s="63">
        <v>0.15117240673798252</v>
      </c>
      <c r="F91" s="63">
        <v>0.31670689670529345</v>
      </c>
      <c r="G91" s="63">
        <v>0.11605236565622781</v>
      </c>
      <c r="H91" s="63">
        <v>0.84839143116112292</v>
      </c>
    </row>
    <row r="92" spans="3:8" x14ac:dyDescent="0.25">
      <c r="C92" s="22" t="s">
        <v>2485</v>
      </c>
      <c r="D92" s="63">
        <v>1.9298088142895613E-2</v>
      </c>
      <c r="E92" s="63">
        <v>1.454391274723756</v>
      </c>
      <c r="F92" s="63">
        <v>0.33172386793683933</v>
      </c>
      <c r="G92" s="63">
        <v>6.9309672866460739E-2</v>
      </c>
      <c r="H92" s="63">
        <v>0.70728380253533718</v>
      </c>
    </row>
    <row r="93" spans="3:8" x14ac:dyDescent="0.25">
      <c r="C93" s="22" t="s">
        <v>2597</v>
      </c>
      <c r="D93" s="63">
        <v>1.955108432591468E-2</v>
      </c>
      <c r="E93" s="63">
        <v>2.507440857181229</v>
      </c>
      <c r="F93" s="63">
        <v>0.3891998977165847</v>
      </c>
      <c r="G93" s="63">
        <v>5.5009939949351688E-2</v>
      </c>
      <c r="H93" s="63">
        <v>0.57564073232262325</v>
      </c>
    </row>
    <row r="94" spans="3:8" x14ac:dyDescent="0.25">
      <c r="C94" s="22" t="s">
        <v>2626</v>
      </c>
      <c r="D94" s="63">
        <v>1.8486688820136741E-2</v>
      </c>
      <c r="E94" s="63">
        <v>0.82273860398860399</v>
      </c>
      <c r="F94" s="63">
        <v>0.44385382059800665</v>
      </c>
      <c r="G94" s="63">
        <v>4.8083878730772488E-2</v>
      </c>
      <c r="H94" s="63">
        <v>0.57124032284631854</v>
      </c>
    </row>
    <row r="95" spans="3:8" x14ac:dyDescent="0.25">
      <c r="C95" s="22" t="s">
        <v>2487</v>
      </c>
      <c r="D95" s="63">
        <v>1.6931531263923955E-2</v>
      </c>
      <c r="E95" s="63">
        <v>1.6874458874458871</v>
      </c>
      <c r="F95" s="63">
        <v>0.30769230769230771</v>
      </c>
      <c r="G95" s="63">
        <v>6.6133216992122032E-2</v>
      </c>
      <c r="H95" s="63">
        <v>0.50772668032023827</v>
      </c>
    </row>
    <row r="96" spans="3:8" x14ac:dyDescent="0.25">
      <c r="C96" s="22" t="s">
        <v>2586</v>
      </c>
      <c r="D96" s="63">
        <v>2.4296619411123228E-2</v>
      </c>
      <c r="E96" s="63">
        <v>0.51193739875718269</v>
      </c>
      <c r="F96" s="63">
        <v>0.44960113481061958</v>
      </c>
      <c r="G96" s="63">
        <v>5.7144852633423268E-2</v>
      </c>
      <c r="H96" s="63">
        <v>0.42054443357227256</v>
      </c>
    </row>
    <row r="97" spans="3:8" x14ac:dyDescent="0.25">
      <c r="C97" s="22" t="s">
        <v>2482</v>
      </c>
      <c r="D97" s="63">
        <v>1.6502569034903439E-2</v>
      </c>
      <c r="E97" s="63">
        <v>7.4718314779081902</v>
      </c>
      <c r="F97" s="63">
        <v>0.34773063204641835</v>
      </c>
      <c r="G97" s="63">
        <v>5.8058594443333958E-2</v>
      </c>
      <c r="H97" s="63">
        <v>0.41505845798738694</v>
      </c>
    </row>
    <row r="98" spans="3:8" x14ac:dyDescent="0.25">
      <c r="C98" s="22" t="s">
        <v>2383</v>
      </c>
      <c r="D98" s="63">
        <v>2.8104710800154163E-2</v>
      </c>
      <c r="E98" s="63">
        <v>0.79383462780812275</v>
      </c>
      <c r="F98" s="63">
        <v>0.26944913303667334</v>
      </c>
      <c r="G98" s="63">
        <v>2.8616606325686682E-2</v>
      </c>
      <c r="H98" s="63">
        <v>0.41205593912347571</v>
      </c>
    </row>
    <row r="99" spans="3:8" x14ac:dyDescent="0.25">
      <c r="C99" s="22" t="s">
        <v>546</v>
      </c>
      <c r="D99" s="63">
        <v>3.0101191238631995E-2</v>
      </c>
      <c r="E99" s="63">
        <v>0.33479740499827665</v>
      </c>
      <c r="F99" s="63">
        <v>0.34250808687615525</v>
      </c>
      <c r="G99" s="63">
        <v>6.5330849262870749E-2</v>
      </c>
      <c r="H99" s="63">
        <v>0.3875383142339261</v>
      </c>
    </row>
    <row r="100" spans="3:8" x14ac:dyDescent="0.25">
      <c r="C100" s="22" t="s">
        <v>2365</v>
      </c>
      <c r="D100" s="63">
        <v>3.0827366746221167E-2</v>
      </c>
      <c r="E100" s="63">
        <v>0.24791190281714209</v>
      </c>
      <c r="F100" s="63">
        <v>0.4655032766364775</v>
      </c>
      <c r="G100" s="63">
        <v>7.7915682831478789E-2</v>
      </c>
      <c r="H100" s="63">
        <v>0.37419772833107245</v>
      </c>
    </row>
    <row r="101" spans="3:8" x14ac:dyDescent="0.25">
      <c r="C101" s="22" t="s">
        <v>2499</v>
      </c>
      <c r="D101" s="63">
        <v>1.7413207753805716E-2</v>
      </c>
      <c r="E101" s="63">
        <v>0.74349020241171404</v>
      </c>
      <c r="F101" s="63">
        <v>0.32089937631589399</v>
      </c>
      <c r="G101" s="63">
        <v>6.2396932321613564E-2</v>
      </c>
      <c r="H101" s="63">
        <v>0.36598720589829775</v>
      </c>
    </row>
    <row r="102" spans="3:8" x14ac:dyDescent="0.25">
      <c r="C102" s="22" t="s">
        <v>2430</v>
      </c>
      <c r="D102" s="63">
        <v>3.7523452157598496E-2</v>
      </c>
      <c r="E102" s="63">
        <v>0.41438289318011751</v>
      </c>
      <c r="F102" s="63">
        <v>0.48136170212765961</v>
      </c>
      <c r="G102" s="63">
        <v>6.8935646470898004E-2</v>
      </c>
      <c r="H102" s="63">
        <v>0.34607923300145899</v>
      </c>
    </row>
    <row r="103" spans="3:8" x14ac:dyDescent="0.25">
      <c r="C103" s="22" t="s">
        <v>2553</v>
      </c>
      <c r="D103" s="63">
        <v>1.5343220474710914E-2</v>
      </c>
      <c r="E103" s="63">
        <v>0.29914857190777799</v>
      </c>
      <c r="F103" s="63">
        <v>0.39247467438494937</v>
      </c>
      <c r="G103" s="63">
        <v>4.0931668887499988E-2</v>
      </c>
      <c r="H103" s="63">
        <v>0.32882165605095542</v>
      </c>
    </row>
    <row r="104" spans="3:8" x14ac:dyDescent="0.25">
      <c r="C104" s="22" t="s">
        <v>2377</v>
      </c>
      <c r="D104" s="63">
        <v>2.5950375597541545E-2</v>
      </c>
      <c r="E104" s="63">
        <v>0.80984045619582001</v>
      </c>
      <c r="F104" s="63">
        <v>0.31388595564941923</v>
      </c>
      <c r="G104" s="63">
        <v>8.7392094687395214E-2</v>
      </c>
      <c r="H104" s="63">
        <v>0.32388766317337747</v>
      </c>
    </row>
    <row r="105" spans="3:8" x14ac:dyDescent="0.25">
      <c r="C105" s="22" t="s">
        <v>2584</v>
      </c>
      <c r="D105" s="63">
        <v>1.7862942513803184E-2</v>
      </c>
      <c r="E105" s="63">
        <v>1.2402157768364921</v>
      </c>
      <c r="F105" s="63">
        <v>0.4831705523151395</v>
      </c>
      <c r="G105" s="63">
        <v>3.8158326783512116E-2</v>
      </c>
      <c r="H105" s="63">
        <v>0.276371116627532</v>
      </c>
    </row>
    <row r="106" spans="3:8" x14ac:dyDescent="0.25">
      <c r="C106" s="22" t="s">
        <v>2346</v>
      </c>
      <c r="D106" s="63">
        <v>1.6913033183371107E-2</v>
      </c>
      <c r="E106" s="63">
        <v>0.44969801137276327</v>
      </c>
      <c r="F106" s="63">
        <v>0.27663777021836938</v>
      </c>
      <c r="G106" s="63">
        <v>7.1636513604327379E-2</v>
      </c>
      <c r="H106" s="63">
        <v>0.25684690808954846</v>
      </c>
    </row>
    <row r="107" spans="3:8" x14ac:dyDescent="0.25">
      <c r="C107" s="22" t="s">
        <v>2617</v>
      </c>
      <c r="D107" s="63">
        <v>1.5772870662460567E-2</v>
      </c>
      <c r="E107" s="63">
        <v>0.52644573643410864</v>
      </c>
      <c r="F107" s="63">
        <v>0.48528138528138526</v>
      </c>
      <c r="G107" s="63">
        <v>4.0965368557296974E-2</v>
      </c>
      <c r="H107" s="63">
        <v>0.23770158133709096</v>
      </c>
    </row>
    <row r="108" spans="3:8" x14ac:dyDescent="0.25">
      <c r="C108" s="22" t="s">
        <v>2523</v>
      </c>
      <c r="D108" s="63">
        <v>1.5842011546970271E-2</v>
      </c>
      <c r="E108" s="63">
        <v>0.71906216005269552</v>
      </c>
      <c r="F108" s="63">
        <v>0.23549561121815457</v>
      </c>
      <c r="G108" s="63">
        <v>6.6039981629326311E-2</v>
      </c>
      <c r="H108" s="63">
        <v>0.17573948681397006</v>
      </c>
    </row>
    <row r="109" spans="3:8" x14ac:dyDescent="0.25">
      <c r="C109" s="22" t="s">
        <v>2604</v>
      </c>
      <c r="D109" s="63">
        <v>1.5899547474418036E-2</v>
      </c>
      <c r="E109" s="63">
        <v>1.0435611526704855</v>
      </c>
      <c r="F109" s="63">
        <v>0.49913589945011783</v>
      </c>
      <c r="G109" s="63">
        <v>4.9584938698289803E-2</v>
      </c>
      <c r="H109" s="63">
        <v>0.15740907724676886</v>
      </c>
    </row>
    <row r="118" spans="5:6" ht="15.75" thickBot="1" x14ac:dyDescent="0.3"/>
    <row r="119" spans="5:6" x14ac:dyDescent="0.25">
      <c r="F119" s="70" t="s">
        <v>2703</v>
      </c>
    </row>
    <row r="120" spans="5:6" x14ac:dyDescent="0.25">
      <c r="E120" s="67" t="s">
        <v>2695</v>
      </c>
      <c r="F120" s="71">
        <v>0.7</v>
      </c>
    </row>
    <row r="121" spans="5:6" x14ac:dyDescent="0.25">
      <c r="E121" s="22" t="s">
        <v>2696</v>
      </c>
      <c r="F121" s="72">
        <v>0.6</v>
      </c>
    </row>
    <row r="122" spans="5:6" x14ac:dyDescent="0.25">
      <c r="E122" s="22" t="s">
        <v>2697</v>
      </c>
      <c r="F122" s="72">
        <v>0.4</v>
      </c>
    </row>
    <row r="123" spans="5:6" x14ac:dyDescent="0.25">
      <c r="E123" s="67" t="s">
        <v>2698</v>
      </c>
      <c r="F123" s="71">
        <v>0.1</v>
      </c>
    </row>
    <row r="124" spans="5:6" x14ac:dyDescent="0.25">
      <c r="E124" s="22" t="s">
        <v>2699</v>
      </c>
      <c r="F124" s="72">
        <v>0.5</v>
      </c>
    </row>
    <row r="125" spans="5:6" x14ac:dyDescent="0.25">
      <c r="E125" s="22" t="s">
        <v>2207</v>
      </c>
      <c r="F125" s="72">
        <v>0.5</v>
      </c>
    </row>
    <row r="126" spans="5:6" x14ac:dyDescent="0.25">
      <c r="E126" s="67" t="s">
        <v>2700</v>
      </c>
      <c r="F126" s="71">
        <v>0.2</v>
      </c>
    </row>
    <row r="127" spans="5:6" x14ac:dyDescent="0.25">
      <c r="E127" s="22" t="s">
        <v>2701</v>
      </c>
      <c r="F127" s="72">
        <v>0.5</v>
      </c>
    </row>
    <row r="128" spans="5:6" ht="15.75" thickBot="1" x14ac:dyDescent="0.3">
      <c r="E128" s="22" t="s">
        <v>2702</v>
      </c>
      <c r="F128" s="73">
        <v>0.5</v>
      </c>
    </row>
  </sheetData>
  <mergeCells count="2">
    <mergeCell ref="C61:D61"/>
    <mergeCell ref="F61:G61"/>
  </mergeCells>
  <hyperlinks>
    <hyperlink ref="A1" location="Inicio!A1" display="Inicio" xr:uid="{B0A2A50E-5BB9-428E-800F-0C9FE1891844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4C382-EC81-364A-BC40-9A5BA7B2DFA9}">
  <sheetPr>
    <tabColor rgb="FF7030A0"/>
  </sheetPr>
  <dimension ref="A1:O74"/>
  <sheetViews>
    <sheetView showGridLines="0" zoomScale="95" zoomScaleNormal="95" workbookViewId="0"/>
  </sheetViews>
  <sheetFormatPr defaultColWidth="8.85546875" defaultRowHeight="15" x14ac:dyDescent="0.25"/>
  <cols>
    <col min="1" max="1" width="12.7109375" style="22" customWidth="1"/>
    <col min="2" max="2" width="38.5703125" style="22" customWidth="1"/>
    <col min="3" max="3" width="27.42578125" style="22" customWidth="1"/>
    <col min="4" max="4" width="32" style="22" bestFit="1" customWidth="1"/>
    <col min="5" max="5" width="12.7109375" style="22" customWidth="1"/>
    <col min="6" max="6" width="16" style="22" customWidth="1"/>
    <col min="7" max="7" width="22.28515625" style="22" customWidth="1"/>
    <col min="8" max="8" width="21.42578125" style="22" customWidth="1"/>
    <col min="9" max="9" width="19.5703125" style="17" customWidth="1"/>
    <col min="10" max="10" width="27.28515625" style="22" customWidth="1"/>
    <col min="11" max="12" width="8.85546875" style="22"/>
    <col min="13" max="13" width="10.42578125" style="22" bestFit="1" customWidth="1"/>
    <col min="14" max="14" width="25.85546875" style="22" bestFit="1" customWidth="1"/>
    <col min="15" max="15" width="26" style="22" bestFit="1" customWidth="1"/>
    <col min="16" max="16384" width="8.85546875" style="22"/>
  </cols>
  <sheetData>
    <row r="1" spans="1:5" x14ac:dyDescent="0.25">
      <c r="A1" s="879" t="s">
        <v>2821</v>
      </c>
    </row>
    <row r="2" spans="1:5" ht="15.75" x14ac:dyDescent="0.25">
      <c r="B2" s="89" t="s">
        <v>3908</v>
      </c>
      <c r="C2" s="89"/>
      <c r="D2" s="89"/>
      <c r="E2" s="89"/>
    </row>
    <row r="3" spans="1:5" ht="15.75" x14ac:dyDescent="0.25">
      <c r="B3" s="308"/>
      <c r="C3" s="469" t="s">
        <v>3631</v>
      </c>
      <c r="D3" s="469" t="s">
        <v>3632</v>
      </c>
      <c r="E3" s="89"/>
    </row>
    <row r="4" spans="1:5" ht="15.75" x14ac:dyDescent="0.25">
      <c r="B4" s="819" t="s">
        <v>2706</v>
      </c>
      <c r="C4" s="816">
        <v>50000</v>
      </c>
      <c r="D4" s="816">
        <v>50000</v>
      </c>
      <c r="E4" s="89"/>
    </row>
    <row r="5" spans="1:5" ht="15.75" x14ac:dyDescent="0.25">
      <c r="B5" s="820" t="s">
        <v>2708</v>
      </c>
      <c r="C5" s="816">
        <v>6000</v>
      </c>
      <c r="D5" s="816">
        <v>6000</v>
      </c>
      <c r="E5" s="89"/>
    </row>
    <row r="6" spans="1:5" ht="15.75" x14ac:dyDescent="0.25">
      <c r="B6" s="820" t="s">
        <v>3633</v>
      </c>
      <c r="C6" s="817" t="s">
        <v>3634</v>
      </c>
      <c r="D6" s="817" t="s">
        <v>3634</v>
      </c>
      <c r="E6" s="89"/>
    </row>
    <row r="7" spans="1:5" ht="15.75" x14ac:dyDescent="0.25">
      <c r="B7" s="820" t="s">
        <v>3643</v>
      </c>
      <c r="C7" s="817" t="s">
        <v>3644</v>
      </c>
      <c r="D7" s="817" t="s">
        <v>3644</v>
      </c>
      <c r="E7" s="89"/>
    </row>
    <row r="8" spans="1:5" ht="15.75" x14ac:dyDescent="0.25">
      <c r="B8" s="820" t="s">
        <v>3635</v>
      </c>
      <c r="C8" s="817" t="s">
        <v>3636</v>
      </c>
      <c r="D8" s="817" t="s">
        <v>3637</v>
      </c>
      <c r="E8" s="89"/>
    </row>
    <row r="9" spans="1:5" ht="15.75" x14ac:dyDescent="0.25">
      <c r="B9" s="820" t="s">
        <v>3646</v>
      </c>
      <c r="C9" s="817" t="s">
        <v>3647</v>
      </c>
      <c r="D9" s="817" t="s">
        <v>3648</v>
      </c>
      <c r="E9" s="89"/>
    </row>
    <row r="10" spans="1:5" ht="15.75" x14ac:dyDescent="0.25">
      <c r="B10" s="820" t="s">
        <v>3638</v>
      </c>
      <c r="C10" s="817" t="s">
        <v>3639</v>
      </c>
      <c r="D10" s="817" t="s">
        <v>3645</v>
      </c>
      <c r="E10" s="89"/>
    </row>
    <row r="11" spans="1:5" ht="15.75" x14ac:dyDescent="0.25">
      <c r="B11" s="820" t="s">
        <v>3642</v>
      </c>
      <c r="C11" s="817" t="s">
        <v>3689</v>
      </c>
      <c r="D11" s="817" t="s">
        <v>3640</v>
      </c>
      <c r="E11" s="89"/>
    </row>
    <row r="12" spans="1:5" ht="15.75" x14ac:dyDescent="0.25">
      <c r="B12" s="821" t="s">
        <v>3641</v>
      </c>
      <c r="C12" s="818">
        <v>0.08</v>
      </c>
      <c r="D12" s="818">
        <v>0.1</v>
      </c>
      <c r="E12" s="89"/>
    </row>
    <row r="13" spans="1:5" ht="15.75" x14ac:dyDescent="0.25">
      <c r="B13" s="89"/>
      <c r="C13" s="89"/>
      <c r="D13" s="89"/>
      <c r="E13" s="89"/>
    </row>
    <row r="14" spans="1:5" ht="15.75" x14ac:dyDescent="0.25">
      <c r="B14" s="89"/>
      <c r="C14" s="469" t="s">
        <v>3651</v>
      </c>
      <c r="D14" s="469" t="s">
        <v>3652</v>
      </c>
      <c r="E14" s="89"/>
    </row>
    <row r="15" spans="1:5" ht="15.75" x14ac:dyDescent="0.25">
      <c r="B15" s="819" t="s">
        <v>3631</v>
      </c>
      <c r="C15" s="825" t="s">
        <v>2704</v>
      </c>
      <c r="D15" s="329">
        <f>+I39</f>
        <v>520448.23227059812</v>
      </c>
      <c r="E15" s="33"/>
    </row>
    <row r="16" spans="1:5" ht="15.75" x14ac:dyDescent="0.25">
      <c r="B16" s="821" t="s">
        <v>3632</v>
      </c>
      <c r="C16" s="825" t="s">
        <v>2705</v>
      </c>
      <c r="D16" s="329">
        <f>+I62</f>
        <v>651696.74464371696</v>
      </c>
    </row>
    <row r="17" spans="2:15" x14ac:dyDescent="0.25">
      <c r="M17" s="22" t="s">
        <v>3910</v>
      </c>
    </row>
    <row r="18" spans="2:15" x14ac:dyDescent="0.25">
      <c r="C18" s="824" t="s">
        <v>3649</v>
      </c>
      <c r="I18" s="22"/>
      <c r="J18" s="17"/>
    </row>
    <row r="19" spans="2:15" ht="15.75" x14ac:dyDescent="0.25">
      <c r="B19" s="508" t="s">
        <v>2707</v>
      </c>
      <c r="C19" s="469" t="s">
        <v>2706</v>
      </c>
      <c r="D19" s="469" t="s">
        <v>2708</v>
      </c>
      <c r="E19" s="469" t="s">
        <v>2709</v>
      </c>
      <c r="F19" s="469" t="s">
        <v>2712</v>
      </c>
      <c r="G19" s="469" t="s">
        <v>2711</v>
      </c>
      <c r="H19" s="469" t="s">
        <v>2650</v>
      </c>
      <c r="I19" s="469" t="s">
        <v>2710</v>
      </c>
      <c r="J19" s="469" t="s">
        <v>2713</v>
      </c>
      <c r="M19" s="829" t="s">
        <v>2707</v>
      </c>
      <c r="N19" s="824" t="s">
        <v>3649</v>
      </c>
      <c r="O19" s="824" t="s">
        <v>3650</v>
      </c>
    </row>
    <row r="20" spans="2:15" x14ac:dyDescent="0.25">
      <c r="B20" s="822">
        <v>1</v>
      </c>
      <c r="C20" s="329">
        <v>50000</v>
      </c>
      <c r="D20" s="329">
        <v>6000</v>
      </c>
      <c r="E20" s="329">
        <v>-1000</v>
      </c>
      <c r="F20" s="329">
        <v>0</v>
      </c>
      <c r="G20" s="329">
        <f>+SUM(C20:F20)</f>
        <v>55000</v>
      </c>
      <c r="H20" s="826">
        <v>0.08</v>
      </c>
      <c r="I20" s="329">
        <f>+G20*(1+H20)</f>
        <v>59400.000000000007</v>
      </c>
      <c r="J20" s="329">
        <v>200</v>
      </c>
      <c r="M20" s="830">
        <v>1</v>
      </c>
      <c r="N20" s="329">
        <f>-C20-D20-E20</f>
        <v>-55000</v>
      </c>
      <c r="O20" s="329">
        <f>-C43-D43-E43-F43</f>
        <v>-51700</v>
      </c>
    </row>
    <row r="21" spans="2:15" x14ac:dyDescent="0.25">
      <c r="B21" s="822">
        <v>2</v>
      </c>
      <c r="C21" s="329">
        <f t="shared" ref="C21:C39" si="0">+I20</f>
        <v>59400.000000000007</v>
      </c>
      <c r="D21" s="329">
        <v>6000</v>
      </c>
      <c r="E21" s="329">
        <v>-100</v>
      </c>
      <c r="F21" s="329">
        <f t="shared" ref="F21:F39" si="1">+F20</f>
        <v>0</v>
      </c>
      <c r="G21" s="329">
        <f>+SUM(C21:F21)</f>
        <v>65300.000000000007</v>
      </c>
      <c r="H21" s="826">
        <f t="shared" ref="H21:H39" si="2">+H20</f>
        <v>0.08</v>
      </c>
      <c r="I21" s="329">
        <f>+G21*(1+H21)</f>
        <v>70524.000000000015</v>
      </c>
      <c r="J21" s="329">
        <f>5*12</f>
        <v>60</v>
      </c>
      <c r="M21" s="830">
        <v>2</v>
      </c>
      <c r="N21" s="329">
        <f>-D21-E21</f>
        <v>-5900</v>
      </c>
      <c r="O21" s="329">
        <f>-D44-E44-F44</f>
        <v>-5400</v>
      </c>
    </row>
    <row r="22" spans="2:15" x14ac:dyDescent="0.25">
      <c r="B22" s="822">
        <v>3</v>
      </c>
      <c r="C22" s="329">
        <f t="shared" si="0"/>
        <v>70524.000000000015</v>
      </c>
      <c r="D22" s="329">
        <v>6000</v>
      </c>
      <c r="E22" s="329">
        <f t="shared" ref="E22:E39" si="3">+E21</f>
        <v>-100</v>
      </c>
      <c r="F22" s="329">
        <f t="shared" si="1"/>
        <v>0</v>
      </c>
      <c r="G22" s="329">
        <f t="shared" ref="G22:G39" si="4">+SUM(C22:F22)</f>
        <v>76424.000000000015</v>
      </c>
      <c r="H22" s="826">
        <f t="shared" si="2"/>
        <v>0.08</v>
      </c>
      <c r="I22" s="329">
        <f>+G22*(1+H22)</f>
        <v>82537.920000000027</v>
      </c>
      <c r="J22" s="329">
        <f t="shared" ref="J22:J39" si="5">+J21</f>
        <v>60</v>
      </c>
      <c r="M22" s="830">
        <v>3</v>
      </c>
      <c r="N22" s="329">
        <f t="shared" ref="N22:N38" si="6">-D22-E22</f>
        <v>-5900</v>
      </c>
      <c r="O22" s="329">
        <f t="shared" ref="O22:O38" si="7">-D45-E45-F45</f>
        <v>-5400</v>
      </c>
    </row>
    <row r="23" spans="2:15" x14ac:dyDescent="0.25">
      <c r="B23" s="822">
        <v>4</v>
      </c>
      <c r="C23" s="329">
        <f t="shared" si="0"/>
        <v>82537.920000000027</v>
      </c>
      <c r="D23" s="329">
        <v>6000</v>
      </c>
      <c r="E23" s="329">
        <f t="shared" si="3"/>
        <v>-100</v>
      </c>
      <c r="F23" s="329">
        <f t="shared" si="1"/>
        <v>0</v>
      </c>
      <c r="G23" s="329">
        <f>+SUM(C23:F23)</f>
        <v>88437.920000000027</v>
      </c>
      <c r="H23" s="826">
        <f t="shared" si="2"/>
        <v>0.08</v>
      </c>
      <c r="I23" s="329">
        <f t="shared" ref="I23:I38" si="8">+G23*(1+H23)</f>
        <v>95512.953600000037</v>
      </c>
      <c r="J23" s="329">
        <f t="shared" si="5"/>
        <v>60</v>
      </c>
      <c r="M23" s="830">
        <v>4</v>
      </c>
      <c r="N23" s="329">
        <f t="shared" si="6"/>
        <v>-5900</v>
      </c>
      <c r="O23" s="329">
        <f t="shared" si="7"/>
        <v>-5400</v>
      </c>
    </row>
    <row r="24" spans="2:15" x14ac:dyDescent="0.25">
      <c r="B24" s="822">
        <v>5</v>
      </c>
      <c r="C24" s="329">
        <f t="shared" si="0"/>
        <v>95512.953600000037</v>
      </c>
      <c r="D24" s="329">
        <v>6000</v>
      </c>
      <c r="E24" s="329">
        <f t="shared" si="3"/>
        <v>-100</v>
      </c>
      <c r="F24" s="329">
        <f t="shared" si="1"/>
        <v>0</v>
      </c>
      <c r="G24" s="329">
        <f t="shared" si="4"/>
        <v>101412.95360000004</v>
      </c>
      <c r="H24" s="826">
        <f t="shared" si="2"/>
        <v>0.08</v>
      </c>
      <c r="I24" s="329">
        <f t="shared" si="8"/>
        <v>109525.98988800004</v>
      </c>
      <c r="J24" s="329">
        <f t="shared" si="5"/>
        <v>60</v>
      </c>
      <c r="M24" s="830">
        <v>5</v>
      </c>
      <c r="N24" s="329">
        <f t="shared" si="6"/>
        <v>-5900</v>
      </c>
      <c r="O24" s="329">
        <f t="shared" si="7"/>
        <v>-5400</v>
      </c>
    </row>
    <row r="25" spans="2:15" x14ac:dyDescent="0.25">
      <c r="B25" s="822">
        <v>6</v>
      </c>
      <c r="C25" s="329">
        <f t="shared" si="0"/>
        <v>109525.98988800004</v>
      </c>
      <c r="D25" s="329">
        <v>6000</v>
      </c>
      <c r="E25" s="329">
        <f t="shared" si="3"/>
        <v>-100</v>
      </c>
      <c r="F25" s="329">
        <f t="shared" si="1"/>
        <v>0</v>
      </c>
      <c r="G25" s="329">
        <f t="shared" si="4"/>
        <v>115425.98988800004</v>
      </c>
      <c r="H25" s="826">
        <f t="shared" si="2"/>
        <v>0.08</v>
      </c>
      <c r="I25" s="329">
        <f t="shared" si="8"/>
        <v>124660.06907904005</v>
      </c>
      <c r="J25" s="329">
        <f t="shared" si="5"/>
        <v>60</v>
      </c>
      <c r="M25" s="830">
        <v>6</v>
      </c>
      <c r="N25" s="329">
        <f t="shared" si="6"/>
        <v>-5900</v>
      </c>
      <c r="O25" s="329">
        <f t="shared" si="7"/>
        <v>-5400</v>
      </c>
    </row>
    <row r="26" spans="2:15" x14ac:dyDescent="0.25">
      <c r="B26" s="822">
        <v>7</v>
      </c>
      <c r="C26" s="329">
        <f t="shared" si="0"/>
        <v>124660.06907904005</v>
      </c>
      <c r="D26" s="329">
        <v>6000</v>
      </c>
      <c r="E26" s="329">
        <f t="shared" si="3"/>
        <v>-100</v>
      </c>
      <c r="F26" s="329">
        <f t="shared" si="1"/>
        <v>0</v>
      </c>
      <c r="G26" s="329">
        <f t="shared" si="4"/>
        <v>130560.06907904005</v>
      </c>
      <c r="H26" s="826">
        <f t="shared" si="2"/>
        <v>0.08</v>
      </c>
      <c r="I26" s="329">
        <f t="shared" si="8"/>
        <v>141004.87460536326</v>
      </c>
      <c r="J26" s="329">
        <f t="shared" si="5"/>
        <v>60</v>
      </c>
      <c r="M26" s="830">
        <v>7</v>
      </c>
      <c r="N26" s="329">
        <f t="shared" si="6"/>
        <v>-5900</v>
      </c>
      <c r="O26" s="329">
        <f t="shared" si="7"/>
        <v>-5400</v>
      </c>
    </row>
    <row r="27" spans="2:15" x14ac:dyDescent="0.25">
      <c r="B27" s="822">
        <v>8</v>
      </c>
      <c r="C27" s="329">
        <f t="shared" si="0"/>
        <v>141004.87460536326</v>
      </c>
      <c r="D27" s="329">
        <v>6000</v>
      </c>
      <c r="E27" s="329">
        <f t="shared" si="3"/>
        <v>-100</v>
      </c>
      <c r="F27" s="329">
        <f t="shared" si="1"/>
        <v>0</v>
      </c>
      <c r="G27" s="329">
        <f t="shared" si="4"/>
        <v>146904.87460536326</v>
      </c>
      <c r="H27" s="826">
        <f t="shared" si="2"/>
        <v>0.08</v>
      </c>
      <c r="I27" s="329">
        <f t="shared" si="8"/>
        <v>158657.26457379234</v>
      </c>
      <c r="J27" s="329">
        <f t="shared" si="5"/>
        <v>60</v>
      </c>
      <c r="M27" s="830">
        <v>8</v>
      </c>
      <c r="N27" s="329">
        <f t="shared" si="6"/>
        <v>-5900</v>
      </c>
      <c r="O27" s="329">
        <f t="shared" si="7"/>
        <v>-5400</v>
      </c>
    </row>
    <row r="28" spans="2:15" x14ac:dyDescent="0.25">
      <c r="B28" s="822">
        <v>9</v>
      </c>
      <c r="C28" s="329">
        <f t="shared" si="0"/>
        <v>158657.26457379234</v>
      </c>
      <c r="D28" s="329">
        <v>6000</v>
      </c>
      <c r="E28" s="329">
        <f t="shared" si="3"/>
        <v>-100</v>
      </c>
      <c r="F28" s="329">
        <f t="shared" si="1"/>
        <v>0</v>
      </c>
      <c r="G28" s="329">
        <f t="shared" si="4"/>
        <v>164557.26457379234</v>
      </c>
      <c r="H28" s="826">
        <f t="shared" si="2"/>
        <v>0.08</v>
      </c>
      <c r="I28" s="329">
        <f t="shared" si="8"/>
        <v>177721.84573969574</v>
      </c>
      <c r="J28" s="329">
        <f t="shared" si="5"/>
        <v>60</v>
      </c>
      <c r="M28" s="830">
        <v>9</v>
      </c>
      <c r="N28" s="329">
        <f t="shared" si="6"/>
        <v>-5900</v>
      </c>
      <c r="O28" s="329">
        <f t="shared" si="7"/>
        <v>-5400</v>
      </c>
    </row>
    <row r="29" spans="2:15" x14ac:dyDescent="0.25">
      <c r="B29" s="822">
        <v>10</v>
      </c>
      <c r="C29" s="329">
        <f t="shared" si="0"/>
        <v>177721.84573969574</v>
      </c>
      <c r="D29" s="329">
        <v>6000</v>
      </c>
      <c r="E29" s="329">
        <f t="shared" si="3"/>
        <v>-100</v>
      </c>
      <c r="F29" s="329">
        <f t="shared" si="1"/>
        <v>0</v>
      </c>
      <c r="G29" s="329">
        <f t="shared" si="4"/>
        <v>183621.84573969574</v>
      </c>
      <c r="H29" s="826">
        <f t="shared" si="2"/>
        <v>0.08</v>
      </c>
      <c r="I29" s="329">
        <f t="shared" si="8"/>
        <v>198311.59339887142</v>
      </c>
      <c r="J29" s="329">
        <f t="shared" si="5"/>
        <v>60</v>
      </c>
      <c r="M29" s="830">
        <v>10</v>
      </c>
      <c r="N29" s="329">
        <f t="shared" si="6"/>
        <v>-5900</v>
      </c>
      <c r="O29" s="329">
        <f t="shared" si="7"/>
        <v>-5400</v>
      </c>
    </row>
    <row r="30" spans="2:15" x14ac:dyDescent="0.25">
      <c r="B30" s="822">
        <v>11</v>
      </c>
      <c r="C30" s="329">
        <f t="shared" si="0"/>
        <v>198311.59339887142</v>
      </c>
      <c r="D30" s="329">
        <v>6000</v>
      </c>
      <c r="E30" s="329">
        <f t="shared" si="3"/>
        <v>-100</v>
      </c>
      <c r="F30" s="329">
        <f t="shared" si="1"/>
        <v>0</v>
      </c>
      <c r="G30" s="329">
        <f t="shared" si="4"/>
        <v>204211.59339887142</v>
      </c>
      <c r="H30" s="826">
        <f t="shared" si="2"/>
        <v>0.08</v>
      </c>
      <c r="I30" s="329">
        <f t="shared" si="8"/>
        <v>220548.52087078115</v>
      </c>
      <c r="J30" s="329">
        <f t="shared" si="5"/>
        <v>60</v>
      </c>
      <c r="M30" s="830">
        <v>11</v>
      </c>
      <c r="N30" s="329">
        <f t="shared" si="6"/>
        <v>-5900</v>
      </c>
      <c r="O30" s="329">
        <f t="shared" si="7"/>
        <v>-5400</v>
      </c>
    </row>
    <row r="31" spans="2:15" x14ac:dyDescent="0.25">
      <c r="B31" s="822">
        <v>12</v>
      </c>
      <c r="C31" s="329">
        <f t="shared" si="0"/>
        <v>220548.52087078115</v>
      </c>
      <c r="D31" s="329">
        <v>6000</v>
      </c>
      <c r="E31" s="329">
        <f t="shared" si="3"/>
        <v>-100</v>
      </c>
      <c r="F31" s="329">
        <f t="shared" si="1"/>
        <v>0</v>
      </c>
      <c r="G31" s="329">
        <f t="shared" si="4"/>
        <v>226448.52087078115</v>
      </c>
      <c r="H31" s="826">
        <f t="shared" si="2"/>
        <v>0.08</v>
      </c>
      <c r="I31" s="329">
        <f t="shared" si="8"/>
        <v>244564.40254044367</v>
      </c>
      <c r="J31" s="329">
        <f t="shared" si="5"/>
        <v>60</v>
      </c>
      <c r="M31" s="830">
        <v>12</v>
      </c>
      <c r="N31" s="329">
        <f t="shared" si="6"/>
        <v>-5900</v>
      </c>
      <c r="O31" s="329">
        <f t="shared" si="7"/>
        <v>-5400</v>
      </c>
    </row>
    <row r="32" spans="2:15" x14ac:dyDescent="0.25">
      <c r="B32" s="822">
        <v>13</v>
      </c>
      <c r="C32" s="329">
        <f t="shared" si="0"/>
        <v>244564.40254044367</v>
      </c>
      <c r="D32" s="329">
        <v>6000</v>
      </c>
      <c r="E32" s="329">
        <f t="shared" si="3"/>
        <v>-100</v>
      </c>
      <c r="F32" s="329">
        <f t="shared" si="1"/>
        <v>0</v>
      </c>
      <c r="G32" s="329">
        <f t="shared" si="4"/>
        <v>250464.40254044367</v>
      </c>
      <c r="H32" s="826">
        <f t="shared" si="2"/>
        <v>0.08</v>
      </c>
      <c r="I32" s="329">
        <f t="shared" si="8"/>
        <v>270501.55474367918</v>
      </c>
      <c r="J32" s="329">
        <f t="shared" si="5"/>
        <v>60</v>
      </c>
      <c r="M32" s="830">
        <v>13</v>
      </c>
      <c r="N32" s="329">
        <f t="shared" si="6"/>
        <v>-5900</v>
      </c>
      <c r="O32" s="329">
        <f t="shared" si="7"/>
        <v>-5400</v>
      </c>
    </row>
    <row r="33" spans="2:15" x14ac:dyDescent="0.25">
      <c r="B33" s="822">
        <v>14</v>
      </c>
      <c r="C33" s="329">
        <f t="shared" si="0"/>
        <v>270501.55474367918</v>
      </c>
      <c r="D33" s="329">
        <v>6000</v>
      </c>
      <c r="E33" s="329">
        <f t="shared" si="3"/>
        <v>-100</v>
      </c>
      <c r="F33" s="329">
        <f t="shared" si="1"/>
        <v>0</v>
      </c>
      <c r="G33" s="329">
        <f t="shared" si="4"/>
        <v>276401.55474367918</v>
      </c>
      <c r="H33" s="826">
        <f t="shared" si="2"/>
        <v>0.08</v>
      </c>
      <c r="I33" s="329">
        <f t="shared" si="8"/>
        <v>298513.67912317353</v>
      </c>
      <c r="J33" s="329">
        <f t="shared" si="5"/>
        <v>60</v>
      </c>
      <c r="M33" s="830">
        <v>14</v>
      </c>
      <c r="N33" s="329">
        <f t="shared" si="6"/>
        <v>-5900</v>
      </c>
      <c r="O33" s="329">
        <f t="shared" si="7"/>
        <v>-5400</v>
      </c>
    </row>
    <row r="34" spans="2:15" x14ac:dyDescent="0.25">
      <c r="B34" s="822">
        <v>15</v>
      </c>
      <c r="C34" s="329">
        <f t="shared" si="0"/>
        <v>298513.67912317353</v>
      </c>
      <c r="D34" s="329">
        <v>6000</v>
      </c>
      <c r="E34" s="329">
        <f t="shared" si="3"/>
        <v>-100</v>
      </c>
      <c r="F34" s="329">
        <f t="shared" si="1"/>
        <v>0</v>
      </c>
      <c r="G34" s="329">
        <f t="shared" si="4"/>
        <v>304413.67912317353</v>
      </c>
      <c r="H34" s="826">
        <f t="shared" si="2"/>
        <v>0.08</v>
      </c>
      <c r="I34" s="329">
        <f t="shared" si="8"/>
        <v>328766.77345302742</v>
      </c>
      <c r="J34" s="329">
        <f t="shared" si="5"/>
        <v>60</v>
      </c>
      <c r="M34" s="830">
        <v>15</v>
      </c>
      <c r="N34" s="329">
        <f t="shared" si="6"/>
        <v>-5900</v>
      </c>
      <c r="O34" s="329">
        <f t="shared" si="7"/>
        <v>-5400</v>
      </c>
    </row>
    <row r="35" spans="2:15" x14ac:dyDescent="0.25">
      <c r="B35" s="822">
        <v>16</v>
      </c>
      <c r="C35" s="329">
        <f t="shared" si="0"/>
        <v>328766.77345302742</v>
      </c>
      <c r="D35" s="329">
        <v>6000</v>
      </c>
      <c r="E35" s="329">
        <f t="shared" si="3"/>
        <v>-100</v>
      </c>
      <c r="F35" s="329">
        <f t="shared" si="1"/>
        <v>0</v>
      </c>
      <c r="G35" s="329">
        <f t="shared" si="4"/>
        <v>334666.77345302742</v>
      </c>
      <c r="H35" s="826">
        <f t="shared" si="2"/>
        <v>0.08</v>
      </c>
      <c r="I35" s="329">
        <f t="shared" si="8"/>
        <v>361440.11532926961</v>
      </c>
      <c r="J35" s="329">
        <f t="shared" si="5"/>
        <v>60</v>
      </c>
      <c r="M35" s="830">
        <v>16</v>
      </c>
      <c r="N35" s="329">
        <f t="shared" si="6"/>
        <v>-5900</v>
      </c>
      <c r="O35" s="329">
        <f t="shared" si="7"/>
        <v>-5400</v>
      </c>
    </row>
    <row r="36" spans="2:15" x14ac:dyDescent="0.25">
      <c r="B36" s="822">
        <v>17</v>
      </c>
      <c r="C36" s="329">
        <f t="shared" si="0"/>
        <v>361440.11532926961</v>
      </c>
      <c r="D36" s="329">
        <v>6000</v>
      </c>
      <c r="E36" s="329">
        <f t="shared" si="3"/>
        <v>-100</v>
      </c>
      <c r="F36" s="329">
        <f t="shared" si="1"/>
        <v>0</v>
      </c>
      <c r="G36" s="329">
        <f t="shared" si="4"/>
        <v>367340.11532926961</v>
      </c>
      <c r="H36" s="826">
        <f t="shared" si="2"/>
        <v>0.08</v>
      </c>
      <c r="I36" s="329">
        <f t="shared" si="8"/>
        <v>396727.32455561118</v>
      </c>
      <c r="J36" s="329">
        <f t="shared" si="5"/>
        <v>60</v>
      </c>
      <c r="M36" s="830">
        <v>17</v>
      </c>
      <c r="N36" s="329">
        <f t="shared" si="6"/>
        <v>-5900</v>
      </c>
      <c r="O36" s="329">
        <f t="shared" si="7"/>
        <v>-5400</v>
      </c>
    </row>
    <row r="37" spans="2:15" x14ac:dyDescent="0.25">
      <c r="B37" s="822">
        <v>18</v>
      </c>
      <c r="C37" s="329">
        <f t="shared" si="0"/>
        <v>396727.32455561118</v>
      </c>
      <c r="D37" s="329">
        <v>6000</v>
      </c>
      <c r="E37" s="329">
        <f t="shared" si="3"/>
        <v>-100</v>
      </c>
      <c r="F37" s="329">
        <f t="shared" si="1"/>
        <v>0</v>
      </c>
      <c r="G37" s="329">
        <f t="shared" si="4"/>
        <v>402627.32455561118</v>
      </c>
      <c r="H37" s="826">
        <f t="shared" si="2"/>
        <v>0.08</v>
      </c>
      <c r="I37" s="329">
        <f t="shared" si="8"/>
        <v>434837.51052006008</v>
      </c>
      <c r="J37" s="329">
        <f t="shared" si="5"/>
        <v>60</v>
      </c>
      <c r="M37" s="830">
        <v>18</v>
      </c>
      <c r="N37" s="329">
        <f t="shared" si="6"/>
        <v>-5900</v>
      </c>
      <c r="O37" s="329">
        <f t="shared" si="7"/>
        <v>-5400</v>
      </c>
    </row>
    <row r="38" spans="2:15" x14ac:dyDescent="0.25">
      <c r="B38" s="822">
        <v>19</v>
      </c>
      <c r="C38" s="329">
        <f t="shared" si="0"/>
        <v>434837.51052006008</v>
      </c>
      <c r="D38" s="329">
        <v>6000</v>
      </c>
      <c r="E38" s="329">
        <f t="shared" si="3"/>
        <v>-100</v>
      </c>
      <c r="F38" s="329">
        <f t="shared" si="1"/>
        <v>0</v>
      </c>
      <c r="G38" s="329">
        <f t="shared" si="4"/>
        <v>440737.51052006008</v>
      </c>
      <c r="H38" s="826">
        <f t="shared" si="2"/>
        <v>0.08</v>
      </c>
      <c r="I38" s="329">
        <f t="shared" si="8"/>
        <v>475996.51136166492</v>
      </c>
      <c r="J38" s="329">
        <f t="shared" si="5"/>
        <v>60</v>
      </c>
      <c r="M38" s="830">
        <v>19</v>
      </c>
      <c r="N38" s="329">
        <f t="shared" si="6"/>
        <v>-5900</v>
      </c>
      <c r="O38" s="329">
        <f t="shared" si="7"/>
        <v>-5400</v>
      </c>
    </row>
    <row r="39" spans="2:15" x14ac:dyDescent="0.25">
      <c r="B39" s="822">
        <v>20</v>
      </c>
      <c r="C39" s="329">
        <f t="shared" si="0"/>
        <v>475996.51136166492</v>
      </c>
      <c r="D39" s="329">
        <v>6000</v>
      </c>
      <c r="E39" s="329">
        <f t="shared" si="3"/>
        <v>-100</v>
      </c>
      <c r="F39" s="329">
        <f t="shared" si="1"/>
        <v>0</v>
      </c>
      <c r="G39" s="329">
        <f t="shared" si="4"/>
        <v>481896.51136166492</v>
      </c>
      <c r="H39" s="826">
        <f t="shared" si="2"/>
        <v>0.08</v>
      </c>
      <c r="I39" s="329">
        <f>+G39*(1+H39)</f>
        <v>520448.23227059812</v>
      </c>
      <c r="J39" s="329">
        <f t="shared" si="5"/>
        <v>60</v>
      </c>
      <c r="M39" s="831">
        <v>20</v>
      </c>
      <c r="N39" s="329">
        <f>-D39-E39+I39</f>
        <v>514548.23227059812</v>
      </c>
      <c r="O39" s="329">
        <f>-D62-E62-F62+I62</f>
        <v>646296.74464371696</v>
      </c>
    </row>
    <row r="40" spans="2:15" x14ac:dyDescent="0.25">
      <c r="C40" s="33"/>
      <c r="D40" s="33"/>
      <c r="E40" s="33"/>
      <c r="F40" s="33"/>
      <c r="G40" s="33"/>
      <c r="H40" s="33"/>
      <c r="I40" s="33"/>
      <c r="J40" s="827">
        <f>+SUM(J20:J39)</f>
        <v>1340</v>
      </c>
      <c r="M40" s="824" t="s">
        <v>2826</v>
      </c>
      <c r="N40" s="828">
        <f>+IRR(N20:N39)</f>
        <v>8.5507650882733488E-2</v>
      </c>
      <c r="O40" s="828">
        <f>+IRR(O20:O39)</f>
        <v>0.10670757019461719</v>
      </c>
    </row>
    <row r="41" spans="2:15" x14ac:dyDescent="0.25">
      <c r="C41" s="824" t="s">
        <v>3650</v>
      </c>
      <c r="I41" s="22"/>
      <c r="J41" s="17"/>
    </row>
    <row r="42" spans="2:15" ht="15.75" x14ac:dyDescent="0.25">
      <c r="B42" s="508" t="s">
        <v>2707</v>
      </c>
      <c r="C42" s="469" t="s">
        <v>2706</v>
      </c>
      <c r="D42" s="469" t="s">
        <v>2708</v>
      </c>
      <c r="E42" s="469" t="s">
        <v>2709</v>
      </c>
      <c r="F42" s="469" t="s">
        <v>2712</v>
      </c>
      <c r="G42" s="469" t="s">
        <v>2711</v>
      </c>
      <c r="H42" s="469" t="s">
        <v>2650</v>
      </c>
      <c r="I42" s="469" t="s">
        <v>2710</v>
      </c>
      <c r="J42" s="469" t="s">
        <v>2713</v>
      </c>
      <c r="M42" s="823" t="s">
        <v>2750</v>
      </c>
      <c r="N42" s="329">
        <f>+J40</f>
        <v>1340</v>
      </c>
      <c r="O42" s="329">
        <f>+J63</f>
        <v>2840</v>
      </c>
    </row>
    <row r="43" spans="2:15" x14ac:dyDescent="0.25">
      <c r="B43" s="822">
        <v>1</v>
      </c>
      <c r="C43" s="329">
        <v>50000</v>
      </c>
      <c r="D43" s="329">
        <v>6000</v>
      </c>
      <c r="E43" s="329">
        <v>-4000</v>
      </c>
      <c r="F43" s="329">
        <v>-300</v>
      </c>
      <c r="G43" s="329">
        <f>+SUM(C43:F43)</f>
        <v>51700</v>
      </c>
      <c r="H43" s="826">
        <v>0.1</v>
      </c>
      <c r="I43" s="329">
        <f>+G43*(1+H43)</f>
        <v>56870.000000000007</v>
      </c>
      <c r="J43" s="329">
        <v>300</v>
      </c>
      <c r="M43" s="823" t="s">
        <v>3654</v>
      </c>
      <c r="N43" s="329">
        <f>+SUM(N20:N39)</f>
        <v>353348.23227059812</v>
      </c>
      <c r="O43" s="329">
        <f>+SUM(O20:O39)</f>
        <v>497396.74464371696</v>
      </c>
    </row>
    <row r="44" spans="2:15" x14ac:dyDescent="0.25">
      <c r="B44" s="822">
        <v>2</v>
      </c>
      <c r="C44" s="329">
        <f t="shared" ref="C44:C62" si="9">+I43</f>
        <v>56870.000000000007</v>
      </c>
      <c r="D44" s="329">
        <f t="shared" ref="D44:D62" si="10">+D43</f>
        <v>6000</v>
      </c>
      <c r="E44" s="329">
        <v>-300</v>
      </c>
      <c r="F44" s="329">
        <f t="shared" ref="F44:F62" si="11">+F43</f>
        <v>-300</v>
      </c>
      <c r="G44" s="329">
        <f t="shared" ref="G44:G62" si="12">+SUM(C44:F44)</f>
        <v>62270.000000000007</v>
      </c>
      <c r="H44" s="826">
        <f t="shared" ref="H44:H62" si="13">+H43</f>
        <v>0.1</v>
      </c>
      <c r="I44" s="329">
        <f>+G44*(1+H44)</f>
        <v>68497.000000000015</v>
      </c>
      <c r="J44" s="329">
        <v>300</v>
      </c>
      <c r="M44" s="832" t="s">
        <v>3653</v>
      </c>
      <c r="N44" s="833">
        <f>+N43/N42</f>
        <v>263.69271064970008</v>
      </c>
      <c r="O44" s="833">
        <f>+O43/O42</f>
        <v>175.13969881821021</v>
      </c>
    </row>
    <row r="45" spans="2:15" x14ac:dyDescent="0.25">
      <c r="B45" s="822">
        <v>3</v>
      </c>
      <c r="C45" s="329">
        <f t="shared" si="9"/>
        <v>68497.000000000015</v>
      </c>
      <c r="D45" s="329">
        <f t="shared" si="10"/>
        <v>6000</v>
      </c>
      <c r="E45" s="329">
        <f t="shared" ref="E45:E62" si="14">+E44</f>
        <v>-300</v>
      </c>
      <c r="F45" s="329">
        <f t="shared" si="11"/>
        <v>-300</v>
      </c>
      <c r="G45" s="329">
        <f t="shared" si="12"/>
        <v>73897.000000000015</v>
      </c>
      <c r="H45" s="826">
        <f t="shared" si="13"/>
        <v>0.1</v>
      </c>
      <c r="I45" s="329">
        <f t="shared" ref="I45:I62" si="15">+G45*(1+H45)</f>
        <v>81286.700000000026</v>
      </c>
      <c r="J45" s="329">
        <v>200</v>
      </c>
    </row>
    <row r="46" spans="2:15" x14ac:dyDescent="0.25">
      <c r="B46" s="822">
        <v>4</v>
      </c>
      <c r="C46" s="329">
        <f t="shared" si="9"/>
        <v>81286.700000000026</v>
      </c>
      <c r="D46" s="329">
        <f t="shared" si="10"/>
        <v>6000</v>
      </c>
      <c r="E46" s="329">
        <f t="shared" si="14"/>
        <v>-300</v>
      </c>
      <c r="F46" s="329">
        <f t="shared" si="11"/>
        <v>-300</v>
      </c>
      <c r="G46" s="329">
        <f t="shared" si="12"/>
        <v>86686.700000000026</v>
      </c>
      <c r="H46" s="826">
        <f t="shared" si="13"/>
        <v>0.1</v>
      </c>
      <c r="I46" s="329">
        <f t="shared" si="15"/>
        <v>95355.370000000039</v>
      </c>
      <c r="J46" s="329">
        <v>120</v>
      </c>
      <c r="O46" s="33"/>
    </row>
    <row r="47" spans="2:15" x14ac:dyDescent="0.25">
      <c r="B47" s="822">
        <v>5</v>
      </c>
      <c r="C47" s="329">
        <f t="shared" si="9"/>
        <v>95355.370000000039</v>
      </c>
      <c r="D47" s="329">
        <f t="shared" si="10"/>
        <v>6000</v>
      </c>
      <c r="E47" s="329">
        <f t="shared" si="14"/>
        <v>-300</v>
      </c>
      <c r="F47" s="329">
        <f t="shared" si="11"/>
        <v>-300</v>
      </c>
      <c r="G47" s="329">
        <f t="shared" si="12"/>
        <v>100755.37000000004</v>
      </c>
      <c r="H47" s="826">
        <f t="shared" si="13"/>
        <v>0.1</v>
      </c>
      <c r="I47" s="329">
        <f t="shared" si="15"/>
        <v>110830.90700000005</v>
      </c>
      <c r="J47" s="329">
        <v>120</v>
      </c>
    </row>
    <row r="48" spans="2:15" x14ac:dyDescent="0.25">
      <c r="B48" s="822">
        <v>6</v>
      </c>
      <c r="C48" s="329">
        <f t="shared" si="9"/>
        <v>110830.90700000005</v>
      </c>
      <c r="D48" s="329">
        <f t="shared" si="10"/>
        <v>6000</v>
      </c>
      <c r="E48" s="329">
        <f t="shared" si="14"/>
        <v>-300</v>
      </c>
      <c r="F48" s="329">
        <f t="shared" si="11"/>
        <v>-300</v>
      </c>
      <c r="G48" s="329">
        <f t="shared" si="12"/>
        <v>116230.90700000005</v>
      </c>
      <c r="H48" s="826">
        <f t="shared" si="13"/>
        <v>0.1</v>
      </c>
      <c r="I48" s="329">
        <f t="shared" si="15"/>
        <v>127853.99770000007</v>
      </c>
      <c r="J48" s="329">
        <v>120</v>
      </c>
      <c r="N48" s="33"/>
    </row>
    <row r="49" spans="2:10" x14ac:dyDescent="0.25">
      <c r="B49" s="822">
        <v>7</v>
      </c>
      <c r="C49" s="329">
        <f t="shared" si="9"/>
        <v>127853.99770000007</v>
      </c>
      <c r="D49" s="329">
        <f t="shared" si="10"/>
        <v>6000</v>
      </c>
      <c r="E49" s="329">
        <f t="shared" si="14"/>
        <v>-300</v>
      </c>
      <c r="F49" s="329">
        <f t="shared" si="11"/>
        <v>-300</v>
      </c>
      <c r="G49" s="329">
        <f t="shared" si="12"/>
        <v>133253.99770000007</v>
      </c>
      <c r="H49" s="826">
        <f t="shared" si="13"/>
        <v>0.1</v>
      </c>
      <c r="I49" s="329">
        <f t="shared" si="15"/>
        <v>146579.39747000008</v>
      </c>
      <c r="J49" s="329">
        <v>120</v>
      </c>
    </row>
    <row r="50" spans="2:10" x14ac:dyDescent="0.25">
      <c r="B50" s="822">
        <v>8</v>
      </c>
      <c r="C50" s="329">
        <f t="shared" si="9"/>
        <v>146579.39747000008</v>
      </c>
      <c r="D50" s="329">
        <f t="shared" si="10"/>
        <v>6000</v>
      </c>
      <c r="E50" s="329">
        <f t="shared" si="14"/>
        <v>-300</v>
      </c>
      <c r="F50" s="329">
        <f t="shared" si="11"/>
        <v>-300</v>
      </c>
      <c r="G50" s="329">
        <f t="shared" si="12"/>
        <v>151979.39747000008</v>
      </c>
      <c r="H50" s="826">
        <f t="shared" si="13"/>
        <v>0.1</v>
      </c>
      <c r="I50" s="329">
        <f t="shared" si="15"/>
        <v>167177.33721700011</v>
      </c>
      <c r="J50" s="329">
        <v>120</v>
      </c>
    </row>
    <row r="51" spans="2:10" x14ac:dyDescent="0.25">
      <c r="B51" s="822">
        <v>9</v>
      </c>
      <c r="C51" s="329">
        <f t="shared" si="9"/>
        <v>167177.33721700011</v>
      </c>
      <c r="D51" s="329">
        <f t="shared" si="10"/>
        <v>6000</v>
      </c>
      <c r="E51" s="329">
        <f t="shared" si="14"/>
        <v>-300</v>
      </c>
      <c r="F51" s="329">
        <f t="shared" si="11"/>
        <v>-300</v>
      </c>
      <c r="G51" s="329">
        <f t="shared" si="12"/>
        <v>172577.33721700011</v>
      </c>
      <c r="H51" s="826">
        <f t="shared" si="13"/>
        <v>0.1</v>
      </c>
      <c r="I51" s="329">
        <f t="shared" si="15"/>
        <v>189835.07093870014</v>
      </c>
      <c r="J51" s="329">
        <v>120</v>
      </c>
    </row>
    <row r="52" spans="2:10" x14ac:dyDescent="0.25">
      <c r="B52" s="822">
        <v>10</v>
      </c>
      <c r="C52" s="329">
        <f t="shared" si="9"/>
        <v>189835.07093870014</v>
      </c>
      <c r="D52" s="329">
        <f t="shared" si="10"/>
        <v>6000</v>
      </c>
      <c r="E52" s="329">
        <f t="shared" si="14"/>
        <v>-300</v>
      </c>
      <c r="F52" s="329">
        <f t="shared" si="11"/>
        <v>-300</v>
      </c>
      <c r="G52" s="329">
        <f t="shared" si="12"/>
        <v>195235.07093870014</v>
      </c>
      <c r="H52" s="826">
        <f t="shared" si="13"/>
        <v>0.1</v>
      </c>
      <c r="I52" s="329">
        <f t="shared" si="15"/>
        <v>214758.57803257016</v>
      </c>
      <c r="J52" s="329">
        <v>120</v>
      </c>
    </row>
    <row r="53" spans="2:10" x14ac:dyDescent="0.25">
      <c r="B53" s="822">
        <v>11</v>
      </c>
      <c r="C53" s="329">
        <f t="shared" si="9"/>
        <v>214758.57803257016</v>
      </c>
      <c r="D53" s="329">
        <f t="shared" si="10"/>
        <v>6000</v>
      </c>
      <c r="E53" s="329">
        <f t="shared" si="14"/>
        <v>-300</v>
      </c>
      <c r="F53" s="329">
        <f t="shared" si="11"/>
        <v>-300</v>
      </c>
      <c r="G53" s="329">
        <f t="shared" si="12"/>
        <v>220158.57803257016</v>
      </c>
      <c r="H53" s="826">
        <f t="shared" si="13"/>
        <v>0.1</v>
      </c>
      <c r="I53" s="329">
        <f t="shared" si="15"/>
        <v>242174.4358358272</v>
      </c>
      <c r="J53" s="329">
        <v>120</v>
      </c>
    </row>
    <row r="54" spans="2:10" x14ac:dyDescent="0.25">
      <c r="B54" s="822">
        <v>12</v>
      </c>
      <c r="C54" s="329">
        <f t="shared" si="9"/>
        <v>242174.4358358272</v>
      </c>
      <c r="D54" s="329">
        <f t="shared" si="10"/>
        <v>6000</v>
      </c>
      <c r="E54" s="329">
        <f t="shared" si="14"/>
        <v>-300</v>
      </c>
      <c r="F54" s="329">
        <f t="shared" si="11"/>
        <v>-300</v>
      </c>
      <c r="G54" s="329">
        <f t="shared" si="12"/>
        <v>247574.4358358272</v>
      </c>
      <c r="H54" s="826">
        <f t="shared" si="13"/>
        <v>0.1</v>
      </c>
      <c r="I54" s="329">
        <f t="shared" si="15"/>
        <v>272331.87941940996</v>
      </c>
      <c r="J54" s="329">
        <v>120</v>
      </c>
    </row>
    <row r="55" spans="2:10" x14ac:dyDescent="0.25">
      <c r="B55" s="822">
        <v>13</v>
      </c>
      <c r="C55" s="329">
        <f t="shared" si="9"/>
        <v>272331.87941940996</v>
      </c>
      <c r="D55" s="329">
        <f t="shared" si="10"/>
        <v>6000</v>
      </c>
      <c r="E55" s="329">
        <f t="shared" si="14"/>
        <v>-300</v>
      </c>
      <c r="F55" s="329">
        <f t="shared" si="11"/>
        <v>-300</v>
      </c>
      <c r="G55" s="329">
        <f t="shared" si="12"/>
        <v>277731.87941940996</v>
      </c>
      <c r="H55" s="826">
        <f t="shared" si="13"/>
        <v>0.1</v>
      </c>
      <c r="I55" s="329">
        <f t="shared" si="15"/>
        <v>305505.06736135099</v>
      </c>
      <c r="J55" s="329">
        <v>120</v>
      </c>
    </row>
    <row r="56" spans="2:10" x14ac:dyDescent="0.25">
      <c r="B56" s="822">
        <v>14</v>
      </c>
      <c r="C56" s="329">
        <f t="shared" si="9"/>
        <v>305505.06736135099</v>
      </c>
      <c r="D56" s="329">
        <f t="shared" si="10"/>
        <v>6000</v>
      </c>
      <c r="E56" s="329">
        <f t="shared" si="14"/>
        <v>-300</v>
      </c>
      <c r="F56" s="329">
        <f t="shared" si="11"/>
        <v>-300</v>
      </c>
      <c r="G56" s="329">
        <f t="shared" si="12"/>
        <v>310905.06736135099</v>
      </c>
      <c r="H56" s="826">
        <f t="shared" si="13"/>
        <v>0.1</v>
      </c>
      <c r="I56" s="329">
        <f t="shared" si="15"/>
        <v>341995.5740974861</v>
      </c>
      <c r="J56" s="329">
        <v>120</v>
      </c>
    </row>
    <row r="57" spans="2:10" x14ac:dyDescent="0.25">
      <c r="B57" s="822">
        <v>15</v>
      </c>
      <c r="C57" s="329">
        <f t="shared" si="9"/>
        <v>341995.5740974861</v>
      </c>
      <c r="D57" s="329">
        <f t="shared" si="10"/>
        <v>6000</v>
      </c>
      <c r="E57" s="329">
        <f t="shared" si="14"/>
        <v>-300</v>
      </c>
      <c r="F57" s="329">
        <f t="shared" si="11"/>
        <v>-300</v>
      </c>
      <c r="G57" s="329">
        <f t="shared" si="12"/>
        <v>347395.5740974861</v>
      </c>
      <c r="H57" s="826">
        <f t="shared" si="13"/>
        <v>0.1</v>
      </c>
      <c r="I57" s="329">
        <f t="shared" si="15"/>
        <v>382135.13150723476</v>
      </c>
      <c r="J57" s="329">
        <v>120</v>
      </c>
    </row>
    <row r="58" spans="2:10" x14ac:dyDescent="0.25">
      <c r="B58" s="822">
        <v>16</v>
      </c>
      <c r="C58" s="329">
        <f t="shared" si="9"/>
        <v>382135.13150723476</v>
      </c>
      <c r="D58" s="329">
        <f t="shared" si="10"/>
        <v>6000</v>
      </c>
      <c r="E58" s="329">
        <f t="shared" si="14"/>
        <v>-300</v>
      </c>
      <c r="F58" s="329">
        <f t="shared" si="11"/>
        <v>-300</v>
      </c>
      <c r="G58" s="329">
        <f t="shared" si="12"/>
        <v>387535.13150723476</v>
      </c>
      <c r="H58" s="826">
        <f t="shared" si="13"/>
        <v>0.1</v>
      </c>
      <c r="I58" s="329">
        <f t="shared" si="15"/>
        <v>426288.6446579583</v>
      </c>
      <c r="J58" s="329">
        <v>120</v>
      </c>
    </row>
    <row r="59" spans="2:10" x14ac:dyDescent="0.25">
      <c r="B59" s="822">
        <v>17</v>
      </c>
      <c r="C59" s="329">
        <f t="shared" si="9"/>
        <v>426288.6446579583</v>
      </c>
      <c r="D59" s="329">
        <f t="shared" si="10"/>
        <v>6000</v>
      </c>
      <c r="E59" s="329">
        <f t="shared" si="14"/>
        <v>-300</v>
      </c>
      <c r="F59" s="329">
        <f t="shared" si="11"/>
        <v>-300</v>
      </c>
      <c r="G59" s="329">
        <f t="shared" si="12"/>
        <v>431688.6446579583</v>
      </c>
      <c r="H59" s="826">
        <f t="shared" si="13"/>
        <v>0.1</v>
      </c>
      <c r="I59" s="329">
        <f t="shared" si="15"/>
        <v>474857.50912375416</v>
      </c>
      <c r="J59" s="329">
        <v>120</v>
      </c>
    </row>
    <row r="60" spans="2:10" x14ac:dyDescent="0.25">
      <c r="B60" s="822">
        <v>18</v>
      </c>
      <c r="C60" s="329">
        <f t="shared" si="9"/>
        <v>474857.50912375416</v>
      </c>
      <c r="D60" s="329">
        <f t="shared" si="10"/>
        <v>6000</v>
      </c>
      <c r="E60" s="329">
        <f t="shared" si="14"/>
        <v>-300</v>
      </c>
      <c r="F60" s="329">
        <f t="shared" si="11"/>
        <v>-300</v>
      </c>
      <c r="G60" s="329">
        <f t="shared" si="12"/>
        <v>480257.50912375416</v>
      </c>
      <c r="H60" s="826">
        <f t="shared" si="13"/>
        <v>0.1</v>
      </c>
      <c r="I60" s="329">
        <f t="shared" si="15"/>
        <v>528283.26003612962</v>
      </c>
      <c r="J60" s="329">
        <v>120</v>
      </c>
    </row>
    <row r="61" spans="2:10" x14ac:dyDescent="0.25">
      <c r="B61" s="822">
        <v>19</v>
      </c>
      <c r="C61" s="329">
        <f t="shared" si="9"/>
        <v>528283.26003612962</v>
      </c>
      <c r="D61" s="329">
        <f t="shared" si="10"/>
        <v>6000</v>
      </c>
      <c r="E61" s="329">
        <f t="shared" si="14"/>
        <v>-300</v>
      </c>
      <c r="F61" s="329">
        <f t="shared" si="11"/>
        <v>-300</v>
      </c>
      <c r="G61" s="329">
        <f t="shared" si="12"/>
        <v>533683.26003612962</v>
      </c>
      <c r="H61" s="826">
        <f t="shared" si="13"/>
        <v>0.1</v>
      </c>
      <c r="I61" s="329">
        <f t="shared" si="15"/>
        <v>587051.58603974269</v>
      </c>
      <c r="J61" s="329">
        <v>120</v>
      </c>
    </row>
    <row r="62" spans="2:10" x14ac:dyDescent="0.25">
      <c r="B62" s="822">
        <v>20</v>
      </c>
      <c r="C62" s="329">
        <f t="shared" si="9"/>
        <v>587051.58603974269</v>
      </c>
      <c r="D62" s="329">
        <f t="shared" si="10"/>
        <v>6000</v>
      </c>
      <c r="E62" s="329">
        <f t="shared" si="14"/>
        <v>-300</v>
      </c>
      <c r="F62" s="329">
        <f t="shared" si="11"/>
        <v>-300</v>
      </c>
      <c r="G62" s="329">
        <f t="shared" si="12"/>
        <v>592451.58603974269</v>
      </c>
      <c r="H62" s="826">
        <f t="shared" si="13"/>
        <v>0.1</v>
      </c>
      <c r="I62" s="329">
        <f t="shared" si="15"/>
        <v>651696.74464371696</v>
      </c>
      <c r="J62" s="329">
        <v>120</v>
      </c>
    </row>
    <row r="63" spans="2:10" x14ac:dyDescent="0.25">
      <c r="C63" s="33"/>
      <c r="D63" s="33"/>
      <c r="E63" s="33"/>
      <c r="F63" s="33"/>
      <c r="G63" s="33"/>
      <c r="H63" s="33"/>
      <c r="I63" s="33"/>
      <c r="J63" s="827">
        <f>+SUM(J43:J62)</f>
        <v>2840</v>
      </c>
    </row>
    <row r="64" spans="2:10" x14ac:dyDescent="0.25">
      <c r="I64" s="22"/>
      <c r="J64" s="17"/>
    </row>
    <row r="65" spans="3:10" x14ac:dyDescent="0.25">
      <c r="I65" s="22"/>
      <c r="J65" s="17"/>
    </row>
    <row r="66" spans="3:10" x14ac:dyDescent="0.25">
      <c r="C66" s="66"/>
      <c r="D66" s="66"/>
      <c r="I66" s="22"/>
      <c r="J66" s="17"/>
    </row>
    <row r="67" spans="3:10" x14ac:dyDescent="0.25">
      <c r="D67" s="75"/>
      <c r="I67" s="22"/>
      <c r="J67" s="17"/>
    </row>
    <row r="68" spans="3:10" x14ac:dyDescent="0.25">
      <c r="D68" s="75"/>
      <c r="I68" s="22"/>
      <c r="J68" s="17"/>
    </row>
    <row r="74" spans="3:10" x14ac:dyDescent="0.25">
      <c r="C74" s="105">
        <f>+D67-D68</f>
        <v>0</v>
      </c>
    </row>
  </sheetData>
  <hyperlinks>
    <hyperlink ref="A1" location="Inicio!A1" display="Inicio" xr:uid="{9C2BA742-B594-4F87-AD4A-C42E47A9AF91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E120-62DA-4B33-B7F1-F403CB797093}">
  <sheetPr>
    <tabColor rgb="FF7030A0"/>
  </sheetPr>
  <dimension ref="A1:F12"/>
  <sheetViews>
    <sheetView showGridLines="0" workbookViewId="0"/>
  </sheetViews>
  <sheetFormatPr defaultRowHeight="15.75" x14ac:dyDescent="0.25"/>
  <cols>
    <col min="1" max="1" width="9.140625" style="151"/>
    <col min="2" max="2" width="13.28515625" style="151" customWidth="1"/>
    <col min="3" max="3" width="19.5703125" style="151" bestFit="1" customWidth="1"/>
    <col min="4" max="4" width="11.5703125" style="151" bestFit="1" customWidth="1"/>
    <col min="5" max="5" width="9.5703125" style="151" bestFit="1" customWidth="1"/>
    <col min="6" max="6" width="14.7109375" style="151" customWidth="1"/>
    <col min="7" max="16384" width="9.140625" style="151"/>
  </cols>
  <sheetData>
    <row r="1" spans="1:6" x14ac:dyDescent="0.25">
      <c r="A1" s="879" t="s">
        <v>2821</v>
      </c>
    </row>
    <row r="2" spans="1:6" x14ac:dyDescent="0.25">
      <c r="C2" s="840" t="s">
        <v>3666</v>
      </c>
      <c r="D2" s="840" t="s">
        <v>3655</v>
      </c>
      <c r="E2" s="840" t="s">
        <v>2718</v>
      </c>
      <c r="F2" s="840" t="s">
        <v>3665</v>
      </c>
    </row>
    <row r="3" spans="1:6" x14ac:dyDescent="0.25">
      <c r="B3" s="837" t="s">
        <v>3656</v>
      </c>
      <c r="C3" s="841">
        <v>-1.9E-2</v>
      </c>
      <c r="D3" s="835">
        <v>0.308</v>
      </c>
      <c r="E3" s="835">
        <v>2.01E-2</v>
      </c>
      <c r="F3" s="841">
        <f>+C3-E3</f>
        <v>-3.9099999999999996E-2</v>
      </c>
    </row>
    <row r="4" spans="1:6" x14ac:dyDescent="0.25">
      <c r="B4" s="838" t="s">
        <v>3657</v>
      </c>
      <c r="C4" s="841">
        <v>8.5000000000000006E-2</v>
      </c>
      <c r="D4" s="835">
        <v>0.15</v>
      </c>
      <c r="E4" s="835">
        <v>6.0699999999999997E-2</v>
      </c>
      <c r="F4" s="841">
        <f t="shared" ref="F4:F11" si="0">+C4-E4</f>
        <v>2.4300000000000009E-2</v>
      </c>
    </row>
    <row r="5" spans="1:6" x14ac:dyDescent="0.25">
      <c r="B5" s="838" t="s">
        <v>3658</v>
      </c>
      <c r="C5" s="835">
        <v>0.19500000000000001</v>
      </c>
      <c r="D5" s="835">
        <v>0.187</v>
      </c>
      <c r="E5" s="835">
        <v>2.1499999999999998E-2</v>
      </c>
      <c r="F5" s="835">
        <f t="shared" si="0"/>
        <v>0.17350000000000002</v>
      </c>
    </row>
    <row r="6" spans="1:6" x14ac:dyDescent="0.25">
      <c r="B6" s="838" t="s">
        <v>3659</v>
      </c>
      <c r="C6" s="835">
        <v>7.6999999999999999E-2</v>
      </c>
      <c r="D6" s="835">
        <v>0.13500000000000001</v>
      </c>
      <c r="E6" s="835">
        <v>2.4199999999999999E-2</v>
      </c>
      <c r="F6" s="835">
        <f t="shared" si="0"/>
        <v>5.28E-2</v>
      </c>
    </row>
    <row r="7" spans="1:6" x14ac:dyDescent="0.25">
      <c r="B7" s="838" t="s">
        <v>3660</v>
      </c>
      <c r="C7" s="841">
        <v>5.8999999999999997E-2</v>
      </c>
      <c r="D7" s="835">
        <v>0.18</v>
      </c>
      <c r="E7" s="835">
        <v>7.1999999999999995E-2</v>
      </c>
      <c r="F7" s="841">
        <f t="shared" si="0"/>
        <v>-1.2999999999999998E-2</v>
      </c>
    </row>
    <row r="8" spans="1:6" x14ac:dyDescent="0.25">
      <c r="B8" s="838" t="s">
        <v>3661</v>
      </c>
      <c r="C8" s="835">
        <v>0.17299999999999999</v>
      </c>
      <c r="D8" s="835">
        <v>0.11700000000000001</v>
      </c>
      <c r="E8" s="835">
        <v>4.6399999999999997E-2</v>
      </c>
      <c r="F8" s="835">
        <f t="shared" si="0"/>
        <v>0.12659999999999999</v>
      </c>
    </row>
    <row r="9" spans="1:6" x14ac:dyDescent="0.25">
      <c r="B9" s="838" t="s">
        <v>3662</v>
      </c>
      <c r="C9" s="835">
        <v>0.18</v>
      </c>
      <c r="D9" s="835">
        <v>0.13300000000000001</v>
      </c>
      <c r="E9" s="835">
        <v>2.7400000000000001E-2</v>
      </c>
      <c r="F9" s="835">
        <f t="shared" si="0"/>
        <v>0.15259999999999999</v>
      </c>
    </row>
    <row r="10" spans="1:6" x14ac:dyDescent="0.25">
      <c r="B10" s="838" t="s">
        <v>3663</v>
      </c>
      <c r="C10" s="841">
        <v>-0.01</v>
      </c>
      <c r="D10" s="835">
        <v>0.19800000000000001</v>
      </c>
      <c r="E10" s="835">
        <v>2.47E-2</v>
      </c>
      <c r="F10" s="841">
        <f t="shared" si="0"/>
        <v>-3.4700000000000002E-2</v>
      </c>
    </row>
    <row r="11" spans="1:6" x14ac:dyDescent="0.25">
      <c r="B11" s="839" t="s">
        <v>3664</v>
      </c>
      <c r="C11" s="836">
        <v>0.13400000000000001</v>
      </c>
      <c r="D11" s="836">
        <v>0.115</v>
      </c>
      <c r="E11" s="836">
        <v>1.78E-2</v>
      </c>
      <c r="F11" s="836">
        <f t="shared" si="0"/>
        <v>0.11620000000000001</v>
      </c>
    </row>
    <row r="12" spans="1:6" x14ac:dyDescent="0.25">
      <c r="D12" s="834"/>
      <c r="E12" s="834"/>
    </row>
  </sheetData>
  <hyperlinks>
    <hyperlink ref="A1" location="Inicio!A1" display="Inicio" xr:uid="{378349A4-3EFA-4B69-8609-589D7D67E5C8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18A13-024F-438B-8D32-7058E0A0997B}">
  <sheetPr>
    <tabColor rgb="FF7030A0"/>
  </sheetPr>
  <dimension ref="A1:AO1295"/>
  <sheetViews>
    <sheetView showGridLines="0" zoomScale="91" zoomScaleNormal="91" workbookViewId="0"/>
  </sheetViews>
  <sheetFormatPr defaultColWidth="10.5703125" defaultRowHeight="15.75" x14ac:dyDescent="0.25"/>
  <cols>
    <col min="1" max="1" width="10.5703125" style="89"/>
    <col min="2" max="2" width="12.42578125" style="89" bestFit="1" customWidth="1"/>
    <col min="3" max="4" width="11" style="89" bestFit="1" customWidth="1"/>
    <col min="5" max="6" width="11.140625" style="89" bestFit="1" customWidth="1"/>
    <col min="7" max="7" width="12.42578125" style="89" bestFit="1" customWidth="1"/>
    <col min="8" max="8" width="10.28515625" style="89" bestFit="1" customWidth="1"/>
    <col min="9" max="9" width="10.5703125" style="89"/>
    <col min="10" max="10" width="13.28515625" style="89" bestFit="1" customWidth="1"/>
    <col min="11" max="11" width="15.5703125" style="89" bestFit="1" customWidth="1"/>
    <col min="12" max="14" width="15.5703125" style="89" customWidth="1"/>
    <col min="15" max="18" width="18.85546875" style="89" customWidth="1"/>
    <col min="19" max="19" width="22.42578125" style="90" customWidth="1"/>
    <col min="20" max="20" width="28.42578125" style="90" bestFit="1" customWidth="1"/>
    <col min="21" max="24" width="18.85546875" style="89" customWidth="1"/>
    <col min="25" max="26" width="10.5703125" style="89"/>
    <col min="27" max="27" width="15" style="89" customWidth="1"/>
    <col min="28" max="28" width="15.5703125" style="89" bestFit="1" customWidth="1"/>
    <col min="29" max="29" width="21.140625" style="89" bestFit="1" customWidth="1"/>
    <col min="30" max="30" width="17.28515625" style="89" bestFit="1" customWidth="1"/>
    <col min="31" max="31" width="13.5703125" style="89" bestFit="1" customWidth="1"/>
    <col min="32" max="32" width="10.5703125" style="89"/>
    <col min="33" max="33" width="12.7109375" style="89" customWidth="1"/>
    <col min="34" max="35" width="10.5703125" style="89"/>
    <col min="36" max="36" width="22" style="89" bestFit="1" customWidth="1"/>
    <col min="37" max="16384" width="10.5703125" style="89"/>
  </cols>
  <sheetData>
    <row r="1" spans="1:24" x14ac:dyDescent="0.25">
      <c r="A1" s="879" t="s">
        <v>2821</v>
      </c>
    </row>
    <row r="2" spans="1:24" x14ac:dyDescent="0.25">
      <c r="B2" s="89" t="s">
        <v>2730</v>
      </c>
      <c r="C2" s="89" t="s">
        <v>2731</v>
      </c>
      <c r="D2" s="89" t="s">
        <v>2732</v>
      </c>
      <c r="E2" s="89" t="s">
        <v>2733</v>
      </c>
      <c r="F2" s="89" t="s">
        <v>2734</v>
      </c>
      <c r="G2" s="89" t="s">
        <v>2735</v>
      </c>
      <c r="H2" s="89" t="s">
        <v>2736</v>
      </c>
      <c r="J2" s="92" t="s">
        <v>2738</v>
      </c>
      <c r="K2" s="92" t="s">
        <v>2737</v>
      </c>
      <c r="L2" s="92" t="s">
        <v>2740</v>
      </c>
      <c r="M2" s="92" t="s">
        <v>2741</v>
      </c>
      <c r="N2" s="92" t="s">
        <v>2743</v>
      </c>
      <c r="O2" s="92" t="s">
        <v>2742</v>
      </c>
      <c r="P2" s="92" t="s">
        <v>2748</v>
      </c>
      <c r="Q2" s="44"/>
      <c r="R2" s="97" t="s">
        <v>2738</v>
      </c>
      <c r="S2" s="97" t="s">
        <v>2744</v>
      </c>
      <c r="T2" s="97" t="s">
        <v>2745</v>
      </c>
      <c r="U2" s="97" t="s">
        <v>2739</v>
      </c>
      <c r="V2" s="97" t="s">
        <v>2746</v>
      </c>
      <c r="W2" s="97" t="s">
        <v>2747</v>
      </c>
      <c r="X2" s="97" t="s">
        <v>2749</v>
      </c>
    </row>
    <row r="3" spans="1:24" x14ac:dyDescent="0.25">
      <c r="B3" s="91">
        <v>39356</v>
      </c>
      <c r="C3" s="89">
        <v>152.60000600000001</v>
      </c>
      <c r="D3" s="89">
        <v>154.75</v>
      </c>
      <c r="E3" s="89">
        <v>152.5</v>
      </c>
      <c r="F3" s="89">
        <v>154.300003</v>
      </c>
      <c r="G3" s="89">
        <v>112.621376</v>
      </c>
      <c r="H3" s="89">
        <v>148162300</v>
      </c>
      <c r="J3" s="89">
        <v>-10000</v>
      </c>
      <c r="K3" s="89">
        <f>-ROUNDDOWN(+J3/SPY__2[[#This Row],[Adj Close]],0)</f>
        <v>88</v>
      </c>
      <c r="L3" s="89">
        <f>+SPY__2[[#This Row],[Adj Close]]</f>
        <v>112.621376</v>
      </c>
      <c r="M3" s="89">
        <f>+SPY__2[[#This Row],[Adj Close]]</f>
        <v>112.621376</v>
      </c>
      <c r="N3" s="89">
        <f>+K3*M3</f>
        <v>9910.6810879999994</v>
      </c>
      <c r="O3" s="90">
        <f t="shared" ref="O3:O34" si="0">+(M3-L3)*K3</f>
        <v>0</v>
      </c>
      <c r="P3" s="93">
        <f t="shared" ref="P3:P34" si="1">+M3/L3-1</f>
        <v>0</v>
      </c>
      <c r="Q3" s="96"/>
      <c r="R3" s="90">
        <v>-2500</v>
      </c>
      <c r="S3" s="89">
        <f>-ROUNDDOWN(+R3/M3,0)</f>
        <v>22</v>
      </c>
      <c r="T3" s="90">
        <f>+S3</f>
        <v>22</v>
      </c>
      <c r="U3" s="89">
        <f>+$S$3*$M$3/T3</f>
        <v>112.621376</v>
      </c>
      <c r="V3" s="89">
        <f t="shared" ref="V3:V66" si="2">+M3</f>
        <v>112.621376</v>
      </c>
      <c r="W3" s="90">
        <f>+V3*T3</f>
        <v>2477.6702719999998</v>
      </c>
      <c r="X3" s="93">
        <f t="shared" ref="X3:X66" si="3">+W3/(U3*T3)-1</f>
        <v>0</v>
      </c>
    </row>
    <row r="4" spans="1:24" x14ac:dyDescent="0.25">
      <c r="B4" s="91">
        <v>39357</v>
      </c>
      <c r="C4" s="89">
        <v>154.61000100000001</v>
      </c>
      <c r="D4" s="89">
        <v>154.64999399999999</v>
      </c>
      <c r="E4" s="89">
        <v>153.80999800000001</v>
      </c>
      <c r="F4" s="89">
        <v>154.08999600000001</v>
      </c>
      <c r="G4" s="89">
        <v>112.468086</v>
      </c>
      <c r="H4" s="89">
        <v>112978800</v>
      </c>
      <c r="J4" s="89">
        <v>0</v>
      </c>
      <c r="K4" s="89">
        <f>+$K$3</f>
        <v>88</v>
      </c>
      <c r="L4" s="89">
        <f>+$L$3</f>
        <v>112.621376</v>
      </c>
      <c r="M4" s="89">
        <f>+SPY__2[[#This Row],[Adj Close]]</f>
        <v>112.468086</v>
      </c>
      <c r="N4" s="89">
        <f t="shared" ref="N4:N67" si="4">+K4*M4</f>
        <v>9897.1915680000002</v>
      </c>
      <c r="O4" s="90">
        <f t="shared" si="0"/>
        <v>-13.489519999999857</v>
      </c>
      <c r="P4" s="93">
        <f t="shared" si="1"/>
        <v>-1.3611092800002167E-3</v>
      </c>
      <c r="Q4" s="96"/>
      <c r="R4" s="96"/>
      <c r="T4" s="90">
        <f>+T3</f>
        <v>22</v>
      </c>
      <c r="U4" s="89">
        <f>+U3</f>
        <v>112.621376</v>
      </c>
      <c r="V4" s="89">
        <f t="shared" si="2"/>
        <v>112.468086</v>
      </c>
      <c r="W4" s="90">
        <f t="shared" ref="W4:W67" si="5">+V4*T4</f>
        <v>2474.297892</v>
      </c>
      <c r="X4" s="93">
        <f t="shared" si="3"/>
        <v>-1.3611092800002167E-3</v>
      </c>
    </row>
    <row r="5" spans="1:24" x14ac:dyDescent="0.25">
      <c r="B5" s="91">
        <v>39358</v>
      </c>
      <c r="C5" s="89">
        <v>153.80999800000001</v>
      </c>
      <c r="D5" s="89">
        <v>154.41000399999999</v>
      </c>
      <c r="E5" s="89">
        <v>153.009995</v>
      </c>
      <c r="F5" s="89">
        <v>153.779999</v>
      </c>
      <c r="G5" s="89">
        <v>112.24185900000001</v>
      </c>
      <c r="H5" s="89">
        <v>119055900</v>
      </c>
      <c r="J5" s="89">
        <v>0</v>
      </c>
      <c r="K5" s="89">
        <f t="shared" ref="K5:K68" si="6">+$K$3</f>
        <v>88</v>
      </c>
      <c r="L5" s="89">
        <f t="shared" ref="L5:L68" si="7">+$L$3</f>
        <v>112.621376</v>
      </c>
      <c r="M5" s="89">
        <f>+SPY__2[[#This Row],[Adj Close]]</f>
        <v>112.24185900000001</v>
      </c>
      <c r="N5" s="89">
        <f t="shared" si="4"/>
        <v>9877.2835919999998</v>
      </c>
      <c r="O5" s="90">
        <f t="shared" si="0"/>
        <v>-33.397495999999364</v>
      </c>
      <c r="P5" s="93">
        <f t="shared" si="1"/>
        <v>-3.3698487221466289E-3</v>
      </c>
      <c r="Q5" s="96"/>
      <c r="R5" s="96"/>
      <c r="T5" s="90">
        <f t="shared" ref="T5:T66" si="8">+T4</f>
        <v>22</v>
      </c>
      <c r="U5" s="89">
        <f t="shared" ref="U5:U66" si="9">+U4</f>
        <v>112.621376</v>
      </c>
      <c r="V5" s="89">
        <f t="shared" si="2"/>
        <v>112.24185900000001</v>
      </c>
      <c r="W5" s="90">
        <f t="shared" si="5"/>
        <v>2469.3208979999999</v>
      </c>
      <c r="X5" s="93">
        <f t="shared" si="3"/>
        <v>-3.3698487221466289E-3</v>
      </c>
    </row>
    <row r="6" spans="1:24" x14ac:dyDescent="0.25">
      <c r="B6" s="91">
        <v>39359</v>
      </c>
      <c r="C6" s="89">
        <v>154.11000100000001</v>
      </c>
      <c r="D6" s="89">
        <v>154.259995</v>
      </c>
      <c r="E6" s="89">
        <v>153.58999600000001</v>
      </c>
      <c r="F6" s="89">
        <v>154.020004</v>
      </c>
      <c r="G6" s="89">
        <v>112.417007</v>
      </c>
      <c r="H6" s="89">
        <v>76864400</v>
      </c>
      <c r="J6" s="89">
        <v>0</v>
      </c>
      <c r="K6" s="89">
        <f t="shared" si="6"/>
        <v>88</v>
      </c>
      <c r="L6" s="89">
        <f t="shared" si="7"/>
        <v>112.621376</v>
      </c>
      <c r="M6" s="89">
        <f>+SPY__2[[#This Row],[Adj Close]]</f>
        <v>112.417007</v>
      </c>
      <c r="N6" s="89">
        <f t="shared" si="4"/>
        <v>9892.6966159999993</v>
      </c>
      <c r="O6" s="90">
        <f t="shared" si="0"/>
        <v>-17.984471999999982</v>
      </c>
      <c r="P6" s="93">
        <f t="shared" si="1"/>
        <v>-1.8146555055409408E-3</v>
      </c>
      <c r="Q6" s="96"/>
      <c r="R6" s="96"/>
      <c r="T6" s="90">
        <f t="shared" si="8"/>
        <v>22</v>
      </c>
      <c r="U6" s="89">
        <f t="shared" si="9"/>
        <v>112.621376</v>
      </c>
      <c r="V6" s="89">
        <f t="shared" si="2"/>
        <v>112.417007</v>
      </c>
      <c r="W6" s="90">
        <f t="shared" si="5"/>
        <v>2473.1741539999998</v>
      </c>
      <c r="X6" s="93">
        <f t="shared" si="3"/>
        <v>-1.8146555055409408E-3</v>
      </c>
    </row>
    <row r="7" spans="1:24" x14ac:dyDescent="0.25">
      <c r="B7" s="91">
        <v>39360</v>
      </c>
      <c r="C7" s="89">
        <v>155.029999</v>
      </c>
      <c r="D7" s="89">
        <v>156.10000600000001</v>
      </c>
      <c r="E7" s="89">
        <v>154.63000500000001</v>
      </c>
      <c r="F7" s="89">
        <v>155.85000600000001</v>
      </c>
      <c r="G7" s="89">
        <v>113.75271600000001</v>
      </c>
      <c r="H7" s="89">
        <v>134579700</v>
      </c>
      <c r="J7" s="89">
        <v>0</v>
      </c>
      <c r="K7" s="89">
        <f t="shared" si="6"/>
        <v>88</v>
      </c>
      <c r="L7" s="89">
        <f t="shared" si="7"/>
        <v>112.621376</v>
      </c>
      <c r="M7" s="89">
        <f>+SPY__2[[#This Row],[Adj Close]]</f>
        <v>113.75271600000001</v>
      </c>
      <c r="N7" s="89">
        <f t="shared" si="4"/>
        <v>10010.239008</v>
      </c>
      <c r="O7" s="90">
        <f t="shared" si="0"/>
        <v>99.557920000000763</v>
      </c>
      <c r="P7" s="93">
        <f t="shared" si="1"/>
        <v>1.0045517469081666E-2</v>
      </c>
      <c r="Q7" s="96"/>
      <c r="R7" s="96"/>
      <c r="T7" s="90">
        <f t="shared" si="8"/>
        <v>22</v>
      </c>
      <c r="U7" s="89">
        <f t="shared" si="9"/>
        <v>112.621376</v>
      </c>
      <c r="V7" s="89">
        <f t="shared" si="2"/>
        <v>113.75271600000001</v>
      </c>
      <c r="W7" s="90">
        <f t="shared" si="5"/>
        <v>2502.5597520000001</v>
      </c>
      <c r="X7" s="93">
        <f t="shared" si="3"/>
        <v>1.0045517469081666E-2</v>
      </c>
    </row>
    <row r="8" spans="1:24" x14ac:dyDescent="0.25">
      <c r="B8" s="91">
        <v>39363</v>
      </c>
      <c r="C8" s="89">
        <v>155.38999899999999</v>
      </c>
      <c r="D8" s="89">
        <v>155.490005</v>
      </c>
      <c r="E8" s="89">
        <v>154.770004</v>
      </c>
      <c r="F8" s="89">
        <v>155.020004</v>
      </c>
      <c r="G8" s="89">
        <v>113.14690400000001</v>
      </c>
      <c r="H8" s="89">
        <v>71280400</v>
      </c>
      <c r="J8" s="89">
        <v>0</v>
      </c>
      <c r="K8" s="89">
        <f t="shared" si="6"/>
        <v>88</v>
      </c>
      <c r="L8" s="89">
        <f t="shared" si="7"/>
        <v>112.621376</v>
      </c>
      <c r="M8" s="89">
        <f>+SPY__2[[#This Row],[Adj Close]]</f>
        <v>113.14690400000001</v>
      </c>
      <c r="N8" s="89">
        <f t="shared" si="4"/>
        <v>9956.927552000001</v>
      </c>
      <c r="O8" s="90">
        <f t="shared" si="0"/>
        <v>46.246464000000742</v>
      </c>
      <c r="P8" s="93">
        <f t="shared" si="1"/>
        <v>4.6663255117749269E-3</v>
      </c>
      <c r="Q8" s="96"/>
      <c r="R8" s="96"/>
      <c r="T8" s="90">
        <f t="shared" si="8"/>
        <v>22</v>
      </c>
      <c r="U8" s="89">
        <f t="shared" si="9"/>
        <v>112.621376</v>
      </c>
      <c r="V8" s="89">
        <f t="shared" si="2"/>
        <v>113.14690400000001</v>
      </c>
      <c r="W8" s="90">
        <f t="shared" si="5"/>
        <v>2489.2318880000003</v>
      </c>
      <c r="X8" s="93">
        <f t="shared" si="3"/>
        <v>4.666325511775149E-3</v>
      </c>
    </row>
    <row r="9" spans="1:24" x14ac:dyDescent="0.25">
      <c r="B9" s="91">
        <v>39364</v>
      </c>
      <c r="C9" s="89">
        <v>155.60000600000001</v>
      </c>
      <c r="D9" s="89">
        <v>156.5</v>
      </c>
      <c r="E9" s="89">
        <v>155.029999</v>
      </c>
      <c r="F9" s="89">
        <v>156.479996</v>
      </c>
      <c r="G9" s="89">
        <v>114.21254</v>
      </c>
      <c r="H9" s="89">
        <v>94054300</v>
      </c>
      <c r="J9" s="89">
        <v>0</v>
      </c>
      <c r="K9" s="89">
        <f t="shared" si="6"/>
        <v>88</v>
      </c>
      <c r="L9" s="89">
        <f t="shared" si="7"/>
        <v>112.621376</v>
      </c>
      <c r="M9" s="89">
        <f>+SPY__2[[#This Row],[Adj Close]]</f>
        <v>114.21254</v>
      </c>
      <c r="N9" s="89">
        <f t="shared" si="4"/>
        <v>10050.703520000001</v>
      </c>
      <c r="O9" s="90">
        <f t="shared" si="0"/>
        <v>140.02243200000055</v>
      </c>
      <c r="P9" s="93">
        <f t="shared" si="1"/>
        <v>1.4128436860867399E-2</v>
      </c>
      <c r="Q9" s="96"/>
      <c r="R9" s="96"/>
      <c r="T9" s="90">
        <f t="shared" si="8"/>
        <v>22</v>
      </c>
      <c r="U9" s="89">
        <f t="shared" si="9"/>
        <v>112.621376</v>
      </c>
      <c r="V9" s="89">
        <f t="shared" si="2"/>
        <v>114.21254</v>
      </c>
      <c r="W9" s="90">
        <f t="shared" si="5"/>
        <v>2512.6758800000002</v>
      </c>
      <c r="X9" s="93">
        <f t="shared" si="3"/>
        <v>1.4128436860867399E-2</v>
      </c>
    </row>
    <row r="10" spans="1:24" x14ac:dyDescent="0.25">
      <c r="B10" s="91">
        <v>39365</v>
      </c>
      <c r="C10" s="89">
        <v>156.03999300000001</v>
      </c>
      <c r="D10" s="89">
        <v>156.44000199999999</v>
      </c>
      <c r="E10" s="89">
        <v>155.41000399999999</v>
      </c>
      <c r="F10" s="89">
        <v>156.220001</v>
      </c>
      <c r="G10" s="89">
        <v>114.022789</v>
      </c>
      <c r="H10" s="89">
        <v>101711100</v>
      </c>
      <c r="J10" s="89">
        <v>0</v>
      </c>
      <c r="K10" s="89">
        <f t="shared" si="6"/>
        <v>88</v>
      </c>
      <c r="L10" s="89">
        <f t="shared" si="7"/>
        <v>112.621376</v>
      </c>
      <c r="M10" s="89">
        <f>+SPY__2[[#This Row],[Adj Close]]</f>
        <v>114.022789</v>
      </c>
      <c r="N10" s="89">
        <f t="shared" si="4"/>
        <v>10034.005432</v>
      </c>
      <c r="O10" s="90">
        <f t="shared" si="0"/>
        <v>123.32434400000045</v>
      </c>
      <c r="P10" s="93">
        <f t="shared" si="1"/>
        <v>1.2443579094611801E-2</v>
      </c>
      <c r="Q10" s="96"/>
      <c r="R10" s="96"/>
      <c r="T10" s="90">
        <f t="shared" si="8"/>
        <v>22</v>
      </c>
      <c r="U10" s="89">
        <f t="shared" si="9"/>
        <v>112.621376</v>
      </c>
      <c r="V10" s="89">
        <f t="shared" si="2"/>
        <v>114.022789</v>
      </c>
      <c r="W10" s="90">
        <f t="shared" si="5"/>
        <v>2508.501358</v>
      </c>
      <c r="X10" s="93">
        <f t="shared" si="3"/>
        <v>1.2443579094611801E-2</v>
      </c>
    </row>
    <row r="11" spans="1:24" x14ac:dyDescent="0.25">
      <c r="B11" s="91">
        <v>39366</v>
      </c>
      <c r="C11" s="89">
        <v>156.929993</v>
      </c>
      <c r="D11" s="89">
        <v>157.520004</v>
      </c>
      <c r="E11" s="89">
        <v>154.53999300000001</v>
      </c>
      <c r="F11" s="89">
        <v>155.470001</v>
      </c>
      <c r="G11" s="89">
        <v>113.475365</v>
      </c>
      <c r="H11" s="89">
        <v>233529100</v>
      </c>
      <c r="J11" s="89">
        <v>0</v>
      </c>
      <c r="K11" s="89">
        <f t="shared" si="6"/>
        <v>88</v>
      </c>
      <c r="L11" s="89">
        <f t="shared" si="7"/>
        <v>112.621376</v>
      </c>
      <c r="M11" s="89">
        <f>+SPY__2[[#This Row],[Adj Close]]</f>
        <v>113.475365</v>
      </c>
      <c r="N11" s="89">
        <f t="shared" si="4"/>
        <v>9985.8321199999991</v>
      </c>
      <c r="O11" s="90">
        <f t="shared" si="0"/>
        <v>75.151031999999873</v>
      </c>
      <c r="P11" s="93">
        <f t="shared" si="1"/>
        <v>7.5828322324884567E-3</v>
      </c>
      <c r="Q11" s="96"/>
      <c r="R11" s="96"/>
      <c r="T11" s="90">
        <f t="shared" si="8"/>
        <v>22</v>
      </c>
      <c r="U11" s="89">
        <f t="shared" si="9"/>
        <v>112.621376</v>
      </c>
      <c r="V11" s="89">
        <f t="shared" si="2"/>
        <v>113.475365</v>
      </c>
      <c r="W11" s="90">
        <f t="shared" si="5"/>
        <v>2496.4580299999998</v>
      </c>
      <c r="X11" s="93">
        <f t="shared" si="3"/>
        <v>7.5828322324884567E-3</v>
      </c>
    </row>
    <row r="12" spans="1:24" x14ac:dyDescent="0.25">
      <c r="B12" s="91">
        <v>39367</v>
      </c>
      <c r="C12" s="89">
        <v>155.46000699999999</v>
      </c>
      <c r="D12" s="89">
        <v>156.35000600000001</v>
      </c>
      <c r="E12" s="89">
        <v>155.270004</v>
      </c>
      <c r="F12" s="89">
        <v>156.33000200000001</v>
      </c>
      <c r="G12" s="89">
        <v>114.103065</v>
      </c>
      <c r="H12" s="89">
        <v>124546700</v>
      </c>
      <c r="J12" s="89">
        <v>0</v>
      </c>
      <c r="K12" s="89">
        <f t="shared" si="6"/>
        <v>88</v>
      </c>
      <c r="L12" s="89">
        <f t="shared" si="7"/>
        <v>112.621376</v>
      </c>
      <c r="M12" s="89">
        <f>+SPY__2[[#This Row],[Adj Close]]</f>
        <v>114.103065</v>
      </c>
      <c r="N12" s="89">
        <f t="shared" si="4"/>
        <v>10041.06972</v>
      </c>
      <c r="O12" s="90">
        <f t="shared" si="0"/>
        <v>130.38863200000026</v>
      </c>
      <c r="P12" s="93">
        <f t="shared" si="1"/>
        <v>1.3156374505671087E-2</v>
      </c>
      <c r="Q12" s="96"/>
      <c r="R12" s="96"/>
      <c r="T12" s="90">
        <f t="shared" si="8"/>
        <v>22</v>
      </c>
      <c r="U12" s="89">
        <f t="shared" si="9"/>
        <v>112.621376</v>
      </c>
      <c r="V12" s="89">
        <f t="shared" si="2"/>
        <v>114.103065</v>
      </c>
      <c r="W12" s="90">
        <f t="shared" si="5"/>
        <v>2510.2674299999999</v>
      </c>
      <c r="X12" s="93">
        <f t="shared" si="3"/>
        <v>1.3156374505671087E-2</v>
      </c>
    </row>
    <row r="13" spans="1:24" x14ac:dyDescent="0.25">
      <c r="B13" s="91">
        <v>39370</v>
      </c>
      <c r="C13" s="89">
        <v>156.270004</v>
      </c>
      <c r="D13" s="89">
        <v>156.36000100000001</v>
      </c>
      <c r="E13" s="89">
        <v>153.94000199999999</v>
      </c>
      <c r="F13" s="89">
        <v>155.009995</v>
      </c>
      <c r="G13" s="89">
        <v>113.139633</v>
      </c>
      <c r="H13" s="89">
        <v>161151900</v>
      </c>
      <c r="J13" s="89">
        <v>0</v>
      </c>
      <c r="K13" s="89">
        <f t="shared" si="6"/>
        <v>88</v>
      </c>
      <c r="L13" s="89">
        <f t="shared" si="7"/>
        <v>112.621376</v>
      </c>
      <c r="M13" s="89">
        <f>+SPY__2[[#This Row],[Adj Close]]</f>
        <v>113.139633</v>
      </c>
      <c r="N13" s="89">
        <f t="shared" si="4"/>
        <v>9956.2877040000003</v>
      </c>
      <c r="O13" s="90">
        <f t="shared" si="0"/>
        <v>45.606616000000486</v>
      </c>
      <c r="P13" s="93">
        <f t="shared" si="1"/>
        <v>4.6017640558750905E-3</v>
      </c>
      <c r="Q13" s="96"/>
      <c r="R13" s="96"/>
      <c r="T13" s="90">
        <f t="shared" si="8"/>
        <v>22</v>
      </c>
      <c r="U13" s="89">
        <f t="shared" si="9"/>
        <v>112.621376</v>
      </c>
      <c r="V13" s="89">
        <f t="shared" si="2"/>
        <v>113.139633</v>
      </c>
      <c r="W13" s="90">
        <f t="shared" si="5"/>
        <v>2489.0719260000001</v>
      </c>
      <c r="X13" s="93">
        <f t="shared" si="3"/>
        <v>4.6017640558753126E-3</v>
      </c>
    </row>
    <row r="14" spans="1:24" x14ac:dyDescent="0.25">
      <c r="B14" s="91">
        <v>39371</v>
      </c>
      <c r="C14" s="89">
        <v>154.41000399999999</v>
      </c>
      <c r="D14" s="89">
        <v>154.520004</v>
      </c>
      <c r="E14" s="89">
        <v>153.470001</v>
      </c>
      <c r="F14" s="89">
        <v>153.779999</v>
      </c>
      <c r="G14" s="89">
        <v>112.24185900000001</v>
      </c>
      <c r="H14" s="89">
        <v>166525700</v>
      </c>
      <c r="J14" s="89">
        <v>0</v>
      </c>
      <c r="K14" s="89">
        <f t="shared" si="6"/>
        <v>88</v>
      </c>
      <c r="L14" s="89">
        <f t="shared" si="7"/>
        <v>112.621376</v>
      </c>
      <c r="M14" s="89">
        <f>+SPY__2[[#This Row],[Adj Close]]</f>
        <v>112.24185900000001</v>
      </c>
      <c r="N14" s="89">
        <f t="shared" si="4"/>
        <v>9877.2835919999998</v>
      </c>
      <c r="O14" s="90">
        <f t="shared" si="0"/>
        <v>-33.397495999999364</v>
      </c>
      <c r="P14" s="93">
        <f t="shared" si="1"/>
        <v>-3.3698487221466289E-3</v>
      </c>
      <c r="Q14" s="96"/>
      <c r="R14" s="96"/>
      <c r="T14" s="90">
        <f t="shared" si="8"/>
        <v>22</v>
      </c>
      <c r="U14" s="89">
        <f t="shared" si="9"/>
        <v>112.621376</v>
      </c>
      <c r="V14" s="89">
        <f t="shared" si="2"/>
        <v>112.24185900000001</v>
      </c>
      <c r="W14" s="90">
        <f t="shared" si="5"/>
        <v>2469.3208979999999</v>
      </c>
      <c r="X14" s="93">
        <f t="shared" si="3"/>
        <v>-3.3698487221466289E-3</v>
      </c>
    </row>
    <row r="15" spans="1:24" x14ac:dyDescent="0.25">
      <c r="B15" s="91">
        <v>39372</v>
      </c>
      <c r="C15" s="89">
        <v>154.979996</v>
      </c>
      <c r="D15" s="89">
        <v>155.08999600000001</v>
      </c>
      <c r="E15" s="89">
        <v>152.470001</v>
      </c>
      <c r="F15" s="89">
        <v>154.25</v>
      </c>
      <c r="G15" s="89">
        <v>112.584908</v>
      </c>
      <c r="H15" s="89">
        <v>216687300</v>
      </c>
      <c r="J15" s="89">
        <v>0</v>
      </c>
      <c r="K15" s="89">
        <f t="shared" si="6"/>
        <v>88</v>
      </c>
      <c r="L15" s="89">
        <f t="shared" si="7"/>
        <v>112.621376</v>
      </c>
      <c r="M15" s="89">
        <f>+SPY__2[[#This Row],[Adj Close]]</f>
        <v>112.584908</v>
      </c>
      <c r="N15" s="89">
        <f t="shared" si="4"/>
        <v>9907.471904</v>
      </c>
      <c r="O15" s="90">
        <f t="shared" si="0"/>
        <v>-3.2091839999999365</v>
      </c>
      <c r="P15" s="93">
        <f t="shared" si="1"/>
        <v>-3.2381064141850935E-4</v>
      </c>
      <c r="Q15" s="96"/>
      <c r="R15" s="96"/>
      <c r="T15" s="90">
        <f t="shared" si="8"/>
        <v>22</v>
      </c>
      <c r="U15" s="89">
        <f t="shared" si="9"/>
        <v>112.621376</v>
      </c>
      <c r="V15" s="89">
        <f t="shared" si="2"/>
        <v>112.584908</v>
      </c>
      <c r="W15" s="90">
        <f t="shared" si="5"/>
        <v>2476.867976</v>
      </c>
      <c r="X15" s="93">
        <f t="shared" si="3"/>
        <v>-3.2381064141850935E-4</v>
      </c>
    </row>
    <row r="16" spans="1:24" x14ac:dyDescent="0.25">
      <c r="B16" s="91">
        <v>39373</v>
      </c>
      <c r="C16" s="89">
        <v>153.449997</v>
      </c>
      <c r="D16" s="89">
        <v>154.19000199999999</v>
      </c>
      <c r="E16" s="89">
        <v>153.08000200000001</v>
      </c>
      <c r="F16" s="89">
        <v>153.69000199999999</v>
      </c>
      <c r="G16" s="89">
        <v>112.176109</v>
      </c>
      <c r="H16" s="89">
        <v>148367500</v>
      </c>
      <c r="J16" s="89">
        <v>0</v>
      </c>
      <c r="K16" s="89">
        <f t="shared" si="6"/>
        <v>88</v>
      </c>
      <c r="L16" s="89">
        <f t="shared" si="7"/>
        <v>112.621376</v>
      </c>
      <c r="M16" s="89">
        <f>+SPY__2[[#This Row],[Adj Close]]</f>
        <v>112.176109</v>
      </c>
      <c r="N16" s="89">
        <f t="shared" si="4"/>
        <v>9871.4975919999997</v>
      </c>
      <c r="O16" s="90">
        <f t="shared" si="0"/>
        <v>-39.183496000000105</v>
      </c>
      <c r="P16" s="93">
        <f t="shared" si="1"/>
        <v>-3.9536632903508506E-3</v>
      </c>
      <c r="Q16" s="96"/>
      <c r="R16" s="96"/>
      <c r="T16" s="90">
        <f t="shared" si="8"/>
        <v>22</v>
      </c>
      <c r="U16" s="89">
        <f t="shared" si="9"/>
        <v>112.621376</v>
      </c>
      <c r="V16" s="89">
        <f t="shared" si="2"/>
        <v>112.176109</v>
      </c>
      <c r="W16" s="90">
        <f t="shared" si="5"/>
        <v>2467.8743979999999</v>
      </c>
      <c r="X16" s="93">
        <f t="shared" si="3"/>
        <v>-3.9536632903508506E-3</v>
      </c>
    </row>
    <row r="17" spans="2:24" x14ac:dyDescent="0.25">
      <c r="B17" s="91">
        <v>39374</v>
      </c>
      <c r="C17" s="89">
        <v>153.08999600000001</v>
      </c>
      <c r="D17" s="89">
        <v>156.479996</v>
      </c>
      <c r="E17" s="89">
        <v>149.66000399999999</v>
      </c>
      <c r="F17" s="89">
        <v>149.66999799999999</v>
      </c>
      <c r="G17" s="89">
        <v>109.24200399999999</v>
      </c>
      <c r="H17" s="89">
        <v>297169900</v>
      </c>
      <c r="J17" s="89">
        <v>0</v>
      </c>
      <c r="K17" s="89">
        <f t="shared" si="6"/>
        <v>88</v>
      </c>
      <c r="L17" s="89">
        <f t="shared" si="7"/>
        <v>112.621376</v>
      </c>
      <c r="M17" s="89">
        <f>+SPY__2[[#This Row],[Adj Close]]</f>
        <v>109.24200399999999</v>
      </c>
      <c r="N17" s="89">
        <f t="shared" si="4"/>
        <v>9613.2963519999994</v>
      </c>
      <c r="O17" s="90">
        <f t="shared" si="0"/>
        <v>-297.38473600000032</v>
      </c>
      <c r="P17" s="93">
        <f t="shared" si="1"/>
        <v>-3.0006488288688682E-2</v>
      </c>
      <c r="Q17" s="96"/>
      <c r="R17" s="96"/>
      <c r="T17" s="90">
        <f t="shared" si="8"/>
        <v>22</v>
      </c>
      <c r="U17" s="89">
        <f t="shared" si="9"/>
        <v>112.621376</v>
      </c>
      <c r="V17" s="89">
        <f t="shared" si="2"/>
        <v>109.24200399999999</v>
      </c>
      <c r="W17" s="90">
        <f t="shared" si="5"/>
        <v>2403.3240879999998</v>
      </c>
      <c r="X17" s="93">
        <f t="shared" si="3"/>
        <v>-3.0006488288688682E-2</v>
      </c>
    </row>
    <row r="18" spans="2:24" x14ac:dyDescent="0.25">
      <c r="B18" s="91">
        <v>39377</v>
      </c>
      <c r="C18" s="89">
        <v>148.86000100000001</v>
      </c>
      <c r="D18" s="89">
        <v>150.759995</v>
      </c>
      <c r="E18" s="89">
        <v>148.66000399999999</v>
      </c>
      <c r="F18" s="89">
        <v>150.53999300000001</v>
      </c>
      <c r="G18" s="89">
        <v>109.87702899999999</v>
      </c>
      <c r="H18" s="89">
        <v>261989800</v>
      </c>
      <c r="J18" s="89">
        <v>0</v>
      </c>
      <c r="K18" s="89">
        <f t="shared" si="6"/>
        <v>88</v>
      </c>
      <c r="L18" s="89">
        <f t="shared" si="7"/>
        <v>112.621376</v>
      </c>
      <c r="M18" s="89">
        <f>+SPY__2[[#This Row],[Adj Close]]</f>
        <v>109.87702899999999</v>
      </c>
      <c r="N18" s="89">
        <f t="shared" si="4"/>
        <v>9669.1785519999994</v>
      </c>
      <c r="O18" s="90">
        <f t="shared" si="0"/>
        <v>-241.50253600000042</v>
      </c>
      <c r="P18" s="93">
        <f t="shared" si="1"/>
        <v>-2.4367905076918994E-2</v>
      </c>
      <c r="Q18" s="96"/>
      <c r="R18" s="96"/>
      <c r="T18" s="90">
        <f t="shared" si="8"/>
        <v>22</v>
      </c>
      <c r="U18" s="89">
        <f t="shared" si="9"/>
        <v>112.621376</v>
      </c>
      <c r="V18" s="89">
        <f t="shared" si="2"/>
        <v>109.87702899999999</v>
      </c>
      <c r="W18" s="90">
        <f t="shared" si="5"/>
        <v>2417.2946379999998</v>
      </c>
      <c r="X18" s="93">
        <f t="shared" si="3"/>
        <v>-2.4367905076918994E-2</v>
      </c>
    </row>
    <row r="19" spans="2:24" x14ac:dyDescent="0.25">
      <c r="B19" s="91">
        <v>39378</v>
      </c>
      <c r="C19" s="89">
        <v>151.46000699999999</v>
      </c>
      <c r="D19" s="89">
        <v>151.949997</v>
      </c>
      <c r="E19" s="89">
        <v>150.25</v>
      </c>
      <c r="F19" s="89">
        <v>151.759995</v>
      </c>
      <c r="G19" s="89">
        <v>110.767456</v>
      </c>
      <c r="H19" s="89">
        <v>180085100</v>
      </c>
      <c r="J19" s="89">
        <v>0</v>
      </c>
      <c r="K19" s="89">
        <f t="shared" si="6"/>
        <v>88</v>
      </c>
      <c r="L19" s="89">
        <f t="shared" si="7"/>
        <v>112.621376</v>
      </c>
      <c r="M19" s="89">
        <f>+SPY__2[[#This Row],[Adj Close]]</f>
        <v>110.767456</v>
      </c>
      <c r="N19" s="89">
        <f t="shared" si="4"/>
        <v>9747.5361279999997</v>
      </c>
      <c r="O19" s="90">
        <f t="shared" si="0"/>
        <v>-163.1449600000002</v>
      </c>
      <c r="P19" s="93">
        <f t="shared" si="1"/>
        <v>-1.646152858228267E-2</v>
      </c>
      <c r="Q19" s="96"/>
      <c r="R19" s="96"/>
      <c r="T19" s="90">
        <f t="shared" si="8"/>
        <v>22</v>
      </c>
      <c r="U19" s="89">
        <f t="shared" si="9"/>
        <v>112.621376</v>
      </c>
      <c r="V19" s="89">
        <f t="shared" si="2"/>
        <v>110.767456</v>
      </c>
      <c r="W19" s="90">
        <f t="shared" si="5"/>
        <v>2436.8840319999999</v>
      </c>
      <c r="X19" s="93">
        <f t="shared" si="3"/>
        <v>-1.6461528582282559E-2</v>
      </c>
    </row>
    <row r="20" spans="2:24" x14ac:dyDescent="0.25">
      <c r="B20" s="91">
        <v>39379</v>
      </c>
      <c r="C20" s="89">
        <v>151.21000699999999</v>
      </c>
      <c r="D20" s="89">
        <v>151.740005</v>
      </c>
      <c r="E20" s="89">
        <v>148.83999600000001</v>
      </c>
      <c r="F20" s="89">
        <v>151.479996</v>
      </c>
      <c r="G20" s="89">
        <v>110.56313299999999</v>
      </c>
      <c r="H20" s="89">
        <v>326694200</v>
      </c>
      <c r="J20" s="89">
        <v>0</v>
      </c>
      <c r="K20" s="89">
        <f t="shared" si="6"/>
        <v>88</v>
      </c>
      <c r="L20" s="89">
        <f t="shared" si="7"/>
        <v>112.621376</v>
      </c>
      <c r="M20" s="89">
        <f>+SPY__2[[#This Row],[Adj Close]]</f>
        <v>110.56313299999999</v>
      </c>
      <c r="N20" s="89">
        <f t="shared" si="4"/>
        <v>9729.5557039999985</v>
      </c>
      <c r="O20" s="90">
        <f t="shared" si="0"/>
        <v>-181.12538400000039</v>
      </c>
      <c r="P20" s="93">
        <f t="shared" si="1"/>
        <v>-1.8275775639608582E-2</v>
      </c>
      <c r="Q20" s="96"/>
      <c r="R20" s="96"/>
      <c r="T20" s="90">
        <f t="shared" si="8"/>
        <v>22</v>
      </c>
      <c r="U20" s="89">
        <f t="shared" si="9"/>
        <v>112.621376</v>
      </c>
      <c r="V20" s="89">
        <f t="shared" si="2"/>
        <v>110.56313299999999</v>
      </c>
      <c r="W20" s="90">
        <f t="shared" si="5"/>
        <v>2432.3889259999996</v>
      </c>
      <c r="X20" s="93">
        <f t="shared" si="3"/>
        <v>-1.8275775639608693E-2</v>
      </c>
    </row>
    <row r="21" spans="2:24" x14ac:dyDescent="0.25">
      <c r="B21" s="91">
        <v>39380</v>
      </c>
      <c r="C21" s="89">
        <v>151.64999399999999</v>
      </c>
      <c r="D21" s="89">
        <v>152.28999300000001</v>
      </c>
      <c r="E21" s="89">
        <v>149.88000500000001</v>
      </c>
      <c r="F21" s="89">
        <v>151.83999600000001</v>
      </c>
      <c r="G21" s="89">
        <v>110.825836</v>
      </c>
      <c r="H21" s="89">
        <v>237374500</v>
      </c>
      <c r="J21" s="89">
        <v>0</v>
      </c>
      <c r="K21" s="89">
        <f t="shared" si="6"/>
        <v>88</v>
      </c>
      <c r="L21" s="89">
        <f t="shared" si="7"/>
        <v>112.621376</v>
      </c>
      <c r="M21" s="89">
        <f>+SPY__2[[#This Row],[Adj Close]]</f>
        <v>110.825836</v>
      </c>
      <c r="N21" s="89">
        <f t="shared" si="4"/>
        <v>9752.6735680000002</v>
      </c>
      <c r="O21" s="90">
        <f t="shared" si="0"/>
        <v>-158.00752000000023</v>
      </c>
      <c r="P21" s="93">
        <f t="shared" si="1"/>
        <v>-1.5943154521571468E-2</v>
      </c>
      <c r="Q21" s="96"/>
      <c r="R21" s="96"/>
      <c r="T21" s="90">
        <f t="shared" si="8"/>
        <v>22</v>
      </c>
      <c r="U21" s="89">
        <f t="shared" si="9"/>
        <v>112.621376</v>
      </c>
      <c r="V21" s="89">
        <f t="shared" si="2"/>
        <v>110.825836</v>
      </c>
      <c r="W21" s="90">
        <f t="shared" si="5"/>
        <v>2438.168392</v>
      </c>
      <c r="X21" s="93">
        <f t="shared" si="3"/>
        <v>-1.5943154521571357E-2</v>
      </c>
    </row>
    <row r="22" spans="2:24" x14ac:dyDescent="0.25">
      <c r="B22" s="91">
        <v>39381</v>
      </c>
      <c r="C22" s="89">
        <v>153.05999800000001</v>
      </c>
      <c r="D22" s="89">
        <v>153.61999499999999</v>
      </c>
      <c r="E22" s="89">
        <v>151.89999399999999</v>
      </c>
      <c r="F22" s="89">
        <v>153.61999499999999</v>
      </c>
      <c r="G22" s="89">
        <v>112.125038</v>
      </c>
      <c r="H22" s="89">
        <v>176484000</v>
      </c>
      <c r="J22" s="89">
        <v>0</v>
      </c>
      <c r="K22" s="89">
        <f t="shared" si="6"/>
        <v>88</v>
      </c>
      <c r="L22" s="89">
        <f t="shared" si="7"/>
        <v>112.621376</v>
      </c>
      <c r="M22" s="89">
        <f>+SPY__2[[#This Row],[Adj Close]]</f>
        <v>112.125038</v>
      </c>
      <c r="N22" s="89">
        <f t="shared" si="4"/>
        <v>9867.0033440000007</v>
      </c>
      <c r="O22" s="90">
        <f t="shared" si="0"/>
        <v>-43.677743999999507</v>
      </c>
      <c r="P22" s="93">
        <f t="shared" si="1"/>
        <v>-4.4071384814192704E-3</v>
      </c>
      <c r="Q22" s="96"/>
      <c r="R22" s="96"/>
      <c r="T22" s="90">
        <f t="shared" si="8"/>
        <v>22</v>
      </c>
      <c r="U22" s="89">
        <f t="shared" si="9"/>
        <v>112.621376</v>
      </c>
      <c r="V22" s="89">
        <f t="shared" si="2"/>
        <v>112.125038</v>
      </c>
      <c r="W22" s="90">
        <f t="shared" si="5"/>
        <v>2466.7508360000002</v>
      </c>
      <c r="X22" s="93">
        <f t="shared" si="3"/>
        <v>-4.4071384814192704E-3</v>
      </c>
    </row>
    <row r="23" spans="2:24" x14ac:dyDescent="0.25">
      <c r="B23" s="91">
        <v>39384</v>
      </c>
      <c r="C23" s="89">
        <v>153.929993</v>
      </c>
      <c r="D23" s="89">
        <v>154.44000199999999</v>
      </c>
      <c r="E23" s="89">
        <v>153.550003</v>
      </c>
      <c r="F23" s="89">
        <v>154.13000500000001</v>
      </c>
      <c r="G23" s="89">
        <v>112.497292</v>
      </c>
      <c r="H23" s="89">
        <v>106841000</v>
      </c>
      <c r="J23" s="89">
        <v>0</v>
      </c>
      <c r="K23" s="89">
        <f t="shared" si="6"/>
        <v>88</v>
      </c>
      <c r="L23" s="89">
        <f t="shared" si="7"/>
        <v>112.621376</v>
      </c>
      <c r="M23" s="89">
        <f>+SPY__2[[#This Row],[Adj Close]]</f>
        <v>112.497292</v>
      </c>
      <c r="N23" s="89">
        <f t="shared" si="4"/>
        <v>9899.7616959999996</v>
      </c>
      <c r="O23" s="90">
        <f t="shared" si="0"/>
        <v>-10.919391999999675</v>
      </c>
      <c r="P23" s="93">
        <f t="shared" si="1"/>
        <v>-1.1017801807002847E-3</v>
      </c>
      <c r="Q23" s="96"/>
      <c r="R23" s="96"/>
      <c r="T23" s="90">
        <f t="shared" si="8"/>
        <v>22</v>
      </c>
      <c r="U23" s="89">
        <f t="shared" si="9"/>
        <v>112.621376</v>
      </c>
      <c r="V23" s="89">
        <f t="shared" si="2"/>
        <v>112.497292</v>
      </c>
      <c r="W23" s="90">
        <f t="shared" si="5"/>
        <v>2474.9404239999999</v>
      </c>
      <c r="X23" s="93">
        <f t="shared" si="3"/>
        <v>-1.1017801807002847E-3</v>
      </c>
    </row>
    <row r="24" spans="2:24" x14ac:dyDescent="0.25">
      <c r="B24" s="91">
        <v>39385</v>
      </c>
      <c r="C24" s="89">
        <v>153.449997</v>
      </c>
      <c r="D24" s="89">
        <v>153.75</v>
      </c>
      <c r="E24" s="89">
        <v>152.86999499999999</v>
      </c>
      <c r="F24" s="89">
        <v>153.05999800000001</v>
      </c>
      <c r="G24" s="89">
        <v>111.716324</v>
      </c>
      <c r="H24" s="89">
        <v>132981600</v>
      </c>
      <c r="J24" s="89">
        <v>0</v>
      </c>
      <c r="K24" s="89">
        <f t="shared" si="6"/>
        <v>88</v>
      </c>
      <c r="L24" s="89">
        <f t="shared" si="7"/>
        <v>112.621376</v>
      </c>
      <c r="M24" s="89">
        <f>+SPY__2[[#This Row],[Adj Close]]</f>
        <v>111.716324</v>
      </c>
      <c r="N24" s="89">
        <f t="shared" si="4"/>
        <v>9831.0365120000006</v>
      </c>
      <c r="O24" s="90">
        <f t="shared" si="0"/>
        <v>-79.644575999999802</v>
      </c>
      <c r="P24" s="93">
        <f t="shared" si="1"/>
        <v>-8.0362363890847943E-3</v>
      </c>
      <c r="Q24" s="96"/>
      <c r="R24" s="96"/>
      <c r="T24" s="90">
        <f t="shared" si="8"/>
        <v>22</v>
      </c>
      <c r="U24" s="89">
        <f t="shared" si="9"/>
        <v>112.621376</v>
      </c>
      <c r="V24" s="89">
        <f t="shared" si="2"/>
        <v>111.716324</v>
      </c>
      <c r="W24" s="90">
        <f t="shared" si="5"/>
        <v>2457.7591280000001</v>
      </c>
      <c r="X24" s="93">
        <f t="shared" si="3"/>
        <v>-8.0362363890846833E-3</v>
      </c>
    </row>
    <row r="25" spans="2:24" x14ac:dyDescent="0.25">
      <c r="B25" s="91">
        <v>39386</v>
      </c>
      <c r="C25" s="89">
        <v>153.979996</v>
      </c>
      <c r="D25" s="89">
        <v>155.270004</v>
      </c>
      <c r="E25" s="89">
        <v>152.83999600000001</v>
      </c>
      <c r="F25" s="89">
        <v>154.64999399999999</v>
      </c>
      <c r="G25" s="89">
        <v>112.87685399999999</v>
      </c>
      <c r="H25" s="89">
        <v>220954400</v>
      </c>
      <c r="J25" s="89">
        <v>0</v>
      </c>
      <c r="K25" s="89">
        <f t="shared" si="6"/>
        <v>88</v>
      </c>
      <c r="L25" s="89">
        <f t="shared" si="7"/>
        <v>112.621376</v>
      </c>
      <c r="M25" s="89">
        <f>+SPY__2[[#This Row],[Adj Close]]</f>
        <v>112.87685399999999</v>
      </c>
      <c r="N25" s="89">
        <f t="shared" si="4"/>
        <v>9933.1631519999992</v>
      </c>
      <c r="O25" s="90">
        <f t="shared" si="0"/>
        <v>22.482063999999696</v>
      </c>
      <c r="P25" s="93">
        <f t="shared" si="1"/>
        <v>2.2684681103521953E-3</v>
      </c>
      <c r="Q25" s="96"/>
      <c r="R25" s="96"/>
      <c r="T25" s="90">
        <f t="shared" si="8"/>
        <v>22</v>
      </c>
      <c r="U25" s="89">
        <f t="shared" si="9"/>
        <v>112.621376</v>
      </c>
      <c r="V25" s="89">
        <f t="shared" si="2"/>
        <v>112.87685399999999</v>
      </c>
      <c r="W25" s="90">
        <f t="shared" si="5"/>
        <v>2483.2907879999998</v>
      </c>
      <c r="X25" s="93">
        <f t="shared" si="3"/>
        <v>2.2684681103524174E-3</v>
      </c>
    </row>
    <row r="26" spans="2:24" x14ac:dyDescent="0.25">
      <c r="B26" s="91">
        <v>39387</v>
      </c>
      <c r="C26" s="89">
        <v>153.28999300000001</v>
      </c>
      <c r="D26" s="89">
        <v>153.41000399999999</v>
      </c>
      <c r="E26" s="89">
        <v>150.58999600000001</v>
      </c>
      <c r="F26" s="89">
        <v>151.029999</v>
      </c>
      <c r="G26" s="89">
        <v>110.234673</v>
      </c>
      <c r="H26" s="89">
        <v>333040800</v>
      </c>
      <c r="J26" s="89">
        <v>0</v>
      </c>
      <c r="K26" s="89">
        <f t="shared" si="6"/>
        <v>88</v>
      </c>
      <c r="L26" s="89">
        <f t="shared" si="7"/>
        <v>112.621376</v>
      </c>
      <c r="M26" s="89">
        <f>+SPY__2[[#This Row],[Adj Close]]</f>
        <v>110.234673</v>
      </c>
      <c r="N26" s="89">
        <f t="shared" si="4"/>
        <v>9700.6512239999993</v>
      </c>
      <c r="O26" s="90">
        <f t="shared" si="0"/>
        <v>-210.02986399999975</v>
      </c>
      <c r="P26" s="93">
        <f t="shared" si="1"/>
        <v>-2.1192273481013046E-2</v>
      </c>
      <c r="Q26" s="96"/>
      <c r="R26" s="96"/>
      <c r="T26" s="90">
        <f t="shared" si="8"/>
        <v>22</v>
      </c>
      <c r="U26" s="89">
        <f t="shared" si="9"/>
        <v>112.621376</v>
      </c>
      <c r="V26" s="89">
        <f t="shared" si="2"/>
        <v>110.234673</v>
      </c>
      <c r="W26" s="90">
        <f t="shared" si="5"/>
        <v>2425.1628059999998</v>
      </c>
      <c r="X26" s="93">
        <f t="shared" si="3"/>
        <v>-2.1192273481013046E-2</v>
      </c>
    </row>
    <row r="27" spans="2:24" x14ac:dyDescent="0.25">
      <c r="B27" s="91">
        <v>39388</v>
      </c>
      <c r="C27" s="89">
        <v>151.529999</v>
      </c>
      <c r="D27" s="89">
        <v>152</v>
      </c>
      <c r="E27" s="89">
        <v>149.21000699999999</v>
      </c>
      <c r="F27" s="89">
        <v>151.199997</v>
      </c>
      <c r="G27" s="89">
        <v>110.35876500000001</v>
      </c>
      <c r="H27" s="89">
        <v>331228200</v>
      </c>
      <c r="J27" s="89">
        <v>0</v>
      </c>
      <c r="K27" s="89">
        <f t="shared" si="6"/>
        <v>88</v>
      </c>
      <c r="L27" s="89">
        <f t="shared" si="7"/>
        <v>112.621376</v>
      </c>
      <c r="M27" s="89">
        <f>+SPY__2[[#This Row],[Adj Close]]</f>
        <v>110.35876500000001</v>
      </c>
      <c r="N27" s="89">
        <f t="shared" si="4"/>
        <v>9711.5713200000009</v>
      </c>
      <c r="O27" s="90">
        <f t="shared" si="0"/>
        <v>-199.10976799999935</v>
      </c>
      <c r="P27" s="93">
        <f t="shared" si="1"/>
        <v>-2.0090422265840457E-2</v>
      </c>
      <c r="Q27" s="96"/>
      <c r="R27" s="96"/>
      <c r="T27" s="90">
        <f t="shared" si="8"/>
        <v>22</v>
      </c>
      <c r="U27" s="89">
        <f t="shared" si="9"/>
        <v>112.621376</v>
      </c>
      <c r="V27" s="89">
        <f t="shared" si="2"/>
        <v>110.35876500000001</v>
      </c>
      <c r="W27" s="90">
        <f t="shared" si="5"/>
        <v>2427.8928300000002</v>
      </c>
      <c r="X27" s="93">
        <f t="shared" si="3"/>
        <v>-2.0090422265840346E-2</v>
      </c>
    </row>
    <row r="28" spans="2:24" x14ac:dyDescent="0.25">
      <c r="B28" s="91">
        <v>39391</v>
      </c>
      <c r="C28" s="89">
        <v>149.63999899999999</v>
      </c>
      <c r="D28" s="89">
        <v>151.16000399999999</v>
      </c>
      <c r="E28" s="89">
        <v>148.970001</v>
      </c>
      <c r="F28" s="89">
        <v>150.050003</v>
      </c>
      <c r="G28" s="89">
        <v>109.51937100000001</v>
      </c>
      <c r="H28" s="89">
        <v>226841000</v>
      </c>
      <c r="J28" s="89">
        <v>0</v>
      </c>
      <c r="K28" s="89">
        <f t="shared" si="6"/>
        <v>88</v>
      </c>
      <c r="L28" s="89">
        <f t="shared" si="7"/>
        <v>112.621376</v>
      </c>
      <c r="M28" s="89">
        <f>+SPY__2[[#This Row],[Adj Close]]</f>
        <v>109.51937100000001</v>
      </c>
      <c r="N28" s="89">
        <f t="shared" si="4"/>
        <v>9637.7046480000008</v>
      </c>
      <c r="O28" s="90">
        <f t="shared" si="0"/>
        <v>-272.97643999999923</v>
      </c>
      <c r="P28" s="93">
        <f t="shared" si="1"/>
        <v>-2.7543660983151086E-2</v>
      </c>
      <c r="Q28" s="96"/>
      <c r="R28" s="96"/>
      <c r="T28" s="90">
        <f t="shared" si="8"/>
        <v>22</v>
      </c>
      <c r="U28" s="89">
        <f t="shared" si="9"/>
        <v>112.621376</v>
      </c>
      <c r="V28" s="89">
        <f t="shared" si="2"/>
        <v>109.51937100000001</v>
      </c>
      <c r="W28" s="90">
        <f t="shared" si="5"/>
        <v>2409.4261620000002</v>
      </c>
      <c r="X28" s="93">
        <f t="shared" si="3"/>
        <v>-2.7543660983151086E-2</v>
      </c>
    </row>
    <row r="29" spans="2:24" x14ac:dyDescent="0.25">
      <c r="B29" s="91">
        <v>39392</v>
      </c>
      <c r="C29" s="89">
        <v>150.86000100000001</v>
      </c>
      <c r="D29" s="89">
        <v>152.11000100000001</v>
      </c>
      <c r="E29" s="89">
        <v>149.89999399999999</v>
      </c>
      <c r="F29" s="89">
        <v>152.070007</v>
      </c>
      <c r="G29" s="89">
        <v>110.993759</v>
      </c>
      <c r="H29" s="89">
        <v>177800500</v>
      </c>
      <c r="J29" s="89">
        <v>0</v>
      </c>
      <c r="K29" s="89">
        <f t="shared" si="6"/>
        <v>88</v>
      </c>
      <c r="L29" s="89">
        <f t="shared" si="7"/>
        <v>112.621376</v>
      </c>
      <c r="M29" s="89">
        <f>+SPY__2[[#This Row],[Adj Close]]</f>
        <v>110.993759</v>
      </c>
      <c r="N29" s="89">
        <f t="shared" si="4"/>
        <v>9767.4507919999996</v>
      </c>
      <c r="O29" s="90">
        <f t="shared" si="0"/>
        <v>-143.23029600000007</v>
      </c>
      <c r="P29" s="93">
        <f t="shared" si="1"/>
        <v>-1.4452114312650588E-2</v>
      </c>
      <c r="Q29" s="96"/>
      <c r="R29" s="96"/>
      <c r="T29" s="90">
        <f t="shared" si="8"/>
        <v>22</v>
      </c>
      <c r="U29" s="89">
        <f t="shared" si="9"/>
        <v>112.621376</v>
      </c>
      <c r="V29" s="89">
        <f t="shared" si="2"/>
        <v>110.993759</v>
      </c>
      <c r="W29" s="90">
        <f t="shared" si="5"/>
        <v>2441.8626979999999</v>
      </c>
      <c r="X29" s="93">
        <f t="shared" si="3"/>
        <v>-1.4452114312650477E-2</v>
      </c>
    </row>
    <row r="30" spans="2:24" x14ac:dyDescent="0.25">
      <c r="B30" s="91">
        <v>39393</v>
      </c>
      <c r="C30" s="89">
        <v>150.44000199999999</v>
      </c>
      <c r="D30" s="89">
        <v>151.13000500000001</v>
      </c>
      <c r="E30" s="89">
        <v>147.550003</v>
      </c>
      <c r="F30" s="89">
        <v>147.91000399999999</v>
      </c>
      <c r="G30" s="89">
        <v>107.95742799999999</v>
      </c>
      <c r="H30" s="89">
        <v>306639700</v>
      </c>
      <c r="J30" s="89">
        <v>0</v>
      </c>
      <c r="K30" s="89">
        <f t="shared" si="6"/>
        <v>88</v>
      </c>
      <c r="L30" s="89">
        <f t="shared" si="7"/>
        <v>112.621376</v>
      </c>
      <c r="M30" s="89">
        <f>+SPY__2[[#This Row],[Adj Close]]</f>
        <v>107.95742799999999</v>
      </c>
      <c r="N30" s="89">
        <f t="shared" si="4"/>
        <v>9500.2536639999998</v>
      </c>
      <c r="O30" s="90">
        <f t="shared" si="0"/>
        <v>-410.42742400000043</v>
      </c>
      <c r="P30" s="93">
        <f t="shared" si="1"/>
        <v>-4.1412635555083344E-2</v>
      </c>
      <c r="Q30" s="96"/>
      <c r="R30" s="96"/>
      <c r="T30" s="90">
        <f t="shared" si="8"/>
        <v>22</v>
      </c>
      <c r="U30" s="89">
        <f t="shared" si="9"/>
        <v>112.621376</v>
      </c>
      <c r="V30" s="89">
        <f t="shared" si="2"/>
        <v>107.95742799999999</v>
      </c>
      <c r="W30" s="90">
        <f t="shared" si="5"/>
        <v>2375.063416</v>
      </c>
      <c r="X30" s="93">
        <f t="shared" si="3"/>
        <v>-4.1412635555083233E-2</v>
      </c>
    </row>
    <row r="31" spans="2:24" x14ac:dyDescent="0.25">
      <c r="B31" s="91">
        <v>39394</v>
      </c>
      <c r="C31" s="89">
        <v>147.990005</v>
      </c>
      <c r="D31" s="89">
        <v>148.39999399999999</v>
      </c>
      <c r="E31" s="89">
        <v>145.070007</v>
      </c>
      <c r="F31" s="89">
        <v>147.16000399999999</v>
      </c>
      <c r="G31" s="89">
        <v>107.410011</v>
      </c>
      <c r="H31" s="89">
        <v>374509900</v>
      </c>
      <c r="J31" s="89">
        <v>0</v>
      </c>
      <c r="K31" s="89">
        <f t="shared" si="6"/>
        <v>88</v>
      </c>
      <c r="L31" s="89">
        <f t="shared" si="7"/>
        <v>112.621376</v>
      </c>
      <c r="M31" s="89">
        <f>+SPY__2[[#This Row],[Adj Close]]</f>
        <v>107.410011</v>
      </c>
      <c r="N31" s="89">
        <f t="shared" si="4"/>
        <v>9452.0809680000002</v>
      </c>
      <c r="O31" s="90">
        <f t="shared" si="0"/>
        <v>-458.60012000000006</v>
      </c>
      <c r="P31" s="93">
        <f t="shared" si="1"/>
        <v>-4.6273320262043338E-2</v>
      </c>
      <c r="Q31" s="96"/>
      <c r="R31" s="96"/>
      <c r="T31" s="90">
        <f t="shared" si="8"/>
        <v>22</v>
      </c>
      <c r="U31" s="89">
        <f t="shared" si="9"/>
        <v>112.621376</v>
      </c>
      <c r="V31" s="89">
        <f t="shared" si="2"/>
        <v>107.410011</v>
      </c>
      <c r="W31" s="90">
        <f t="shared" si="5"/>
        <v>2363.0202420000001</v>
      </c>
      <c r="X31" s="93">
        <f t="shared" si="3"/>
        <v>-4.6273320262043227E-2</v>
      </c>
    </row>
    <row r="32" spans="2:24" x14ac:dyDescent="0.25">
      <c r="B32" s="91">
        <v>39395</v>
      </c>
      <c r="C32" s="89">
        <v>145.69000199999999</v>
      </c>
      <c r="D32" s="89">
        <v>147.53999300000001</v>
      </c>
      <c r="E32" s="89">
        <v>144.88999899999999</v>
      </c>
      <c r="F32" s="89">
        <v>145.13999899999999</v>
      </c>
      <c r="G32" s="89">
        <v>105.935585</v>
      </c>
      <c r="H32" s="89">
        <v>277745100</v>
      </c>
      <c r="J32" s="89">
        <v>0</v>
      </c>
      <c r="K32" s="89">
        <f t="shared" si="6"/>
        <v>88</v>
      </c>
      <c r="L32" s="89">
        <f t="shared" si="7"/>
        <v>112.621376</v>
      </c>
      <c r="M32" s="89">
        <f>+SPY__2[[#This Row],[Adj Close]]</f>
        <v>105.935585</v>
      </c>
      <c r="N32" s="89">
        <f t="shared" si="4"/>
        <v>9322.3314800000007</v>
      </c>
      <c r="O32" s="90">
        <f t="shared" si="0"/>
        <v>-588.34960799999953</v>
      </c>
      <c r="P32" s="93">
        <f t="shared" si="1"/>
        <v>-5.9365204346286782E-2</v>
      </c>
      <c r="Q32" s="96"/>
      <c r="R32" s="96"/>
      <c r="T32" s="90">
        <f t="shared" si="8"/>
        <v>22</v>
      </c>
      <c r="U32" s="89">
        <f t="shared" si="9"/>
        <v>112.621376</v>
      </c>
      <c r="V32" s="89">
        <f t="shared" si="2"/>
        <v>105.935585</v>
      </c>
      <c r="W32" s="90">
        <f t="shared" si="5"/>
        <v>2330.5828700000002</v>
      </c>
      <c r="X32" s="93">
        <f t="shared" si="3"/>
        <v>-5.9365204346286671E-2</v>
      </c>
    </row>
    <row r="33" spans="2:24" x14ac:dyDescent="0.25">
      <c r="B33" s="91">
        <v>39398</v>
      </c>
      <c r="C33" s="89">
        <v>145.21000699999999</v>
      </c>
      <c r="D33" s="89">
        <v>146.61000100000001</v>
      </c>
      <c r="E33" s="89">
        <v>143.699997</v>
      </c>
      <c r="F33" s="89">
        <v>143.699997</v>
      </c>
      <c r="G33" s="89">
        <v>104.88458300000001</v>
      </c>
      <c r="H33" s="89">
        <v>243087800</v>
      </c>
      <c r="J33" s="89">
        <v>0</v>
      </c>
      <c r="K33" s="89">
        <f t="shared" si="6"/>
        <v>88</v>
      </c>
      <c r="L33" s="89">
        <f t="shared" si="7"/>
        <v>112.621376</v>
      </c>
      <c r="M33" s="89">
        <f>+SPY__2[[#This Row],[Adj Close]]</f>
        <v>104.88458300000001</v>
      </c>
      <c r="N33" s="89">
        <f t="shared" si="4"/>
        <v>9229.843304</v>
      </c>
      <c r="O33" s="90">
        <f t="shared" si="0"/>
        <v>-680.83778399999926</v>
      </c>
      <c r="P33" s="93">
        <f t="shared" si="1"/>
        <v>-6.8697375887149414E-2</v>
      </c>
      <c r="Q33" s="96"/>
      <c r="R33" s="96"/>
      <c r="T33" s="90">
        <f t="shared" si="8"/>
        <v>22</v>
      </c>
      <c r="U33" s="89">
        <f t="shared" si="9"/>
        <v>112.621376</v>
      </c>
      <c r="V33" s="89">
        <f t="shared" si="2"/>
        <v>104.88458300000001</v>
      </c>
      <c r="W33" s="90">
        <f t="shared" si="5"/>
        <v>2307.460826</v>
      </c>
      <c r="X33" s="93">
        <f t="shared" si="3"/>
        <v>-6.8697375887149414E-2</v>
      </c>
    </row>
    <row r="34" spans="2:24" x14ac:dyDescent="0.25">
      <c r="B34" s="91">
        <v>39399</v>
      </c>
      <c r="C34" s="89">
        <v>145.36999499999999</v>
      </c>
      <c r="D34" s="89">
        <v>148.30999800000001</v>
      </c>
      <c r="E34" s="89">
        <v>145.220001</v>
      </c>
      <c r="F34" s="89">
        <v>148.08000200000001</v>
      </c>
      <c r="G34" s="89">
        <v>108.081497</v>
      </c>
      <c r="H34" s="89">
        <v>191117400</v>
      </c>
      <c r="J34" s="89">
        <v>0</v>
      </c>
      <c r="K34" s="89">
        <f t="shared" si="6"/>
        <v>88</v>
      </c>
      <c r="L34" s="89">
        <f t="shared" si="7"/>
        <v>112.621376</v>
      </c>
      <c r="M34" s="89">
        <f>+SPY__2[[#This Row],[Adj Close]]</f>
        <v>108.081497</v>
      </c>
      <c r="N34" s="89">
        <f t="shared" si="4"/>
        <v>9511.1717360000002</v>
      </c>
      <c r="O34" s="90">
        <f t="shared" si="0"/>
        <v>-399.50935199999992</v>
      </c>
      <c r="P34" s="93">
        <f t="shared" si="1"/>
        <v>-4.0310988564018269E-2</v>
      </c>
      <c r="Q34" s="96"/>
      <c r="R34" s="96"/>
      <c r="T34" s="90">
        <f t="shared" si="8"/>
        <v>22</v>
      </c>
      <c r="U34" s="89">
        <f t="shared" si="9"/>
        <v>112.621376</v>
      </c>
      <c r="V34" s="89">
        <f t="shared" si="2"/>
        <v>108.081497</v>
      </c>
      <c r="W34" s="90">
        <f t="shared" si="5"/>
        <v>2377.7929340000001</v>
      </c>
      <c r="X34" s="93">
        <f t="shared" si="3"/>
        <v>-4.0310988564018158E-2</v>
      </c>
    </row>
    <row r="35" spans="2:24" x14ac:dyDescent="0.25">
      <c r="B35" s="91">
        <v>39400</v>
      </c>
      <c r="C35" s="89">
        <v>149.220001</v>
      </c>
      <c r="D35" s="89">
        <v>149.39999399999999</v>
      </c>
      <c r="E35" s="89">
        <v>146.779999</v>
      </c>
      <c r="F35" s="89">
        <v>147.66999799999999</v>
      </c>
      <c r="G35" s="89">
        <v>107.782234</v>
      </c>
      <c r="H35" s="89">
        <v>230558800</v>
      </c>
      <c r="J35" s="89">
        <v>0</v>
      </c>
      <c r="K35" s="89">
        <f t="shared" si="6"/>
        <v>88</v>
      </c>
      <c r="L35" s="89">
        <f t="shared" si="7"/>
        <v>112.621376</v>
      </c>
      <c r="M35" s="89">
        <f>+SPY__2[[#This Row],[Adj Close]]</f>
        <v>107.782234</v>
      </c>
      <c r="N35" s="89">
        <f t="shared" si="4"/>
        <v>9484.8365919999997</v>
      </c>
      <c r="O35" s="90">
        <f t="shared" ref="O35:O67" si="10">+(M35-L35)*K35</f>
        <v>-425.84449599999959</v>
      </c>
      <c r="P35" s="93">
        <f t="shared" ref="P35:P67" si="11">+M35/L35-1</f>
        <v>-4.2968237219903949E-2</v>
      </c>
      <c r="Q35" s="96"/>
      <c r="R35" s="96"/>
      <c r="T35" s="90">
        <f t="shared" si="8"/>
        <v>22</v>
      </c>
      <c r="U35" s="89">
        <f t="shared" si="9"/>
        <v>112.621376</v>
      </c>
      <c r="V35" s="89">
        <f t="shared" si="2"/>
        <v>107.782234</v>
      </c>
      <c r="W35" s="90">
        <f t="shared" si="5"/>
        <v>2371.2091479999999</v>
      </c>
      <c r="X35" s="93">
        <f t="shared" si="3"/>
        <v>-4.2968237219903949E-2</v>
      </c>
    </row>
    <row r="36" spans="2:24" x14ac:dyDescent="0.25">
      <c r="B36" s="91">
        <v>39401</v>
      </c>
      <c r="C36" s="89">
        <v>146.570007</v>
      </c>
      <c r="D36" s="89">
        <v>147.490005</v>
      </c>
      <c r="E36" s="89">
        <v>144.520004</v>
      </c>
      <c r="F36" s="89">
        <v>145.53999300000001</v>
      </c>
      <c r="G36" s="89">
        <v>106.227608</v>
      </c>
      <c r="H36" s="89">
        <v>263111100</v>
      </c>
      <c r="J36" s="89">
        <v>0</v>
      </c>
      <c r="K36" s="89">
        <f t="shared" si="6"/>
        <v>88</v>
      </c>
      <c r="L36" s="89">
        <f t="shared" si="7"/>
        <v>112.621376</v>
      </c>
      <c r="M36" s="89">
        <f>+SPY__2[[#This Row],[Adj Close]]</f>
        <v>106.227608</v>
      </c>
      <c r="N36" s="89">
        <f t="shared" si="4"/>
        <v>9348.0295040000001</v>
      </c>
      <c r="O36" s="90">
        <f t="shared" si="10"/>
        <v>-562.6515839999995</v>
      </c>
      <c r="P36" s="93">
        <f t="shared" si="11"/>
        <v>-5.677224188772112E-2</v>
      </c>
      <c r="Q36" s="96"/>
      <c r="R36" s="96"/>
      <c r="T36" s="90">
        <f t="shared" si="8"/>
        <v>22</v>
      </c>
      <c r="U36" s="89">
        <f t="shared" si="9"/>
        <v>112.621376</v>
      </c>
      <c r="V36" s="89">
        <f t="shared" si="2"/>
        <v>106.227608</v>
      </c>
      <c r="W36" s="90">
        <f t="shared" si="5"/>
        <v>2337.007376</v>
      </c>
      <c r="X36" s="93">
        <f t="shared" si="3"/>
        <v>-5.677224188772112E-2</v>
      </c>
    </row>
    <row r="37" spans="2:24" x14ac:dyDescent="0.25">
      <c r="B37" s="91">
        <v>39402</v>
      </c>
      <c r="C37" s="89">
        <v>146.30999800000001</v>
      </c>
      <c r="D37" s="89">
        <v>146.470001</v>
      </c>
      <c r="E37" s="89">
        <v>144.570007</v>
      </c>
      <c r="F37" s="89">
        <v>145.78999300000001</v>
      </c>
      <c r="G37" s="89">
        <v>106.410042</v>
      </c>
      <c r="H37" s="89">
        <v>308770600</v>
      </c>
      <c r="J37" s="89">
        <v>0</v>
      </c>
      <c r="K37" s="89">
        <f t="shared" si="6"/>
        <v>88</v>
      </c>
      <c r="L37" s="89">
        <f t="shared" si="7"/>
        <v>112.621376</v>
      </c>
      <c r="M37" s="89">
        <f>+SPY__2[[#This Row],[Adj Close]]</f>
        <v>106.410042</v>
      </c>
      <c r="N37" s="89">
        <f t="shared" si="4"/>
        <v>9364.0836959999997</v>
      </c>
      <c r="O37" s="90">
        <f t="shared" si="10"/>
        <v>-546.59739199999945</v>
      </c>
      <c r="P37" s="93">
        <f t="shared" si="11"/>
        <v>-5.5152354025580275E-2</v>
      </c>
      <c r="Q37" s="96"/>
      <c r="R37" s="96"/>
      <c r="T37" s="90">
        <f t="shared" si="8"/>
        <v>22</v>
      </c>
      <c r="U37" s="89">
        <f t="shared" si="9"/>
        <v>112.621376</v>
      </c>
      <c r="V37" s="89">
        <f t="shared" si="2"/>
        <v>106.410042</v>
      </c>
      <c r="W37" s="90">
        <f t="shared" si="5"/>
        <v>2341.0209239999999</v>
      </c>
      <c r="X37" s="93">
        <f t="shared" si="3"/>
        <v>-5.5152354025580386E-2</v>
      </c>
    </row>
    <row r="38" spans="2:24" x14ac:dyDescent="0.25">
      <c r="B38" s="91">
        <v>39405</v>
      </c>
      <c r="C38" s="89">
        <v>145.279999</v>
      </c>
      <c r="D38" s="89">
        <v>145.36000100000001</v>
      </c>
      <c r="E38" s="89">
        <v>143.19000199999999</v>
      </c>
      <c r="F38" s="89">
        <v>143.759995</v>
      </c>
      <c r="G38" s="89">
        <v>104.928406</v>
      </c>
      <c r="H38" s="89">
        <v>267746000</v>
      </c>
      <c r="J38" s="89">
        <v>0</v>
      </c>
      <c r="K38" s="89">
        <f t="shared" si="6"/>
        <v>88</v>
      </c>
      <c r="L38" s="89">
        <f t="shared" si="7"/>
        <v>112.621376</v>
      </c>
      <c r="M38" s="89">
        <f>+SPY__2[[#This Row],[Adj Close]]</f>
        <v>104.928406</v>
      </c>
      <c r="N38" s="89">
        <f t="shared" si="4"/>
        <v>9233.6997279999996</v>
      </c>
      <c r="O38" s="90">
        <f t="shared" si="10"/>
        <v>-676.98136000000022</v>
      </c>
      <c r="P38" s="93">
        <f t="shared" si="11"/>
        <v>-6.8308257927873317E-2</v>
      </c>
      <c r="Q38" s="96"/>
      <c r="R38" s="96"/>
      <c r="T38" s="90">
        <f t="shared" si="8"/>
        <v>22</v>
      </c>
      <c r="U38" s="89">
        <f t="shared" si="9"/>
        <v>112.621376</v>
      </c>
      <c r="V38" s="89">
        <f t="shared" si="2"/>
        <v>104.928406</v>
      </c>
      <c r="W38" s="90">
        <f t="shared" si="5"/>
        <v>2308.4249319999999</v>
      </c>
      <c r="X38" s="93">
        <f t="shared" si="3"/>
        <v>-6.8308257927873317E-2</v>
      </c>
    </row>
    <row r="39" spans="2:24" x14ac:dyDescent="0.25">
      <c r="B39" s="91">
        <v>39406</v>
      </c>
      <c r="C39" s="89">
        <v>144.020004</v>
      </c>
      <c r="D39" s="89">
        <v>145.529999</v>
      </c>
      <c r="E39" s="89">
        <v>142.11000100000001</v>
      </c>
      <c r="F39" s="89">
        <v>144.63999899999999</v>
      </c>
      <c r="G39" s="89">
        <v>105.570671</v>
      </c>
      <c r="H39" s="89">
        <v>414767500</v>
      </c>
      <c r="J39" s="89">
        <v>0</v>
      </c>
      <c r="K39" s="89">
        <f t="shared" si="6"/>
        <v>88</v>
      </c>
      <c r="L39" s="89">
        <f t="shared" si="7"/>
        <v>112.621376</v>
      </c>
      <c r="M39" s="89">
        <f>+SPY__2[[#This Row],[Adj Close]]</f>
        <v>105.570671</v>
      </c>
      <c r="N39" s="89">
        <f t="shared" si="4"/>
        <v>9290.2190480000008</v>
      </c>
      <c r="O39" s="90">
        <f t="shared" si="10"/>
        <v>-620.46203999999943</v>
      </c>
      <c r="P39" s="93">
        <f t="shared" si="11"/>
        <v>-6.26053885187835E-2</v>
      </c>
      <c r="Q39" s="96"/>
      <c r="R39" s="96"/>
      <c r="T39" s="90">
        <f t="shared" si="8"/>
        <v>22</v>
      </c>
      <c r="U39" s="89">
        <f t="shared" si="9"/>
        <v>112.621376</v>
      </c>
      <c r="V39" s="89">
        <f t="shared" si="2"/>
        <v>105.570671</v>
      </c>
      <c r="W39" s="90">
        <f t="shared" si="5"/>
        <v>2322.5547620000002</v>
      </c>
      <c r="X39" s="93">
        <f t="shared" si="3"/>
        <v>-6.2605388518783389E-2</v>
      </c>
    </row>
    <row r="40" spans="2:24" x14ac:dyDescent="0.25">
      <c r="B40" s="91">
        <v>39407</v>
      </c>
      <c r="C40" s="89">
        <v>143.08000200000001</v>
      </c>
      <c r="D40" s="89">
        <v>143.91000399999999</v>
      </c>
      <c r="E40" s="89">
        <v>141.66999799999999</v>
      </c>
      <c r="F40" s="89">
        <v>141.679993</v>
      </c>
      <c r="G40" s="89">
        <v>103.41023300000001</v>
      </c>
      <c r="H40" s="89">
        <v>259012400</v>
      </c>
      <c r="J40" s="89">
        <v>0</v>
      </c>
      <c r="K40" s="89">
        <f t="shared" si="6"/>
        <v>88</v>
      </c>
      <c r="L40" s="89">
        <f t="shared" si="7"/>
        <v>112.621376</v>
      </c>
      <c r="M40" s="89">
        <f>+SPY__2[[#This Row],[Adj Close]]</f>
        <v>103.41023300000001</v>
      </c>
      <c r="N40" s="89">
        <f t="shared" si="4"/>
        <v>9100.100504</v>
      </c>
      <c r="O40" s="90">
        <f t="shared" si="10"/>
        <v>-810.58058399999936</v>
      </c>
      <c r="P40" s="93">
        <f t="shared" si="11"/>
        <v>-8.17885851439073E-2</v>
      </c>
      <c r="Q40" s="96"/>
      <c r="R40" s="96"/>
      <c r="T40" s="90">
        <f t="shared" si="8"/>
        <v>22</v>
      </c>
      <c r="U40" s="89">
        <f t="shared" si="9"/>
        <v>112.621376</v>
      </c>
      <c r="V40" s="89">
        <f t="shared" si="2"/>
        <v>103.41023300000001</v>
      </c>
      <c r="W40" s="90">
        <f t="shared" si="5"/>
        <v>2275.025126</v>
      </c>
      <c r="X40" s="93">
        <f t="shared" si="3"/>
        <v>-8.17885851439073E-2</v>
      </c>
    </row>
    <row r="41" spans="2:24" x14ac:dyDescent="0.25">
      <c r="B41" s="91">
        <v>39409</v>
      </c>
      <c r="C41" s="89">
        <v>143.070007</v>
      </c>
      <c r="D41" s="89">
        <v>144.33999600000001</v>
      </c>
      <c r="E41" s="89">
        <v>142.699997</v>
      </c>
      <c r="F41" s="89">
        <v>144.13000500000001</v>
      </c>
      <c r="G41" s="89">
        <v>105.198448</v>
      </c>
      <c r="H41" s="89">
        <v>77688400</v>
      </c>
      <c r="J41" s="89">
        <v>0</v>
      </c>
      <c r="K41" s="89">
        <f t="shared" si="6"/>
        <v>88</v>
      </c>
      <c r="L41" s="89">
        <f t="shared" si="7"/>
        <v>112.621376</v>
      </c>
      <c r="M41" s="89">
        <f>+SPY__2[[#This Row],[Adj Close]]</f>
        <v>105.198448</v>
      </c>
      <c r="N41" s="89">
        <f t="shared" si="4"/>
        <v>9257.4634239999996</v>
      </c>
      <c r="O41" s="90">
        <f t="shared" si="10"/>
        <v>-653.2176639999999</v>
      </c>
      <c r="P41" s="93">
        <f t="shared" si="11"/>
        <v>-6.591047156092289E-2</v>
      </c>
      <c r="Q41" s="96"/>
      <c r="R41" s="96"/>
      <c r="T41" s="90">
        <f t="shared" si="8"/>
        <v>22</v>
      </c>
      <c r="U41" s="89">
        <f t="shared" si="9"/>
        <v>112.621376</v>
      </c>
      <c r="V41" s="89">
        <f t="shared" si="2"/>
        <v>105.198448</v>
      </c>
      <c r="W41" s="90">
        <f t="shared" si="5"/>
        <v>2314.3658559999999</v>
      </c>
      <c r="X41" s="93">
        <f t="shared" si="3"/>
        <v>-6.591047156092289E-2</v>
      </c>
    </row>
    <row r="42" spans="2:24" x14ac:dyDescent="0.25">
      <c r="B42" s="91">
        <v>39412</v>
      </c>
      <c r="C42" s="89">
        <v>144.429993</v>
      </c>
      <c r="D42" s="89">
        <v>144.88000500000001</v>
      </c>
      <c r="E42" s="89">
        <v>140.66000399999999</v>
      </c>
      <c r="F42" s="89">
        <v>140.949997</v>
      </c>
      <c r="G42" s="89">
        <v>102.877388</v>
      </c>
      <c r="H42" s="89">
        <v>214232000</v>
      </c>
      <c r="J42" s="89">
        <v>0</v>
      </c>
      <c r="K42" s="89">
        <f t="shared" si="6"/>
        <v>88</v>
      </c>
      <c r="L42" s="89">
        <f t="shared" si="7"/>
        <v>112.621376</v>
      </c>
      <c r="M42" s="89">
        <f>+SPY__2[[#This Row],[Adj Close]]</f>
        <v>102.877388</v>
      </c>
      <c r="N42" s="89">
        <f t="shared" si="4"/>
        <v>9053.2101440000006</v>
      </c>
      <c r="O42" s="90">
        <f t="shared" si="10"/>
        <v>-857.47094400000015</v>
      </c>
      <c r="P42" s="93">
        <f t="shared" si="11"/>
        <v>-8.6519880559797091E-2</v>
      </c>
      <c r="Q42" s="96"/>
      <c r="R42" s="96"/>
      <c r="T42" s="90">
        <f t="shared" si="8"/>
        <v>22</v>
      </c>
      <c r="U42" s="89">
        <f t="shared" si="9"/>
        <v>112.621376</v>
      </c>
      <c r="V42" s="89">
        <f t="shared" si="2"/>
        <v>102.877388</v>
      </c>
      <c r="W42" s="90">
        <f t="shared" si="5"/>
        <v>2263.3025360000001</v>
      </c>
      <c r="X42" s="93">
        <f t="shared" si="3"/>
        <v>-8.651988055979698E-2</v>
      </c>
    </row>
    <row r="43" spans="2:24" x14ac:dyDescent="0.25">
      <c r="B43" s="91">
        <v>39413</v>
      </c>
      <c r="C43" s="89">
        <v>141.740005</v>
      </c>
      <c r="D43" s="89">
        <v>143.229996</v>
      </c>
      <c r="E43" s="89">
        <v>140.949997</v>
      </c>
      <c r="F43" s="89">
        <v>142.570007</v>
      </c>
      <c r="G43" s="89">
        <v>104.05986</v>
      </c>
      <c r="H43" s="89">
        <v>293897900</v>
      </c>
      <c r="J43" s="89">
        <v>0</v>
      </c>
      <c r="K43" s="89">
        <f t="shared" si="6"/>
        <v>88</v>
      </c>
      <c r="L43" s="89">
        <f t="shared" si="7"/>
        <v>112.621376</v>
      </c>
      <c r="M43" s="89">
        <f>+SPY__2[[#This Row],[Adj Close]]</f>
        <v>104.05986</v>
      </c>
      <c r="N43" s="89">
        <f t="shared" si="4"/>
        <v>9157.2676800000008</v>
      </c>
      <c r="O43" s="90">
        <f t="shared" si="10"/>
        <v>-753.41340799999978</v>
      </c>
      <c r="P43" s="93">
        <f t="shared" si="11"/>
        <v>-7.6020346261796656E-2</v>
      </c>
      <c r="Q43" s="96"/>
      <c r="R43" s="96"/>
      <c r="T43" s="90">
        <f t="shared" si="8"/>
        <v>22</v>
      </c>
      <c r="U43" s="89">
        <f t="shared" si="9"/>
        <v>112.621376</v>
      </c>
      <c r="V43" s="89">
        <f t="shared" si="2"/>
        <v>104.05986</v>
      </c>
      <c r="W43" s="90">
        <f t="shared" si="5"/>
        <v>2289.3169200000002</v>
      </c>
      <c r="X43" s="93">
        <f t="shared" si="3"/>
        <v>-7.6020346261796545E-2</v>
      </c>
    </row>
    <row r="44" spans="2:24" x14ac:dyDescent="0.25">
      <c r="B44" s="91">
        <v>39414</v>
      </c>
      <c r="C44" s="89">
        <v>144.19000199999999</v>
      </c>
      <c r="D44" s="89">
        <v>147.470001</v>
      </c>
      <c r="E44" s="89">
        <v>144.13999899999999</v>
      </c>
      <c r="F44" s="89">
        <v>147.13000500000001</v>
      </c>
      <c r="G44" s="89">
        <v>107.38813</v>
      </c>
      <c r="H44" s="89">
        <v>258596900</v>
      </c>
      <c r="J44" s="89">
        <v>0</v>
      </c>
      <c r="K44" s="89">
        <f t="shared" si="6"/>
        <v>88</v>
      </c>
      <c r="L44" s="89">
        <f t="shared" si="7"/>
        <v>112.621376</v>
      </c>
      <c r="M44" s="89">
        <f>+SPY__2[[#This Row],[Adj Close]]</f>
        <v>107.38813</v>
      </c>
      <c r="N44" s="89">
        <f t="shared" si="4"/>
        <v>9450.1554400000005</v>
      </c>
      <c r="O44" s="90">
        <f t="shared" si="10"/>
        <v>-460.52564799999948</v>
      </c>
      <c r="P44" s="93">
        <f t="shared" si="11"/>
        <v>-4.6467608422756213E-2</v>
      </c>
      <c r="Q44" s="96"/>
      <c r="R44" s="96"/>
      <c r="T44" s="90">
        <f t="shared" si="8"/>
        <v>22</v>
      </c>
      <c r="U44" s="89">
        <f t="shared" si="9"/>
        <v>112.621376</v>
      </c>
      <c r="V44" s="89">
        <f t="shared" si="2"/>
        <v>107.38813</v>
      </c>
      <c r="W44" s="90">
        <f t="shared" si="5"/>
        <v>2362.5388600000001</v>
      </c>
      <c r="X44" s="93">
        <f t="shared" si="3"/>
        <v>-4.6467608422756101E-2</v>
      </c>
    </row>
    <row r="45" spans="2:24" x14ac:dyDescent="0.25">
      <c r="B45" s="91">
        <v>39415</v>
      </c>
      <c r="C45" s="89">
        <v>146.61999499999999</v>
      </c>
      <c r="D45" s="89">
        <v>147.720001</v>
      </c>
      <c r="E45" s="89">
        <v>146.10000600000001</v>
      </c>
      <c r="F45" s="89">
        <v>147.179993</v>
      </c>
      <c r="G45" s="89">
        <v>107.42461400000001</v>
      </c>
      <c r="H45" s="89">
        <v>199409900</v>
      </c>
      <c r="J45" s="89">
        <v>0</v>
      </c>
      <c r="K45" s="89">
        <f t="shared" si="6"/>
        <v>88</v>
      </c>
      <c r="L45" s="89">
        <f t="shared" si="7"/>
        <v>112.621376</v>
      </c>
      <c r="M45" s="89">
        <f>+SPY__2[[#This Row],[Adj Close]]</f>
        <v>107.42461400000001</v>
      </c>
      <c r="N45" s="89">
        <f t="shared" si="4"/>
        <v>9453.3660319999999</v>
      </c>
      <c r="O45" s="90">
        <f t="shared" si="10"/>
        <v>-457.31505599999934</v>
      </c>
      <c r="P45" s="93">
        <f t="shared" si="11"/>
        <v>-4.6143655712393317E-2</v>
      </c>
      <c r="Q45" s="96"/>
      <c r="R45" s="96"/>
      <c r="T45" s="90">
        <f t="shared" si="8"/>
        <v>22</v>
      </c>
      <c r="U45" s="89">
        <f t="shared" si="9"/>
        <v>112.621376</v>
      </c>
      <c r="V45" s="89">
        <f t="shared" si="2"/>
        <v>107.42461400000001</v>
      </c>
      <c r="W45" s="90">
        <f t="shared" si="5"/>
        <v>2363.341508</v>
      </c>
      <c r="X45" s="93">
        <f t="shared" si="3"/>
        <v>-4.6143655712393317E-2</v>
      </c>
    </row>
    <row r="46" spans="2:24" x14ac:dyDescent="0.25">
      <c r="B46" s="91">
        <v>39416</v>
      </c>
      <c r="C46" s="89">
        <v>149.03999300000001</v>
      </c>
      <c r="D46" s="89">
        <v>149.86999499999999</v>
      </c>
      <c r="E46" s="89">
        <v>147.33000200000001</v>
      </c>
      <c r="F46" s="89">
        <v>148.66000399999999</v>
      </c>
      <c r="G46" s="89">
        <v>108.50485999999999</v>
      </c>
      <c r="H46" s="89">
        <v>222908000</v>
      </c>
      <c r="J46" s="89">
        <v>0</v>
      </c>
      <c r="K46" s="89">
        <f t="shared" si="6"/>
        <v>88</v>
      </c>
      <c r="L46" s="89">
        <f t="shared" si="7"/>
        <v>112.621376</v>
      </c>
      <c r="M46" s="89">
        <f>+SPY__2[[#This Row],[Adj Close]]</f>
        <v>108.50485999999999</v>
      </c>
      <c r="N46" s="89">
        <f t="shared" si="4"/>
        <v>9548.4276799999989</v>
      </c>
      <c r="O46" s="90">
        <f t="shared" si="10"/>
        <v>-362.25340800000038</v>
      </c>
      <c r="P46" s="93">
        <f t="shared" si="11"/>
        <v>-3.6551817658487917E-2</v>
      </c>
      <c r="Q46" s="96"/>
      <c r="R46" s="96"/>
      <c r="T46" s="90">
        <f t="shared" si="8"/>
        <v>22</v>
      </c>
      <c r="U46" s="89">
        <f t="shared" si="9"/>
        <v>112.621376</v>
      </c>
      <c r="V46" s="89">
        <f t="shared" si="2"/>
        <v>108.50485999999999</v>
      </c>
      <c r="W46" s="90">
        <f t="shared" si="5"/>
        <v>2387.1069199999997</v>
      </c>
      <c r="X46" s="93">
        <f t="shared" si="3"/>
        <v>-3.6551817658487917E-2</v>
      </c>
    </row>
    <row r="47" spans="2:24" x14ac:dyDescent="0.25">
      <c r="B47" s="91">
        <v>39419</v>
      </c>
      <c r="C47" s="89">
        <v>148.19000199999999</v>
      </c>
      <c r="D47" s="89">
        <v>148.449997</v>
      </c>
      <c r="E47" s="89">
        <v>147.28999300000001</v>
      </c>
      <c r="F47" s="89">
        <v>147.679993</v>
      </c>
      <c r="G47" s="89">
        <v>107.789551</v>
      </c>
      <c r="H47" s="89">
        <v>146430400</v>
      </c>
      <c r="J47" s="89">
        <v>0</v>
      </c>
      <c r="K47" s="89">
        <f t="shared" si="6"/>
        <v>88</v>
      </c>
      <c r="L47" s="89">
        <f t="shared" si="7"/>
        <v>112.621376</v>
      </c>
      <c r="M47" s="89">
        <f>+SPY__2[[#This Row],[Adj Close]]</f>
        <v>107.789551</v>
      </c>
      <c r="N47" s="89">
        <f t="shared" si="4"/>
        <v>9485.4804880000011</v>
      </c>
      <c r="O47" s="90">
        <f t="shared" si="10"/>
        <v>-425.20059999999955</v>
      </c>
      <c r="P47" s="93">
        <f t="shared" si="11"/>
        <v>-4.2903267315789084E-2</v>
      </c>
      <c r="Q47" s="96"/>
      <c r="R47" s="96"/>
      <c r="T47" s="90">
        <f t="shared" si="8"/>
        <v>22</v>
      </c>
      <c r="U47" s="89">
        <f t="shared" si="9"/>
        <v>112.621376</v>
      </c>
      <c r="V47" s="89">
        <f t="shared" si="2"/>
        <v>107.789551</v>
      </c>
      <c r="W47" s="90">
        <f t="shared" si="5"/>
        <v>2371.3701220000003</v>
      </c>
      <c r="X47" s="93">
        <f t="shared" si="3"/>
        <v>-4.2903267315788973E-2</v>
      </c>
    </row>
    <row r="48" spans="2:24" x14ac:dyDescent="0.25">
      <c r="B48" s="91">
        <v>39420</v>
      </c>
      <c r="C48" s="89">
        <v>146.66000399999999</v>
      </c>
      <c r="D48" s="89">
        <v>147.53999300000001</v>
      </c>
      <c r="E48" s="89">
        <v>146.30999800000001</v>
      </c>
      <c r="F48" s="89">
        <v>146.36000100000001</v>
      </c>
      <c r="G48" s="89">
        <v>106.826065</v>
      </c>
      <c r="H48" s="89">
        <v>136533900</v>
      </c>
      <c r="J48" s="89">
        <v>0</v>
      </c>
      <c r="K48" s="89">
        <f t="shared" si="6"/>
        <v>88</v>
      </c>
      <c r="L48" s="89">
        <f t="shared" si="7"/>
        <v>112.621376</v>
      </c>
      <c r="M48" s="89">
        <f>+SPY__2[[#This Row],[Adj Close]]</f>
        <v>106.826065</v>
      </c>
      <c r="N48" s="89">
        <f t="shared" si="4"/>
        <v>9400.6937199999993</v>
      </c>
      <c r="O48" s="90">
        <f t="shared" si="10"/>
        <v>-509.98736799999983</v>
      </c>
      <c r="P48" s="93">
        <f t="shared" si="11"/>
        <v>-5.1458357248272302E-2</v>
      </c>
      <c r="Q48" s="96"/>
      <c r="R48" s="96"/>
      <c r="T48" s="90">
        <f t="shared" si="8"/>
        <v>22</v>
      </c>
      <c r="U48" s="89">
        <f t="shared" si="9"/>
        <v>112.621376</v>
      </c>
      <c r="V48" s="89">
        <f t="shared" si="2"/>
        <v>106.826065</v>
      </c>
      <c r="W48" s="90">
        <f t="shared" si="5"/>
        <v>2350.1734299999998</v>
      </c>
      <c r="X48" s="93">
        <f t="shared" si="3"/>
        <v>-5.1458357248272302E-2</v>
      </c>
    </row>
    <row r="49" spans="2:24" x14ac:dyDescent="0.25">
      <c r="B49" s="91">
        <v>39421</v>
      </c>
      <c r="C49" s="89">
        <v>147.929993</v>
      </c>
      <c r="D49" s="89">
        <v>149.199997</v>
      </c>
      <c r="E49" s="89">
        <v>147.83000200000001</v>
      </c>
      <c r="F49" s="89">
        <v>148.80999800000001</v>
      </c>
      <c r="G49" s="89">
        <v>108.61431899999999</v>
      </c>
      <c r="H49" s="89">
        <v>171130000</v>
      </c>
      <c r="J49" s="89">
        <v>0</v>
      </c>
      <c r="K49" s="89">
        <f t="shared" si="6"/>
        <v>88</v>
      </c>
      <c r="L49" s="89">
        <f t="shared" si="7"/>
        <v>112.621376</v>
      </c>
      <c r="M49" s="89">
        <f>+SPY__2[[#This Row],[Adj Close]]</f>
        <v>108.61431899999999</v>
      </c>
      <c r="N49" s="89">
        <f t="shared" si="4"/>
        <v>9558.0600720000002</v>
      </c>
      <c r="O49" s="90">
        <f t="shared" si="10"/>
        <v>-352.62101600000028</v>
      </c>
      <c r="P49" s="93">
        <f t="shared" si="11"/>
        <v>-3.5579897372235991E-2</v>
      </c>
      <c r="Q49" s="96"/>
      <c r="R49" s="96"/>
      <c r="T49" s="90">
        <f t="shared" si="8"/>
        <v>22</v>
      </c>
      <c r="U49" s="89">
        <f t="shared" si="9"/>
        <v>112.621376</v>
      </c>
      <c r="V49" s="89">
        <f t="shared" si="2"/>
        <v>108.61431899999999</v>
      </c>
      <c r="W49" s="90">
        <f t="shared" si="5"/>
        <v>2389.5150180000001</v>
      </c>
      <c r="X49" s="93">
        <f t="shared" si="3"/>
        <v>-3.557989737223588E-2</v>
      </c>
    </row>
    <row r="50" spans="2:24" x14ac:dyDescent="0.25">
      <c r="B50" s="91">
        <v>39422</v>
      </c>
      <c r="C50" s="89">
        <v>148.63000500000001</v>
      </c>
      <c r="D50" s="89">
        <v>151.21000699999999</v>
      </c>
      <c r="E50" s="89">
        <v>148.570007</v>
      </c>
      <c r="F50" s="89">
        <v>150.94000199999999</v>
      </c>
      <c r="G50" s="89">
        <v>110.16896800000001</v>
      </c>
      <c r="H50" s="89">
        <v>154457400</v>
      </c>
      <c r="J50" s="89">
        <v>0</v>
      </c>
      <c r="K50" s="89">
        <f t="shared" si="6"/>
        <v>88</v>
      </c>
      <c r="L50" s="89">
        <f t="shared" si="7"/>
        <v>112.621376</v>
      </c>
      <c r="M50" s="89">
        <f>+SPY__2[[#This Row],[Adj Close]]</f>
        <v>110.16896800000001</v>
      </c>
      <c r="N50" s="89">
        <f t="shared" si="4"/>
        <v>9694.869184000001</v>
      </c>
      <c r="O50" s="90">
        <f t="shared" si="10"/>
        <v>-215.81190399999923</v>
      </c>
      <c r="P50" s="93">
        <f t="shared" si="11"/>
        <v>-2.1775688480311195E-2</v>
      </c>
      <c r="Q50" s="96"/>
      <c r="R50" s="96"/>
      <c r="T50" s="90">
        <f t="shared" si="8"/>
        <v>22</v>
      </c>
      <c r="U50" s="89">
        <f t="shared" si="9"/>
        <v>112.621376</v>
      </c>
      <c r="V50" s="89">
        <f t="shared" si="2"/>
        <v>110.16896800000001</v>
      </c>
      <c r="W50" s="90">
        <f t="shared" si="5"/>
        <v>2423.7172960000003</v>
      </c>
      <c r="X50" s="93">
        <f t="shared" si="3"/>
        <v>-2.1775688480311084E-2</v>
      </c>
    </row>
    <row r="51" spans="2:24" x14ac:dyDescent="0.25">
      <c r="B51" s="91">
        <v>39423</v>
      </c>
      <c r="C51" s="89">
        <v>151.41999799999999</v>
      </c>
      <c r="D51" s="89">
        <v>151.5</v>
      </c>
      <c r="E51" s="89">
        <v>150.550003</v>
      </c>
      <c r="F51" s="89">
        <v>150.91000399999999</v>
      </c>
      <c r="G51" s="89">
        <v>110.147041</v>
      </c>
      <c r="H51" s="89">
        <v>148980100</v>
      </c>
      <c r="J51" s="89">
        <v>0</v>
      </c>
      <c r="K51" s="89">
        <f t="shared" si="6"/>
        <v>88</v>
      </c>
      <c r="L51" s="89">
        <f t="shared" si="7"/>
        <v>112.621376</v>
      </c>
      <c r="M51" s="89">
        <f>+SPY__2[[#This Row],[Adj Close]]</f>
        <v>110.147041</v>
      </c>
      <c r="N51" s="89">
        <f t="shared" si="4"/>
        <v>9692.9396080000006</v>
      </c>
      <c r="O51" s="90">
        <f t="shared" si="10"/>
        <v>-217.74147999999968</v>
      </c>
      <c r="P51" s="93">
        <f t="shared" si="11"/>
        <v>-2.1970385089239208E-2</v>
      </c>
      <c r="Q51" s="96"/>
      <c r="R51" s="96"/>
      <c r="T51" s="90">
        <f t="shared" si="8"/>
        <v>22</v>
      </c>
      <c r="U51" s="89">
        <f t="shared" si="9"/>
        <v>112.621376</v>
      </c>
      <c r="V51" s="89">
        <f t="shared" si="2"/>
        <v>110.147041</v>
      </c>
      <c r="W51" s="90">
        <f t="shared" si="5"/>
        <v>2423.2349020000001</v>
      </c>
      <c r="X51" s="93">
        <f t="shared" si="3"/>
        <v>-2.1970385089239097E-2</v>
      </c>
    </row>
    <row r="52" spans="2:24" x14ac:dyDescent="0.25">
      <c r="B52" s="91">
        <v>39426</v>
      </c>
      <c r="C52" s="89">
        <v>151.279999</v>
      </c>
      <c r="D52" s="89">
        <v>152.25</v>
      </c>
      <c r="E52" s="89">
        <v>150.86000100000001</v>
      </c>
      <c r="F52" s="89">
        <v>152.08000200000001</v>
      </c>
      <c r="G52" s="89">
        <v>111.001045</v>
      </c>
      <c r="H52" s="89">
        <v>123914300</v>
      </c>
      <c r="J52" s="89">
        <v>0</v>
      </c>
      <c r="K52" s="89">
        <f t="shared" si="6"/>
        <v>88</v>
      </c>
      <c r="L52" s="89">
        <f t="shared" si="7"/>
        <v>112.621376</v>
      </c>
      <c r="M52" s="89">
        <f>+SPY__2[[#This Row],[Adj Close]]</f>
        <v>111.001045</v>
      </c>
      <c r="N52" s="89">
        <f t="shared" si="4"/>
        <v>9768.0919599999997</v>
      </c>
      <c r="O52" s="90">
        <f t="shared" si="10"/>
        <v>-142.58912799999939</v>
      </c>
      <c r="P52" s="93">
        <f t="shared" si="11"/>
        <v>-1.438741966711532E-2</v>
      </c>
      <c r="Q52" s="96"/>
      <c r="R52" s="96"/>
      <c r="T52" s="90">
        <f t="shared" si="8"/>
        <v>22</v>
      </c>
      <c r="U52" s="89">
        <f t="shared" si="9"/>
        <v>112.621376</v>
      </c>
      <c r="V52" s="89">
        <f t="shared" si="2"/>
        <v>111.001045</v>
      </c>
      <c r="W52" s="90">
        <f t="shared" si="5"/>
        <v>2442.0229899999999</v>
      </c>
      <c r="X52" s="93">
        <f t="shared" si="3"/>
        <v>-1.4387419667115431E-2</v>
      </c>
    </row>
    <row r="53" spans="2:24" x14ac:dyDescent="0.25">
      <c r="B53" s="91">
        <v>39427</v>
      </c>
      <c r="C53" s="89">
        <v>152.13999899999999</v>
      </c>
      <c r="D53" s="89">
        <v>152.88999899999999</v>
      </c>
      <c r="E53" s="89">
        <v>147.83000200000001</v>
      </c>
      <c r="F53" s="89">
        <v>147.91000399999999</v>
      </c>
      <c r="G53" s="89">
        <v>107.95742799999999</v>
      </c>
      <c r="H53" s="89">
        <v>250346400</v>
      </c>
      <c r="J53" s="89">
        <v>0</v>
      </c>
      <c r="K53" s="89">
        <f t="shared" si="6"/>
        <v>88</v>
      </c>
      <c r="L53" s="89">
        <f t="shared" si="7"/>
        <v>112.621376</v>
      </c>
      <c r="M53" s="89">
        <f>+SPY__2[[#This Row],[Adj Close]]</f>
        <v>107.95742799999999</v>
      </c>
      <c r="N53" s="89">
        <f t="shared" si="4"/>
        <v>9500.2536639999998</v>
      </c>
      <c r="O53" s="90">
        <f t="shared" si="10"/>
        <v>-410.42742400000043</v>
      </c>
      <c r="P53" s="93">
        <f t="shared" si="11"/>
        <v>-4.1412635555083344E-2</v>
      </c>
      <c r="Q53" s="96"/>
      <c r="R53" s="96"/>
      <c r="T53" s="90">
        <f t="shared" si="8"/>
        <v>22</v>
      </c>
      <c r="U53" s="89">
        <f t="shared" si="9"/>
        <v>112.621376</v>
      </c>
      <c r="V53" s="89">
        <f t="shared" si="2"/>
        <v>107.95742799999999</v>
      </c>
      <c r="W53" s="90">
        <f t="shared" si="5"/>
        <v>2375.063416</v>
      </c>
      <c r="X53" s="93">
        <f t="shared" si="3"/>
        <v>-4.1412635555083233E-2</v>
      </c>
    </row>
    <row r="54" spans="2:24" x14ac:dyDescent="0.25">
      <c r="B54" s="91">
        <v>39428</v>
      </c>
      <c r="C54" s="89">
        <v>151.05999800000001</v>
      </c>
      <c r="D54" s="89">
        <v>151.770004</v>
      </c>
      <c r="E54" s="89">
        <v>147.199997</v>
      </c>
      <c r="F54" s="89">
        <v>149.36999499999999</v>
      </c>
      <c r="G54" s="89">
        <v>109.023048</v>
      </c>
      <c r="H54" s="89">
        <v>322435600</v>
      </c>
      <c r="J54" s="89">
        <v>0</v>
      </c>
      <c r="K54" s="89">
        <f t="shared" si="6"/>
        <v>88</v>
      </c>
      <c r="L54" s="89">
        <f t="shared" si="7"/>
        <v>112.621376</v>
      </c>
      <c r="M54" s="89">
        <f>+SPY__2[[#This Row],[Adj Close]]</f>
        <v>109.023048</v>
      </c>
      <c r="N54" s="89">
        <f t="shared" si="4"/>
        <v>9594.0282239999997</v>
      </c>
      <c r="O54" s="90">
        <f t="shared" si="10"/>
        <v>-316.65286399999957</v>
      </c>
      <c r="P54" s="93">
        <f t="shared" si="11"/>
        <v>-3.1950666274935147E-2</v>
      </c>
      <c r="Q54" s="96"/>
      <c r="R54" s="96"/>
      <c r="T54" s="90">
        <f t="shared" si="8"/>
        <v>22</v>
      </c>
      <c r="U54" s="89">
        <f t="shared" si="9"/>
        <v>112.621376</v>
      </c>
      <c r="V54" s="89">
        <f t="shared" si="2"/>
        <v>109.023048</v>
      </c>
      <c r="W54" s="90">
        <f t="shared" si="5"/>
        <v>2398.5070559999999</v>
      </c>
      <c r="X54" s="93">
        <f t="shared" si="3"/>
        <v>-3.1950666274935147E-2</v>
      </c>
    </row>
    <row r="55" spans="2:24" x14ac:dyDescent="0.25">
      <c r="B55" s="91">
        <v>39429</v>
      </c>
      <c r="C55" s="89">
        <v>148.320007</v>
      </c>
      <c r="D55" s="89">
        <v>149.38999899999999</v>
      </c>
      <c r="E55" s="89">
        <v>147.300003</v>
      </c>
      <c r="F55" s="89">
        <v>149.05999800000001</v>
      </c>
      <c r="G55" s="89">
        <v>108.796761</v>
      </c>
      <c r="H55" s="89">
        <v>237551300</v>
      </c>
      <c r="J55" s="89">
        <v>0</v>
      </c>
      <c r="K55" s="89">
        <f t="shared" si="6"/>
        <v>88</v>
      </c>
      <c r="L55" s="89">
        <f t="shared" si="7"/>
        <v>112.621376</v>
      </c>
      <c r="M55" s="89">
        <f>+SPY__2[[#This Row],[Adj Close]]</f>
        <v>108.796761</v>
      </c>
      <c r="N55" s="89">
        <f t="shared" si="4"/>
        <v>9574.1149679999999</v>
      </c>
      <c r="O55" s="90">
        <f t="shared" si="10"/>
        <v>-336.5661199999995</v>
      </c>
      <c r="P55" s="93">
        <f t="shared" si="11"/>
        <v>-3.3959938475622953E-2</v>
      </c>
      <c r="Q55" s="96"/>
      <c r="R55" s="96"/>
      <c r="T55" s="90">
        <f t="shared" si="8"/>
        <v>22</v>
      </c>
      <c r="U55" s="89">
        <f t="shared" si="9"/>
        <v>112.621376</v>
      </c>
      <c r="V55" s="89">
        <f t="shared" si="2"/>
        <v>108.796761</v>
      </c>
      <c r="W55" s="90">
        <f t="shared" si="5"/>
        <v>2393.528742</v>
      </c>
      <c r="X55" s="93">
        <f t="shared" si="3"/>
        <v>-3.3959938475622953E-2</v>
      </c>
    </row>
    <row r="56" spans="2:24" x14ac:dyDescent="0.25">
      <c r="B56" s="91">
        <v>39430</v>
      </c>
      <c r="C56" s="89">
        <v>147.929993</v>
      </c>
      <c r="D56" s="89">
        <v>149.10000600000001</v>
      </c>
      <c r="E56" s="89">
        <v>147.10000600000001</v>
      </c>
      <c r="F56" s="89">
        <v>147.16999799999999</v>
      </c>
      <c r="G56" s="89">
        <v>107.41732</v>
      </c>
      <c r="H56" s="89">
        <v>159152900</v>
      </c>
      <c r="J56" s="89">
        <v>0</v>
      </c>
      <c r="K56" s="89">
        <f t="shared" si="6"/>
        <v>88</v>
      </c>
      <c r="L56" s="89">
        <f t="shared" si="7"/>
        <v>112.621376</v>
      </c>
      <c r="M56" s="89">
        <f>+SPY__2[[#This Row],[Adj Close]]</f>
        <v>107.41732</v>
      </c>
      <c r="N56" s="89">
        <f t="shared" si="4"/>
        <v>9452.7241599999998</v>
      </c>
      <c r="O56" s="90">
        <f t="shared" si="10"/>
        <v>-457.95692799999949</v>
      </c>
      <c r="P56" s="93">
        <f t="shared" si="11"/>
        <v>-4.6208421392400667E-2</v>
      </c>
      <c r="Q56" s="96"/>
      <c r="R56" s="96"/>
      <c r="T56" s="90">
        <f t="shared" si="8"/>
        <v>22</v>
      </c>
      <c r="U56" s="89">
        <f t="shared" si="9"/>
        <v>112.621376</v>
      </c>
      <c r="V56" s="89">
        <f t="shared" si="2"/>
        <v>107.41732</v>
      </c>
      <c r="W56" s="90">
        <f t="shared" si="5"/>
        <v>2363.1810399999999</v>
      </c>
      <c r="X56" s="93">
        <f t="shared" si="3"/>
        <v>-4.6208421392400667E-2</v>
      </c>
    </row>
    <row r="57" spans="2:24" x14ac:dyDescent="0.25">
      <c r="B57" s="91">
        <v>39433</v>
      </c>
      <c r="C57" s="89">
        <v>146.61000100000001</v>
      </c>
      <c r="D57" s="89">
        <v>146.86999499999999</v>
      </c>
      <c r="E57" s="89">
        <v>144.86000100000001</v>
      </c>
      <c r="F57" s="89">
        <v>145.070007</v>
      </c>
      <c r="G57" s="89">
        <v>105.884514</v>
      </c>
      <c r="H57" s="89">
        <v>177269400</v>
      </c>
      <c r="J57" s="89">
        <v>0</v>
      </c>
      <c r="K57" s="89">
        <f t="shared" si="6"/>
        <v>88</v>
      </c>
      <c r="L57" s="89">
        <f t="shared" si="7"/>
        <v>112.621376</v>
      </c>
      <c r="M57" s="89">
        <f>+SPY__2[[#This Row],[Adj Close]]</f>
        <v>105.884514</v>
      </c>
      <c r="N57" s="89">
        <f t="shared" si="4"/>
        <v>9317.8372319999999</v>
      </c>
      <c r="O57" s="90">
        <f t="shared" si="10"/>
        <v>-592.84385600000019</v>
      </c>
      <c r="P57" s="93">
        <f t="shared" si="11"/>
        <v>-5.9818679537355313E-2</v>
      </c>
      <c r="Q57" s="96"/>
      <c r="R57" s="96"/>
      <c r="T57" s="90">
        <f t="shared" si="8"/>
        <v>22</v>
      </c>
      <c r="U57" s="89">
        <f t="shared" si="9"/>
        <v>112.621376</v>
      </c>
      <c r="V57" s="89">
        <f t="shared" si="2"/>
        <v>105.884514</v>
      </c>
      <c r="W57" s="90">
        <f t="shared" si="5"/>
        <v>2329.459308</v>
      </c>
      <c r="X57" s="93">
        <f t="shared" si="3"/>
        <v>-5.9818679537355313E-2</v>
      </c>
    </row>
    <row r="58" spans="2:24" x14ac:dyDescent="0.25">
      <c r="B58" s="91">
        <v>39434</v>
      </c>
      <c r="C58" s="89">
        <v>146.10000600000001</v>
      </c>
      <c r="D58" s="89">
        <v>146.479996</v>
      </c>
      <c r="E58" s="89">
        <v>143.96000699999999</v>
      </c>
      <c r="F58" s="89">
        <v>145.88000500000001</v>
      </c>
      <c r="G58" s="89">
        <v>106.47575399999999</v>
      </c>
      <c r="H58" s="89">
        <v>245569300</v>
      </c>
      <c r="J58" s="89">
        <v>0</v>
      </c>
      <c r="K58" s="89">
        <f t="shared" si="6"/>
        <v>88</v>
      </c>
      <c r="L58" s="89">
        <f t="shared" si="7"/>
        <v>112.621376</v>
      </c>
      <c r="M58" s="89">
        <f>+SPY__2[[#This Row],[Adj Close]]</f>
        <v>106.47575399999999</v>
      </c>
      <c r="N58" s="89">
        <f t="shared" si="4"/>
        <v>9369.8663519999991</v>
      </c>
      <c r="O58" s="90">
        <f t="shared" si="10"/>
        <v>-540.81473600000027</v>
      </c>
      <c r="P58" s="93">
        <f t="shared" si="11"/>
        <v>-5.456887687111911E-2</v>
      </c>
      <c r="Q58" s="96"/>
      <c r="R58" s="96"/>
      <c r="T58" s="90">
        <f t="shared" si="8"/>
        <v>22</v>
      </c>
      <c r="U58" s="89">
        <f t="shared" si="9"/>
        <v>112.621376</v>
      </c>
      <c r="V58" s="89">
        <f t="shared" si="2"/>
        <v>106.47575399999999</v>
      </c>
      <c r="W58" s="90">
        <f t="shared" si="5"/>
        <v>2342.4665879999998</v>
      </c>
      <c r="X58" s="93">
        <f t="shared" si="3"/>
        <v>-5.456887687111911E-2</v>
      </c>
    </row>
    <row r="59" spans="2:24" x14ac:dyDescent="0.25">
      <c r="B59" s="91">
        <v>39435</v>
      </c>
      <c r="C59" s="89">
        <v>145.94000199999999</v>
      </c>
      <c r="D59" s="89">
        <v>146.88999899999999</v>
      </c>
      <c r="E59" s="89">
        <v>144.94000199999999</v>
      </c>
      <c r="F59" s="89">
        <v>145.88000500000001</v>
      </c>
      <c r="G59" s="89">
        <v>106.47575399999999</v>
      </c>
      <c r="H59" s="89">
        <v>198917200</v>
      </c>
      <c r="J59" s="89">
        <v>0</v>
      </c>
      <c r="K59" s="89">
        <f t="shared" si="6"/>
        <v>88</v>
      </c>
      <c r="L59" s="89">
        <f t="shared" si="7"/>
        <v>112.621376</v>
      </c>
      <c r="M59" s="89">
        <f>+SPY__2[[#This Row],[Adj Close]]</f>
        <v>106.47575399999999</v>
      </c>
      <c r="N59" s="89">
        <f t="shared" si="4"/>
        <v>9369.8663519999991</v>
      </c>
      <c r="O59" s="90">
        <f t="shared" si="10"/>
        <v>-540.81473600000027</v>
      </c>
      <c r="P59" s="93">
        <f t="shared" si="11"/>
        <v>-5.456887687111911E-2</v>
      </c>
      <c r="Q59" s="96"/>
      <c r="R59" s="96"/>
      <c r="T59" s="90">
        <f t="shared" si="8"/>
        <v>22</v>
      </c>
      <c r="U59" s="89">
        <f t="shared" si="9"/>
        <v>112.621376</v>
      </c>
      <c r="V59" s="89">
        <f t="shared" si="2"/>
        <v>106.47575399999999</v>
      </c>
      <c r="W59" s="90">
        <f t="shared" si="5"/>
        <v>2342.4665879999998</v>
      </c>
      <c r="X59" s="93">
        <f t="shared" si="3"/>
        <v>-5.456887687111911E-2</v>
      </c>
    </row>
    <row r="60" spans="2:24" x14ac:dyDescent="0.25">
      <c r="B60" s="91">
        <v>39436</v>
      </c>
      <c r="C60" s="89">
        <v>146.83999600000001</v>
      </c>
      <c r="D60" s="89">
        <v>146.86000100000001</v>
      </c>
      <c r="E60" s="89">
        <v>145.179993</v>
      </c>
      <c r="F60" s="89">
        <v>146.800003</v>
      </c>
      <c r="G60" s="89">
        <v>107.147255</v>
      </c>
      <c r="H60" s="89">
        <v>214813800</v>
      </c>
      <c r="J60" s="89">
        <v>0</v>
      </c>
      <c r="K60" s="89">
        <f t="shared" si="6"/>
        <v>88</v>
      </c>
      <c r="L60" s="89">
        <f t="shared" si="7"/>
        <v>112.621376</v>
      </c>
      <c r="M60" s="89">
        <f>+SPY__2[[#This Row],[Adj Close]]</f>
        <v>107.147255</v>
      </c>
      <c r="N60" s="89">
        <f t="shared" si="4"/>
        <v>9428.9584400000003</v>
      </c>
      <c r="O60" s="90">
        <f t="shared" si="10"/>
        <v>-481.72264799999971</v>
      </c>
      <c r="P60" s="93">
        <f t="shared" si="11"/>
        <v>-4.8606411983458608E-2</v>
      </c>
      <c r="Q60" s="96"/>
      <c r="R60" s="96"/>
      <c r="T60" s="90">
        <f t="shared" si="8"/>
        <v>22</v>
      </c>
      <c r="U60" s="89">
        <f t="shared" si="9"/>
        <v>112.621376</v>
      </c>
      <c r="V60" s="89">
        <f t="shared" si="2"/>
        <v>107.147255</v>
      </c>
      <c r="W60" s="90">
        <f t="shared" si="5"/>
        <v>2357.2396100000001</v>
      </c>
      <c r="X60" s="93">
        <f t="shared" si="3"/>
        <v>-4.8606411983458497E-2</v>
      </c>
    </row>
    <row r="61" spans="2:24" x14ac:dyDescent="0.25">
      <c r="B61" s="91">
        <v>39437</v>
      </c>
      <c r="C61" s="89">
        <v>147.36999499999999</v>
      </c>
      <c r="D61" s="89">
        <v>148.41999799999999</v>
      </c>
      <c r="E61" s="89">
        <v>147.08999600000001</v>
      </c>
      <c r="F61" s="89">
        <v>148.13000500000001</v>
      </c>
      <c r="G61" s="89">
        <v>108.691833</v>
      </c>
      <c r="H61" s="89">
        <v>146084400</v>
      </c>
      <c r="J61" s="89">
        <v>0</v>
      </c>
      <c r="K61" s="89">
        <f t="shared" si="6"/>
        <v>88</v>
      </c>
      <c r="L61" s="89">
        <f t="shared" si="7"/>
        <v>112.621376</v>
      </c>
      <c r="M61" s="89">
        <f>+SPY__2[[#This Row],[Adj Close]]</f>
        <v>108.691833</v>
      </c>
      <c r="N61" s="89">
        <f t="shared" si="4"/>
        <v>9564.8813040000005</v>
      </c>
      <c r="O61" s="90">
        <f t="shared" si="10"/>
        <v>-345.79978399999959</v>
      </c>
      <c r="P61" s="93">
        <f t="shared" si="11"/>
        <v>-3.4891626612695625E-2</v>
      </c>
      <c r="Q61" s="96"/>
      <c r="R61" s="96"/>
      <c r="T61" s="90">
        <f t="shared" si="8"/>
        <v>22</v>
      </c>
      <c r="U61" s="89">
        <f t="shared" si="9"/>
        <v>112.621376</v>
      </c>
      <c r="V61" s="89">
        <f t="shared" si="2"/>
        <v>108.691833</v>
      </c>
      <c r="W61" s="90">
        <f t="shared" si="5"/>
        <v>2391.2203260000001</v>
      </c>
      <c r="X61" s="93">
        <f t="shared" si="3"/>
        <v>-3.4891626612695514E-2</v>
      </c>
    </row>
    <row r="62" spans="2:24" x14ac:dyDescent="0.25">
      <c r="B62" s="91">
        <v>39440</v>
      </c>
      <c r="C62" s="89">
        <v>148.820007</v>
      </c>
      <c r="D62" s="89">
        <v>149.479996</v>
      </c>
      <c r="E62" s="89">
        <v>148.479996</v>
      </c>
      <c r="F62" s="89">
        <v>149.229996</v>
      </c>
      <c r="G62" s="89">
        <v>109.49894</v>
      </c>
      <c r="H62" s="89">
        <v>45601400</v>
      </c>
      <c r="J62" s="89">
        <v>0</v>
      </c>
      <c r="K62" s="89">
        <f t="shared" si="6"/>
        <v>88</v>
      </c>
      <c r="L62" s="89">
        <f t="shared" si="7"/>
        <v>112.621376</v>
      </c>
      <c r="M62" s="89">
        <f>+SPY__2[[#This Row],[Adj Close]]</f>
        <v>109.49894</v>
      </c>
      <c r="N62" s="89">
        <f t="shared" si="4"/>
        <v>9635.9067200000009</v>
      </c>
      <c r="O62" s="90">
        <f t="shared" si="10"/>
        <v>-274.77436799999941</v>
      </c>
      <c r="P62" s="93">
        <f t="shared" si="11"/>
        <v>-2.7725074145781958E-2</v>
      </c>
      <c r="Q62" s="96"/>
      <c r="R62" s="96"/>
      <c r="T62" s="90">
        <f t="shared" si="8"/>
        <v>22</v>
      </c>
      <c r="U62" s="89">
        <f t="shared" si="9"/>
        <v>112.621376</v>
      </c>
      <c r="V62" s="89">
        <f t="shared" si="2"/>
        <v>109.49894</v>
      </c>
      <c r="W62" s="90">
        <f t="shared" si="5"/>
        <v>2408.9766800000002</v>
      </c>
      <c r="X62" s="93">
        <f t="shared" si="3"/>
        <v>-2.7725074145781958E-2</v>
      </c>
    </row>
    <row r="63" spans="2:24" x14ac:dyDescent="0.25">
      <c r="B63" s="91">
        <v>39442</v>
      </c>
      <c r="C63" s="89">
        <v>148.64999399999999</v>
      </c>
      <c r="D63" s="89">
        <v>149.679993</v>
      </c>
      <c r="E63" s="89">
        <v>148.5</v>
      </c>
      <c r="F63" s="89">
        <v>149.550003</v>
      </c>
      <c r="G63" s="89">
        <v>109.73376500000001</v>
      </c>
      <c r="H63" s="89">
        <v>67093100</v>
      </c>
      <c r="J63" s="89">
        <v>0</v>
      </c>
      <c r="K63" s="89">
        <f t="shared" si="6"/>
        <v>88</v>
      </c>
      <c r="L63" s="89">
        <f t="shared" si="7"/>
        <v>112.621376</v>
      </c>
      <c r="M63" s="89">
        <f>+SPY__2[[#This Row],[Adj Close]]</f>
        <v>109.73376500000001</v>
      </c>
      <c r="N63" s="89">
        <f t="shared" si="4"/>
        <v>9656.5713200000009</v>
      </c>
      <c r="O63" s="90">
        <f t="shared" si="10"/>
        <v>-254.10976799999935</v>
      </c>
      <c r="P63" s="93">
        <f t="shared" si="11"/>
        <v>-2.5639990404663471E-2</v>
      </c>
      <c r="Q63" s="96"/>
      <c r="R63" s="96"/>
      <c r="T63" s="90">
        <f t="shared" si="8"/>
        <v>22</v>
      </c>
      <c r="U63" s="89">
        <f t="shared" si="9"/>
        <v>112.621376</v>
      </c>
      <c r="V63" s="89">
        <f t="shared" si="2"/>
        <v>109.73376500000001</v>
      </c>
      <c r="W63" s="90">
        <f t="shared" si="5"/>
        <v>2414.1428300000002</v>
      </c>
      <c r="X63" s="93">
        <f t="shared" si="3"/>
        <v>-2.563999040466336E-2</v>
      </c>
    </row>
    <row r="64" spans="2:24" x14ac:dyDescent="0.25">
      <c r="B64" s="91">
        <v>39443</v>
      </c>
      <c r="C64" s="89">
        <v>149.020004</v>
      </c>
      <c r="D64" s="89">
        <v>149.029999</v>
      </c>
      <c r="E64" s="89">
        <v>147.320007</v>
      </c>
      <c r="F64" s="89">
        <v>147.66999799999999</v>
      </c>
      <c r="G64" s="89">
        <v>108.35430100000001</v>
      </c>
      <c r="H64" s="89">
        <v>122981700</v>
      </c>
      <c r="J64" s="89">
        <v>0</v>
      </c>
      <c r="K64" s="89">
        <f t="shared" si="6"/>
        <v>88</v>
      </c>
      <c r="L64" s="89">
        <f t="shared" si="7"/>
        <v>112.621376</v>
      </c>
      <c r="M64" s="89">
        <f>+SPY__2[[#This Row],[Adj Close]]</f>
        <v>108.35430100000001</v>
      </c>
      <c r="N64" s="89">
        <f t="shared" si="4"/>
        <v>9535.1784880000014</v>
      </c>
      <c r="O64" s="90">
        <f t="shared" si="10"/>
        <v>-375.50259999999923</v>
      </c>
      <c r="P64" s="93">
        <f t="shared" si="11"/>
        <v>-3.7888677545548699E-2</v>
      </c>
      <c r="Q64" s="96"/>
      <c r="R64" s="96"/>
      <c r="T64" s="90">
        <f t="shared" si="8"/>
        <v>22</v>
      </c>
      <c r="U64" s="89">
        <f t="shared" si="9"/>
        <v>112.621376</v>
      </c>
      <c r="V64" s="89">
        <f t="shared" si="2"/>
        <v>108.35430100000001</v>
      </c>
      <c r="W64" s="90">
        <f t="shared" si="5"/>
        <v>2383.7946220000003</v>
      </c>
      <c r="X64" s="93">
        <f t="shared" si="3"/>
        <v>-3.7888677545548477E-2</v>
      </c>
    </row>
    <row r="65" spans="2:24" x14ac:dyDescent="0.25">
      <c r="B65" s="91">
        <v>39444</v>
      </c>
      <c r="C65" s="89">
        <v>148.53999300000001</v>
      </c>
      <c r="D65" s="89">
        <v>148.61000100000001</v>
      </c>
      <c r="E65" s="89">
        <v>146.89999399999999</v>
      </c>
      <c r="F65" s="89">
        <v>147.300003</v>
      </c>
      <c r="G65" s="89">
        <v>108.082802</v>
      </c>
      <c r="H65" s="89">
        <v>116398100</v>
      </c>
      <c r="J65" s="89">
        <v>0</v>
      </c>
      <c r="K65" s="89">
        <f t="shared" si="6"/>
        <v>88</v>
      </c>
      <c r="L65" s="89">
        <f t="shared" si="7"/>
        <v>112.621376</v>
      </c>
      <c r="M65" s="89">
        <f>+SPY__2[[#This Row],[Adj Close]]</f>
        <v>108.082802</v>
      </c>
      <c r="N65" s="89">
        <f t="shared" si="4"/>
        <v>9511.2865760000004</v>
      </c>
      <c r="O65" s="90">
        <f t="shared" si="10"/>
        <v>-399.39451199999974</v>
      </c>
      <c r="P65" s="93">
        <f t="shared" si="11"/>
        <v>-4.0299401065744367E-2</v>
      </c>
      <c r="Q65" s="96"/>
      <c r="R65" s="96"/>
      <c r="T65" s="90">
        <f t="shared" si="8"/>
        <v>22</v>
      </c>
      <c r="U65" s="89">
        <f t="shared" si="9"/>
        <v>112.621376</v>
      </c>
      <c r="V65" s="89">
        <f t="shared" si="2"/>
        <v>108.082802</v>
      </c>
      <c r="W65" s="90">
        <f t="shared" si="5"/>
        <v>2377.8216440000001</v>
      </c>
      <c r="X65" s="93">
        <f t="shared" si="3"/>
        <v>-4.0299401065744256E-2</v>
      </c>
    </row>
    <row r="66" spans="2:24" x14ac:dyDescent="0.25">
      <c r="B66" s="91">
        <v>39447</v>
      </c>
      <c r="C66" s="89">
        <v>147.10000600000001</v>
      </c>
      <c r="D66" s="89">
        <v>147.61000100000001</v>
      </c>
      <c r="E66" s="89">
        <v>146.05999800000001</v>
      </c>
      <c r="F66" s="89">
        <v>146.21000699999999</v>
      </c>
      <c r="G66" s="89">
        <v>107.282967</v>
      </c>
      <c r="H66" s="89">
        <v>108126800</v>
      </c>
      <c r="J66" s="89">
        <v>0</v>
      </c>
      <c r="K66" s="89">
        <f t="shared" si="6"/>
        <v>88</v>
      </c>
      <c r="L66" s="89">
        <f t="shared" si="7"/>
        <v>112.621376</v>
      </c>
      <c r="M66" s="89">
        <f>+SPY__2[[#This Row],[Adj Close]]</f>
        <v>107.282967</v>
      </c>
      <c r="N66" s="89">
        <f t="shared" si="4"/>
        <v>9440.9010959999996</v>
      </c>
      <c r="O66" s="90">
        <f t="shared" si="10"/>
        <v>-469.77999199999988</v>
      </c>
      <c r="P66" s="93">
        <f t="shared" si="11"/>
        <v>-4.7401383197449132E-2</v>
      </c>
      <c r="Q66" s="96"/>
      <c r="R66" s="96"/>
      <c r="T66" s="90">
        <f t="shared" si="8"/>
        <v>22</v>
      </c>
      <c r="U66" s="89">
        <f t="shared" si="9"/>
        <v>112.621376</v>
      </c>
      <c r="V66" s="89">
        <f t="shared" si="2"/>
        <v>107.282967</v>
      </c>
      <c r="W66" s="90">
        <f t="shared" si="5"/>
        <v>2360.2252739999999</v>
      </c>
      <c r="X66" s="93">
        <f t="shared" si="3"/>
        <v>-4.7401383197449132E-2</v>
      </c>
    </row>
    <row r="67" spans="2:24" x14ac:dyDescent="0.25">
      <c r="B67" s="91">
        <v>39449</v>
      </c>
      <c r="C67" s="89">
        <v>146.529999</v>
      </c>
      <c r="D67" s="89">
        <v>146.990005</v>
      </c>
      <c r="E67" s="89">
        <v>143.88000500000001</v>
      </c>
      <c r="F67" s="89">
        <v>144.929993</v>
      </c>
      <c r="G67" s="89">
        <v>106.34374200000001</v>
      </c>
      <c r="H67" s="89">
        <v>204935600</v>
      </c>
      <c r="J67" s="89">
        <v>0</v>
      </c>
      <c r="K67" s="89">
        <f t="shared" si="6"/>
        <v>88</v>
      </c>
      <c r="L67" s="89">
        <f t="shared" si="7"/>
        <v>112.621376</v>
      </c>
      <c r="M67" s="89">
        <f>+SPY__2[[#This Row],[Adj Close]]</f>
        <v>106.34374200000001</v>
      </c>
      <c r="N67" s="89">
        <f t="shared" si="4"/>
        <v>9358.249296</v>
      </c>
      <c r="O67" s="90">
        <f t="shared" si="10"/>
        <v>-552.43179199999929</v>
      </c>
      <c r="P67" s="93">
        <f t="shared" si="11"/>
        <v>-5.5741052213746589E-2</v>
      </c>
      <c r="Q67" s="96"/>
      <c r="R67" s="90">
        <v>-2500</v>
      </c>
      <c r="S67" s="89">
        <f>-ROUNDDOWN(+R67/M67,0)</f>
        <v>23</v>
      </c>
      <c r="T67" s="90">
        <f>+S67+T3</f>
        <v>45</v>
      </c>
      <c r="U67" s="89">
        <f>+(S3*M3+S67*M67)/T67</f>
        <v>109.41280751111111</v>
      </c>
      <c r="V67" s="89">
        <f t="shared" ref="V67:V130" si="12">+M67</f>
        <v>106.34374200000001</v>
      </c>
      <c r="W67" s="90">
        <f t="shared" si="5"/>
        <v>4785.46839</v>
      </c>
      <c r="X67" s="93">
        <f t="shared" ref="X67:X130" si="13">+W67/(U67*T67)-1</f>
        <v>-2.8050331409322782E-2</v>
      </c>
    </row>
    <row r="68" spans="2:24" x14ac:dyDescent="0.25">
      <c r="B68" s="91">
        <v>39450</v>
      </c>
      <c r="C68" s="89">
        <v>144.91000399999999</v>
      </c>
      <c r="D68" s="89">
        <v>145.490005</v>
      </c>
      <c r="E68" s="89">
        <v>144.070007</v>
      </c>
      <c r="F68" s="89">
        <v>144.86000100000001</v>
      </c>
      <c r="G68" s="89">
        <v>106.292412</v>
      </c>
      <c r="H68" s="89">
        <v>125133300</v>
      </c>
      <c r="J68" s="89">
        <v>0</v>
      </c>
      <c r="K68" s="89">
        <f t="shared" si="6"/>
        <v>88</v>
      </c>
      <c r="L68" s="89">
        <f t="shared" si="7"/>
        <v>112.621376</v>
      </c>
      <c r="M68" s="89">
        <f>+SPY__2[[#This Row],[Adj Close]]</f>
        <v>106.292412</v>
      </c>
      <c r="N68" s="89">
        <f t="shared" ref="N68:N131" si="14">+K68*M68</f>
        <v>9353.7322559999993</v>
      </c>
      <c r="O68" s="90">
        <f t="shared" ref="O68:O131" si="15">+(M68-L68)*K68</f>
        <v>-556.94883199999992</v>
      </c>
      <c r="P68" s="93">
        <f t="shared" ref="P68:P131" si="16">+M68/L68-1</f>
        <v>-5.6196827145851946E-2</v>
      </c>
      <c r="Q68" s="96"/>
      <c r="R68" s="96"/>
      <c r="T68" s="90">
        <f>+T67</f>
        <v>45</v>
      </c>
      <c r="U68" s="89">
        <f>+U67</f>
        <v>109.41280751111111</v>
      </c>
      <c r="V68" s="89">
        <f t="shared" si="12"/>
        <v>106.292412</v>
      </c>
      <c r="W68" s="90">
        <f t="shared" ref="W68:W131" si="17">+V68*T68</f>
        <v>4783.1585400000004</v>
      </c>
      <c r="X68" s="93">
        <f t="shared" si="13"/>
        <v>-2.8519472099225784E-2</v>
      </c>
    </row>
    <row r="69" spans="2:24" x14ac:dyDescent="0.25">
      <c r="B69" s="91">
        <v>39451</v>
      </c>
      <c r="C69" s="89">
        <v>143.33999600000001</v>
      </c>
      <c r="D69" s="89">
        <v>143.44000199999999</v>
      </c>
      <c r="E69" s="89">
        <v>140.91000399999999</v>
      </c>
      <c r="F69" s="89">
        <v>141.30999800000001</v>
      </c>
      <c r="G69" s="89">
        <v>103.687561</v>
      </c>
      <c r="H69" s="89">
        <v>232330900</v>
      </c>
      <c r="J69" s="89">
        <v>0</v>
      </c>
      <c r="K69" s="89">
        <f t="shared" ref="K69:K132" si="18">+$K$3</f>
        <v>88</v>
      </c>
      <c r="L69" s="89">
        <f t="shared" ref="L69:L132" si="19">+$L$3</f>
        <v>112.621376</v>
      </c>
      <c r="M69" s="89">
        <f>+SPY__2[[#This Row],[Adj Close]]</f>
        <v>103.687561</v>
      </c>
      <c r="N69" s="89">
        <f t="shared" si="14"/>
        <v>9124.5053680000001</v>
      </c>
      <c r="O69" s="90">
        <f t="shared" si="15"/>
        <v>-786.17571999999961</v>
      </c>
      <c r="P69" s="93">
        <f t="shared" si="16"/>
        <v>-7.9326104131421715E-2</v>
      </c>
      <c r="Q69" s="96"/>
      <c r="R69" s="96"/>
      <c r="T69" s="90">
        <f t="shared" ref="T69:T127" si="20">+T68</f>
        <v>45</v>
      </c>
      <c r="U69" s="89">
        <f t="shared" ref="U69:U127" si="21">+U68</f>
        <v>109.41280751111111</v>
      </c>
      <c r="V69" s="89">
        <f t="shared" si="12"/>
        <v>103.687561</v>
      </c>
      <c r="W69" s="90">
        <f t="shared" si="17"/>
        <v>4665.9402449999998</v>
      </c>
      <c r="X69" s="93">
        <f t="shared" si="13"/>
        <v>-5.2327023146076401E-2</v>
      </c>
    </row>
    <row r="70" spans="2:24" x14ac:dyDescent="0.25">
      <c r="B70" s="91">
        <v>39454</v>
      </c>
      <c r="C70" s="89">
        <v>141.80999800000001</v>
      </c>
      <c r="D70" s="89">
        <v>142.229996</v>
      </c>
      <c r="E70" s="89">
        <v>140.10000600000001</v>
      </c>
      <c r="F70" s="89">
        <v>141.19000199999999</v>
      </c>
      <c r="G70" s="89">
        <v>103.59953299999999</v>
      </c>
      <c r="H70" s="89">
        <v>234991000</v>
      </c>
      <c r="J70" s="89">
        <v>0</v>
      </c>
      <c r="K70" s="89">
        <f t="shared" si="18"/>
        <v>88</v>
      </c>
      <c r="L70" s="89">
        <f t="shared" si="19"/>
        <v>112.621376</v>
      </c>
      <c r="M70" s="89">
        <f>+SPY__2[[#This Row],[Adj Close]]</f>
        <v>103.59953299999999</v>
      </c>
      <c r="N70" s="89">
        <f t="shared" si="14"/>
        <v>9116.7589040000003</v>
      </c>
      <c r="O70" s="90">
        <f t="shared" si="15"/>
        <v>-793.92218400000036</v>
      </c>
      <c r="P70" s="93">
        <f t="shared" si="16"/>
        <v>-8.0107731946020611E-2</v>
      </c>
      <c r="Q70" s="96"/>
      <c r="R70" s="96"/>
      <c r="T70" s="90">
        <f t="shared" si="20"/>
        <v>45</v>
      </c>
      <c r="U70" s="89">
        <f t="shared" si="21"/>
        <v>109.41280751111111</v>
      </c>
      <c r="V70" s="89">
        <f t="shared" si="12"/>
        <v>103.59953299999999</v>
      </c>
      <c r="W70" s="90">
        <f t="shared" si="17"/>
        <v>4661.9789849999997</v>
      </c>
      <c r="X70" s="93">
        <f t="shared" si="13"/>
        <v>-5.3131572467151611E-2</v>
      </c>
    </row>
    <row r="71" spans="2:24" x14ac:dyDescent="0.25">
      <c r="B71" s="91">
        <v>39455</v>
      </c>
      <c r="C71" s="89">
        <v>142.08000200000001</v>
      </c>
      <c r="D71" s="89">
        <v>142.89999399999999</v>
      </c>
      <c r="E71" s="89">
        <v>138.44000199999999</v>
      </c>
      <c r="F71" s="89">
        <v>138.91000399999999</v>
      </c>
      <c r="G71" s="89">
        <v>101.926537</v>
      </c>
      <c r="H71" s="89">
        <v>326365700</v>
      </c>
      <c r="J71" s="89">
        <v>0</v>
      </c>
      <c r="K71" s="89">
        <f t="shared" si="18"/>
        <v>88</v>
      </c>
      <c r="L71" s="89">
        <f t="shared" si="19"/>
        <v>112.621376</v>
      </c>
      <c r="M71" s="89">
        <f>+SPY__2[[#This Row],[Adj Close]]</f>
        <v>101.926537</v>
      </c>
      <c r="N71" s="89">
        <f t="shared" si="14"/>
        <v>8969.5352559999992</v>
      </c>
      <c r="O71" s="90">
        <f t="shared" si="15"/>
        <v>-941.14583200000015</v>
      </c>
      <c r="P71" s="93">
        <f t="shared" si="16"/>
        <v>-9.4962780422785831E-2</v>
      </c>
      <c r="Q71" s="96"/>
      <c r="R71" s="96"/>
      <c r="T71" s="90">
        <f t="shared" si="20"/>
        <v>45</v>
      </c>
      <c r="U71" s="89">
        <f t="shared" si="21"/>
        <v>109.41280751111111</v>
      </c>
      <c r="V71" s="89">
        <f t="shared" si="12"/>
        <v>101.926537</v>
      </c>
      <c r="W71" s="90">
        <f t="shared" si="17"/>
        <v>4586.6941649999999</v>
      </c>
      <c r="X71" s="93">
        <f t="shared" si="13"/>
        <v>-6.8422250387376815E-2</v>
      </c>
    </row>
    <row r="72" spans="2:24" x14ac:dyDescent="0.25">
      <c r="B72" s="91">
        <v>39456</v>
      </c>
      <c r="C72" s="89">
        <v>139.08999600000001</v>
      </c>
      <c r="D72" s="89">
        <v>140.78999300000001</v>
      </c>
      <c r="E72" s="89">
        <v>137.699997</v>
      </c>
      <c r="F72" s="89">
        <v>140.36999499999999</v>
      </c>
      <c r="G72" s="89">
        <v>102.997826</v>
      </c>
      <c r="H72" s="89">
        <v>301824900</v>
      </c>
      <c r="J72" s="89">
        <v>0</v>
      </c>
      <c r="K72" s="89">
        <f t="shared" si="18"/>
        <v>88</v>
      </c>
      <c r="L72" s="89">
        <f t="shared" si="19"/>
        <v>112.621376</v>
      </c>
      <c r="M72" s="89">
        <f>+SPY__2[[#This Row],[Adj Close]]</f>
        <v>102.997826</v>
      </c>
      <c r="N72" s="89">
        <f t="shared" si="14"/>
        <v>9063.808688000001</v>
      </c>
      <c r="O72" s="90">
        <f t="shared" si="15"/>
        <v>-846.87239999999952</v>
      </c>
      <c r="P72" s="93">
        <f t="shared" si="16"/>
        <v>-8.545047433979136E-2</v>
      </c>
      <c r="Q72" s="96"/>
      <c r="R72" s="96"/>
      <c r="T72" s="90">
        <f t="shared" si="20"/>
        <v>45</v>
      </c>
      <c r="U72" s="89">
        <f t="shared" si="21"/>
        <v>109.41280751111111</v>
      </c>
      <c r="V72" s="89">
        <f t="shared" si="12"/>
        <v>102.997826</v>
      </c>
      <c r="W72" s="90">
        <f t="shared" si="17"/>
        <v>4634.9021700000003</v>
      </c>
      <c r="X72" s="93">
        <f t="shared" si="13"/>
        <v>-5.8630992632737633E-2</v>
      </c>
    </row>
    <row r="73" spans="2:24" x14ac:dyDescent="0.25">
      <c r="B73" s="91">
        <v>39457</v>
      </c>
      <c r="C73" s="89">
        <v>139.679993</v>
      </c>
      <c r="D73" s="89">
        <v>142.800003</v>
      </c>
      <c r="E73" s="89">
        <v>139.36999499999999</v>
      </c>
      <c r="F73" s="89">
        <v>141.28999300000001</v>
      </c>
      <c r="G73" s="89">
        <v>103.672882</v>
      </c>
      <c r="H73" s="89">
        <v>335701200</v>
      </c>
      <c r="J73" s="89">
        <v>0</v>
      </c>
      <c r="K73" s="89">
        <f t="shared" si="18"/>
        <v>88</v>
      </c>
      <c r="L73" s="89">
        <f t="shared" si="19"/>
        <v>112.621376</v>
      </c>
      <c r="M73" s="89">
        <f>+SPY__2[[#This Row],[Adj Close]]</f>
        <v>103.672882</v>
      </c>
      <c r="N73" s="89">
        <f t="shared" si="14"/>
        <v>9123.2136160000009</v>
      </c>
      <c r="O73" s="90">
        <f t="shared" si="15"/>
        <v>-787.4674719999997</v>
      </c>
      <c r="P73" s="93">
        <f t="shared" si="16"/>
        <v>-7.9456443508557406E-2</v>
      </c>
      <c r="Q73" s="96"/>
      <c r="R73" s="96"/>
      <c r="T73" s="90">
        <f t="shared" si="20"/>
        <v>45</v>
      </c>
      <c r="U73" s="89">
        <f t="shared" si="21"/>
        <v>109.41280751111111</v>
      </c>
      <c r="V73" s="89">
        <f t="shared" si="12"/>
        <v>103.672882</v>
      </c>
      <c r="W73" s="90">
        <f t="shared" si="17"/>
        <v>4665.2796900000003</v>
      </c>
      <c r="X73" s="93">
        <f t="shared" si="13"/>
        <v>-5.2461184770605573E-2</v>
      </c>
    </row>
    <row r="74" spans="2:24" x14ac:dyDescent="0.25">
      <c r="B74" s="91">
        <v>39458</v>
      </c>
      <c r="C74" s="89">
        <v>140.779999</v>
      </c>
      <c r="D74" s="89">
        <v>141.89999399999999</v>
      </c>
      <c r="E74" s="89">
        <v>139</v>
      </c>
      <c r="F74" s="89">
        <v>140.14999399999999</v>
      </c>
      <c r="G74" s="89">
        <v>102.83641799999999</v>
      </c>
      <c r="H74" s="89">
        <v>267076600</v>
      </c>
      <c r="J74" s="89">
        <v>0</v>
      </c>
      <c r="K74" s="89">
        <f t="shared" si="18"/>
        <v>88</v>
      </c>
      <c r="L74" s="89">
        <f t="shared" si="19"/>
        <v>112.621376</v>
      </c>
      <c r="M74" s="89">
        <f>+SPY__2[[#This Row],[Adj Close]]</f>
        <v>102.83641799999999</v>
      </c>
      <c r="N74" s="89">
        <f t="shared" si="14"/>
        <v>9049.6047839999992</v>
      </c>
      <c r="O74" s="90">
        <f t="shared" si="15"/>
        <v>-861.07630400000028</v>
      </c>
      <c r="P74" s="93">
        <f t="shared" si="16"/>
        <v>-8.6883665850433278E-2</v>
      </c>
      <c r="Q74" s="96"/>
      <c r="R74" s="96"/>
      <c r="T74" s="90">
        <f t="shared" si="20"/>
        <v>45</v>
      </c>
      <c r="U74" s="89">
        <f t="shared" si="21"/>
        <v>109.41280751111111</v>
      </c>
      <c r="V74" s="89">
        <f t="shared" si="12"/>
        <v>102.83641799999999</v>
      </c>
      <c r="W74" s="90">
        <f t="shared" si="17"/>
        <v>4627.6388099999995</v>
      </c>
      <c r="X74" s="93">
        <f t="shared" si="13"/>
        <v>-6.0106212980991947E-2</v>
      </c>
    </row>
    <row r="75" spans="2:24" x14ac:dyDescent="0.25">
      <c r="B75" s="91">
        <v>39461</v>
      </c>
      <c r="C75" s="89">
        <v>141.16000399999999</v>
      </c>
      <c r="D75" s="89">
        <v>141.86000100000001</v>
      </c>
      <c r="E75" s="89">
        <v>140.39999399999999</v>
      </c>
      <c r="F75" s="89">
        <v>141.279999</v>
      </c>
      <c r="G75" s="89">
        <v>103.665558</v>
      </c>
      <c r="H75" s="89">
        <v>170365500</v>
      </c>
      <c r="J75" s="89">
        <v>0</v>
      </c>
      <c r="K75" s="89">
        <f t="shared" si="18"/>
        <v>88</v>
      </c>
      <c r="L75" s="89">
        <f t="shared" si="19"/>
        <v>112.621376</v>
      </c>
      <c r="M75" s="89">
        <f>+SPY__2[[#This Row],[Adj Close]]</f>
        <v>103.665558</v>
      </c>
      <c r="N75" s="89">
        <f t="shared" si="14"/>
        <v>9122.5691040000002</v>
      </c>
      <c r="O75" s="90">
        <f t="shared" si="15"/>
        <v>-788.11198399999944</v>
      </c>
      <c r="P75" s="93">
        <f t="shared" si="16"/>
        <v>-7.9521475567835287E-2</v>
      </c>
      <c r="Q75" s="96"/>
      <c r="R75" s="96"/>
      <c r="T75" s="90">
        <f t="shared" si="20"/>
        <v>45</v>
      </c>
      <c r="U75" s="89">
        <f t="shared" si="21"/>
        <v>109.41280751111111</v>
      </c>
      <c r="V75" s="89">
        <f t="shared" si="12"/>
        <v>103.665558</v>
      </c>
      <c r="W75" s="90">
        <f t="shared" si="17"/>
        <v>4664.9501099999998</v>
      </c>
      <c r="X75" s="93">
        <f t="shared" si="13"/>
        <v>-5.2528123917553904E-2</v>
      </c>
    </row>
    <row r="76" spans="2:24" x14ac:dyDescent="0.25">
      <c r="B76" s="91">
        <v>39462</v>
      </c>
      <c r="C76" s="89">
        <v>139.78999300000001</v>
      </c>
      <c r="D76" s="89">
        <v>141.490005</v>
      </c>
      <c r="E76" s="89">
        <v>137.89999399999999</v>
      </c>
      <c r="F76" s="89">
        <v>138.16999799999999</v>
      </c>
      <c r="G76" s="89">
        <v>101.38359800000001</v>
      </c>
      <c r="H76" s="89">
        <v>239940100</v>
      </c>
      <c r="J76" s="89">
        <v>0</v>
      </c>
      <c r="K76" s="89">
        <f t="shared" si="18"/>
        <v>88</v>
      </c>
      <c r="L76" s="89">
        <f t="shared" si="19"/>
        <v>112.621376</v>
      </c>
      <c r="M76" s="89">
        <f>+SPY__2[[#This Row],[Adj Close]]</f>
        <v>101.38359800000001</v>
      </c>
      <c r="N76" s="89">
        <f t="shared" si="14"/>
        <v>8921.7566240000015</v>
      </c>
      <c r="O76" s="90">
        <f t="shared" si="15"/>
        <v>-988.92446399999926</v>
      </c>
      <c r="P76" s="93">
        <f t="shared" si="16"/>
        <v>-9.9783703583944727E-2</v>
      </c>
      <c r="Q76" s="96"/>
      <c r="R76" s="96"/>
      <c r="T76" s="90">
        <f t="shared" si="20"/>
        <v>45</v>
      </c>
      <c r="U76" s="89">
        <f t="shared" si="21"/>
        <v>109.41280751111111</v>
      </c>
      <c r="V76" s="89">
        <f t="shared" si="12"/>
        <v>101.38359800000001</v>
      </c>
      <c r="W76" s="90">
        <f t="shared" si="17"/>
        <v>4562.2619100000002</v>
      </c>
      <c r="X76" s="93">
        <f t="shared" si="13"/>
        <v>-7.3384548790558335E-2</v>
      </c>
    </row>
    <row r="77" spans="2:24" x14ac:dyDescent="0.25">
      <c r="B77" s="91">
        <v>39463</v>
      </c>
      <c r="C77" s="89">
        <v>137.36000100000001</v>
      </c>
      <c r="D77" s="89">
        <v>139.11999499999999</v>
      </c>
      <c r="E77" s="89">
        <v>136.279999</v>
      </c>
      <c r="F77" s="89">
        <v>136.979996</v>
      </c>
      <c r="G77" s="89">
        <v>100.510361</v>
      </c>
      <c r="H77" s="89">
        <v>378802600</v>
      </c>
      <c r="J77" s="89">
        <v>0</v>
      </c>
      <c r="K77" s="89">
        <f t="shared" si="18"/>
        <v>88</v>
      </c>
      <c r="L77" s="89">
        <f t="shared" si="19"/>
        <v>112.621376</v>
      </c>
      <c r="M77" s="89">
        <f>+SPY__2[[#This Row],[Adj Close]]</f>
        <v>100.510361</v>
      </c>
      <c r="N77" s="89">
        <f t="shared" si="14"/>
        <v>8844.9117679999999</v>
      </c>
      <c r="O77" s="90">
        <f t="shared" si="15"/>
        <v>-1065.7693199999994</v>
      </c>
      <c r="P77" s="93">
        <f t="shared" si="16"/>
        <v>-0.10753744475649096</v>
      </c>
      <c r="Q77" s="96"/>
      <c r="R77" s="96"/>
      <c r="T77" s="90">
        <f t="shared" si="20"/>
        <v>45</v>
      </c>
      <c r="U77" s="89">
        <f t="shared" si="21"/>
        <v>109.41280751111111</v>
      </c>
      <c r="V77" s="89">
        <f t="shared" si="12"/>
        <v>100.510361</v>
      </c>
      <c r="W77" s="90">
        <f t="shared" si="17"/>
        <v>4522.9662450000005</v>
      </c>
      <c r="X77" s="93">
        <f t="shared" si="13"/>
        <v>-8.1365671109454252E-2</v>
      </c>
    </row>
    <row r="78" spans="2:24" x14ac:dyDescent="0.25">
      <c r="B78" s="91">
        <v>39464</v>
      </c>
      <c r="C78" s="89">
        <v>137.80999800000001</v>
      </c>
      <c r="D78" s="89">
        <v>137.88000500000001</v>
      </c>
      <c r="E78" s="89">
        <v>132.929993</v>
      </c>
      <c r="F78" s="89">
        <v>133.429993</v>
      </c>
      <c r="G78" s="89">
        <v>97.905524999999997</v>
      </c>
      <c r="H78" s="89">
        <v>397892600</v>
      </c>
      <c r="J78" s="89">
        <v>0</v>
      </c>
      <c r="K78" s="89">
        <f t="shared" si="18"/>
        <v>88</v>
      </c>
      <c r="L78" s="89">
        <f t="shared" si="19"/>
        <v>112.621376</v>
      </c>
      <c r="M78" s="89">
        <f>+SPY__2[[#This Row],[Adj Close]]</f>
        <v>97.905524999999997</v>
      </c>
      <c r="N78" s="89">
        <f t="shared" si="14"/>
        <v>8615.6862000000001</v>
      </c>
      <c r="O78" s="90">
        <f t="shared" si="15"/>
        <v>-1294.9948880000002</v>
      </c>
      <c r="P78" s="93">
        <f t="shared" si="16"/>
        <v>-0.13066658855242541</v>
      </c>
      <c r="Q78" s="96"/>
      <c r="R78" s="96"/>
      <c r="T78" s="90">
        <f t="shared" si="20"/>
        <v>45</v>
      </c>
      <c r="U78" s="89">
        <f t="shared" si="21"/>
        <v>109.41280751111111</v>
      </c>
      <c r="V78" s="89">
        <f t="shared" si="12"/>
        <v>97.905524999999997</v>
      </c>
      <c r="W78" s="90">
        <f t="shared" si="17"/>
        <v>4405.7486250000002</v>
      </c>
      <c r="X78" s="93">
        <f t="shared" si="13"/>
        <v>-0.10517308506083722</v>
      </c>
    </row>
    <row r="79" spans="2:24" x14ac:dyDescent="0.25">
      <c r="B79" s="91">
        <v>39465</v>
      </c>
      <c r="C79" s="89">
        <v>134.740005</v>
      </c>
      <c r="D79" s="89">
        <v>135.020004</v>
      </c>
      <c r="E79" s="89">
        <v>131.10000600000001</v>
      </c>
      <c r="F79" s="89">
        <v>132.05999800000001</v>
      </c>
      <c r="G79" s="89">
        <v>96.900313999999995</v>
      </c>
      <c r="H79" s="89">
        <v>348561500</v>
      </c>
      <c r="J79" s="89">
        <v>0</v>
      </c>
      <c r="K79" s="89">
        <f t="shared" si="18"/>
        <v>88</v>
      </c>
      <c r="L79" s="89">
        <f t="shared" si="19"/>
        <v>112.621376</v>
      </c>
      <c r="M79" s="89">
        <f>+SPY__2[[#This Row],[Adj Close]]</f>
        <v>96.900313999999995</v>
      </c>
      <c r="N79" s="89">
        <f t="shared" si="14"/>
        <v>8527.2276320000001</v>
      </c>
      <c r="O79" s="90">
        <f t="shared" si="15"/>
        <v>-1383.4534560000002</v>
      </c>
      <c r="P79" s="93">
        <f t="shared" si="16"/>
        <v>-0.1395921676538564</v>
      </c>
      <c r="Q79" s="96"/>
      <c r="R79" s="96"/>
      <c r="T79" s="90">
        <f t="shared" si="20"/>
        <v>45</v>
      </c>
      <c r="U79" s="89">
        <f t="shared" si="21"/>
        <v>109.41280751111111</v>
      </c>
      <c r="V79" s="89">
        <f t="shared" si="12"/>
        <v>96.900313999999995</v>
      </c>
      <c r="W79" s="90">
        <f t="shared" si="17"/>
        <v>4360.5141299999996</v>
      </c>
      <c r="X79" s="93">
        <f t="shared" si="13"/>
        <v>-0.11436040986189344</v>
      </c>
    </row>
    <row r="80" spans="2:24" x14ac:dyDescent="0.25">
      <c r="B80" s="91">
        <v>39469</v>
      </c>
      <c r="C80" s="89">
        <v>127.209999</v>
      </c>
      <c r="D80" s="89">
        <v>132.429993</v>
      </c>
      <c r="E80" s="89">
        <v>126</v>
      </c>
      <c r="F80" s="89">
        <v>130.720001</v>
      </c>
      <c r="G80" s="89">
        <v>95.917068</v>
      </c>
      <c r="H80" s="89">
        <v>435923700</v>
      </c>
      <c r="J80" s="89">
        <v>0</v>
      </c>
      <c r="K80" s="89">
        <f t="shared" si="18"/>
        <v>88</v>
      </c>
      <c r="L80" s="89">
        <f t="shared" si="19"/>
        <v>112.621376</v>
      </c>
      <c r="M80" s="89">
        <f>+SPY__2[[#This Row],[Adj Close]]</f>
        <v>95.917068</v>
      </c>
      <c r="N80" s="89">
        <f t="shared" si="14"/>
        <v>8440.7019839999994</v>
      </c>
      <c r="O80" s="90">
        <f t="shared" si="15"/>
        <v>-1469.9791039999998</v>
      </c>
      <c r="P80" s="93">
        <f t="shared" si="16"/>
        <v>-0.14832271273261655</v>
      </c>
      <c r="Q80" s="96"/>
      <c r="R80" s="96"/>
      <c r="T80" s="90">
        <f t="shared" si="20"/>
        <v>45</v>
      </c>
      <c r="U80" s="89">
        <f t="shared" si="21"/>
        <v>109.41280751111111</v>
      </c>
      <c r="V80" s="89">
        <f t="shared" si="12"/>
        <v>95.917068</v>
      </c>
      <c r="W80" s="90">
        <f t="shared" si="17"/>
        <v>4316.2680600000003</v>
      </c>
      <c r="X80" s="93">
        <f t="shared" si="13"/>
        <v>-0.12334698119998955</v>
      </c>
    </row>
    <row r="81" spans="2:24" x14ac:dyDescent="0.25">
      <c r="B81" s="91">
        <v>39470</v>
      </c>
      <c r="C81" s="89">
        <v>127.089996</v>
      </c>
      <c r="D81" s="89">
        <v>134.19000199999999</v>
      </c>
      <c r="E81" s="89">
        <v>126.839996</v>
      </c>
      <c r="F81" s="89">
        <v>133.86000100000001</v>
      </c>
      <c r="G81" s="89">
        <v>98.221053999999995</v>
      </c>
      <c r="H81" s="89">
        <v>511913000</v>
      </c>
      <c r="J81" s="89">
        <v>0</v>
      </c>
      <c r="K81" s="89">
        <f t="shared" si="18"/>
        <v>88</v>
      </c>
      <c r="L81" s="89">
        <f t="shared" si="19"/>
        <v>112.621376</v>
      </c>
      <c r="M81" s="89">
        <f>+SPY__2[[#This Row],[Adj Close]]</f>
        <v>98.221053999999995</v>
      </c>
      <c r="N81" s="89">
        <f t="shared" si="14"/>
        <v>8643.4527519999992</v>
      </c>
      <c r="O81" s="90">
        <f t="shared" si="15"/>
        <v>-1267.2283360000001</v>
      </c>
      <c r="P81" s="93">
        <f t="shared" si="16"/>
        <v>-0.12786490905598602</v>
      </c>
      <c r="Q81" s="96"/>
      <c r="R81" s="96"/>
      <c r="T81" s="90">
        <f t="shared" si="20"/>
        <v>45</v>
      </c>
      <c r="U81" s="89">
        <f t="shared" si="21"/>
        <v>109.41280751111111</v>
      </c>
      <c r="V81" s="89">
        <f t="shared" si="12"/>
        <v>98.221053999999995</v>
      </c>
      <c r="W81" s="90">
        <f t="shared" si="17"/>
        <v>4419.9474300000002</v>
      </c>
      <c r="X81" s="93">
        <f t="shared" si="13"/>
        <v>-0.10228924534245731</v>
      </c>
    </row>
    <row r="82" spans="2:24" x14ac:dyDescent="0.25">
      <c r="B82" s="91">
        <v>39471</v>
      </c>
      <c r="C82" s="89">
        <v>134.479996</v>
      </c>
      <c r="D82" s="89">
        <v>135.46000699999999</v>
      </c>
      <c r="E82" s="89">
        <v>133.30999800000001</v>
      </c>
      <c r="F82" s="89">
        <v>134.990005</v>
      </c>
      <c r="G82" s="89">
        <v>99.050217000000004</v>
      </c>
      <c r="H82" s="89">
        <v>259949300</v>
      </c>
      <c r="J82" s="89">
        <v>0</v>
      </c>
      <c r="K82" s="89">
        <f t="shared" si="18"/>
        <v>88</v>
      </c>
      <c r="L82" s="89">
        <f t="shared" si="19"/>
        <v>112.621376</v>
      </c>
      <c r="M82" s="89">
        <f>+SPY__2[[#This Row],[Adj Close]]</f>
        <v>99.050217000000004</v>
      </c>
      <c r="N82" s="89">
        <f t="shared" si="14"/>
        <v>8716.4190959999996</v>
      </c>
      <c r="O82" s="90">
        <f t="shared" si="15"/>
        <v>-1194.2619919999995</v>
      </c>
      <c r="P82" s="93">
        <f t="shared" si="16"/>
        <v>-0.12050251454928051</v>
      </c>
      <c r="Q82" s="96"/>
      <c r="R82" s="96"/>
      <c r="T82" s="90">
        <f t="shared" si="20"/>
        <v>45</v>
      </c>
      <c r="U82" s="89">
        <f t="shared" si="21"/>
        <v>109.41280751111111</v>
      </c>
      <c r="V82" s="89">
        <f t="shared" si="12"/>
        <v>99.050217000000004</v>
      </c>
      <c r="W82" s="90">
        <f t="shared" si="17"/>
        <v>4457.2597649999998</v>
      </c>
      <c r="X82" s="93">
        <f t="shared" si="13"/>
        <v>-9.4710946065969193E-2</v>
      </c>
    </row>
    <row r="83" spans="2:24" x14ac:dyDescent="0.25">
      <c r="B83" s="91">
        <v>39472</v>
      </c>
      <c r="C83" s="89">
        <v>136.509995</v>
      </c>
      <c r="D83" s="89">
        <v>136.759995</v>
      </c>
      <c r="E83" s="89">
        <v>132.60000600000001</v>
      </c>
      <c r="F83" s="89">
        <v>133.03999300000001</v>
      </c>
      <c r="G83" s="89">
        <v>97.619377</v>
      </c>
      <c r="H83" s="89">
        <v>269603900</v>
      </c>
      <c r="J83" s="89">
        <v>0</v>
      </c>
      <c r="K83" s="89">
        <f t="shared" si="18"/>
        <v>88</v>
      </c>
      <c r="L83" s="89">
        <f t="shared" si="19"/>
        <v>112.621376</v>
      </c>
      <c r="M83" s="89">
        <f>+SPY__2[[#This Row],[Adj Close]]</f>
        <v>97.619377</v>
      </c>
      <c r="N83" s="89">
        <f t="shared" si="14"/>
        <v>8590.5051760000006</v>
      </c>
      <c r="O83" s="90">
        <f t="shared" si="15"/>
        <v>-1320.1759119999997</v>
      </c>
      <c r="P83" s="93">
        <f t="shared" si="16"/>
        <v>-0.13320738507048602</v>
      </c>
      <c r="Q83" s="96"/>
      <c r="R83" s="96"/>
      <c r="T83" s="90">
        <f t="shared" si="20"/>
        <v>45</v>
      </c>
      <c r="U83" s="89">
        <f t="shared" si="21"/>
        <v>109.41280751111111</v>
      </c>
      <c r="V83" s="89">
        <f t="shared" si="12"/>
        <v>97.619377</v>
      </c>
      <c r="W83" s="90">
        <f t="shared" si="17"/>
        <v>4392.8719650000003</v>
      </c>
      <c r="X83" s="93">
        <f t="shared" si="13"/>
        <v>-0.10778839131710838</v>
      </c>
    </row>
    <row r="84" spans="2:24" x14ac:dyDescent="0.25">
      <c r="B84" s="91">
        <v>39475</v>
      </c>
      <c r="C84" s="89">
        <v>133.259995</v>
      </c>
      <c r="D84" s="89">
        <v>135.520004</v>
      </c>
      <c r="E84" s="89">
        <v>132.05999800000001</v>
      </c>
      <c r="F84" s="89">
        <v>135.240005</v>
      </c>
      <c r="G84" s="89">
        <v>99.233620000000002</v>
      </c>
      <c r="H84" s="89">
        <v>217934600</v>
      </c>
      <c r="J84" s="89">
        <v>0</v>
      </c>
      <c r="K84" s="89">
        <f t="shared" si="18"/>
        <v>88</v>
      </c>
      <c r="L84" s="89">
        <f t="shared" si="19"/>
        <v>112.621376</v>
      </c>
      <c r="M84" s="89">
        <f>+SPY__2[[#This Row],[Adj Close]]</f>
        <v>99.233620000000002</v>
      </c>
      <c r="N84" s="89">
        <f t="shared" si="14"/>
        <v>8732.5585599999995</v>
      </c>
      <c r="O84" s="90">
        <f t="shared" si="15"/>
        <v>-1178.1225279999996</v>
      </c>
      <c r="P84" s="93">
        <f t="shared" si="16"/>
        <v>-0.11887402263669733</v>
      </c>
      <c r="Q84" s="96"/>
      <c r="R84" s="96"/>
      <c r="T84" s="90">
        <f t="shared" si="20"/>
        <v>45</v>
      </c>
      <c r="U84" s="89">
        <f t="shared" si="21"/>
        <v>109.41280751111111</v>
      </c>
      <c r="V84" s="89">
        <f t="shared" si="12"/>
        <v>99.233620000000002</v>
      </c>
      <c r="W84" s="90">
        <f t="shared" si="17"/>
        <v>4465.5128999999997</v>
      </c>
      <c r="X84" s="93">
        <f t="shared" si="13"/>
        <v>-9.3034698063820365E-2</v>
      </c>
    </row>
    <row r="85" spans="2:24" x14ac:dyDescent="0.25">
      <c r="B85" s="91">
        <v>39476</v>
      </c>
      <c r="C85" s="89">
        <v>136.10000600000001</v>
      </c>
      <c r="D85" s="89">
        <v>136.449997</v>
      </c>
      <c r="E85" s="89">
        <v>134.88000500000001</v>
      </c>
      <c r="F85" s="89">
        <v>135.91000399999999</v>
      </c>
      <c r="G85" s="89">
        <v>99.725288000000006</v>
      </c>
      <c r="H85" s="89">
        <v>168968300</v>
      </c>
      <c r="J85" s="89">
        <v>0</v>
      </c>
      <c r="K85" s="89">
        <f t="shared" si="18"/>
        <v>88</v>
      </c>
      <c r="L85" s="89">
        <f t="shared" si="19"/>
        <v>112.621376</v>
      </c>
      <c r="M85" s="89">
        <f>+SPY__2[[#This Row],[Adj Close]]</f>
        <v>99.725288000000006</v>
      </c>
      <c r="N85" s="89">
        <f t="shared" si="14"/>
        <v>8775.8253440000008</v>
      </c>
      <c r="O85" s="90">
        <f t="shared" si="15"/>
        <v>-1134.8557439999993</v>
      </c>
      <c r="P85" s="93">
        <f t="shared" si="16"/>
        <v>-0.11450835052841113</v>
      </c>
      <c r="Q85" s="96"/>
      <c r="R85" s="96"/>
      <c r="T85" s="90">
        <f t="shared" si="20"/>
        <v>45</v>
      </c>
      <c r="U85" s="89">
        <f t="shared" si="21"/>
        <v>109.41280751111111</v>
      </c>
      <c r="V85" s="89">
        <f t="shared" si="12"/>
        <v>99.725288000000006</v>
      </c>
      <c r="W85" s="90">
        <f t="shared" si="17"/>
        <v>4487.63796</v>
      </c>
      <c r="X85" s="93">
        <f t="shared" si="13"/>
        <v>-8.8541001108369488E-2</v>
      </c>
    </row>
    <row r="86" spans="2:24" x14ac:dyDescent="0.25">
      <c r="B86" s="91">
        <v>39477</v>
      </c>
      <c r="C86" s="89">
        <v>135.58000200000001</v>
      </c>
      <c r="D86" s="89">
        <v>138.53999300000001</v>
      </c>
      <c r="E86" s="89">
        <v>134.60000600000001</v>
      </c>
      <c r="F86" s="89">
        <v>134.91000399999999</v>
      </c>
      <c r="G86" s="89">
        <v>98.991470000000007</v>
      </c>
      <c r="H86" s="89">
        <v>334939200</v>
      </c>
      <c r="J86" s="89">
        <v>0</v>
      </c>
      <c r="K86" s="89">
        <f t="shared" si="18"/>
        <v>88</v>
      </c>
      <c r="L86" s="89">
        <f t="shared" si="19"/>
        <v>112.621376</v>
      </c>
      <c r="M86" s="89">
        <f>+SPY__2[[#This Row],[Adj Close]]</f>
        <v>98.991470000000007</v>
      </c>
      <c r="N86" s="89">
        <f t="shared" si="14"/>
        <v>8711.2493599999998</v>
      </c>
      <c r="O86" s="90">
        <f t="shared" si="15"/>
        <v>-1199.4317279999991</v>
      </c>
      <c r="P86" s="93">
        <f t="shared" si="16"/>
        <v>-0.12102414731640276</v>
      </c>
      <c r="Q86" s="96"/>
      <c r="R86" s="96"/>
      <c r="T86" s="90">
        <f t="shared" si="20"/>
        <v>45</v>
      </c>
      <c r="U86" s="89">
        <f t="shared" si="21"/>
        <v>109.41280751111111</v>
      </c>
      <c r="V86" s="89">
        <f t="shared" si="12"/>
        <v>98.991470000000007</v>
      </c>
      <c r="W86" s="90">
        <f t="shared" si="17"/>
        <v>4454.6161500000007</v>
      </c>
      <c r="X86" s="93">
        <f t="shared" si="13"/>
        <v>-9.5247875894719058E-2</v>
      </c>
    </row>
    <row r="87" spans="2:24" x14ac:dyDescent="0.25">
      <c r="B87" s="91">
        <v>39478</v>
      </c>
      <c r="C87" s="89">
        <v>133.39999399999999</v>
      </c>
      <c r="D87" s="89">
        <v>138.53999300000001</v>
      </c>
      <c r="E87" s="89">
        <v>133.199997</v>
      </c>
      <c r="F87" s="89">
        <v>137.36999499999999</v>
      </c>
      <c r="G87" s="89">
        <v>100.796577</v>
      </c>
      <c r="H87" s="89">
        <v>343680800</v>
      </c>
      <c r="J87" s="89">
        <v>0</v>
      </c>
      <c r="K87" s="89">
        <f t="shared" si="18"/>
        <v>88</v>
      </c>
      <c r="L87" s="89">
        <f t="shared" si="19"/>
        <v>112.621376</v>
      </c>
      <c r="M87" s="89">
        <f>+SPY__2[[#This Row],[Adj Close]]</f>
        <v>100.796577</v>
      </c>
      <c r="N87" s="89">
        <f t="shared" si="14"/>
        <v>8870.0987760000007</v>
      </c>
      <c r="O87" s="90">
        <f t="shared" si="15"/>
        <v>-1040.582312</v>
      </c>
      <c r="P87" s="93">
        <f t="shared" si="16"/>
        <v>-0.10499604444541677</v>
      </c>
      <c r="Q87" s="96"/>
      <c r="R87" s="96"/>
      <c r="T87" s="90">
        <f t="shared" si="20"/>
        <v>45</v>
      </c>
      <c r="U87" s="89">
        <f t="shared" si="21"/>
        <v>109.41280751111111</v>
      </c>
      <c r="V87" s="89">
        <f t="shared" si="12"/>
        <v>100.796577</v>
      </c>
      <c r="W87" s="90">
        <f t="shared" si="17"/>
        <v>4535.8459649999995</v>
      </c>
      <c r="X87" s="93">
        <f t="shared" si="13"/>
        <v>-7.8749743353730528E-2</v>
      </c>
    </row>
    <row r="88" spans="2:24" x14ac:dyDescent="0.25">
      <c r="B88" s="91">
        <v>39479</v>
      </c>
      <c r="C88" s="89">
        <v>137.94000199999999</v>
      </c>
      <c r="D88" s="89">
        <v>139.61000100000001</v>
      </c>
      <c r="E88" s="89">
        <v>137.520004</v>
      </c>
      <c r="F88" s="89">
        <v>139.58000200000001</v>
      </c>
      <c r="G88" s="89">
        <v>102.418167</v>
      </c>
      <c r="H88" s="89">
        <v>206843600</v>
      </c>
      <c r="J88" s="89">
        <v>0</v>
      </c>
      <c r="K88" s="89">
        <f t="shared" si="18"/>
        <v>88</v>
      </c>
      <c r="L88" s="89">
        <f t="shared" si="19"/>
        <v>112.621376</v>
      </c>
      <c r="M88" s="89">
        <f>+SPY__2[[#This Row],[Adj Close]]</f>
        <v>102.418167</v>
      </c>
      <c r="N88" s="89">
        <f t="shared" si="14"/>
        <v>9012.7986959999998</v>
      </c>
      <c r="O88" s="90">
        <f t="shared" si="15"/>
        <v>-897.8823920000001</v>
      </c>
      <c r="P88" s="93">
        <f t="shared" si="16"/>
        <v>-9.0597445728242576E-2</v>
      </c>
      <c r="Q88" s="96"/>
      <c r="R88" s="96"/>
      <c r="T88" s="90">
        <f t="shared" si="20"/>
        <v>45</v>
      </c>
      <c r="U88" s="89">
        <f t="shared" si="21"/>
        <v>109.41280751111111</v>
      </c>
      <c r="V88" s="89">
        <f t="shared" si="12"/>
        <v>102.418167</v>
      </c>
      <c r="W88" s="90">
        <f t="shared" si="17"/>
        <v>4608.8175149999997</v>
      </c>
      <c r="X88" s="93">
        <f t="shared" si="13"/>
        <v>-6.3928900740443884E-2</v>
      </c>
    </row>
    <row r="89" spans="2:24" x14ac:dyDescent="0.25">
      <c r="B89" s="91">
        <v>39482</v>
      </c>
      <c r="C89" s="89">
        <v>139.21000699999999</v>
      </c>
      <c r="D89" s="89">
        <v>139.300003</v>
      </c>
      <c r="E89" s="89">
        <v>137.63999899999999</v>
      </c>
      <c r="F89" s="89">
        <v>137.820007</v>
      </c>
      <c r="G89" s="89">
        <v>101.126724</v>
      </c>
      <c r="H89" s="89">
        <v>124694300</v>
      </c>
      <c r="J89" s="89">
        <v>0</v>
      </c>
      <c r="K89" s="89">
        <f t="shared" si="18"/>
        <v>88</v>
      </c>
      <c r="L89" s="89">
        <f t="shared" si="19"/>
        <v>112.621376</v>
      </c>
      <c r="M89" s="89">
        <f>+SPY__2[[#This Row],[Adj Close]]</f>
        <v>101.126724</v>
      </c>
      <c r="N89" s="89">
        <f t="shared" si="14"/>
        <v>8899.151711999999</v>
      </c>
      <c r="O89" s="90">
        <f t="shared" si="15"/>
        <v>-1011.5293760000002</v>
      </c>
      <c r="P89" s="93">
        <f t="shared" si="16"/>
        <v>-0.10206456720969204</v>
      </c>
      <c r="Q89" s="96"/>
      <c r="R89" s="96"/>
      <c r="T89" s="90">
        <f t="shared" si="20"/>
        <v>45</v>
      </c>
      <c r="U89" s="89">
        <f t="shared" si="21"/>
        <v>109.41280751111111</v>
      </c>
      <c r="V89" s="89">
        <f t="shared" si="12"/>
        <v>101.126724</v>
      </c>
      <c r="W89" s="90">
        <f t="shared" si="17"/>
        <v>4550.7025800000001</v>
      </c>
      <c r="X89" s="93">
        <f t="shared" si="13"/>
        <v>-7.5732299532389136E-2</v>
      </c>
    </row>
    <row r="90" spans="2:24" x14ac:dyDescent="0.25">
      <c r="B90" s="91">
        <v>39483</v>
      </c>
      <c r="C90" s="89">
        <v>135.94000199999999</v>
      </c>
      <c r="D90" s="89">
        <v>136.25</v>
      </c>
      <c r="E90" s="89">
        <v>133.66999799999999</v>
      </c>
      <c r="F90" s="89">
        <v>134.13000500000001</v>
      </c>
      <c r="G90" s="89">
        <v>98.419189000000003</v>
      </c>
      <c r="H90" s="89">
        <v>286882500</v>
      </c>
      <c r="J90" s="89">
        <v>0</v>
      </c>
      <c r="K90" s="89">
        <f t="shared" si="18"/>
        <v>88</v>
      </c>
      <c r="L90" s="89">
        <f t="shared" si="19"/>
        <v>112.621376</v>
      </c>
      <c r="M90" s="89">
        <f>+SPY__2[[#This Row],[Adj Close]]</f>
        <v>98.419189000000003</v>
      </c>
      <c r="N90" s="89">
        <f t="shared" si="14"/>
        <v>8660.8886320000001</v>
      </c>
      <c r="O90" s="90">
        <f t="shared" si="15"/>
        <v>-1249.7924559999997</v>
      </c>
      <c r="P90" s="93">
        <f t="shared" si="16"/>
        <v>-0.12610560716288877</v>
      </c>
      <c r="Q90" s="96"/>
      <c r="R90" s="96"/>
      <c r="T90" s="90">
        <f t="shared" si="20"/>
        <v>45</v>
      </c>
      <c r="U90" s="89">
        <f t="shared" si="21"/>
        <v>109.41280751111111</v>
      </c>
      <c r="V90" s="89">
        <f t="shared" si="12"/>
        <v>98.419189000000003</v>
      </c>
      <c r="W90" s="90">
        <f t="shared" si="17"/>
        <v>4428.8635050000003</v>
      </c>
      <c r="X90" s="93">
        <f t="shared" si="13"/>
        <v>-0.10047835131179383</v>
      </c>
    </row>
    <row r="91" spans="2:24" x14ac:dyDescent="0.25">
      <c r="B91" s="91">
        <v>39484</v>
      </c>
      <c r="C91" s="89">
        <v>134.58000200000001</v>
      </c>
      <c r="D91" s="89">
        <v>135.25</v>
      </c>
      <c r="E91" s="89">
        <v>132.41000399999999</v>
      </c>
      <c r="F91" s="89">
        <v>133.050003</v>
      </c>
      <c r="G91" s="89">
        <v>97.626723999999996</v>
      </c>
      <c r="H91" s="89">
        <v>250792900</v>
      </c>
      <c r="J91" s="89">
        <v>0</v>
      </c>
      <c r="K91" s="89">
        <f t="shared" si="18"/>
        <v>88</v>
      </c>
      <c r="L91" s="89">
        <f t="shared" si="19"/>
        <v>112.621376</v>
      </c>
      <c r="M91" s="89">
        <f>+SPY__2[[#This Row],[Adj Close]]</f>
        <v>97.626723999999996</v>
      </c>
      <c r="N91" s="89">
        <f t="shared" si="14"/>
        <v>8591.151711999999</v>
      </c>
      <c r="O91" s="90">
        <f t="shared" si="15"/>
        <v>-1319.5293760000002</v>
      </c>
      <c r="P91" s="93">
        <f t="shared" si="16"/>
        <v>-0.13314214878710062</v>
      </c>
      <c r="Q91" s="96"/>
      <c r="R91" s="96"/>
      <c r="T91" s="90">
        <f t="shared" si="20"/>
        <v>45</v>
      </c>
      <c r="U91" s="89">
        <f t="shared" si="21"/>
        <v>109.41280751111111</v>
      </c>
      <c r="V91" s="89">
        <f t="shared" si="12"/>
        <v>97.626723999999996</v>
      </c>
      <c r="W91" s="90">
        <f t="shared" si="17"/>
        <v>4393.2025800000001</v>
      </c>
      <c r="X91" s="93">
        <f t="shared" si="13"/>
        <v>-0.10772124195711008</v>
      </c>
    </row>
    <row r="92" spans="2:24" x14ac:dyDescent="0.25">
      <c r="B92" s="91">
        <v>39485</v>
      </c>
      <c r="C92" s="89">
        <v>131.800003</v>
      </c>
      <c r="D92" s="89">
        <v>134.78999300000001</v>
      </c>
      <c r="E92" s="89">
        <v>131.729996</v>
      </c>
      <c r="F92" s="89">
        <v>133.929993</v>
      </c>
      <c r="G92" s="89">
        <v>98.272407999999999</v>
      </c>
      <c r="H92" s="89">
        <v>297368100</v>
      </c>
      <c r="J92" s="89">
        <v>0</v>
      </c>
      <c r="K92" s="89">
        <f t="shared" si="18"/>
        <v>88</v>
      </c>
      <c r="L92" s="89">
        <f t="shared" si="19"/>
        <v>112.621376</v>
      </c>
      <c r="M92" s="89">
        <f>+SPY__2[[#This Row],[Adj Close]]</f>
        <v>98.272407999999999</v>
      </c>
      <c r="N92" s="89">
        <f t="shared" si="14"/>
        <v>8647.971904</v>
      </c>
      <c r="O92" s="90">
        <f t="shared" si="15"/>
        <v>-1262.7091839999998</v>
      </c>
      <c r="P92" s="93">
        <f t="shared" si="16"/>
        <v>-0.12740892102046419</v>
      </c>
      <c r="Q92" s="96"/>
      <c r="R92" s="96"/>
      <c r="T92" s="90">
        <f t="shared" si="20"/>
        <v>45</v>
      </c>
      <c r="U92" s="89">
        <f t="shared" si="21"/>
        <v>109.41280751111111</v>
      </c>
      <c r="V92" s="89">
        <f t="shared" si="12"/>
        <v>98.272407999999999</v>
      </c>
      <c r="W92" s="90">
        <f t="shared" si="17"/>
        <v>4422.2583599999998</v>
      </c>
      <c r="X92" s="93">
        <f t="shared" si="13"/>
        <v>-0.10181988529980623</v>
      </c>
    </row>
    <row r="93" spans="2:24" x14ac:dyDescent="0.25">
      <c r="B93" s="91">
        <v>39486</v>
      </c>
      <c r="C93" s="89">
        <v>133.08999600000001</v>
      </c>
      <c r="D93" s="89">
        <v>134.220001</v>
      </c>
      <c r="E93" s="89">
        <v>132.10000600000001</v>
      </c>
      <c r="F93" s="89">
        <v>133.070007</v>
      </c>
      <c r="G93" s="89">
        <v>97.641388000000006</v>
      </c>
      <c r="H93" s="89">
        <v>221643500</v>
      </c>
      <c r="J93" s="89">
        <v>0</v>
      </c>
      <c r="K93" s="89">
        <f t="shared" si="18"/>
        <v>88</v>
      </c>
      <c r="L93" s="89">
        <f t="shared" si="19"/>
        <v>112.621376</v>
      </c>
      <c r="M93" s="89">
        <f>+SPY__2[[#This Row],[Adj Close]]</f>
        <v>97.641388000000006</v>
      </c>
      <c r="N93" s="89">
        <f t="shared" si="14"/>
        <v>8592.4421440000006</v>
      </c>
      <c r="O93" s="90">
        <f t="shared" si="15"/>
        <v>-1318.2389439999993</v>
      </c>
      <c r="P93" s="93">
        <f t="shared" si="16"/>
        <v>-0.13301194259960025</v>
      </c>
      <c r="Q93" s="96"/>
      <c r="R93" s="96"/>
      <c r="T93" s="90">
        <f t="shared" si="20"/>
        <v>45</v>
      </c>
      <c r="U93" s="89">
        <f t="shared" si="21"/>
        <v>109.41280751111111</v>
      </c>
      <c r="V93" s="89">
        <f t="shared" si="12"/>
        <v>97.641388000000006</v>
      </c>
      <c r="W93" s="90">
        <f t="shared" si="17"/>
        <v>4393.8624600000003</v>
      </c>
      <c r="X93" s="93">
        <f t="shared" si="13"/>
        <v>-0.10758721742804822</v>
      </c>
    </row>
    <row r="94" spans="2:24" x14ac:dyDescent="0.25">
      <c r="B94" s="91">
        <v>39489</v>
      </c>
      <c r="C94" s="89">
        <v>133.10000600000001</v>
      </c>
      <c r="D94" s="89">
        <v>134.229996</v>
      </c>
      <c r="E94" s="89">
        <v>132.03999300000001</v>
      </c>
      <c r="F94" s="89">
        <v>133.75</v>
      </c>
      <c r="G94" s="89">
        <v>98.140320000000003</v>
      </c>
      <c r="H94" s="89">
        <v>188576300</v>
      </c>
      <c r="J94" s="89">
        <v>0</v>
      </c>
      <c r="K94" s="89">
        <f t="shared" si="18"/>
        <v>88</v>
      </c>
      <c r="L94" s="89">
        <f t="shared" si="19"/>
        <v>112.621376</v>
      </c>
      <c r="M94" s="89">
        <f>+SPY__2[[#This Row],[Adj Close]]</f>
        <v>98.140320000000003</v>
      </c>
      <c r="N94" s="89">
        <f t="shared" si="14"/>
        <v>8636.3481599999996</v>
      </c>
      <c r="O94" s="90">
        <f t="shared" si="15"/>
        <v>-1274.3329279999996</v>
      </c>
      <c r="P94" s="93">
        <f t="shared" si="16"/>
        <v>-0.12858177119057745</v>
      </c>
      <c r="Q94" s="96"/>
      <c r="R94" s="96"/>
      <c r="T94" s="90">
        <f t="shared" si="20"/>
        <v>45</v>
      </c>
      <c r="U94" s="89">
        <f t="shared" si="21"/>
        <v>109.41280751111111</v>
      </c>
      <c r="V94" s="89">
        <f t="shared" si="12"/>
        <v>98.140320000000003</v>
      </c>
      <c r="W94" s="90">
        <f t="shared" si="17"/>
        <v>4416.3144000000002</v>
      </c>
      <c r="X94" s="93">
        <f t="shared" si="13"/>
        <v>-0.10302712970751948</v>
      </c>
    </row>
    <row r="95" spans="2:24" x14ac:dyDescent="0.25">
      <c r="B95" s="91">
        <v>39490</v>
      </c>
      <c r="C95" s="89">
        <v>134.91000399999999</v>
      </c>
      <c r="D95" s="89">
        <v>136.30999800000001</v>
      </c>
      <c r="E95" s="89">
        <v>133.979996</v>
      </c>
      <c r="F95" s="89">
        <v>134.990005</v>
      </c>
      <c r="G95" s="89">
        <v>99.050217000000004</v>
      </c>
      <c r="H95" s="89">
        <v>256654400</v>
      </c>
      <c r="J95" s="89">
        <v>0</v>
      </c>
      <c r="K95" s="89">
        <f t="shared" si="18"/>
        <v>88</v>
      </c>
      <c r="L95" s="89">
        <f t="shared" si="19"/>
        <v>112.621376</v>
      </c>
      <c r="M95" s="89">
        <f>+SPY__2[[#This Row],[Adj Close]]</f>
        <v>99.050217000000004</v>
      </c>
      <c r="N95" s="89">
        <f t="shared" si="14"/>
        <v>8716.4190959999996</v>
      </c>
      <c r="O95" s="90">
        <f t="shared" si="15"/>
        <v>-1194.2619919999995</v>
      </c>
      <c r="P95" s="93">
        <f t="shared" si="16"/>
        <v>-0.12050251454928051</v>
      </c>
      <c r="Q95" s="96"/>
      <c r="R95" s="96"/>
      <c r="T95" s="90">
        <f t="shared" si="20"/>
        <v>45</v>
      </c>
      <c r="U95" s="89">
        <f t="shared" si="21"/>
        <v>109.41280751111111</v>
      </c>
      <c r="V95" s="89">
        <f t="shared" si="12"/>
        <v>99.050217000000004</v>
      </c>
      <c r="W95" s="90">
        <f t="shared" si="17"/>
        <v>4457.2597649999998</v>
      </c>
      <c r="X95" s="93">
        <f t="shared" si="13"/>
        <v>-9.4710946065969193E-2</v>
      </c>
    </row>
    <row r="96" spans="2:24" x14ac:dyDescent="0.25">
      <c r="B96" s="91">
        <v>39491</v>
      </c>
      <c r="C96" s="89">
        <v>136.009995</v>
      </c>
      <c r="D96" s="89">
        <v>137.05999800000001</v>
      </c>
      <c r="E96" s="89">
        <v>135.13999899999999</v>
      </c>
      <c r="F96" s="89">
        <v>136.36999499999999</v>
      </c>
      <c r="G96" s="89">
        <v>100.06281300000001</v>
      </c>
      <c r="H96" s="89">
        <v>181967800</v>
      </c>
      <c r="J96" s="89">
        <v>0</v>
      </c>
      <c r="K96" s="89">
        <f t="shared" si="18"/>
        <v>88</v>
      </c>
      <c r="L96" s="89">
        <f t="shared" si="19"/>
        <v>112.621376</v>
      </c>
      <c r="M96" s="89">
        <f>+SPY__2[[#This Row],[Adj Close]]</f>
        <v>100.06281300000001</v>
      </c>
      <c r="N96" s="89">
        <f t="shared" si="14"/>
        <v>8805.5275440000005</v>
      </c>
      <c r="O96" s="90">
        <f t="shared" si="15"/>
        <v>-1105.1535439999993</v>
      </c>
      <c r="P96" s="93">
        <f t="shared" si="16"/>
        <v>-0.11151136175072118</v>
      </c>
      <c r="Q96" s="96"/>
      <c r="R96" s="96"/>
      <c r="T96" s="90">
        <f t="shared" si="20"/>
        <v>45</v>
      </c>
      <c r="U96" s="89">
        <f t="shared" si="21"/>
        <v>109.41280751111111</v>
      </c>
      <c r="V96" s="89">
        <f t="shared" si="12"/>
        <v>100.06281300000001</v>
      </c>
      <c r="W96" s="90">
        <f t="shared" si="17"/>
        <v>4502.8265850000007</v>
      </c>
      <c r="X96" s="93">
        <f t="shared" si="13"/>
        <v>-8.5456124596396843E-2</v>
      </c>
    </row>
    <row r="97" spans="2:24" x14ac:dyDescent="0.25">
      <c r="B97" s="91">
        <v>39492</v>
      </c>
      <c r="C97" s="89">
        <v>136.949997</v>
      </c>
      <c r="D97" s="89">
        <v>137</v>
      </c>
      <c r="E97" s="89">
        <v>134.78999300000001</v>
      </c>
      <c r="F97" s="89">
        <v>135.16999799999999</v>
      </c>
      <c r="G97" s="89">
        <v>99.182288999999997</v>
      </c>
      <c r="H97" s="89">
        <v>215207200</v>
      </c>
      <c r="J97" s="89">
        <v>0</v>
      </c>
      <c r="K97" s="89">
        <f t="shared" si="18"/>
        <v>88</v>
      </c>
      <c r="L97" s="89">
        <f t="shared" si="19"/>
        <v>112.621376</v>
      </c>
      <c r="M97" s="89">
        <f>+SPY__2[[#This Row],[Adj Close]]</f>
        <v>99.182288999999997</v>
      </c>
      <c r="N97" s="89">
        <f t="shared" si="14"/>
        <v>8728.041432</v>
      </c>
      <c r="O97" s="90">
        <f t="shared" si="15"/>
        <v>-1182.6396560000001</v>
      </c>
      <c r="P97" s="93">
        <f t="shared" si="16"/>
        <v>-0.11932980644811164</v>
      </c>
      <c r="Q97" s="96"/>
      <c r="R97" s="96"/>
      <c r="T97" s="90">
        <f t="shared" si="20"/>
        <v>45</v>
      </c>
      <c r="U97" s="89">
        <f t="shared" si="21"/>
        <v>109.41280751111111</v>
      </c>
      <c r="V97" s="89">
        <f t="shared" si="12"/>
        <v>99.182288999999997</v>
      </c>
      <c r="W97" s="90">
        <f t="shared" si="17"/>
        <v>4463.2030050000003</v>
      </c>
      <c r="X97" s="93">
        <f t="shared" si="13"/>
        <v>-9.3503847893421144E-2</v>
      </c>
    </row>
    <row r="98" spans="2:24" x14ac:dyDescent="0.25">
      <c r="B98" s="91">
        <v>39493</v>
      </c>
      <c r="C98" s="89">
        <v>134.5</v>
      </c>
      <c r="D98" s="89">
        <v>135.220001</v>
      </c>
      <c r="E98" s="89">
        <v>133.91000399999999</v>
      </c>
      <c r="F98" s="89">
        <v>135.13999899999999</v>
      </c>
      <c r="G98" s="89">
        <v>99.160270999999995</v>
      </c>
      <c r="H98" s="89">
        <v>154110300</v>
      </c>
      <c r="J98" s="89">
        <v>0</v>
      </c>
      <c r="K98" s="89">
        <f t="shared" si="18"/>
        <v>88</v>
      </c>
      <c r="L98" s="89">
        <f t="shared" si="19"/>
        <v>112.621376</v>
      </c>
      <c r="M98" s="89">
        <f>+SPY__2[[#This Row],[Adj Close]]</f>
        <v>99.160270999999995</v>
      </c>
      <c r="N98" s="89">
        <f t="shared" si="14"/>
        <v>8726.1038479999988</v>
      </c>
      <c r="O98" s="90">
        <f t="shared" si="15"/>
        <v>-1184.5772400000003</v>
      </c>
      <c r="P98" s="93">
        <f t="shared" si="16"/>
        <v>-0.11952531107416065</v>
      </c>
      <c r="Q98" s="96"/>
      <c r="R98" s="96"/>
      <c r="T98" s="90">
        <f t="shared" si="20"/>
        <v>45</v>
      </c>
      <c r="U98" s="89">
        <f t="shared" si="21"/>
        <v>109.41280751111111</v>
      </c>
      <c r="V98" s="89">
        <f t="shared" si="12"/>
        <v>99.160270999999995</v>
      </c>
      <c r="W98" s="90">
        <f t="shared" si="17"/>
        <v>4462.2121950000001</v>
      </c>
      <c r="X98" s="93">
        <f t="shared" si="13"/>
        <v>-9.370508576036618E-2</v>
      </c>
    </row>
    <row r="99" spans="2:24" x14ac:dyDescent="0.25">
      <c r="B99" s="91">
        <v>39497</v>
      </c>
      <c r="C99" s="89">
        <v>136.720001</v>
      </c>
      <c r="D99" s="89">
        <v>136.88999899999999</v>
      </c>
      <c r="E99" s="89">
        <v>134.61000100000001</v>
      </c>
      <c r="F99" s="89">
        <v>135.520004</v>
      </c>
      <c r="G99" s="89">
        <v>99.439087000000001</v>
      </c>
      <c r="H99" s="89">
        <v>145190000</v>
      </c>
      <c r="J99" s="89">
        <v>0</v>
      </c>
      <c r="K99" s="89">
        <f t="shared" si="18"/>
        <v>88</v>
      </c>
      <c r="L99" s="89">
        <f t="shared" si="19"/>
        <v>112.621376</v>
      </c>
      <c r="M99" s="89">
        <f>+SPY__2[[#This Row],[Adj Close]]</f>
        <v>99.439087000000001</v>
      </c>
      <c r="N99" s="89">
        <f t="shared" si="14"/>
        <v>8750.6396559999994</v>
      </c>
      <c r="O99" s="90">
        <f t="shared" si="15"/>
        <v>-1160.0414319999998</v>
      </c>
      <c r="P99" s="93">
        <f t="shared" si="16"/>
        <v>-0.11704961764985</v>
      </c>
      <c r="Q99" s="96"/>
      <c r="R99" s="96"/>
      <c r="T99" s="90">
        <f t="shared" si="20"/>
        <v>45</v>
      </c>
      <c r="U99" s="89">
        <f t="shared" si="21"/>
        <v>109.41280751111111</v>
      </c>
      <c r="V99" s="89">
        <f t="shared" si="12"/>
        <v>99.439087000000001</v>
      </c>
      <c r="W99" s="90">
        <f t="shared" si="17"/>
        <v>4474.7589150000003</v>
      </c>
      <c r="X99" s="93">
        <f t="shared" si="13"/>
        <v>-9.11567917686259E-2</v>
      </c>
    </row>
    <row r="100" spans="2:24" x14ac:dyDescent="0.25">
      <c r="B100" s="91">
        <v>39498</v>
      </c>
      <c r="C100" s="89">
        <v>133.990005</v>
      </c>
      <c r="D100" s="89">
        <v>136.550003</v>
      </c>
      <c r="E100" s="89">
        <v>133.759995</v>
      </c>
      <c r="F100" s="89">
        <v>135.91999799999999</v>
      </c>
      <c r="G100" s="89">
        <v>99.732605000000007</v>
      </c>
      <c r="H100" s="89">
        <v>220085700</v>
      </c>
      <c r="J100" s="89">
        <v>0</v>
      </c>
      <c r="K100" s="89">
        <f t="shared" si="18"/>
        <v>88</v>
      </c>
      <c r="L100" s="89">
        <f t="shared" si="19"/>
        <v>112.621376</v>
      </c>
      <c r="M100" s="89">
        <f>+SPY__2[[#This Row],[Adj Close]]</f>
        <v>99.732605000000007</v>
      </c>
      <c r="N100" s="89">
        <f t="shared" si="14"/>
        <v>8776.4692400000004</v>
      </c>
      <c r="O100" s="90">
        <f t="shared" si="15"/>
        <v>-1134.2118479999992</v>
      </c>
      <c r="P100" s="93">
        <f t="shared" si="16"/>
        <v>-0.11444338062429638</v>
      </c>
      <c r="Q100" s="96"/>
      <c r="R100" s="96"/>
      <c r="T100" s="90">
        <f t="shared" si="20"/>
        <v>45</v>
      </c>
      <c r="U100" s="89">
        <f t="shared" si="21"/>
        <v>109.41280751111111</v>
      </c>
      <c r="V100" s="89">
        <f t="shared" si="12"/>
        <v>99.732605000000007</v>
      </c>
      <c r="W100" s="90">
        <f t="shared" si="17"/>
        <v>4487.9672250000003</v>
      </c>
      <c r="X100" s="93">
        <f t="shared" si="13"/>
        <v>-8.8474125939306147E-2</v>
      </c>
    </row>
    <row r="101" spans="2:24" x14ac:dyDescent="0.25">
      <c r="B101" s="91">
        <v>39499</v>
      </c>
      <c r="C101" s="89">
        <v>136.66000399999999</v>
      </c>
      <c r="D101" s="89">
        <v>137.009995</v>
      </c>
      <c r="E101" s="89">
        <v>134.070007</v>
      </c>
      <c r="F101" s="89">
        <v>134.78999300000001</v>
      </c>
      <c r="G101" s="89">
        <v>98.903426999999994</v>
      </c>
      <c r="H101" s="89">
        <v>201051200</v>
      </c>
      <c r="J101" s="89">
        <v>0</v>
      </c>
      <c r="K101" s="89">
        <f t="shared" si="18"/>
        <v>88</v>
      </c>
      <c r="L101" s="89">
        <f t="shared" si="19"/>
        <v>112.621376</v>
      </c>
      <c r="M101" s="89">
        <f>+SPY__2[[#This Row],[Adj Close]]</f>
        <v>98.903426999999994</v>
      </c>
      <c r="N101" s="89">
        <f t="shared" si="14"/>
        <v>8703.5015759999987</v>
      </c>
      <c r="O101" s="90">
        <f t="shared" si="15"/>
        <v>-1207.1795120000004</v>
      </c>
      <c r="P101" s="93">
        <f t="shared" si="16"/>
        <v>-0.1218059083206372</v>
      </c>
      <c r="Q101" s="96"/>
      <c r="R101" s="96"/>
      <c r="T101" s="90">
        <f t="shared" si="20"/>
        <v>45</v>
      </c>
      <c r="U101" s="89">
        <f t="shared" si="21"/>
        <v>109.41280751111111</v>
      </c>
      <c r="V101" s="89">
        <f t="shared" si="12"/>
        <v>98.903426999999994</v>
      </c>
      <c r="W101" s="90">
        <f t="shared" si="17"/>
        <v>4450.6542149999996</v>
      </c>
      <c r="X101" s="93">
        <f t="shared" si="13"/>
        <v>-9.6052562311262024E-2</v>
      </c>
    </row>
    <row r="102" spans="2:24" x14ac:dyDescent="0.25">
      <c r="B102" s="91">
        <v>39500</v>
      </c>
      <c r="C102" s="89">
        <v>134.970001</v>
      </c>
      <c r="D102" s="89">
        <v>135.85000600000001</v>
      </c>
      <c r="E102" s="89">
        <v>132.86000100000001</v>
      </c>
      <c r="F102" s="89">
        <v>135.61999499999999</v>
      </c>
      <c r="G102" s="89">
        <v>99.512496999999996</v>
      </c>
      <c r="H102" s="89">
        <v>205491000</v>
      </c>
      <c r="J102" s="89">
        <v>0</v>
      </c>
      <c r="K102" s="89">
        <f t="shared" si="18"/>
        <v>88</v>
      </c>
      <c r="L102" s="89">
        <f t="shared" si="19"/>
        <v>112.621376</v>
      </c>
      <c r="M102" s="89">
        <f>+SPY__2[[#This Row],[Adj Close]]</f>
        <v>99.512496999999996</v>
      </c>
      <c r="N102" s="89">
        <f t="shared" si="14"/>
        <v>8757.0997360000001</v>
      </c>
      <c r="O102" s="90">
        <f t="shared" si="15"/>
        <v>-1153.5813520000002</v>
      </c>
      <c r="P102" s="93">
        <f t="shared" si="16"/>
        <v>-0.11639778757453645</v>
      </c>
      <c r="Q102" s="96"/>
      <c r="R102" s="96"/>
      <c r="T102" s="90">
        <f t="shared" si="20"/>
        <v>45</v>
      </c>
      <c r="U102" s="89">
        <f t="shared" si="21"/>
        <v>109.41280751111111</v>
      </c>
      <c r="V102" s="89">
        <f t="shared" si="12"/>
        <v>99.512496999999996</v>
      </c>
      <c r="W102" s="90">
        <f t="shared" si="17"/>
        <v>4478.0623649999998</v>
      </c>
      <c r="X102" s="93">
        <f t="shared" si="13"/>
        <v>-9.0485846550512061E-2</v>
      </c>
    </row>
    <row r="103" spans="2:24" x14ac:dyDescent="0.25">
      <c r="B103" s="91">
        <v>39503</v>
      </c>
      <c r="C103" s="89">
        <v>135.53999300000001</v>
      </c>
      <c r="D103" s="89">
        <v>137.64999399999999</v>
      </c>
      <c r="E103" s="89">
        <v>134.779999</v>
      </c>
      <c r="F103" s="89">
        <v>137.33000200000001</v>
      </c>
      <c r="G103" s="89">
        <v>100.76718099999999</v>
      </c>
      <c r="H103" s="89">
        <v>190107000</v>
      </c>
      <c r="J103" s="89">
        <v>0</v>
      </c>
      <c r="K103" s="89">
        <f t="shared" si="18"/>
        <v>88</v>
      </c>
      <c r="L103" s="89">
        <f t="shared" si="19"/>
        <v>112.621376</v>
      </c>
      <c r="M103" s="89">
        <f>+SPY__2[[#This Row],[Adj Close]]</f>
        <v>100.76718099999999</v>
      </c>
      <c r="N103" s="89">
        <f t="shared" si="14"/>
        <v>8867.5119279999999</v>
      </c>
      <c r="O103" s="90">
        <f t="shared" si="15"/>
        <v>-1043.1691600000004</v>
      </c>
      <c r="P103" s="93">
        <f t="shared" si="16"/>
        <v>-0.10525706061343099</v>
      </c>
      <c r="Q103" s="96"/>
      <c r="R103" s="96"/>
      <c r="T103" s="90">
        <f t="shared" si="20"/>
        <v>45</v>
      </c>
      <c r="U103" s="89">
        <f t="shared" si="21"/>
        <v>109.41280751111111</v>
      </c>
      <c r="V103" s="89">
        <f t="shared" si="12"/>
        <v>100.76718099999999</v>
      </c>
      <c r="W103" s="90">
        <f t="shared" si="17"/>
        <v>4534.5231450000001</v>
      </c>
      <c r="X103" s="93">
        <f t="shared" si="13"/>
        <v>-7.9018413911306706E-2</v>
      </c>
    </row>
    <row r="104" spans="2:24" x14ac:dyDescent="0.25">
      <c r="B104" s="91">
        <v>39504</v>
      </c>
      <c r="C104" s="89">
        <v>136.75</v>
      </c>
      <c r="D104" s="89">
        <v>138.949997</v>
      </c>
      <c r="E104" s="89">
        <v>136.5</v>
      </c>
      <c r="F104" s="89">
        <v>138.36000100000001</v>
      </c>
      <c r="G104" s="89">
        <v>101.522972</v>
      </c>
      <c r="H104" s="89">
        <v>212420700</v>
      </c>
      <c r="J104" s="89">
        <v>0</v>
      </c>
      <c r="K104" s="89">
        <f t="shared" si="18"/>
        <v>88</v>
      </c>
      <c r="L104" s="89">
        <f t="shared" si="19"/>
        <v>112.621376</v>
      </c>
      <c r="M104" s="89">
        <f>+SPY__2[[#This Row],[Adj Close]]</f>
        <v>101.522972</v>
      </c>
      <c r="N104" s="89">
        <f t="shared" si="14"/>
        <v>8934.0215360000002</v>
      </c>
      <c r="O104" s="90">
        <f t="shared" si="15"/>
        <v>-976.65955200000019</v>
      </c>
      <c r="P104" s="93">
        <f t="shared" si="16"/>
        <v>-9.8546158768296421E-2</v>
      </c>
      <c r="Q104" s="96"/>
      <c r="R104" s="96"/>
      <c r="T104" s="90">
        <f t="shared" si="20"/>
        <v>45</v>
      </c>
      <c r="U104" s="89">
        <f t="shared" si="21"/>
        <v>109.41280751111111</v>
      </c>
      <c r="V104" s="89">
        <f t="shared" si="12"/>
        <v>101.522972</v>
      </c>
      <c r="W104" s="90">
        <f t="shared" si="17"/>
        <v>4568.5337399999999</v>
      </c>
      <c r="X104" s="93">
        <f t="shared" si="13"/>
        <v>-7.2110712544414701E-2</v>
      </c>
    </row>
    <row r="105" spans="2:24" x14ac:dyDescent="0.25">
      <c r="B105" s="91">
        <v>39505</v>
      </c>
      <c r="C105" s="89">
        <v>137.55999800000001</v>
      </c>
      <c r="D105" s="89">
        <v>139.13999899999999</v>
      </c>
      <c r="E105" s="89">
        <v>137.41000399999999</v>
      </c>
      <c r="F105" s="89">
        <v>138.220001</v>
      </c>
      <c r="G105" s="89">
        <v>101.42027299999999</v>
      </c>
      <c r="H105" s="89">
        <v>168395800</v>
      </c>
      <c r="J105" s="89">
        <v>0</v>
      </c>
      <c r="K105" s="89">
        <f t="shared" si="18"/>
        <v>88</v>
      </c>
      <c r="L105" s="89">
        <f t="shared" si="19"/>
        <v>112.621376</v>
      </c>
      <c r="M105" s="89">
        <f>+SPY__2[[#This Row],[Adj Close]]</f>
        <v>101.42027299999999</v>
      </c>
      <c r="N105" s="89">
        <f t="shared" si="14"/>
        <v>8924.9840239999994</v>
      </c>
      <c r="O105" s="90">
        <f t="shared" si="15"/>
        <v>-985.6970640000003</v>
      </c>
      <c r="P105" s="93">
        <f t="shared" si="16"/>
        <v>-9.9458054925558703E-2</v>
      </c>
      <c r="Q105" s="96"/>
      <c r="R105" s="96"/>
      <c r="T105" s="90">
        <f t="shared" si="20"/>
        <v>45</v>
      </c>
      <c r="U105" s="89">
        <f t="shared" si="21"/>
        <v>109.41280751111111</v>
      </c>
      <c r="V105" s="89">
        <f t="shared" si="12"/>
        <v>101.42027299999999</v>
      </c>
      <c r="W105" s="90">
        <f t="shared" si="17"/>
        <v>4563.9122849999994</v>
      </c>
      <c r="X105" s="93">
        <f t="shared" si="13"/>
        <v>-7.304935037243665E-2</v>
      </c>
    </row>
    <row r="106" spans="2:24" x14ac:dyDescent="0.25">
      <c r="B106" s="91">
        <v>39506</v>
      </c>
      <c r="C106" s="89">
        <v>137.240005</v>
      </c>
      <c r="D106" s="89">
        <v>137.96000699999999</v>
      </c>
      <c r="E106" s="89">
        <v>136.550003</v>
      </c>
      <c r="F106" s="89">
        <v>136.86999499999999</v>
      </c>
      <c r="G106" s="89">
        <v>100.429672</v>
      </c>
      <c r="H106" s="89">
        <v>170831100</v>
      </c>
      <c r="J106" s="89">
        <v>0</v>
      </c>
      <c r="K106" s="89">
        <f t="shared" si="18"/>
        <v>88</v>
      </c>
      <c r="L106" s="89">
        <f t="shared" si="19"/>
        <v>112.621376</v>
      </c>
      <c r="M106" s="89">
        <f>+SPY__2[[#This Row],[Adj Close]]</f>
        <v>100.429672</v>
      </c>
      <c r="N106" s="89">
        <f t="shared" si="14"/>
        <v>8837.8111360000003</v>
      </c>
      <c r="O106" s="90">
        <f t="shared" si="15"/>
        <v>-1072.869952</v>
      </c>
      <c r="P106" s="93">
        <f t="shared" si="16"/>
        <v>-0.10825390732217655</v>
      </c>
      <c r="Q106" s="96"/>
      <c r="R106" s="96"/>
      <c r="T106" s="90">
        <f t="shared" si="20"/>
        <v>45</v>
      </c>
      <c r="U106" s="89">
        <f t="shared" si="21"/>
        <v>109.41280751111111</v>
      </c>
      <c r="V106" s="89">
        <f t="shared" si="12"/>
        <v>100.429672</v>
      </c>
      <c r="W106" s="90">
        <f t="shared" si="17"/>
        <v>4519.3352399999994</v>
      </c>
      <c r="X106" s="93">
        <f t="shared" si="13"/>
        <v>-8.2103144188114041E-2</v>
      </c>
    </row>
    <row r="107" spans="2:24" x14ac:dyDescent="0.25">
      <c r="B107" s="91">
        <v>39507</v>
      </c>
      <c r="C107" s="89">
        <v>135.60000600000001</v>
      </c>
      <c r="D107" s="89">
        <v>135.679993</v>
      </c>
      <c r="E107" s="89">
        <v>132.779999</v>
      </c>
      <c r="F107" s="89">
        <v>133.820007</v>
      </c>
      <c r="G107" s="89">
        <v>98.191719000000006</v>
      </c>
      <c r="H107" s="89">
        <v>252715200</v>
      </c>
      <c r="J107" s="89">
        <v>0</v>
      </c>
      <c r="K107" s="89">
        <f t="shared" si="18"/>
        <v>88</v>
      </c>
      <c r="L107" s="89">
        <f t="shared" si="19"/>
        <v>112.621376</v>
      </c>
      <c r="M107" s="89">
        <f>+SPY__2[[#This Row],[Adj Close]]</f>
        <v>98.191719000000006</v>
      </c>
      <c r="N107" s="89">
        <f t="shared" si="14"/>
        <v>8640.8712720000003</v>
      </c>
      <c r="O107" s="90">
        <f t="shared" si="15"/>
        <v>-1269.8098159999993</v>
      </c>
      <c r="P107" s="93">
        <f t="shared" si="16"/>
        <v>-0.12812538358614967</v>
      </c>
      <c r="Q107" s="96"/>
      <c r="R107" s="96"/>
      <c r="T107" s="90">
        <f t="shared" si="20"/>
        <v>45</v>
      </c>
      <c r="U107" s="89">
        <f t="shared" si="21"/>
        <v>109.41280751111111</v>
      </c>
      <c r="V107" s="89">
        <f t="shared" si="12"/>
        <v>98.191719000000006</v>
      </c>
      <c r="W107" s="90">
        <f t="shared" si="17"/>
        <v>4418.6273550000005</v>
      </c>
      <c r="X107" s="93">
        <f t="shared" si="13"/>
        <v>-0.10255735837846558</v>
      </c>
    </row>
    <row r="108" spans="2:24" x14ac:dyDescent="0.25">
      <c r="B108" s="91">
        <v>39510</v>
      </c>
      <c r="C108" s="89">
        <v>133.13999899999999</v>
      </c>
      <c r="D108" s="89">
        <v>133.80999800000001</v>
      </c>
      <c r="E108" s="89">
        <v>132.240005</v>
      </c>
      <c r="F108" s="89">
        <v>133.5</v>
      </c>
      <c r="G108" s="89">
        <v>97.956894000000005</v>
      </c>
      <c r="H108" s="89">
        <v>189483500</v>
      </c>
      <c r="J108" s="89">
        <v>0</v>
      </c>
      <c r="K108" s="89">
        <f t="shared" si="18"/>
        <v>88</v>
      </c>
      <c r="L108" s="89">
        <f t="shared" si="19"/>
        <v>112.621376</v>
      </c>
      <c r="M108" s="89">
        <f>+SPY__2[[#This Row],[Adj Close]]</f>
        <v>97.956894000000005</v>
      </c>
      <c r="N108" s="89">
        <f t="shared" si="14"/>
        <v>8620.2066720000003</v>
      </c>
      <c r="O108" s="90">
        <f t="shared" si="15"/>
        <v>-1290.4744159999993</v>
      </c>
      <c r="P108" s="93">
        <f t="shared" si="16"/>
        <v>-0.13021046732726826</v>
      </c>
      <c r="Q108" s="96"/>
      <c r="R108" s="96"/>
      <c r="T108" s="90">
        <f t="shared" si="20"/>
        <v>45</v>
      </c>
      <c r="U108" s="89">
        <f t="shared" si="21"/>
        <v>109.41280751111111</v>
      </c>
      <c r="V108" s="89">
        <f t="shared" si="12"/>
        <v>97.956894000000005</v>
      </c>
      <c r="W108" s="90">
        <f t="shared" si="17"/>
        <v>4408.06023</v>
      </c>
      <c r="X108" s="93">
        <f t="shared" si="13"/>
        <v>-0.10470358792271861</v>
      </c>
    </row>
    <row r="109" spans="2:24" x14ac:dyDescent="0.25">
      <c r="B109" s="91">
        <v>39511</v>
      </c>
      <c r="C109" s="89">
        <v>132.229996</v>
      </c>
      <c r="D109" s="89">
        <v>133.39999399999999</v>
      </c>
      <c r="E109" s="89">
        <v>130.990005</v>
      </c>
      <c r="F109" s="89">
        <v>132.990005</v>
      </c>
      <c r="G109" s="89">
        <v>97.582725999999994</v>
      </c>
      <c r="H109" s="89">
        <v>282513100</v>
      </c>
      <c r="J109" s="89">
        <v>0</v>
      </c>
      <c r="K109" s="89">
        <f t="shared" si="18"/>
        <v>88</v>
      </c>
      <c r="L109" s="89">
        <f t="shared" si="19"/>
        <v>112.621376</v>
      </c>
      <c r="M109" s="89">
        <f>+SPY__2[[#This Row],[Adj Close]]</f>
        <v>97.582725999999994</v>
      </c>
      <c r="N109" s="89">
        <f t="shared" si="14"/>
        <v>8587.2798879999991</v>
      </c>
      <c r="O109" s="90">
        <f t="shared" si="15"/>
        <v>-1323.4012000000002</v>
      </c>
      <c r="P109" s="93">
        <f t="shared" si="16"/>
        <v>-0.13353282062545568</v>
      </c>
      <c r="Q109" s="96"/>
      <c r="R109" s="96"/>
      <c r="T109" s="90">
        <f t="shared" si="20"/>
        <v>45</v>
      </c>
      <c r="U109" s="89">
        <f t="shared" si="21"/>
        <v>109.41280751111111</v>
      </c>
      <c r="V109" s="89">
        <f t="shared" si="12"/>
        <v>97.582725999999994</v>
      </c>
      <c r="W109" s="90">
        <f t="shared" si="17"/>
        <v>4391.2226700000001</v>
      </c>
      <c r="X109" s="93">
        <f t="shared" si="13"/>
        <v>-0.10812337038248232</v>
      </c>
    </row>
    <row r="110" spans="2:24" x14ac:dyDescent="0.25">
      <c r="B110" s="91">
        <v>39512</v>
      </c>
      <c r="C110" s="89">
        <v>133.41999799999999</v>
      </c>
      <c r="D110" s="89">
        <v>134.770004</v>
      </c>
      <c r="E110" s="89">
        <v>132.33999600000001</v>
      </c>
      <c r="F110" s="89">
        <v>133.83000200000001</v>
      </c>
      <c r="G110" s="89">
        <v>98.199050999999997</v>
      </c>
      <c r="H110" s="89">
        <v>270681400</v>
      </c>
      <c r="J110" s="89">
        <v>0</v>
      </c>
      <c r="K110" s="89">
        <f t="shared" si="18"/>
        <v>88</v>
      </c>
      <c r="L110" s="89">
        <f t="shared" si="19"/>
        <v>112.621376</v>
      </c>
      <c r="M110" s="89">
        <f>+SPY__2[[#This Row],[Adj Close]]</f>
        <v>98.199050999999997</v>
      </c>
      <c r="N110" s="89">
        <f t="shared" si="14"/>
        <v>8641.5164879999993</v>
      </c>
      <c r="O110" s="90">
        <f t="shared" si="15"/>
        <v>-1269.1646000000001</v>
      </c>
      <c r="P110" s="93">
        <f t="shared" si="16"/>
        <v>-0.12806028049239959</v>
      </c>
      <c r="Q110" s="96"/>
      <c r="R110" s="96"/>
      <c r="T110" s="90">
        <f t="shared" si="20"/>
        <v>45</v>
      </c>
      <c r="U110" s="89">
        <f t="shared" si="21"/>
        <v>109.41280751111111</v>
      </c>
      <c r="V110" s="89">
        <f t="shared" si="12"/>
        <v>98.199050999999997</v>
      </c>
      <c r="W110" s="90">
        <f t="shared" si="17"/>
        <v>4418.9572950000002</v>
      </c>
      <c r="X110" s="93">
        <f t="shared" si="13"/>
        <v>-0.10249034611393482</v>
      </c>
    </row>
    <row r="111" spans="2:24" x14ac:dyDescent="0.25">
      <c r="B111" s="91">
        <v>39513</v>
      </c>
      <c r="C111" s="89">
        <v>132.979996</v>
      </c>
      <c r="D111" s="89">
        <v>133.220001</v>
      </c>
      <c r="E111" s="89">
        <v>130.550003</v>
      </c>
      <c r="F111" s="89">
        <v>131.05999800000001</v>
      </c>
      <c r="G111" s="89">
        <v>96.166533999999999</v>
      </c>
      <c r="H111" s="89">
        <v>247911700</v>
      </c>
      <c r="J111" s="89">
        <v>0</v>
      </c>
      <c r="K111" s="89">
        <f t="shared" si="18"/>
        <v>88</v>
      </c>
      <c r="L111" s="89">
        <f t="shared" si="19"/>
        <v>112.621376</v>
      </c>
      <c r="M111" s="89">
        <f>+SPY__2[[#This Row],[Adj Close]]</f>
        <v>96.166533999999999</v>
      </c>
      <c r="N111" s="89">
        <f t="shared" si="14"/>
        <v>8462.6549919999998</v>
      </c>
      <c r="O111" s="90">
        <f t="shared" si="15"/>
        <v>-1448.0260960000001</v>
      </c>
      <c r="P111" s="93">
        <f t="shared" si="16"/>
        <v>-0.1461076270281052</v>
      </c>
      <c r="Q111" s="96"/>
      <c r="R111" s="96"/>
      <c r="T111" s="90">
        <f t="shared" si="20"/>
        <v>45</v>
      </c>
      <c r="U111" s="89">
        <f t="shared" si="21"/>
        <v>109.41280751111111</v>
      </c>
      <c r="V111" s="89">
        <f t="shared" si="12"/>
        <v>96.166533999999999</v>
      </c>
      <c r="W111" s="90">
        <f t="shared" si="17"/>
        <v>4327.4940299999998</v>
      </c>
      <c r="X111" s="93">
        <f t="shared" si="13"/>
        <v>-0.12106693733972529</v>
      </c>
    </row>
    <row r="112" spans="2:24" x14ac:dyDescent="0.25">
      <c r="B112" s="91">
        <v>39514</v>
      </c>
      <c r="C112" s="89">
        <v>129.770004</v>
      </c>
      <c r="D112" s="89">
        <v>131.740005</v>
      </c>
      <c r="E112" s="89">
        <v>128.58000200000001</v>
      </c>
      <c r="F112" s="89">
        <v>129.71000699999999</v>
      </c>
      <c r="G112" s="89">
        <v>95.175972000000002</v>
      </c>
      <c r="H112" s="89">
        <v>326434600</v>
      </c>
      <c r="J112" s="89">
        <v>0</v>
      </c>
      <c r="K112" s="89">
        <f t="shared" si="18"/>
        <v>88</v>
      </c>
      <c r="L112" s="89">
        <f t="shared" si="19"/>
        <v>112.621376</v>
      </c>
      <c r="M112" s="89">
        <f>+SPY__2[[#This Row],[Adj Close]]</f>
        <v>95.175972000000002</v>
      </c>
      <c r="N112" s="89">
        <f t="shared" si="14"/>
        <v>8375.4855360000001</v>
      </c>
      <c r="O112" s="90">
        <f t="shared" si="15"/>
        <v>-1535.1955519999997</v>
      </c>
      <c r="P112" s="93">
        <f t="shared" si="16"/>
        <v>-0.15490313313167114</v>
      </c>
      <c r="Q112" s="96"/>
      <c r="R112" s="96"/>
      <c r="T112" s="90">
        <f t="shared" si="20"/>
        <v>45</v>
      </c>
      <c r="U112" s="89">
        <f t="shared" si="21"/>
        <v>109.41280751111111</v>
      </c>
      <c r="V112" s="89">
        <f t="shared" si="12"/>
        <v>95.175972000000002</v>
      </c>
      <c r="W112" s="90">
        <f t="shared" si="17"/>
        <v>4282.9187400000001</v>
      </c>
      <c r="X112" s="93">
        <f t="shared" si="13"/>
        <v>-0.13012037470718707</v>
      </c>
    </row>
    <row r="113" spans="2:24" x14ac:dyDescent="0.25">
      <c r="B113" s="91">
        <v>39517</v>
      </c>
      <c r="C113" s="89">
        <v>129.83999600000001</v>
      </c>
      <c r="D113" s="89">
        <v>129.929993</v>
      </c>
      <c r="E113" s="89">
        <v>127.589996</v>
      </c>
      <c r="F113" s="89">
        <v>128</v>
      </c>
      <c r="G113" s="89">
        <v>93.921227000000002</v>
      </c>
      <c r="H113" s="89">
        <v>235683600</v>
      </c>
      <c r="J113" s="89">
        <v>0</v>
      </c>
      <c r="K113" s="89">
        <f t="shared" si="18"/>
        <v>88</v>
      </c>
      <c r="L113" s="89">
        <f t="shared" si="19"/>
        <v>112.621376</v>
      </c>
      <c r="M113" s="89">
        <f>+SPY__2[[#This Row],[Adj Close]]</f>
        <v>93.921227000000002</v>
      </c>
      <c r="N113" s="89">
        <f t="shared" si="14"/>
        <v>8265.0679760000003</v>
      </c>
      <c r="O113" s="90">
        <f t="shared" si="15"/>
        <v>-1645.6131119999995</v>
      </c>
      <c r="P113" s="93">
        <f t="shared" si="16"/>
        <v>-0.16604440173062707</v>
      </c>
      <c r="Q113" s="96"/>
      <c r="R113" s="96"/>
      <c r="T113" s="90">
        <f t="shared" si="20"/>
        <v>45</v>
      </c>
      <c r="U113" s="89">
        <f t="shared" si="21"/>
        <v>109.41280751111111</v>
      </c>
      <c r="V113" s="89">
        <f t="shared" si="12"/>
        <v>93.921227000000002</v>
      </c>
      <c r="W113" s="90">
        <f t="shared" si="17"/>
        <v>4226.455215</v>
      </c>
      <c r="X113" s="93">
        <f t="shared" si="13"/>
        <v>-0.14158836486796034</v>
      </c>
    </row>
    <row r="114" spans="2:24" x14ac:dyDescent="0.25">
      <c r="B114" s="91">
        <v>39518</v>
      </c>
      <c r="C114" s="89">
        <v>130.720001</v>
      </c>
      <c r="D114" s="89">
        <v>132.720001</v>
      </c>
      <c r="E114" s="89">
        <v>128.949997</v>
      </c>
      <c r="F114" s="89">
        <v>132.60000600000001</v>
      </c>
      <c r="G114" s="89">
        <v>97.296531999999999</v>
      </c>
      <c r="H114" s="89">
        <v>341440600</v>
      </c>
      <c r="J114" s="89">
        <v>0</v>
      </c>
      <c r="K114" s="89">
        <f t="shared" si="18"/>
        <v>88</v>
      </c>
      <c r="L114" s="89">
        <f t="shared" si="19"/>
        <v>112.621376</v>
      </c>
      <c r="M114" s="89">
        <f>+SPY__2[[#This Row],[Adj Close]]</f>
        <v>97.296531999999999</v>
      </c>
      <c r="N114" s="89">
        <f t="shared" si="14"/>
        <v>8562.0948160000007</v>
      </c>
      <c r="O114" s="90">
        <f t="shared" si="15"/>
        <v>-1348.586272</v>
      </c>
      <c r="P114" s="93">
        <f t="shared" si="16"/>
        <v>-0.13607402559173132</v>
      </c>
      <c r="Q114" s="96"/>
      <c r="R114" s="96"/>
      <c r="T114" s="90">
        <f t="shared" si="20"/>
        <v>45</v>
      </c>
      <c r="U114" s="89">
        <f t="shared" si="21"/>
        <v>109.41280751111111</v>
      </c>
      <c r="V114" s="89">
        <f t="shared" si="12"/>
        <v>97.296531999999999</v>
      </c>
      <c r="W114" s="90">
        <f t="shared" si="17"/>
        <v>4378.3439399999997</v>
      </c>
      <c r="X114" s="93">
        <f t="shared" si="13"/>
        <v>-0.11073909706485396</v>
      </c>
    </row>
    <row r="115" spans="2:24" x14ac:dyDescent="0.25">
      <c r="B115" s="91">
        <v>39519</v>
      </c>
      <c r="C115" s="89">
        <v>132.740005</v>
      </c>
      <c r="D115" s="89">
        <v>133.770004</v>
      </c>
      <c r="E115" s="89">
        <v>131.16000399999999</v>
      </c>
      <c r="F115" s="89">
        <v>131.36000100000001</v>
      </c>
      <c r="G115" s="89">
        <v>96.386702999999997</v>
      </c>
      <c r="H115" s="89">
        <v>229161100</v>
      </c>
      <c r="J115" s="89">
        <v>0</v>
      </c>
      <c r="K115" s="89">
        <f t="shared" si="18"/>
        <v>88</v>
      </c>
      <c r="L115" s="89">
        <f t="shared" si="19"/>
        <v>112.621376</v>
      </c>
      <c r="M115" s="89">
        <f>+SPY__2[[#This Row],[Adj Close]]</f>
        <v>96.386702999999997</v>
      </c>
      <c r="N115" s="89">
        <f t="shared" si="14"/>
        <v>8482.0298640000001</v>
      </c>
      <c r="O115" s="90">
        <f t="shared" si="15"/>
        <v>-1428.6512240000002</v>
      </c>
      <c r="P115" s="93">
        <f t="shared" si="16"/>
        <v>-0.14415267844001478</v>
      </c>
      <c r="Q115" s="96"/>
      <c r="R115" s="96"/>
      <c r="T115" s="90">
        <f t="shared" si="20"/>
        <v>45</v>
      </c>
      <c r="U115" s="89">
        <f t="shared" si="21"/>
        <v>109.41280751111111</v>
      </c>
      <c r="V115" s="89">
        <f t="shared" si="12"/>
        <v>96.386702999999997</v>
      </c>
      <c r="W115" s="90">
        <f t="shared" si="17"/>
        <v>4337.4016350000002</v>
      </c>
      <c r="X115" s="93">
        <f t="shared" si="13"/>
        <v>-0.11905465920695135</v>
      </c>
    </row>
    <row r="116" spans="2:24" x14ac:dyDescent="0.25">
      <c r="B116" s="91">
        <v>39520</v>
      </c>
      <c r="C116" s="89">
        <v>129.61000100000001</v>
      </c>
      <c r="D116" s="89">
        <v>132.63999899999999</v>
      </c>
      <c r="E116" s="89">
        <v>128.60000600000001</v>
      </c>
      <c r="F116" s="89">
        <v>131.64999399999999</v>
      </c>
      <c r="G116" s="89">
        <v>96.599463999999998</v>
      </c>
      <c r="H116" s="89">
        <v>351504200</v>
      </c>
      <c r="J116" s="89">
        <v>0</v>
      </c>
      <c r="K116" s="89">
        <f t="shared" si="18"/>
        <v>88</v>
      </c>
      <c r="L116" s="89">
        <f t="shared" si="19"/>
        <v>112.621376</v>
      </c>
      <c r="M116" s="89">
        <f>+SPY__2[[#This Row],[Adj Close]]</f>
        <v>96.599463999999998</v>
      </c>
      <c r="N116" s="89">
        <f t="shared" si="14"/>
        <v>8500.7528320000001</v>
      </c>
      <c r="O116" s="90">
        <f t="shared" si="15"/>
        <v>-1409.9282560000001</v>
      </c>
      <c r="P116" s="93">
        <f t="shared" si="16"/>
        <v>-0.14226350777316021</v>
      </c>
      <c r="Q116" s="96"/>
      <c r="R116" s="96"/>
      <c r="T116" s="90">
        <f t="shared" si="20"/>
        <v>45</v>
      </c>
      <c r="U116" s="89">
        <f t="shared" si="21"/>
        <v>109.41280751111111</v>
      </c>
      <c r="V116" s="89">
        <f t="shared" si="12"/>
        <v>96.599463999999998</v>
      </c>
      <c r="W116" s="90">
        <f t="shared" si="17"/>
        <v>4346.97588</v>
      </c>
      <c r="X116" s="93">
        <f t="shared" si="13"/>
        <v>-0.11711008795574396</v>
      </c>
    </row>
    <row r="117" spans="2:24" x14ac:dyDescent="0.25">
      <c r="B117" s="91">
        <v>39521</v>
      </c>
      <c r="C117" s="89">
        <v>132.770004</v>
      </c>
      <c r="D117" s="89">
        <v>132.80999800000001</v>
      </c>
      <c r="E117" s="89">
        <v>127.779999</v>
      </c>
      <c r="F117" s="89">
        <v>129.61000100000001</v>
      </c>
      <c r="G117" s="89">
        <v>95.102562000000006</v>
      </c>
      <c r="H117" s="89">
        <v>484687800</v>
      </c>
      <c r="J117" s="89">
        <v>0</v>
      </c>
      <c r="K117" s="89">
        <f t="shared" si="18"/>
        <v>88</v>
      </c>
      <c r="L117" s="89">
        <f t="shared" si="19"/>
        <v>112.621376</v>
      </c>
      <c r="M117" s="89">
        <f>+SPY__2[[#This Row],[Adj Close]]</f>
        <v>95.102562000000006</v>
      </c>
      <c r="N117" s="89">
        <f t="shared" si="14"/>
        <v>8369.0254560000012</v>
      </c>
      <c r="O117" s="90">
        <f t="shared" si="15"/>
        <v>-1541.6556319999993</v>
      </c>
      <c r="P117" s="93">
        <f t="shared" si="16"/>
        <v>-0.1555549632069847</v>
      </c>
      <c r="Q117" s="96"/>
      <c r="R117" s="96"/>
      <c r="T117" s="90">
        <f t="shared" si="20"/>
        <v>45</v>
      </c>
      <c r="U117" s="89">
        <f t="shared" si="21"/>
        <v>109.41280751111111</v>
      </c>
      <c r="V117" s="89">
        <f t="shared" si="12"/>
        <v>95.102562000000006</v>
      </c>
      <c r="W117" s="90">
        <f t="shared" si="17"/>
        <v>4279.6152900000006</v>
      </c>
      <c r="X117" s="93">
        <f t="shared" si="13"/>
        <v>-0.13079131992530091</v>
      </c>
    </row>
    <row r="118" spans="2:24" x14ac:dyDescent="0.25">
      <c r="B118" s="91">
        <v>39524</v>
      </c>
      <c r="C118" s="89">
        <v>126.57</v>
      </c>
      <c r="D118" s="89">
        <v>129.259995</v>
      </c>
      <c r="E118" s="89">
        <v>126.07</v>
      </c>
      <c r="F118" s="89">
        <v>128.300003</v>
      </c>
      <c r="G118" s="89">
        <v>94.141379999999998</v>
      </c>
      <c r="H118" s="89">
        <v>405311100</v>
      </c>
      <c r="J118" s="89">
        <v>0</v>
      </c>
      <c r="K118" s="89">
        <f t="shared" si="18"/>
        <v>88</v>
      </c>
      <c r="L118" s="89">
        <f t="shared" si="19"/>
        <v>112.621376</v>
      </c>
      <c r="M118" s="89">
        <f>+SPY__2[[#This Row],[Adj Close]]</f>
        <v>94.141379999999998</v>
      </c>
      <c r="N118" s="89">
        <f t="shared" si="14"/>
        <v>8284.4414400000005</v>
      </c>
      <c r="O118" s="90">
        <f t="shared" si="15"/>
        <v>-1626.239648</v>
      </c>
      <c r="P118" s="93">
        <f t="shared" si="16"/>
        <v>-0.16408959521148103</v>
      </c>
      <c r="Q118" s="96"/>
      <c r="R118" s="96"/>
      <c r="T118" s="90">
        <f t="shared" si="20"/>
        <v>45</v>
      </c>
      <c r="U118" s="89">
        <f t="shared" si="21"/>
        <v>109.41280751111111</v>
      </c>
      <c r="V118" s="89">
        <f t="shared" si="12"/>
        <v>94.141379999999998</v>
      </c>
      <c r="W118" s="90">
        <f t="shared" si="17"/>
        <v>4236.3621000000003</v>
      </c>
      <c r="X118" s="93">
        <f t="shared" si="13"/>
        <v>-0.13957623297035182</v>
      </c>
    </row>
    <row r="119" spans="2:24" x14ac:dyDescent="0.25">
      <c r="B119" s="91">
        <v>39525</v>
      </c>
      <c r="C119" s="89">
        <v>130.61999499999999</v>
      </c>
      <c r="D119" s="89">
        <v>133.69000199999999</v>
      </c>
      <c r="E119" s="89">
        <v>129.979996</v>
      </c>
      <c r="F119" s="89">
        <v>133.63000500000001</v>
      </c>
      <c r="G119" s="89">
        <v>98.052329999999998</v>
      </c>
      <c r="H119" s="89">
        <v>334416600</v>
      </c>
      <c r="J119" s="89">
        <v>0</v>
      </c>
      <c r="K119" s="89">
        <f t="shared" si="18"/>
        <v>88</v>
      </c>
      <c r="L119" s="89">
        <f t="shared" si="19"/>
        <v>112.621376</v>
      </c>
      <c r="M119" s="89">
        <f>+SPY__2[[#This Row],[Adj Close]]</f>
        <v>98.052329999999998</v>
      </c>
      <c r="N119" s="89">
        <f t="shared" si="14"/>
        <v>8628.6050400000004</v>
      </c>
      <c r="O119" s="90">
        <f t="shared" si="15"/>
        <v>-1282.0760479999999</v>
      </c>
      <c r="P119" s="93">
        <f t="shared" si="16"/>
        <v>-0.12936306159143363</v>
      </c>
      <c r="Q119" s="96"/>
      <c r="R119" s="96"/>
      <c r="T119" s="90">
        <f t="shared" si="20"/>
        <v>45</v>
      </c>
      <c r="U119" s="89">
        <f t="shared" si="21"/>
        <v>109.41280751111111</v>
      </c>
      <c r="V119" s="89">
        <f t="shared" si="12"/>
        <v>98.052329999999998</v>
      </c>
      <c r="W119" s="90">
        <f t="shared" si="17"/>
        <v>4412.3548499999997</v>
      </c>
      <c r="X119" s="93">
        <f t="shared" si="13"/>
        <v>-0.10383133172007708</v>
      </c>
    </row>
    <row r="120" spans="2:24" x14ac:dyDescent="0.25">
      <c r="B120" s="91">
        <v>39526</v>
      </c>
      <c r="C120" s="89">
        <v>134.13999899999999</v>
      </c>
      <c r="D120" s="89">
        <v>134.64999399999999</v>
      </c>
      <c r="E120" s="89">
        <v>130.03999300000001</v>
      </c>
      <c r="F120" s="89">
        <v>130.320007</v>
      </c>
      <c r="G120" s="89">
        <v>95.623549999999994</v>
      </c>
      <c r="H120" s="89">
        <v>345971600</v>
      </c>
      <c r="J120" s="89">
        <v>0</v>
      </c>
      <c r="K120" s="89">
        <f t="shared" si="18"/>
        <v>88</v>
      </c>
      <c r="L120" s="89">
        <f t="shared" si="19"/>
        <v>112.621376</v>
      </c>
      <c r="M120" s="89">
        <f>+SPY__2[[#This Row],[Adj Close]]</f>
        <v>95.623549999999994</v>
      </c>
      <c r="N120" s="89">
        <f t="shared" si="14"/>
        <v>8414.8724000000002</v>
      </c>
      <c r="O120" s="90">
        <f t="shared" si="15"/>
        <v>-1495.8086880000003</v>
      </c>
      <c r="P120" s="93">
        <f t="shared" si="16"/>
        <v>-0.15092894975817028</v>
      </c>
      <c r="Q120" s="96"/>
      <c r="R120" s="96"/>
      <c r="T120" s="90">
        <f t="shared" si="20"/>
        <v>45</v>
      </c>
      <c r="U120" s="89">
        <f t="shared" si="21"/>
        <v>109.41280751111111</v>
      </c>
      <c r="V120" s="89">
        <f t="shared" si="12"/>
        <v>95.623549999999994</v>
      </c>
      <c r="W120" s="90">
        <f t="shared" si="17"/>
        <v>4303.0597499999994</v>
      </c>
      <c r="X120" s="93">
        <f t="shared" si="13"/>
        <v>-0.12602964702930952</v>
      </c>
    </row>
    <row r="121" spans="2:24" x14ac:dyDescent="0.25">
      <c r="B121" s="91">
        <v>39527</v>
      </c>
      <c r="C121" s="89">
        <v>130.050003</v>
      </c>
      <c r="D121" s="89">
        <v>132.91000399999999</v>
      </c>
      <c r="E121" s="89">
        <v>129.259995</v>
      </c>
      <c r="F121" s="89">
        <v>132.08000200000001</v>
      </c>
      <c r="G121" s="89">
        <v>97.394783000000004</v>
      </c>
      <c r="H121" s="89">
        <v>245320700</v>
      </c>
      <c r="J121" s="89">
        <v>0</v>
      </c>
      <c r="K121" s="89">
        <f t="shared" si="18"/>
        <v>88</v>
      </c>
      <c r="L121" s="89">
        <f t="shared" si="19"/>
        <v>112.621376</v>
      </c>
      <c r="M121" s="89">
        <f>+SPY__2[[#This Row],[Adj Close]]</f>
        <v>97.394783000000004</v>
      </c>
      <c r="N121" s="89">
        <f t="shared" si="14"/>
        <v>8570.7409040000002</v>
      </c>
      <c r="O121" s="90">
        <f t="shared" si="15"/>
        <v>-1339.9401839999996</v>
      </c>
      <c r="P121" s="93">
        <f t="shared" si="16"/>
        <v>-0.13520162460099927</v>
      </c>
      <c r="Q121" s="96"/>
      <c r="R121" s="96"/>
      <c r="T121" s="90">
        <f t="shared" si="20"/>
        <v>45</v>
      </c>
      <c r="U121" s="89">
        <f t="shared" si="21"/>
        <v>109.41280751111111</v>
      </c>
      <c r="V121" s="89">
        <f t="shared" si="12"/>
        <v>97.394783000000004</v>
      </c>
      <c r="W121" s="90">
        <f t="shared" si="17"/>
        <v>4382.7652349999998</v>
      </c>
      <c r="X121" s="93">
        <f t="shared" si="13"/>
        <v>-0.10984111261280505</v>
      </c>
    </row>
    <row r="122" spans="2:24" x14ac:dyDescent="0.25">
      <c r="B122" s="91">
        <v>39531</v>
      </c>
      <c r="C122" s="89">
        <v>133.30999800000001</v>
      </c>
      <c r="D122" s="89">
        <v>135.80999800000001</v>
      </c>
      <c r="E122" s="89">
        <v>133.240005</v>
      </c>
      <c r="F122" s="89">
        <v>134.720001</v>
      </c>
      <c r="G122" s="89">
        <v>99.341476</v>
      </c>
      <c r="H122" s="89">
        <v>208977300</v>
      </c>
      <c r="J122" s="89">
        <v>0</v>
      </c>
      <c r="K122" s="89">
        <f t="shared" si="18"/>
        <v>88</v>
      </c>
      <c r="L122" s="89">
        <f t="shared" si="19"/>
        <v>112.621376</v>
      </c>
      <c r="M122" s="89">
        <f>+SPY__2[[#This Row],[Adj Close]]</f>
        <v>99.341476</v>
      </c>
      <c r="N122" s="89">
        <f t="shared" si="14"/>
        <v>8742.0498879999996</v>
      </c>
      <c r="O122" s="90">
        <f t="shared" si="15"/>
        <v>-1168.6311999999998</v>
      </c>
      <c r="P122" s="93">
        <f t="shared" si="16"/>
        <v>-0.11791633588280792</v>
      </c>
      <c r="Q122" s="96"/>
      <c r="R122" s="96"/>
      <c r="T122" s="90">
        <f t="shared" si="20"/>
        <v>45</v>
      </c>
      <c r="U122" s="89">
        <f t="shared" si="21"/>
        <v>109.41280751111111</v>
      </c>
      <c r="V122" s="89">
        <f t="shared" si="12"/>
        <v>99.341476</v>
      </c>
      <c r="W122" s="90">
        <f t="shared" si="17"/>
        <v>4470.3664200000003</v>
      </c>
      <c r="X122" s="93">
        <f t="shared" si="13"/>
        <v>-9.2048926814059961E-2</v>
      </c>
    </row>
    <row r="123" spans="2:24" x14ac:dyDescent="0.25">
      <c r="B123" s="91">
        <v>39532</v>
      </c>
      <c r="C123" s="89">
        <v>134.86000100000001</v>
      </c>
      <c r="D123" s="89">
        <v>135.550003</v>
      </c>
      <c r="E123" s="89">
        <v>133.770004</v>
      </c>
      <c r="F123" s="89">
        <v>134.85000600000001</v>
      </c>
      <c r="G123" s="89">
        <v>99.437370000000001</v>
      </c>
      <c r="H123" s="89">
        <v>192947200</v>
      </c>
      <c r="J123" s="89">
        <v>0</v>
      </c>
      <c r="K123" s="89">
        <f t="shared" si="18"/>
        <v>88</v>
      </c>
      <c r="L123" s="89">
        <f t="shared" si="19"/>
        <v>112.621376</v>
      </c>
      <c r="M123" s="89">
        <f>+SPY__2[[#This Row],[Adj Close]]</f>
        <v>99.437370000000001</v>
      </c>
      <c r="N123" s="89">
        <f t="shared" si="14"/>
        <v>8750.4885599999998</v>
      </c>
      <c r="O123" s="90">
        <f t="shared" si="15"/>
        <v>-1160.1925279999996</v>
      </c>
      <c r="P123" s="93">
        <f t="shared" si="16"/>
        <v>-0.11706486342344102</v>
      </c>
      <c r="Q123" s="96"/>
      <c r="R123" s="96"/>
      <c r="T123" s="90">
        <f t="shared" si="20"/>
        <v>45</v>
      </c>
      <c r="U123" s="89">
        <f t="shared" si="21"/>
        <v>109.41280751111111</v>
      </c>
      <c r="V123" s="89">
        <f t="shared" si="12"/>
        <v>99.437370000000001</v>
      </c>
      <c r="W123" s="90">
        <f t="shared" si="17"/>
        <v>4474.6816500000004</v>
      </c>
      <c r="X123" s="93">
        <f t="shared" si="13"/>
        <v>-9.1172484629809647E-2</v>
      </c>
    </row>
    <row r="124" spans="2:24" x14ac:dyDescent="0.25">
      <c r="B124" s="91">
        <v>39533</v>
      </c>
      <c r="C124" s="89">
        <v>134.46000699999999</v>
      </c>
      <c r="D124" s="89">
        <v>135.08999600000001</v>
      </c>
      <c r="E124" s="89">
        <v>133.11000100000001</v>
      </c>
      <c r="F124" s="89">
        <v>133.199997</v>
      </c>
      <c r="G124" s="89">
        <v>98.220641999999998</v>
      </c>
      <c r="H124" s="89">
        <v>196934300</v>
      </c>
      <c r="J124" s="89">
        <v>0</v>
      </c>
      <c r="K124" s="89">
        <f t="shared" si="18"/>
        <v>88</v>
      </c>
      <c r="L124" s="89">
        <f t="shared" si="19"/>
        <v>112.621376</v>
      </c>
      <c r="M124" s="89">
        <f>+SPY__2[[#This Row],[Adj Close]]</f>
        <v>98.220641999999998</v>
      </c>
      <c r="N124" s="89">
        <f t="shared" si="14"/>
        <v>8643.4164959999998</v>
      </c>
      <c r="O124" s="90">
        <f t="shared" si="15"/>
        <v>-1267.264592</v>
      </c>
      <c r="P124" s="93">
        <f t="shared" si="16"/>
        <v>-0.12786856733130303</v>
      </c>
      <c r="Q124" s="96"/>
      <c r="R124" s="96"/>
      <c r="T124" s="90">
        <f t="shared" si="20"/>
        <v>45</v>
      </c>
      <c r="U124" s="89">
        <f t="shared" si="21"/>
        <v>109.41280751111111</v>
      </c>
      <c r="V124" s="89">
        <f t="shared" si="12"/>
        <v>98.220641999999998</v>
      </c>
      <c r="W124" s="90">
        <f t="shared" si="17"/>
        <v>4419.9288900000001</v>
      </c>
      <c r="X124" s="93">
        <f t="shared" si="13"/>
        <v>-0.10229301089796561</v>
      </c>
    </row>
    <row r="125" spans="2:24" x14ac:dyDescent="0.25">
      <c r="B125" s="91">
        <v>39534</v>
      </c>
      <c r="C125" s="89">
        <v>134.199997</v>
      </c>
      <c r="D125" s="89">
        <v>134.44000199999999</v>
      </c>
      <c r="E125" s="89">
        <v>132.36000100000001</v>
      </c>
      <c r="F125" s="89">
        <v>132.779999</v>
      </c>
      <c r="G125" s="89">
        <v>97.91095</v>
      </c>
      <c r="H125" s="89">
        <v>225153200</v>
      </c>
      <c r="J125" s="89">
        <v>0</v>
      </c>
      <c r="K125" s="89">
        <f t="shared" si="18"/>
        <v>88</v>
      </c>
      <c r="L125" s="89">
        <f t="shared" si="19"/>
        <v>112.621376</v>
      </c>
      <c r="M125" s="89">
        <f>+SPY__2[[#This Row],[Adj Close]]</f>
        <v>97.91095</v>
      </c>
      <c r="N125" s="89">
        <f t="shared" si="14"/>
        <v>8616.1635999999999</v>
      </c>
      <c r="O125" s="90">
        <f t="shared" si="15"/>
        <v>-1294.517488</v>
      </c>
      <c r="P125" s="93">
        <f t="shared" si="16"/>
        <v>-0.13061841830098042</v>
      </c>
      <c r="Q125" s="96"/>
      <c r="R125" s="96"/>
      <c r="T125" s="90">
        <f t="shared" si="20"/>
        <v>45</v>
      </c>
      <c r="U125" s="89">
        <f t="shared" si="21"/>
        <v>109.41280751111111</v>
      </c>
      <c r="V125" s="89">
        <f t="shared" si="12"/>
        <v>97.91095</v>
      </c>
      <c r="W125" s="90">
        <f t="shared" si="17"/>
        <v>4405.9927500000003</v>
      </c>
      <c r="X125" s="93">
        <f t="shared" si="13"/>
        <v>-0.10512350220007893</v>
      </c>
    </row>
    <row r="126" spans="2:24" x14ac:dyDescent="0.25">
      <c r="B126" s="91">
        <v>39535</v>
      </c>
      <c r="C126" s="89">
        <v>132.990005</v>
      </c>
      <c r="D126" s="89">
        <v>133.36000100000001</v>
      </c>
      <c r="E126" s="89">
        <v>131.05999800000001</v>
      </c>
      <c r="F126" s="89">
        <v>131.509995</v>
      </c>
      <c r="G126" s="89">
        <v>96.974441999999996</v>
      </c>
      <c r="H126" s="89">
        <v>180896100</v>
      </c>
      <c r="J126" s="89">
        <v>0</v>
      </c>
      <c r="K126" s="89">
        <f t="shared" si="18"/>
        <v>88</v>
      </c>
      <c r="L126" s="89">
        <f t="shared" si="19"/>
        <v>112.621376</v>
      </c>
      <c r="M126" s="89">
        <f>+SPY__2[[#This Row],[Adj Close]]</f>
        <v>96.974441999999996</v>
      </c>
      <c r="N126" s="89">
        <f t="shared" si="14"/>
        <v>8533.7508959999996</v>
      </c>
      <c r="O126" s="90">
        <f t="shared" si="15"/>
        <v>-1376.9301920000003</v>
      </c>
      <c r="P126" s="93">
        <f t="shared" si="16"/>
        <v>-0.13893396223466492</v>
      </c>
      <c r="Q126" s="96"/>
      <c r="R126" s="96"/>
      <c r="T126" s="90">
        <f t="shared" si="20"/>
        <v>45</v>
      </c>
      <c r="U126" s="89">
        <f t="shared" si="21"/>
        <v>109.41280751111111</v>
      </c>
      <c r="V126" s="89">
        <f t="shared" si="12"/>
        <v>96.974441999999996</v>
      </c>
      <c r="W126" s="90">
        <f t="shared" si="17"/>
        <v>4363.8498899999995</v>
      </c>
      <c r="X126" s="93">
        <f t="shared" si="13"/>
        <v>-0.11368290234073353</v>
      </c>
    </row>
    <row r="127" spans="2:24" x14ac:dyDescent="0.25">
      <c r="B127" s="91">
        <v>39538</v>
      </c>
      <c r="C127" s="89">
        <v>131.28999300000001</v>
      </c>
      <c r="D127" s="89">
        <v>132.729996</v>
      </c>
      <c r="E127" s="89">
        <v>131.08999600000001</v>
      </c>
      <c r="F127" s="89">
        <v>131.970001</v>
      </c>
      <c r="G127" s="89">
        <v>97.313652000000005</v>
      </c>
      <c r="H127" s="89">
        <v>166692100</v>
      </c>
      <c r="J127" s="89">
        <v>0</v>
      </c>
      <c r="K127" s="89">
        <f t="shared" si="18"/>
        <v>88</v>
      </c>
      <c r="L127" s="89">
        <f t="shared" si="19"/>
        <v>112.621376</v>
      </c>
      <c r="M127" s="89">
        <f>+SPY__2[[#This Row],[Adj Close]]</f>
        <v>97.313652000000005</v>
      </c>
      <c r="N127" s="89">
        <f t="shared" si="14"/>
        <v>8563.6013760000005</v>
      </c>
      <c r="O127" s="90">
        <f t="shared" si="15"/>
        <v>-1347.0797119999993</v>
      </c>
      <c r="P127" s="93">
        <f t="shared" si="16"/>
        <v>-0.13592201182127261</v>
      </c>
      <c r="Q127" s="96"/>
      <c r="R127" s="96"/>
      <c r="T127" s="90">
        <f t="shared" si="20"/>
        <v>45</v>
      </c>
      <c r="U127" s="89">
        <f t="shared" si="21"/>
        <v>109.41280751111111</v>
      </c>
      <c r="V127" s="89">
        <f t="shared" si="12"/>
        <v>97.313652000000005</v>
      </c>
      <c r="W127" s="90">
        <f t="shared" si="17"/>
        <v>4379.1143400000001</v>
      </c>
      <c r="X127" s="93">
        <f t="shared" si="13"/>
        <v>-0.11058262543790776</v>
      </c>
    </row>
    <row r="128" spans="2:24" x14ac:dyDescent="0.25">
      <c r="B128" s="91">
        <v>39539</v>
      </c>
      <c r="C128" s="89">
        <v>133.61000100000001</v>
      </c>
      <c r="D128" s="89">
        <v>136.83999600000001</v>
      </c>
      <c r="E128" s="89">
        <v>133.509995</v>
      </c>
      <c r="F128" s="89">
        <v>136.61000100000001</v>
      </c>
      <c r="G128" s="89">
        <v>100.73513</v>
      </c>
      <c r="H128" s="89">
        <v>254547300</v>
      </c>
      <c r="J128" s="89">
        <v>0</v>
      </c>
      <c r="K128" s="89">
        <f t="shared" si="18"/>
        <v>88</v>
      </c>
      <c r="L128" s="89">
        <f t="shared" si="19"/>
        <v>112.621376</v>
      </c>
      <c r="M128" s="89">
        <f>+SPY__2[[#This Row],[Adj Close]]</f>
        <v>100.73513</v>
      </c>
      <c r="N128" s="89">
        <f t="shared" si="14"/>
        <v>8864.6914400000005</v>
      </c>
      <c r="O128" s="90">
        <f t="shared" si="15"/>
        <v>-1045.989648</v>
      </c>
      <c r="P128" s="93">
        <f t="shared" si="16"/>
        <v>-0.10554165134689886</v>
      </c>
      <c r="Q128" s="96"/>
      <c r="R128" s="90">
        <v>-2500</v>
      </c>
      <c r="S128" s="89">
        <f>-ROUNDDOWN(+R128/M128,0)</f>
        <v>24</v>
      </c>
      <c r="T128" s="90">
        <f>+S128+T67</f>
        <v>69</v>
      </c>
      <c r="U128" s="89">
        <f>+(T3*L3+S67*M67+S128*M128)/T128</f>
        <v>106.39448489855072</v>
      </c>
      <c r="V128" s="89">
        <f t="shared" si="12"/>
        <v>100.73513</v>
      </c>
      <c r="W128" s="90">
        <f t="shared" si="17"/>
        <v>6950.72397</v>
      </c>
      <c r="X128" s="93">
        <f t="shared" si="13"/>
        <v>-5.3192182883793571E-2</v>
      </c>
    </row>
    <row r="129" spans="2:24" x14ac:dyDescent="0.25">
      <c r="B129" s="91">
        <v>39540</v>
      </c>
      <c r="C129" s="89">
        <v>137.050003</v>
      </c>
      <c r="D129" s="89">
        <v>137.66999799999999</v>
      </c>
      <c r="E129" s="89">
        <v>135.979996</v>
      </c>
      <c r="F129" s="89">
        <v>136.699997</v>
      </c>
      <c r="G129" s="89">
        <v>100.801506</v>
      </c>
      <c r="H129" s="89">
        <v>210910800</v>
      </c>
      <c r="J129" s="89">
        <v>0</v>
      </c>
      <c r="K129" s="89">
        <f t="shared" si="18"/>
        <v>88</v>
      </c>
      <c r="L129" s="89">
        <f t="shared" si="19"/>
        <v>112.621376</v>
      </c>
      <c r="M129" s="89">
        <f>+SPY__2[[#This Row],[Adj Close]]</f>
        <v>100.801506</v>
      </c>
      <c r="N129" s="89">
        <f t="shared" si="14"/>
        <v>8870.5325279999997</v>
      </c>
      <c r="O129" s="90">
        <f t="shared" si="15"/>
        <v>-1040.1485599999996</v>
      </c>
      <c r="P129" s="93">
        <f t="shared" si="16"/>
        <v>-0.10495227833124676</v>
      </c>
      <c r="Q129" s="96"/>
      <c r="R129" s="96"/>
      <c r="T129" s="90">
        <f>+T128</f>
        <v>69</v>
      </c>
      <c r="U129" s="89">
        <f>+U128</f>
        <v>106.39448489855072</v>
      </c>
      <c r="V129" s="89">
        <f t="shared" si="12"/>
        <v>100.801506</v>
      </c>
      <c r="W129" s="90">
        <f t="shared" si="17"/>
        <v>6955.3039140000001</v>
      </c>
      <c r="X129" s="93">
        <f t="shared" si="13"/>
        <v>-5.2568315960021206E-2</v>
      </c>
    </row>
    <row r="130" spans="2:24" x14ac:dyDescent="0.25">
      <c r="B130" s="91">
        <v>39541</v>
      </c>
      <c r="C130" s="89">
        <v>135.96000699999999</v>
      </c>
      <c r="D130" s="89">
        <v>137.44000199999999</v>
      </c>
      <c r="E130" s="89">
        <v>135.71000699999999</v>
      </c>
      <c r="F130" s="89">
        <v>137.03999300000001</v>
      </c>
      <c r="G130" s="89">
        <v>101.052216</v>
      </c>
      <c r="H130" s="89">
        <v>175884800</v>
      </c>
      <c r="J130" s="89">
        <v>0</v>
      </c>
      <c r="K130" s="89">
        <f t="shared" si="18"/>
        <v>88</v>
      </c>
      <c r="L130" s="89">
        <f t="shared" si="19"/>
        <v>112.621376</v>
      </c>
      <c r="M130" s="89">
        <f>+SPY__2[[#This Row],[Adj Close]]</f>
        <v>101.052216</v>
      </c>
      <c r="N130" s="89">
        <f t="shared" si="14"/>
        <v>8892.5950080000002</v>
      </c>
      <c r="O130" s="90">
        <f t="shared" si="15"/>
        <v>-1018.0860799999997</v>
      </c>
      <c r="P130" s="93">
        <f t="shared" si="16"/>
        <v>-0.10272614676631187</v>
      </c>
      <c r="Q130" s="96"/>
      <c r="R130" s="96"/>
      <c r="T130" s="90">
        <f t="shared" ref="T130:T161" si="22">+T129</f>
        <v>69</v>
      </c>
      <c r="U130" s="89">
        <f t="shared" ref="U130:U191" si="23">+U129</f>
        <v>106.39448489855072</v>
      </c>
      <c r="V130" s="89">
        <f t="shared" si="12"/>
        <v>101.052216</v>
      </c>
      <c r="W130" s="90">
        <f t="shared" si="17"/>
        <v>6972.6029040000003</v>
      </c>
      <c r="X130" s="93">
        <f t="shared" si="13"/>
        <v>-5.0211896825711144E-2</v>
      </c>
    </row>
    <row r="131" spans="2:24" x14ac:dyDescent="0.25">
      <c r="B131" s="91">
        <v>39542</v>
      </c>
      <c r="C131" s="89">
        <v>137.11999499999999</v>
      </c>
      <c r="D131" s="89">
        <v>137.96000699999999</v>
      </c>
      <c r="E131" s="89">
        <v>136.11999499999999</v>
      </c>
      <c r="F131" s="89">
        <v>136.88999899999999</v>
      </c>
      <c r="G131" s="89">
        <v>100.94162799999999</v>
      </c>
      <c r="H131" s="89">
        <v>204446800</v>
      </c>
      <c r="J131" s="89">
        <v>0</v>
      </c>
      <c r="K131" s="89">
        <f t="shared" si="18"/>
        <v>88</v>
      </c>
      <c r="L131" s="89">
        <f t="shared" si="19"/>
        <v>112.621376</v>
      </c>
      <c r="M131" s="89">
        <f>+SPY__2[[#This Row],[Adj Close]]</f>
        <v>100.94162799999999</v>
      </c>
      <c r="N131" s="89">
        <f t="shared" si="14"/>
        <v>8882.8632639999996</v>
      </c>
      <c r="O131" s="90">
        <f t="shared" si="15"/>
        <v>-1027.8178240000002</v>
      </c>
      <c r="P131" s="93">
        <f t="shared" si="16"/>
        <v>-0.10370809179244977</v>
      </c>
      <c r="Q131" s="96"/>
      <c r="R131" s="96"/>
      <c r="T131" s="90">
        <f t="shared" si="22"/>
        <v>69</v>
      </c>
      <c r="U131" s="89">
        <f t="shared" si="23"/>
        <v>106.39448489855072</v>
      </c>
      <c r="V131" s="89">
        <f t="shared" ref="V131:V194" si="24">+M131</f>
        <v>100.94162799999999</v>
      </c>
      <c r="W131" s="90">
        <f t="shared" si="17"/>
        <v>6964.9723319999994</v>
      </c>
      <c r="X131" s="93">
        <f t="shared" ref="X131:X194" si="25">+W131/(U131*T131)-1</f>
        <v>-5.1251311604639471E-2</v>
      </c>
    </row>
    <row r="132" spans="2:24" x14ac:dyDescent="0.25">
      <c r="B132" s="91">
        <v>39545</v>
      </c>
      <c r="C132" s="89">
        <v>137.86999499999999</v>
      </c>
      <c r="D132" s="89">
        <v>138.570007</v>
      </c>
      <c r="E132" s="89">
        <v>136.740005</v>
      </c>
      <c r="F132" s="89">
        <v>136.96000699999999</v>
      </c>
      <c r="G132" s="89">
        <v>100.99324799999999</v>
      </c>
      <c r="H132" s="89">
        <v>154245500</v>
      </c>
      <c r="J132" s="89">
        <v>0</v>
      </c>
      <c r="K132" s="89">
        <f t="shared" si="18"/>
        <v>88</v>
      </c>
      <c r="L132" s="89">
        <f t="shared" si="19"/>
        <v>112.621376</v>
      </c>
      <c r="M132" s="89">
        <f>+SPY__2[[#This Row],[Adj Close]]</f>
        <v>100.99324799999999</v>
      </c>
      <c r="N132" s="89">
        <f t="shared" ref="N132:N195" si="26">+K132*M132</f>
        <v>8887.4058239999995</v>
      </c>
      <c r="O132" s="90">
        <f t="shared" ref="O132:O195" si="27">+(M132-L132)*K132</f>
        <v>-1023.2752640000003</v>
      </c>
      <c r="P132" s="93">
        <f t="shared" ref="P132:P195" si="28">+M132/L132-1</f>
        <v>-0.10324974186072811</v>
      </c>
      <c r="Q132" s="96"/>
      <c r="R132" s="96"/>
      <c r="T132" s="90">
        <f t="shared" si="22"/>
        <v>69</v>
      </c>
      <c r="U132" s="89">
        <f t="shared" si="23"/>
        <v>106.39448489855072</v>
      </c>
      <c r="V132" s="89">
        <f t="shared" si="24"/>
        <v>100.99324799999999</v>
      </c>
      <c r="W132" s="90">
        <f t="shared" ref="W132:W195" si="29">+V132*T132</f>
        <v>6968.5341119999994</v>
      </c>
      <c r="X132" s="93">
        <f t="shared" si="25"/>
        <v>-5.0766136080276247E-2</v>
      </c>
    </row>
    <row r="133" spans="2:24" x14ac:dyDescent="0.25">
      <c r="B133" s="91">
        <v>39546</v>
      </c>
      <c r="C133" s="89">
        <v>136.19000199999999</v>
      </c>
      <c r="D133" s="89">
        <v>136.91999799999999</v>
      </c>
      <c r="E133" s="89">
        <v>135.949997</v>
      </c>
      <c r="F133" s="89">
        <v>136.820007</v>
      </c>
      <c r="G133" s="89">
        <v>100.89001500000001</v>
      </c>
      <c r="H133" s="89">
        <v>148937300</v>
      </c>
      <c r="J133" s="89">
        <v>0</v>
      </c>
      <c r="K133" s="89">
        <f t="shared" ref="K133:K196" si="30">+$K$3</f>
        <v>88</v>
      </c>
      <c r="L133" s="89">
        <f t="shared" ref="L133:L196" si="31">+$L$3</f>
        <v>112.621376</v>
      </c>
      <c r="M133" s="89">
        <f>+SPY__2[[#This Row],[Adj Close]]</f>
        <v>100.89001500000001</v>
      </c>
      <c r="N133" s="89">
        <f t="shared" si="26"/>
        <v>8878.3213200000009</v>
      </c>
      <c r="O133" s="90">
        <f t="shared" si="27"/>
        <v>-1032.3597679999993</v>
      </c>
      <c r="P133" s="93">
        <f t="shared" si="28"/>
        <v>-0.10416637956900821</v>
      </c>
      <c r="Q133" s="96"/>
      <c r="R133" s="96"/>
      <c r="T133" s="90">
        <f t="shared" si="22"/>
        <v>69</v>
      </c>
      <c r="U133" s="89">
        <f t="shared" si="23"/>
        <v>106.39448489855072</v>
      </c>
      <c r="V133" s="89">
        <f t="shared" si="24"/>
        <v>100.89001500000001</v>
      </c>
      <c r="W133" s="90">
        <f t="shared" si="29"/>
        <v>6961.4110350000001</v>
      </c>
      <c r="X133" s="93">
        <f t="shared" si="25"/>
        <v>-5.1736421336118554E-2</v>
      </c>
    </row>
    <row r="134" spans="2:24" x14ac:dyDescent="0.25">
      <c r="B134" s="91">
        <v>39547</v>
      </c>
      <c r="C134" s="89">
        <v>136.61000100000001</v>
      </c>
      <c r="D134" s="89">
        <v>136.800003</v>
      </c>
      <c r="E134" s="89">
        <v>134.88999899999999</v>
      </c>
      <c r="F134" s="89">
        <v>135.83000200000001</v>
      </c>
      <c r="G134" s="89">
        <v>100.159966</v>
      </c>
      <c r="H134" s="89">
        <v>195610600</v>
      </c>
      <c r="J134" s="89">
        <v>0</v>
      </c>
      <c r="K134" s="89">
        <f t="shared" si="30"/>
        <v>88</v>
      </c>
      <c r="L134" s="89">
        <f t="shared" si="31"/>
        <v>112.621376</v>
      </c>
      <c r="M134" s="89">
        <f>+SPY__2[[#This Row],[Adj Close]]</f>
        <v>100.159966</v>
      </c>
      <c r="N134" s="89">
        <f t="shared" si="26"/>
        <v>8814.0770080000002</v>
      </c>
      <c r="O134" s="90">
        <f t="shared" si="27"/>
        <v>-1096.6040800000001</v>
      </c>
      <c r="P134" s="93">
        <f t="shared" si="28"/>
        <v>-0.11064871024129563</v>
      </c>
      <c r="Q134" s="96"/>
      <c r="R134" s="96"/>
      <c r="T134" s="90">
        <f t="shared" si="22"/>
        <v>69</v>
      </c>
      <c r="U134" s="89">
        <f t="shared" si="23"/>
        <v>106.39448489855072</v>
      </c>
      <c r="V134" s="89">
        <f t="shared" si="24"/>
        <v>100.159966</v>
      </c>
      <c r="W134" s="90">
        <f t="shared" si="29"/>
        <v>6911.0376539999997</v>
      </c>
      <c r="X134" s="93">
        <f t="shared" si="25"/>
        <v>-5.8598139786056214E-2</v>
      </c>
    </row>
    <row r="135" spans="2:24" x14ac:dyDescent="0.25">
      <c r="B135" s="91">
        <v>39548</v>
      </c>
      <c r="C135" s="89">
        <v>135.41999799999999</v>
      </c>
      <c r="D135" s="89">
        <v>136.66999799999999</v>
      </c>
      <c r="E135" s="89">
        <v>134.89999399999999</v>
      </c>
      <c r="F135" s="89">
        <v>136.020004</v>
      </c>
      <c r="G135" s="89">
        <v>100.300072</v>
      </c>
      <c r="H135" s="89">
        <v>192967800</v>
      </c>
      <c r="J135" s="89">
        <v>0</v>
      </c>
      <c r="K135" s="89">
        <f t="shared" si="30"/>
        <v>88</v>
      </c>
      <c r="L135" s="89">
        <f t="shared" si="31"/>
        <v>112.621376</v>
      </c>
      <c r="M135" s="89">
        <f>+SPY__2[[#This Row],[Adj Close]]</f>
        <v>100.300072</v>
      </c>
      <c r="N135" s="89">
        <f t="shared" si="26"/>
        <v>8826.406336</v>
      </c>
      <c r="O135" s="90">
        <f t="shared" si="27"/>
        <v>-1084.2747519999998</v>
      </c>
      <c r="P135" s="93">
        <f t="shared" si="28"/>
        <v>-0.10940466577144292</v>
      </c>
      <c r="Q135" s="96"/>
      <c r="R135" s="96"/>
      <c r="T135" s="90">
        <f t="shared" si="22"/>
        <v>69</v>
      </c>
      <c r="U135" s="89">
        <f t="shared" si="23"/>
        <v>106.39448489855072</v>
      </c>
      <c r="V135" s="89">
        <f t="shared" si="24"/>
        <v>100.300072</v>
      </c>
      <c r="W135" s="90">
        <f t="shared" si="29"/>
        <v>6920.704968</v>
      </c>
      <c r="X135" s="93">
        <f t="shared" si="25"/>
        <v>-5.7281285814409166E-2</v>
      </c>
    </row>
    <row r="136" spans="2:24" x14ac:dyDescent="0.25">
      <c r="B136" s="91">
        <v>39549</v>
      </c>
      <c r="C136" s="89">
        <v>134.490005</v>
      </c>
      <c r="D136" s="89">
        <v>135.11999499999999</v>
      </c>
      <c r="E136" s="89">
        <v>133.009995</v>
      </c>
      <c r="F136" s="89">
        <v>133.38000500000001</v>
      </c>
      <c r="G136" s="89">
        <v>98.353378000000006</v>
      </c>
      <c r="H136" s="89">
        <v>222973300</v>
      </c>
      <c r="J136" s="89">
        <v>0</v>
      </c>
      <c r="K136" s="89">
        <f t="shared" si="30"/>
        <v>88</v>
      </c>
      <c r="L136" s="89">
        <f t="shared" si="31"/>
        <v>112.621376</v>
      </c>
      <c r="M136" s="89">
        <f>+SPY__2[[#This Row],[Adj Close]]</f>
        <v>98.353378000000006</v>
      </c>
      <c r="N136" s="89">
        <f t="shared" si="26"/>
        <v>8655.097264</v>
      </c>
      <c r="O136" s="90">
        <f t="shared" si="27"/>
        <v>-1255.5838239999994</v>
      </c>
      <c r="P136" s="93">
        <f t="shared" si="28"/>
        <v>-0.12668996336894334</v>
      </c>
      <c r="Q136" s="96"/>
      <c r="R136" s="96"/>
      <c r="T136" s="90">
        <f t="shared" si="22"/>
        <v>69</v>
      </c>
      <c r="U136" s="89">
        <f t="shared" si="23"/>
        <v>106.39448489855072</v>
      </c>
      <c r="V136" s="89">
        <f t="shared" si="24"/>
        <v>98.353378000000006</v>
      </c>
      <c r="W136" s="90">
        <f t="shared" si="29"/>
        <v>6786.3830820000003</v>
      </c>
      <c r="X136" s="93">
        <f t="shared" si="25"/>
        <v>-7.5578230452622353E-2</v>
      </c>
    </row>
    <row r="137" spans="2:24" x14ac:dyDescent="0.25">
      <c r="B137" s="91">
        <v>39552</v>
      </c>
      <c r="C137" s="89">
        <v>133.19000199999999</v>
      </c>
      <c r="D137" s="89">
        <v>133.53999300000001</v>
      </c>
      <c r="E137" s="89">
        <v>132.550003</v>
      </c>
      <c r="F137" s="89">
        <v>132.929993</v>
      </c>
      <c r="G137" s="89">
        <v>98.021514999999994</v>
      </c>
      <c r="H137" s="89">
        <v>160522000</v>
      </c>
      <c r="J137" s="89">
        <v>0</v>
      </c>
      <c r="K137" s="89">
        <f t="shared" si="30"/>
        <v>88</v>
      </c>
      <c r="L137" s="89">
        <f t="shared" si="31"/>
        <v>112.621376</v>
      </c>
      <c r="M137" s="89">
        <f>+SPY__2[[#This Row],[Adj Close]]</f>
        <v>98.021514999999994</v>
      </c>
      <c r="N137" s="89">
        <f t="shared" si="26"/>
        <v>8625.8933199999992</v>
      </c>
      <c r="O137" s="90">
        <f t="shared" si="27"/>
        <v>-1284.7877680000004</v>
      </c>
      <c r="P137" s="93">
        <f t="shared" si="28"/>
        <v>-0.12963667749895014</v>
      </c>
      <c r="Q137" s="96"/>
      <c r="R137" s="96"/>
      <c r="T137" s="90">
        <f t="shared" si="22"/>
        <v>69</v>
      </c>
      <c r="U137" s="89">
        <f t="shared" si="23"/>
        <v>106.39448489855072</v>
      </c>
      <c r="V137" s="89">
        <f t="shared" si="24"/>
        <v>98.021514999999994</v>
      </c>
      <c r="W137" s="90">
        <f t="shared" si="29"/>
        <v>6763.4845349999996</v>
      </c>
      <c r="X137" s="93">
        <f t="shared" si="25"/>
        <v>-7.8697405288765898E-2</v>
      </c>
    </row>
    <row r="138" spans="2:24" x14ac:dyDescent="0.25">
      <c r="B138" s="91">
        <v>39553</v>
      </c>
      <c r="C138" s="89">
        <v>133.58000200000001</v>
      </c>
      <c r="D138" s="89">
        <v>133.69000199999999</v>
      </c>
      <c r="E138" s="89">
        <v>132.33000200000001</v>
      </c>
      <c r="F138" s="89">
        <v>133.240005</v>
      </c>
      <c r="G138" s="89">
        <v>98.250152999999997</v>
      </c>
      <c r="H138" s="89">
        <v>172389200</v>
      </c>
      <c r="J138" s="89">
        <v>0</v>
      </c>
      <c r="K138" s="89">
        <f t="shared" si="30"/>
        <v>88</v>
      </c>
      <c r="L138" s="89">
        <f t="shared" si="31"/>
        <v>112.621376</v>
      </c>
      <c r="M138" s="89">
        <f>+SPY__2[[#This Row],[Adj Close]]</f>
        <v>98.250152999999997</v>
      </c>
      <c r="N138" s="89">
        <f t="shared" si="26"/>
        <v>8646.0134639999997</v>
      </c>
      <c r="O138" s="90">
        <f t="shared" si="27"/>
        <v>-1264.6676240000002</v>
      </c>
      <c r="P138" s="93">
        <f t="shared" si="28"/>
        <v>-0.12760653004275135</v>
      </c>
      <c r="Q138" s="96"/>
      <c r="R138" s="96"/>
      <c r="T138" s="90">
        <f t="shared" si="22"/>
        <v>69</v>
      </c>
      <c r="U138" s="89">
        <f t="shared" si="23"/>
        <v>106.39448489855072</v>
      </c>
      <c r="V138" s="89">
        <f t="shared" si="24"/>
        <v>98.250152999999997</v>
      </c>
      <c r="W138" s="90">
        <f t="shared" si="29"/>
        <v>6779.2605569999996</v>
      </c>
      <c r="X138" s="93">
        <f t="shared" si="25"/>
        <v>-7.6548440516597371E-2</v>
      </c>
    </row>
    <row r="139" spans="2:24" x14ac:dyDescent="0.25">
      <c r="B139" s="91">
        <v>39554</v>
      </c>
      <c r="C139" s="89">
        <v>134.53999300000001</v>
      </c>
      <c r="D139" s="89">
        <v>136.91000399999999</v>
      </c>
      <c r="E139" s="89">
        <v>134.520004</v>
      </c>
      <c r="F139" s="89">
        <v>136.85000600000001</v>
      </c>
      <c r="G139" s="89">
        <v>100.912125</v>
      </c>
      <c r="H139" s="89">
        <v>189268900</v>
      </c>
      <c r="J139" s="89">
        <v>0</v>
      </c>
      <c r="K139" s="89">
        <f t="shared" si="30"/>
        <v>88</v>
      </c>
      <c r="L139" s="89">
        <f t="shared" si="31"/>
        <v>112.621376</v>
      </c>
      <c r="M139" s="89">
        <f>+SPY__2[[#This Row],[Adj Close]]</f>
        <v>100.912125</v>
      </c>
      <c r="N139" s="89">
        <f t="shared" si="26"/>
        <v>8880.2669999999998</v>
      </c>
      <c r="O139" s="90">
        <f t="shared" si="27"/>
        <v>-1030.4140879999995</v>
      </c>
      <c r="P139" s="93">
        <f t="shared" si="28"/>
        <v>-0.10397005804652926</v>
      </c>
      <c r="Q139" s="96"/>
      <c r="R139" s="96"/>
      <c r="T139" s="90">
        <f t="shared" si="22"/>
        <v>69</v>
      </c>
      <c r="U139" s="89">
        <f t="shared" si="23"/>
        <v>106.39448489855072</v>
      </c>
      <c r="V139" s="89">
        <f t="shared" si="24"/>
        <v>100.912125</v>
      </c>
      <c r="W139" s="90">
        <f t="shared" si="29"/>
        <v>6962.9366250000003</v>
      </c>
      <c r="X139" s="93">
        <f t="shared" si="25"/>
        <v>-5.1528609812606874E-2</v>
      </c>
    </row>
    <row r="140" spans="2:24" x14ac:dyDescent="0.25">
      <c r="B140" s="91">
        <v>39555</v>
      </c>
      <c r="C140" s="89">
        <v>136.020004</v>
      </c>
      <c r="D140" s="89">
        <v>137.25</v>
      </c>
      <c r="E140" s="89">
        <v>135.66000399999999</v>
      </c>
      <c r="F140" s="89">
        <v>137.050003</v>
      </c>
      <c r="G140" s="89">
        <v>101.059586</v>
      </c>
      <c r="H140" s="89">
        <v>179665700</v>
      </c>
      <c r="J140" s="89">
        <v>0</v>
      </c>
      <c r="K140" s="89">
        <f t="shared" si="30"/>
        <v>88</v>
      </c>
      <c r="L140" s="89">
        <f t="shared" si="31"/>
        <v>112.621376</v>
      </c>
      <c r="M140" s="89">
        <f>+SPY__2[[#This Row],[Adj Close]]</f>
        <v>101.059586</v>
      </c>
      <c r="N140" s="89">
        <f t="shared" si="26"/>
        <v>8893.2435679999999</v>
      </c>
      <c r="O140" s="90">
        <f t="shared" si="27"/>
        <v>-1017.4375200000002</v>
      </c>
      <c r="P140" s="93">
        <f t="shared" si="28"/>
        <v>-0.10266070625881896</v>
      </c>
      <c r="Q140" s="96"/>
      <c r="R140" s="96"/>
      <c r="T140" s="90">
        <f t="shared" si="22"/>
        <v>69</v>
      </c>
      <c r="U140" s="89">
        <f t="shared" si="23"/>
        <v>106.39448489855072</v>
      </c>
      <c r="V140" s="89">
        <f t="shared" si="24"/>
        <v>101.059586</v>
      </c>
      <c r="W140" s="90">
        <f t="shared" si="29"/>
        <v>6973.1114339999995</v>
      </c>
      <c r="X140" s="93">
        <f t="shared" si="25"/>
        <v>-5.0142626317874139E-2</v>
      </c>
    </row>
    <row r="141" spans="2:24" x14ac:dyDescent="0.25">
      <c r="B141" s="91">
        <v>39556</v>
      </c>
      <c r="C141" s="89">
        <v>138.94000199999999</v>
      </c>
      <c r="D141" s="89">
        <v>139.55999800000001</v>
      </c>
      <c r="E141" s="89">
        <v>138.259995</v>
      </c>
      <c r="F141" s="89">
        <v>138.479996</v>
      </c>
      <c r="G141" s="89">
        <v>102.11409</v>
      </c>
      <c r="H141" s="89">
        <v>218530600</v>
      </c>
      <c r="J141" s="89">
        <v>0</v>
      </c>
      <c r="K141" s="89">
        <f t="shared" si="30"/>
        <v>88</v>
      </c>
      <c r="L141" s="89">
        <f t="shared" si="31"/>
        <v>112.621376</v>
      </c>
      <c r="M141" s="89">
        <f>+SPY__2[[#This Row],[Adj Close]]</f>
        <v>102.11409</v>
      </c>
      <c r="N141" s="89">
        <f t="shared" si="26"/>
        <v>8986.0399200000011</v>
      </c>
      <c r="O141" s="90">
        <f t="shared" si="27"/>
        <v>-924.64116799999942</v>
      </c>
      <c r="P141" s="93">
        <f t="shared" si="28"/>
        <v>-9.3297439377760694E-2</v>
      </c>
      <c r="Q141" s="96"/>
      <c r="R141" s="96"/>
      <c r="T141" s="90">
        <f t="shared" si="22"/>
        <v>69</v>
      </c>
      <c r="U141" s="89">
        <f t="shared" si="23"/>
        <v>106.39448489855072</v>
      </c>
      <c r="V141" s="89">
        <f t="shared" si="24"/>
        <v>102.11409</v>
      </c>
      <c r="W141" s="90">
        <f t="shared" si="29"/>
        <v>7045.8722100000005</v>
      </c>
      <c r="X141" s="93">
        <f t="shared" si="25"/>
        <v>-4.0231360701000196E-2</v>
      </c>
    </row>
    <row r="142" spans="2:24" x14ac:dyDescent="0.25">
      <c r="B142" s="91">
        <v>39559</v>
      </c>
      <c r="C142" s="89">
        <v>138.229996</v>
      </c>
      <c r="D142" s="89">
        <v>138.979996</v>
      </c>
      <c r="E142" s="89">
        <v>137.85000600000001</v>
      </c>
      <c r="F142" s="89">
        <v>138.550003</v>
      </c>
      <c r="G142" s="89">
        <v>102.16571</v>
      </c>
      <c r="H142" s="89">
        <v>118587400</v>
      </c>
      <c r="J142" s="89">
        <v>0</v>
      </c>
      <c r="K142" s="89">
        <f t="shared" si="30"/>
        <v>88</v>
      </c>
      <c r="L142" s="89">
        <f t="shared" si="31"/>
        <v>112.621376</v>
      </c>
      <c r="M142" s="89">
        <f>+SPY__2[[#This Row],[Adj Close]]</f>
        <v>102.16571</v>
      </c>
      <c r="N142" s="89">
        <f t="shared" si="26"/>
        <v>8990.5824800000009</v>
      </c>
      <c r="O142" s="90">
        <f t="shared" si="27"/>
        <v>-920.09860799999944</v>
      </c>
      <c r="P142" s="93">
        <f t="shared" si="28"/>
        <v>-9.2839089446039025E-2</v>
      </c>
      <c r="Q142" s="96"/>
      <c r="R142" s="96"/>
      <c r="T142" s="90">
        <f t="shared" si="22"/>
        <v>69</v>
      </c>
      <c r="U142" s="89">
        <f t="shared" si="23"/>
        <v>106.39448489855072</v>
      </c>
      <c r="V142" s="89">
        <f t="shared" si="24"/>
        <v>102.16571</v>
      </c>
      <c r="W142" s="90">
        <f t="shared" si="29"/>
        <v>7049.4339900000004</v>
      </c>
      <c r="X142" s="93">
        <f t="shared" si="25"/>
        <v>-3.9746185176637083E-2</v>
      </c>
    </row>
    <row r="143" spans="2:24" x14ac:dyDescent="0.25">
      <c r="B143" s="91">
        <v>39560</v>
      </c>
      <c r="C143" s="89">
        <v>138.19000199999999</v>
      </c>
      <c r="D143" s="89">
        <v>138.30999800000001</v>
      </c>
      <c r="E143" s="89">
        <v>136.89999399999999</v>
      </c>
      <c r="F143" s="89">
        <v>137.94000199999999</v>
      </c>
      <c r="G143" s="89">
        <v>101.715881</v>
      </c>
      <c r="H143" s="89">
        <v>162166000</v>
      </c>
      <c r="J143" s="89">
        <v>0</v>
      </c>
      <c r="K143" s="89">
        <f t="shared" si="30"/>
        <v>88</v>
      </c>
      <c r="L143" s="89">
        <f t="shared" si="31"/>
        <v>112.621376</v>
      </c>
      <c r="M143" s="89">
        <f>+SPY__2[[#This Row],[Adj Close]]</f>
        <v>101.715881</v>
      </c>
      <c r="N143" s="89">
        <f t="shared" si="26"/>
        <v>8950.9975279999999</v>
      </c>
      <c r="O143" s="90">
        <f t="shared" si="27"/>
        <v>-959.68356000000017</v>
      </c>
      <c r="P143" s="93">
        <f t="shared" si="28"/>
        <v>-9.6833260144148836E-2</v>
      </c>
      <c r="Q143" s="96"/>
      <c r="R143" s="96"/>
      <c r="T143" s="90">
        <f t="shared" si="22"/>
        <v>69</v>
      </c>
      <c r="U143" s="89">
        <f t="shared" si="23"/>
        <v>106.39448489855072</v>
      </c>
      <c r="V143" s="89">
        <f t="shared" si="24"/>
        <v>101.715881</v>
      </c>
      <c r="W143" s="90">
        <f t="shared" si="29"/>
        <v>7018.3957890000001</v>
      </c>
      <c r="X143" s="93">
        <f t="shared" si="25"/>
        <v>-4.3974120491413249E-2</v>
      </c>
    </row>
    <row r="144" spans="2:24" x14ac:dyDescent="0.25">
      <c r="B144" s="91">
        <v>39561</v>
      </c>
      <c r="C144" s="89">
        <v>138.08999600000001</v>
      </c>
      <c r="D144" s="89">
        <v>138.779999</v>
      </c>
      <c r="E144" s="89">
        <v>137.11999499999999</v>
      </c>
      <c r="F144" s="89">
        <v>137.720001</v>
      </c>
      <c r="G144" s="89">
        <v>101.553635</v>
      </c>
      <c r="H144" s="89">
        <v>193309000</v>
      </c>
      <c r="J144" s="89">
        <v>0</v>
      </c>
      <c r="K144" s="89">
        <f t="shared" si="30"/>
        <v>88</v>
      </c>
      <c r="L144" s="89">
        <f t="shared" si="31"/>
        <v>112.621376</v>
      </c>
      <c r="M144" s="89">
        <f>+SPY__2[[#This Row],[Adj Close]]</f>
        <v>101.553635</v>
      </c>
      <c r="N144" s="89">
        <f t="shared" si="26"/>
        <v>8936.7198800000006</v>
      </c>
      <c r="O144" s="90">
        <f t="shared" si="27"/>
        <v>-973.96120799999983</v>
      </c>
      <c r="P144" s="93">
        <f t="shared" si="28"/>
        <v>-9.8273892515751138E-2</v>
      </c>
      <c r="Q144" s="96"/>
      <c r="R144" s="96"/>
      <c r="T144" s="90">
        <f t="shared" si="22"/>
        <v>69</v>
      </c>
      <c r="U144" s="89">
        <f t="shared" si="23"/>
        <v>106.39448489855072</v>
      </c>
      <c r="V144" s="89">
        <f t="shared" si="24"/>
        <v>101.553635</v>
      </c>
      <c r="W144" s="90">
        <f t="shared" si="29"/>
        <v>7007.2008150000001</v>
      </c>
      <c r="X144" s="93">
        <f t="shared" si="25"/>
        <v>-4.5499067956074613E-2</v>
      </c>
    </row>
    <row r="145" spans="2:24" x14ac:dyDescent="0.25">
      <c r="B145" s="91">
        <v>39562</v>
      </c>
      <c r="C145" s="89">
        <v>138.08000200000001</v>
      </c>
      <c r="D145" s="89">
        <v>139.740005</v>
      </c>
      <c r="E145" s="89">
        <v>137.03999300000001</v>
      </c>
      <c r="F145" s="89">
        <v>138.320007</v>
      </c>
      <c r="G145" s="89">
        <v>101.99612399999999</v>
      </c>
      <c r="H145" s="89">
        <v>229381300</v>
      </c>
      <c r="J145" s="89">
        <v>0</v>
      </c>
      <c r="K145" s="89">
        <f t="shared" si="30"/>
        <v>88</v>
      </c>
      <c r="L145" s="89">
        <f t="shared" si="31"/>
        <v>112.621376</v>
      </c>
      <c r="M145" s="89">
        <f>+SPY__2[[#This Row],[Adj Close]]</f>
        <v>101.99612399999999</v>
      </c>
      <c r="N145" s="89">
        <f t="shared" si="26"/>
        <v>8975.658911999999</v>
      </c>
      <c r="O145" s="90">
        <f t="shared" si="27"/>
        <v>-935.02217600000029</v>
      </c>
      <c r="P145" s="93">
        <f t="shared" si="28"/>
        <v>-9.4344895945863816E-2</v>
      </c>
      <c r="Q145" s="96"/>
      <c r="R145" s="96"/>
      <c r="T145" s="90">
        <f t="shared" si="22"/>
        <v>69</v>
      </c>
      <c r="U145" s="89">
        <f t="shared" si="23"/>
        <v>106.39448489855072</v>
      </c>
      <c r="V145" s="89">
        <f t="shared" si="24"/>
        <v>101.99612399999999</v>
      </c>
      <c r="W145" s="90">
        <f t="shared" si="29"/>
        <v>7037.7325559999999</v>
      </c>
      <c r="X145" s="93">
        <f t="shared" si="25"/>
        <v>-4.1340121179633038E-2</v>
      </c>
    </row>
    <row r="146" spans="2:24" x14ac:dyDescent="0.25">
      <c r="B146" s="91">
        <v>39563</v>
      </c>
      <c r="C146" s="89">
        <v>139.39999399999999</v>
      </c>
      <c r="D146" s="89">
        <v>139.88999899999999</v>
      </c>
      <c r="E146" s="89">
        <v>137.91000399999999</v>
      </c>
      <c r="F146" s="89">
        <v>139.60000600000001</v>
      </c>
      <c r="G146" s="89">
        <v>102.939926</v>
      </c>
      <c r="H146" s="89">
        <v>190788100</v>
      </c>
      <c r="J146" s="89">
        <v>0</v>
      </c>
      <c r="K146" s="89">
        <f t="shared" si="30"/>
        <v>88</v>
      </c>
      <c r="L146" s="89">
        <f t="shared" si="31"/>
        <v>112.621376</v>
      </c>
      <c r="M146" s="89">
        <f>+SPY__2[[#This Row],[Adj Close]]</f>
        <v>102.939926</v>
      </c>
      <c r="N146" s="89">
        <f t="shared" si="26"/>
        <v>9058.7134879999994</v>
      </c>
      <c r="O146" s="90">
        <f t="shared" si="27"/>
        <v>-851.96759999999983</v>
      </c>
      <c r="P146" s="93">
        <f t="shared" si="28"/>
        <v>-8.5964586332171966E-2</v>
      </c>
      <c r="Q146" s="96"/>
      <c r="R146" s="96"/>
      <c r="T146" s="90">
        <f t="shared" si="22"/>
        <v>69</v>
      </c>
      <c r="U146" s="89">
        <f t="shared" si="23"/>
        <v>106.39448489855072</v>
      </c>
      <c r="V146" s="89">
        <f t="shared" si="24"/>
        <v>102.939926</v>
      </c>
      <c r="W146" s="90">
        <f t="shared" si="29"/>
        <v>7102.8548940000001</v>
      </c>
      <c r="X146" s="93">
        <f t="shared" si="25"/>
        <v>-3.2469341825797748E-2</v>
      </c>
    </row>
    <row r="147" spans="2:24" x14ac:dyDescent="0.25">
      <c r="B147" s="91">
        <v>39566</v>
      </c>
      <c r="C147" s="89">
        <v>139.88000500000001</v>
      </c>
      <c r="D147" s="89">
        <v>140.25</v>
      </c>
      <c r="E147" s="89">
        <v>139.38000500000001</v>
      </c>
      <c r="F147" s="89">
        <v>139.63000500000001</v>
      </c>
      <c r="G147" s="89">
        <v>102.962097</v>
      </c>
      <c r="H147" s="89">
        <v>105610200</v>
      </c>
      <c r="J147" s="89">
        <v>0</v>
      </c>
      <c r="K147" s="89">
        <f t="shared" si="30"/>
        <v>88</v>
      </c>
      <c r="L147" s="89">
        <f t="shared" si="31"/>
        <v>112.621376</v>
      </c>
      <c r="M147" s="89">
        <f>+SPY__2[[#This Row],[Adj Close]]</f>
        <v>102.962097</v>
      </c>
      <c r="N147" s="89">
        <f t="shared" si="26"/>
        <v>9060.6645360000002</v>
      </c>
      <c r="O147" s="90">
        <f t="shared" si="27"/>
        <v>-850.01655199999982</v>
      </c>
      <c r="P147" s="93">
        <f t="shared" si="28"/>
        <v>-8.5767723171842558E-2</v>
      </c>
      <c r="Q147" s="96"/>
      <c r="R147" s="96"/>
      <c r="T147" s="90">
        <f t="shared" si="22"/>
        <v>69</v>
      </c>
      <c r="U147" s="89">
        <f t="shared" si="23"/>
        <v>106.39448489855072</v>
      </c>
      <c r="V147" s="89">
        <f t="shared" si="24"/>
        <v>102.962097</v>
      </c>
      <c r="W147" s="90">
        <f t="shared" si="29"/>
        <v>7104.384693</v>
      </c>
      <c r="X147" s="93">
        <f t="shared" si="25"/>
        <v>-3.2260956964297205E-2</v>
      </c>
    </row>
    <row r="148" spans="2:24" x14ac:dyDescent="0.25">
      <c r="B148" s="91">
        <v>39567</v>
      </c>
      <c r="C148" s="89">
        <v>139.38999899999999</v>
      </c>
      <c r="D148" s="89">
        <v>139.729996</v>
      </c>
      <c r="E148" s="89">
        <v>138.61000100000001</v>
      </c>
      <c r="F148" s="89">
        <v>139.08000200000001</v>
      </c>
      <c r="G148" s="89">
        <v>102.55652600000001</v>
      </c>
      <c r="H148" s="89">
        <v>125514100</v>
      </c>
      <c r="J148" s="89">
        <v>0</v>
      </c>
      <c r="K148" s="89">
        <f t="shared" si="30"/>
        <v>88</v>
      </c>
      <c r="L148" s="89">
        <f t="shared" si="31"/>
        <v>112.621376</v>
      </c>
      <c r="M148" s="89">
        <f>+SPY__2[[#This Row],[Adj Close]]</f>
        <v>102.55652600000001</v>
      </c>
      <c r="N148" s="89">
        <f t="shared" si="26"/>
        <v>9024.9742880000013</v>
      </c>
      <c r="O148" s="90">
        <f t="shared" si="27"/>
        <v>-885.70679999999936</v>
      </c>
      <c r="P148" s="93">
        <f t="shared" si="28"/>
        <v>-8.9368913411251416E-2</v>
      </c>
      <c r="Q148" s="96"/>
      <c r="R148" s="96"/>
      <c r="T148" s="90">
        <f t="shared" si="22"/>
        <v>69</v>
      </c>
      <c r="U148" s="89">
        <f t="shared" si="23"/>
        <v>106.39448489855072</v>
      </c>
      <c r="V148" s="89">
        <f t="shared" si="24"/>
        <v>102.55652600000001</v>
      </c>
      <c r="W148" s="90">
        <f t="shared" si="29"/>
        <v>7076.400294</v>
      </c>
      <c r="X148" s="93">
        <f t="shared" si="25"/>
        <v>-3.6072912070680085E-2</v>
      </c>
    </row>
    <row r="149" spans="2:24" x14ac:dyDescent="0.25">
      <c r="B149" s="91">
        <v>39568</v>
      </c>
      <c r="C149" s="89">
        <v>139.28999300000001</v>
      </c>
      <c r="D149" s="89">
        <v>140.58999600000001</v>
      </c>
      <c r="E149" s="89">
        <v>138.259995</v>
      </c>
      <c r="F149" s="89">
        <v>138.259995</v>
      </c>
      <c r="G149" s="89">
        <v>101.95182</v>
      </c>
      <c r="H149" s="89">
        <v>208395900</v>
      </c>
      <c r="J149" s="89">
        <v>0</v>
      </c>
      <c r="K149" s="89">
        <f t="shared" si="30"/>
        <v>88</v>
      </c>
      <c r="L149" s="89">
        <f t="shared" si="31"/>
        <v>112.621376</v>
      </c>
      <c r="M149" s="89">
        <f>+SPY__2[[#This Row],[Adj Close]]</f>
        <v>101.95182</v>
      </c>
      <c r="N149" s="89">
        <f t="shared" si="26"/>
        <v>8971.7601599999998</v>
      </c>
      <c r="O149" s="90">
        <f t="shared" si="27"/>
        <v>-938.920928</v>
      </c>
      <c r="P149" s="93">
        <f t="shared" si="28"/>
        <v>-9.4738284852779686E-2</v>
      </c>
      <c r="Q149" s="96"/>
      <c r="R149" s="96"/>
      <c r="T149" s="90">
        <f t="shared" si="22"/>
        <v>69</v>
      </c>
      <c r="U149" s="89">
        <f t="shared" si="23"/>
        <v>106.39448489855072</v>
      </c>
      <c r="V149" s="89">
        <f t="shared" si="24"/>
        <v>101.95182</v>
      </c>
      <c r="W149" s="90">
        <f t="shared" si="29"/>
        <v>7034.6755800000001</v>
      </c>
      <c r="X149" s="93">
        <f t="shared" si="25"/>
        <v>-4.1756533741263868E-2</v>
      </c>
    </row>
    <row r="150" spans="2:24" x14ac:dyDescent="0.25">
      <c r="B150" s="91">
        <v>39569</v>
      </c>
      <c r="C150" s="89">
        <v>138.38000500000001</v>
      </c>
      <c r="D150" s="89">
        <v>141.11999499999999</v>
      </c>
      <c r="E150" s="89">
        <v>138.270004</v>
      </c>
      <c r="F150" s="89">
        <v>141.11999499999999</v>
      </c>
      <c r="G150" s="89">
        <v>104.060776</v>
      </c>
      <c r="H150" s="89">
        <v>187279500</v>
      </c>
      <c r="J150" s="89">
        <v>0</v>
      </c>
      <c r="K150" s="89">
        <f t="shared" si="30"/>
        <v>88</v>
      </c>
      <c r="L150" s="89">
        <f t="shared" si="31"/>
        <v>112.621376</v>
      </c>
      <c r="M150" s="89">
        <f>+SPY__2[[#This Row],[Adj Close]]</f>
        <v>104.060776</v>
      </c>
      <c r="N150" s="89">
        <f t="shared" si="26"/>
        <v>9157.348288000001</v>
      </c>
      <c r="O150" s="90">
        <f t="shared" si="27"/>
        <v>-753.33279999999945</v>
      </c>
      <c r="P150" s="93">
        <f t="shared" si="28"/>
        <v>-7.6012212814732361E-2</v>
      </c>
      <c r="Q150" s="96"/>
      <c r="R150" s="96"/>
      <c r="T150" s="90">
        <f t="shared" si="22"/>
        <v>69</v>
      </c>
      <c r="U150" s="89">
        <f t="shared" si="23"/>
        <v>106.39448489855072</v>
      </c>
      <c r="V150" s="89">
        <f t="shared" si="24"/>
        <v>104.060776</v>
      </c>
      <c r="W150" s="90">
        <f t="shared" si="29"/>
        <v>7180.1935440000007</v>
      </c>
      <c r="X150" s="93">
        <f t="shared" si="25"/>
        <v>-2.1934491254654298E-2</v>
      </c>
    </row>
    <row r="151" spans="2:24" x14ac:dyDescent="0.25">
      <c r="B151" s="91">
        <v>39570</v>
      </c>
      <c r="C151" s="89">
        <v>142.33999600000001</v>
      </c>
      <c r="D151" s="89">
        <v>142.36999499999999</v>
      </c>
      <c r="E151" s="89">
        <v>140.55999800000001</v>
      </c>
      <c r="F151" s="89">
        <v>141.509995</v>
      </c>
      <c r="G151" s="89">
        <v>104.348373</v>
      </c>
      <c r="H151" s="89">
        <v>181585500</v>
      </c>
      <c r="J151" s="89">
        <v>0</v>
      </c>
      <c r="K151" s="89">
        <f t="shared" si="30"/>
        <v>88</v>
      </c>
      <c r="L151" s="89">
        <f t="shared" si="31"/>
        <v>112.621376</v>
      </c>
      <c r="M151" s="89">
        <f>+SPY__2[[#This Row],[Adj Close]]</f>
        <v>104.348373</v>
      </c>
      <c r="N151" s="89">
        <f t="shared" si="26"/>
        <v>9182.6568239999997</v>
      </c>
      <c r="O151" s="90">
        <f t="shared" si="27"/>
        <v>-728.02426400000024</v>
      </c>
      <c r="P151" s="93">
        <f t="shared" si="28"/>
        <v>-7.3458550177898707E-2</v>
      </c>
      <c r="Q151" s="96"/>
      <c r="R151" s="96"/>
      <c r="T151" s="90">
        <f t="shared" si="22"/>
        <v>69</v>
      </c>
      <c r="U151" s="89">
        <f t="shared" si="23"/>
        <v>106.39448489855072</v>
      </c>
      <c r="V151" s="89">
        <f t="shared" si="24"/>
        <v>104.348373</v>
      </c>
      <c r="W151" s="90">
        <f t="shared" si="29"/>
        <v>7200.0377369999997</v>
      </c>
      <c r="X151" s="93">
        <f t="shared" si="25"/>
        <v>-1.923137181877177E-2</v>
      </c>
    </row>
    <row r="152" spans="2:24" x14ac:dyDescent="0.25">
      <c r="B152" s="91">
        <v>39573</v>
      </c>
      <c r="C152" s="89">
        <v>141.050003</v>
      </c>
      <c r="D152" s="89">
        <v>141.61000100000001</v>
      </c>
      <c r="E152" s="89">
        <v>140.41000399999999</v>
      </c>
      <c r="F152" s="89">
        <v>140.83000200000001</v>
      </c>
      <c r="G152" s="89">
        <v>103.84697</v>
      </c>
      <c r="H152" s="89">
        <v>118504500</v>
      </c>
      <c r="J152" s="89">
        <v>0</v>
      </c>
      <c r="K152" s="89">
        <f t="shared" si="30"/>
        <v>88</v>
      </c>
      <c r="L152" s="89">
        <f t="shared" si="31"/>
        <v>112.621376</v>
      </c>
      <c r="M152" s="89">
        <f>+SPY__2[[#This Row],[Adj Close]]</f>
        <v>103.84697</v>
      </c>
      <c r="N152" s="89">
        <f t="shared" si="26"/>
        <v>9138.5333599999994</v>
      </c>
      <c r="O152" s="90">
        <f t="shared" si="27"/>
        <v>-772.14772799999992</v>
      </c>
      <c r="P152" s="93">
        <f t="shared" si="28"/>
        <v>-7.7910662359515159E-2</v>
      </c>
      <c r="Q152" s="96"/>
      <c r="R152" s="96"/>
      <c r="T152" s="90">
        <f t="shared" si="22"/>
        <v>69</v>
      </c>
      <c r="U152" s="89">
        <f t="shared" si="23"/>
        <v>106.39448489855072</v>
      </c>
      <c r="V152" s="89">
        <f t="shared" si="24"/>
        <v>103.84697</v>
      </c>
      <c r="W152" s="90">
        <f t="shared" si="29"/>
        <v>7165.4409299999998</v>
      </c>
      <c r="X152" s="93">
        <f t="shared" si="25"/>
        <v>-2.3944050304673503E-2</v>
      </c>
    </row>
    <row r="153" spans="2:24" x14ac:dyDescent="0.25">
      <c r="B153" s="91">
        <v>39574</v>
      </c>
      <c r="C153" s="89">
        <v>140.020004</v>
      </c>
      <c r="D153" s="89">
        <v>142.199997</v>
      </c>
      <c r="E153" s="89">
        <v>139.69000199999999</v>
      </c>
      <c r="F153" s="89">
        <v>142.050003</v>
      </c>
      <c r="G153" s="89">
        <v>104.746559</v>
      </c>
      <c r="H153" s="89">
        <v>179339800</v>
      </c>
      <c r="J153" s="89">
        <v>0</v>
      </c>
      <c r="K153" s="89">
        <f t="shared" si="30"/>
        <v>88</v>
      </c>
      <c r="L153" s="89">
        <f t="shared" si="31"/>
        <v>112.621376</v>
      </c>
      <c r="M153" s="89">
        <f>+SPY__2[[#This Row],[Adj Close]]</f>
        <v>104.746559</v>
      </c>
      <c r="N153" s="89">
        <f t="shared" si="26"/>
        <v>9217.6971919999996</v>
      </c>
      <c r="O153" s="90">
        <f t="shared" si="27"/>
        <v>-692.98389599999939</v>
      </c>
      <c r="P153" s="93">
        <f t="shared" si="28"/>
        <v>-6.9922933635618079E-2</v>
      </c>
      <c r="Q153" s="96"/>
      <c r="R153" s="96"/>
      <c r="T153" s="90">
        <f t="shared" si="22"/>
        <v>69</v>
      </c>
      <c r="U153" s="89">
        <f t="shared" si="23"/>
        <v>106.39448489855072</v>
      </c>
      <c r="V153" s="89">
        <f t="shared" si="24"/>
        <v>104.746559</v>
      </c>
      <c r="W153" s="90">
        <f t="shared" si="29"/>
        <v>7227.5125710000002</v>
      </c>
      <c r="X153" s="93">
        <f t="shared" si="25"/>
        <v>-1.5488828204977434E-2</v>
      </c>
    </row>
    <row r="154" spans="2:24" x14ac:dyDescent="0.25">
      <c r="B154" s="91">
        <v>39575</v>
      </c>
      <c r="C154" s="89">
        <v>141.88999899999999</v>
      </c>
      <c r="D154" s="89">
        <v>142.03999300000001</v>
      </c>
      <c r="E154" s="89">
        <v>139.13000500000001</v>
      </c>
      <c r="F154" s="89">
        <v>139.520004</v>
      </c>
      <c r="G154" s="89">
        <v>102.88098100000001</v>
      </c>
      <c r="H154" s="89">
        <v>199267300</v>
      </c>
      <c r="J154" s="89">
        <v>0</v>
      </c>
      <c r="K154" s="89">
        <f t="shared" si="30"/>
        <v>88</v>
      </c>
      <c r="L154" s="89">
        <f t="shared" si="31"/>
        <v>112.621376</v>
      </c>
      <c r="M154" s="89">
        <f>+SPY__2[[#This Row],[Adj Close]]</f>
        <v>102.88098100000001</v>
      </c>
      <c r="N154" s="89">
        <f t="shared" si="26"/>
        <v>9053.5263279999999</v>
      </c>
      <c r="O154" s="90">
        <f t="shared" si="27"/>
        <v>-857.15475999999933</v>
      </c>
      <c r="P154" s="93">
        <f t="shared" si="28"/>
        <v>-8.6487977202480582E-2</v>
      </c>
      <c r="Q154" s="96"/>
      <c r="R154" s="96"/>
      <c r="T154" s="90">
        <f t="shared" si="22"/>
        <v>69</v>
      </c>
      <c r="U154" s="89">
        <f t="shared" si="23"/>
        <v>106.39448489855072</v>
      </c>
      <c r="V154" s="89">
        <f t="shared" si="24"/>
        <v>102.88098100000001</v>
      </c>
      <c r="W154" s="90">
        <f t="shared" si="29"/>
        <v>7098.7876890000007</v>
      </c>
      <c r="X154" s="93">
        <f t="shared" si="25"/>
        <v>-3.3023364903743913E-2</v>
      </c>
    </row>
    <row r="155" spans="2:24" x14ac:dyDescent="0.25">
      <c r="B155" s="91">
        <v>39576</v>
      </c>
      <c r="C155" s="89">
        <v>139.740005</v>
      </c>
      <c r="D155" s="89">
        <v>140.320007</v>
      </c>
      <c r="E155" s="89">
        <v>138.979996</v>
      </c>
      <c r="F155" s="89">
        <v>139.16000399999999</v>
      </c>
      <c r="G155" s="89">
        <v>102.615494</v>
      </c>
      <c r="H155" s="89">
        <v>178321200</v>
      </c>
      <c r="J155" s="89">
        <v>0</v>
      </c>
      <c r="K155" s="89">
        <f t="shared" si="30"/>
        <v>88</v>
      </c>
      <c r="L155" s="89">
        <f t="shared" si="31"/>
        <v>112.621376</v>
      </c>
      <c r="M155" s="89">
        <f>+SPY__2[[#This Row],[Adj Close]]</f>
        <v>102.615494</v>
      </c>
      <c r="N155" s="89">
        <f t="shared" si="26"/>
        <v>9030.1634720000002</v>
      </c>
      <c r="O155" s="90">
        <f t="shared" si="27"/>
        <v>-880.51761599999998</v>
      </c>
      <c r="P155" s="93">
        <f t="shared" si="28"/>
        <v>-8.8845318316835287E-2</v>
      </c>
      <c r="Q155" s="96"/>
      <c r="R155" s="96"/>
      <c r="T155" s="90">
        <f t="shared" si="22"/>
        <v>69</v>
      </c>
      <c r="U155" s="89">
        <f t="shared" si="23"/>
        <v>106.39448489855072</v>
      </c>
      <c r="V155" s="89">
        <f t="shared" si="24"/>
        <v>102.615494</v>
      </c>
      <c r="W155" s="90">
        <f t="shared" si="29"/>
        <v>7080.4690860000001</v>
      </c>
      <c r="X155" s="93">
        <f t="shared" si="25"/>
        <v>-3.5518672816115093E-2</v>
      </c>
    </row>
    <row r="156" spans="2:24" x14ac:dyDescent="0.25">
      <c r="B156" s="91">
        <v>39577</v>
      </c>
      <c r="C156" s="89">
        <v>138.60000600000001</v>
      </c>
      <c r="D156" s="89">
        <v>139.38999899999999</v>
      </c>
      <c r="E156" s="89">
        <v>138.449997</v>
      </c>
      <c r="F156" s="89">
        <v>138.89999399999999</v>
      </c>
      <c r="G156" s="89">
        <v>102.423744</v>
      </c>
      <c r="H156" s="89">
        <v>152588200</v>
      </c>
      <c r="J156" s="89">
        <v>0</v>
      </c>
      <c r="K156" s="89">
        <f t="shared" si="30"/>
        <v>88</v>
      </c>
      <c r="L156" s="89">
        <f t="shared" si="31"/>
        <v>112.621376</v>
      </c>
      <c r="M156" s="89">
        <f>+SPY__2[[#This Row],[Adj Close]]</f>
        <v>102.423744</v>
      </c>
      <c r="N156" s="89">
        <f t="shared" si="26"/>
        <v>9013.2894720000004</v>
      </c>
      <c r="O156" s="90">
        <f t="shared" si="27"/>
        <v>-897.39161599999989</v>
      </c>
      <c r="P156" s="93">
        <f t="shared" si="28"/>
        <v>-9.0547925821826247E-2</v>
      </c>
      <c r="Q156" s="96"/>
      <c r="R156" s="96"/>
      <c r="T156" s="90">
        <f t="shared" si="22"/>
        <v>69</v>
      </c>
      <c r="U156" s="89">
        <f t="shared" si="23"/>
        <v>106.39448489855072</v>
      </c>
      <c r="V156" s="89">
        <f t="shared" si="24"/>
        <v>102.423744</v>
      </c>
      <c r="W156" s="90">
        <f t="shared" si="29"/>
        <v>7067.2383360000003</v>
      </c>
      <c r="X156" s="93">
        <f t="shared" si="25"/>
        <v>-3.7320927887727451E-2</v>
      </c>
    </row>
    <row r="157" spans="2:24" x14ac:dyDescent="0.25">
      <c r="B157" s="91">
        <v>39580</v>
      </c>
      <c r="C157" s="89">
        <v>139.25</v>
      </c>
      <c r="D157" s="89">
        <v>140.55999800000001</v>
      </c>
      <c r="E157" s="89">
        <v>138.729996</v>
      </c>
      <c r="F157" s="89">
        <v>140.46000699999999</v>
      </c>
      <c r="G157" s="89">
        <v>103.57410400000001</v>
      </c>
      <c r="H157" s="89">
        <v>147865900</v>
      </c>
      <c r="J157" s="89">
        <v>0</v>
      </c>
      <c r="K157" s="89">
        <f t="shared" si="30"/>
        <v>88</v>
      </c>
      <c r="L157" s="89">
        <f t="shared" si="31"/>
        <v>112.621376</v>
      </c>
      <c r="M157" s="89">
        <f>+SPY__2[[#This Row],[Adj Close]]</f>
        <v>103.57410400000001</v>
      </c>
      <c r="N157" s="89">
        <f t="shared" si="26"/>
        <v>9114.5211520000012</v>
      </c>
      <c r="O157" s="90">
        <f t="shared" si="27"/>
        <v>-796.15993599999933</v>
      </c>
      <c r="P157" s="93">
        <f t="shared" si="28"/>
        <v>-8.0333523895143921E-2</v>
      </c>
      <c r="Q157" s="96"/>
      <c r="R157" s="96"/>
      <c r="T157" s="90">
        <f t="shared" si="22"/>
        <v>69</v>
      </c>
      <c r="U157" s="89">
        <f t="shared" si="23"/>
        <v>106.39448489855072</v>
      </c>
      <c r="V157" s="89">
        <f t="shared" si="24"/>
        <v>103.57410400000001</v>
      </c>
      <c r="W157" s="90">
        <f t="shared" si="29"/>
        <v>7146.6131760000007</v>
      </c>
      <c r="X157" s="93">
        <f t="shared" si="25"/>
        <v>-2.6508713315732457E-2</v>
      </c>
    </row>
    <row r="158" spans="2:24" x14ac:dyDescent="0.25">
      <c r="B158" s="91">
        <v>39581</v>
      </c>
      <c r="C158" s="89">
        <v>140.800003</v>
      </c>
      <c r="D158" s="89">
        <v>140.88999899999999</v>
      </c>
      <c r="E158" s="89">
        <v>139.729996</v>
      </c>
      <c r="F158" s="89">
        <v>140.479996</v>
      </c>
      <c r="G158" s="89">
        <v>103.58886</v>
      </c>
      <c r="H158" s="89">
        <v>159132200</v>
      </c>
      <c r="J158" s="89">
        <v>0</v>
      </c>
      <c r="K158" s="89">
        <f t="shared" si="30"/>
        <v>88</v>
      </c>
      <c r="L158" s="89">
        <f t="shared" si="31"/>
        <v>112.621376</v>
      </c>
      <c r="M158" s="89">
        <f>+SPY__2[[#This Row],[Adj Close]]</f>
        <v>103.58886</v>
      </c>
      <c r="N158" s="89">
        <f t="shared" si="26"/>
        <v>9115.8196800000005</v>
      </c>
      <c r="O158" s="90">
        <f t="shared" si="27"/>
        <v>-794.8614080000001</v>
      </c>
      <c r="P158" s="93">
        <f t="shared" si="28"/>
        <v>-8.0202500811213717E-2</v>
      </c>
      <c r="Q158" s="96"/>
      <c r="R158" s="96"/>
      <c r="T158" s="90">
        <f t="shared" si="22"/>
        <v>69</v>
      </c>
      <c r="U158" s="89">
        <f t="shared" si="23"/>
        <v>106.39448489855072</v>
      </c>
      <c r="V158" s="89">
        <f t="shared" si="24"/>
        <v>103.58886</v>
      </c>
      <c r="W158" s="90">
        <f t="shared" si="29"/>
        <v>7147.6313399999999</v>
      </c>
      <c r="X158" s="93">
        <f t="shared" si="25"/>
        <v>-2.6370021916323427E-2</v>
      </c>
    </row>
    <row r="159" spans="2:24" x14ac:dyDescent="0.25">
      <c r="B159" s="91">
        <v>39582</v>
      </c>
      <c r="C159" s="89">
        <v>141.070007</v>
      </c>
      <c r="D159" s="89">
        <v>142.199997</v>
      </c>
      <c r="E159" s="89">
        <v>140.46000699999999</v>
      </c>
      <c r="F159" s="89">
        <v>140.770004</v>
      </c>
      <c r="G159" s="89">
        <v>103.802696</v>
      </c>
      <c r="H159" s="89">
        <v>181910800</v>
      </c>
      <c r="J159" s="89">
        <v>0</v>
      </c>
      <c r="K159" s="89">
        <f t="shared" si="30"/>
        <v>88</v>
      </c>
      <c r="L159" s="89">
        <f t="shared" si="31"/>
        <v>112.621376</v>
      </c>
      <c r="M159" s="89">
        <f>+SPY__2[[#This Row],[Adj Close]]</f>
        <v>103.802696</v>
      </c>
      <c r="N159" s="89">
        <f t="shared" si="26"/>
        <v>9134.6372479999991</v>
      </c>
      <c r="O159" s="90">
        <f t="shared" si="27"/>
        <v>-776.04384000000005</v>
      </c>
      <c r="P159" s="93">
        <f t="shared" si="28"/>
        <v>-7.8303784887160277E-2</v>
      </c>
      <c r="Q159" s="96"/>
      <c r="R159" s="96"/>
      <c r="T159" s="90">
        <f t="shared" si="22"/>
        <v>69</v>
      </c>
      <c r="U159" s="89">
        <f t="shared" si="23"/>
        <v>106.39448489855072</v>
      </c>
      <c r="V159" s="89">
        <f t="shared" si="24"/>
        <v>103.802696</v>
      </c>
      <c r="W159" s="90">
        <f t="shared" si="29"/>
        <v>7162.3860239999995</v>
      </c>
      <c r="X159" s="93">
        <f t="shared" si="25"/>
        <v>-2.4360180896801698E-2</v>
      </c>
    </row>
    <row r="160" spans="2:24" x14ac:dyDescent="0.25">
      <c r="B160" s="91">
        <v>39583</v>
      </c>
      <c r="C160" s="89">
        <v>141.03999300000001</v>
      </c>
      <c r="D160" s="89">
        <v>142.63000500000001</v>
      </c>
      <c r="E160" s="89">
        <v>140.83000200000001</v>
      </c>
      <c r="F160" s="89">
        <v>142.529999</v>
      </c>
      <c r="G160" s="89">
        <v>105.10047900000001</v>
      </c>
      <c r="H160" s="89">
        <v>166927000</v>
      </c>
      <c r="J160" s="89">
        <v>0</v>
      </c>
      <c r="K160" s="89">
        <f t="shared" si="30"/>
        <v>88</v>
      </c>
      <c r="L160" s="89">
        <f t="shared" si="31"/>
        <v>112.621376</v>
      </c>
      <c r="M160" s="89">
        <f>+SPY__2[[#This Row],[Adj Close]]</f>
        <v>105.10047900000001</v>
      </c>
      <c r="N160" s="89">
        <f t="shared" si="26"/>
        <v>9248.8421520000011</v>
      </c>
      <c r="O160" s="90">
        <f t="shared" si="27"/>
        <v>-661.83893599999919</v>
      </c>
      <c r="P160" s="93">
        <f t="shared" si="28"/>
        <v>-6.6780368586510486E-2</v>
      </c>
      <c r="Q160" s="96"/>
      <c r="R160" s="96"/>
      <c r="T160" s="90">
        <f t="shared" si="22"/>
        <v>69</v>
      </c>
      <c r="U160" s="89">
        <f t="shared" si="23"/>
        <v>106.39448489855072</v>
      </c>
      <c r="V160" s="89">
        <f t="shared" si="24"/>
        <v>105.10047900000001</v>
      </c>
      <c r="W160" s="90">
        <f t="shared" si="29"/>
        <v>7251.9330510000009</v>
      </c>
      <c r="X160" s="93">
        <f t="shared" si="25"/>
        <v>-1.2162339991443782E-2</v>
      </c>
    </row>
    <row r="161" spans="2:24" x14ac:dyDescent="0.25">
      <c r="B161" s="91">
        <v>39584</v>
      </c>
      <c r="C161" s="89">
        <v>142.86000100000001</v>
      </c>
      <c r="D161" s="89">
        <v>142.86999499999999</v>
      </c>
      <c r="E161" s="89">
        <v>141.61000100000001</v>
      </c>
      <c r="F161" s="89">
        <v>142.66000399999999</v>
      </c>
      <c r="G161" s="89">
        <v>105.19637299999999</v>
      </c>
      <c r="H161" s="89">
        <v>204236800</v>
      </c>
      <c r="J161" s="89">
        <v>0</v>
      </c>
      <c r="K161" s="89">
        <f t="shared" si="30"/>
        <v>88</v>
      </c>
      <c r="L161" s="89">
        <f t="shared" si="31"/>
        <v>112.621376</v>
      </c>
      <c r="M161" s="89">
        <f>+SPY__2[[#This Row],[Adj Close]]</f>
        <v>105.19637299999999</v>
      </c>
      <c r="N161" s="89">
        <f t="shared" si="26"/>
        <v>9257.2808239999995</v>
      </c>
      <c r="O161" s="90">
        <f t="shared" si="27"/>
        <v>-653.40026400000033</v>
      </c>
      <c r="P161" s="93">
        <f t="shared" si="28"/>
        <v>-6.592889612714381E-2</v>
      </c>
      <c r="Q161" s="96"/>
      <c r="R161" s="96"/>
      <c r="T161" s="90">
        <f t="shared" si="22"/>
        <v>69</v>
      </c>
      <c r="U161" s="89">
        <f t="shared" si="23"/>
        <v>106.39448489855072</v>
      </c>
      <c r="V161" s="89">
        <f t="shared" si="24"/>
        <v>105.19637299999999</v>
      </c>
      <c r="W161" s="90">
        <f t="shared" si="29"/>
        <v>7258.5497369999994</v>
      </c>
      <c r="X161" s="93">
        <f t="shared" si="25"/>
        <v>-1.1261033874952697E-2</v>
      </c>
    </row>
    <row r="162" spans="2:24" x14ac:dyDescent="0.25">
      <c r="B162" s="91">
        <v>39587</v>
      </c>
      <c r="C162" s="89">
        <v>142.80999800000001</v>
      </c>
      <c r="D162" s="89">
        <v>144.300003</v>
      </c>
      <c r="E162" s="89">
        <v>142.300003</v>
      </c>
      <c r="F162" s="89">
        <v>143.050003</v>
      </c>
      <c r="G162" s="89">
        <v>105.483948</v>
      </c>
      <c r="H162" s="89">
        <v>165664400</v>
      </c>
      <c r="J162" s="89">
        <v>0</v>
      </c>
      <c r="K162" s="89">
        <f t="shared" si="30"/>
        <v>88</v>
      </c>
      <c r="L162" s="89">
        <f t="shared" si="31"/>
        <v>112.621376</v>
      </c>
      <c r="M162" s="89">
        <f>+SPY__2[[#This Row],[Adj Close]]</f>
        <v>105.483948</v>
      </c>
      <c r="N162" s="89">
        <f t="shared" si="26"/>
        <v>9282.5874239999994</v>
      </c>
      <c r="O162" s="90">
        <f t="shared" si="27"/>
        <v>-628.09366399999999</v>
      </c>
      <c r="P162" s="93">
        <f t="shared" si="28"/>
        <v>-6.3375428835108494E-2</v>
      </c>
      <c r="Q162" s="96"/>
      <c r="R162" s="96"/>
      <c r="T162" s="90">
        <f t="shared" ref="T162:T191" si="32">+T161</f>
        <v>69</v>
      </c>
      <c r="U162" s="89">
        <f t="shared" si="23"/>
        <v>106.39448489855072</v>
      </c>
      <c r="V162" s="89">
        <f t="shared" si="24"/>
        <v>105.483948</v>
      </c>
      <c r="W162" s="90">
        <f t="shared" si="29"/>
        <v>7278.3924120000001</v>
      </c>
      <c r="X162" s="93">
        <f t="shared" si="25"/>
        <v>-8.5581212167052945E-3</v>
      </c>
    </row>
    <row r="163" spans="2:24" x14ac:dyDescent="0.25">
      <c r="B163" s="91">
        <v>39588</v>
      </c>
      <c r="C163" s="89">
        <v>142.270004</v>
      </c>
      <c r="D163" s="89">
        <v>142.33999600000001</v>
      </c>
      <c r="E163" s="89">
        <v>141</v>
      </c>
      <c r="F163" s="89">
        <v>141.88999899999999</v>
      </c>
      <c r="G163" s="89">
        <v>104.628578</v>
      </c>
      <c r="H163" s="89">
        <v>178552100</v>
      </c>
      <c r="J163" s="89">
        <v>0</v>
      </c>
      <c r="K163" s="89">
        <f t="shared" si="30"/>
        <v>88</v>
      </c>
      <c r="L163" s="89">
        <f t="shared" si="31"/>
        <v>112.621376</v>
      </c>
      <c r="M163" s="89">
        <f>+SPY__2[[#This Row],[Adj Close]]</f>
        <v>104.628578</v>
      </c>
      <c r="N163" s="89">
        <f t="shared" si="26"/>
        <v>9207.3148639999999</v>
      </c>
      <c r="O163" s="90">
        <f t="shared" si="27"/>
        <v>-703.36622399999942</v>
      </c>
      <c r="P163" s="93">
        <f t="shared" si="28"/>
        <v>-7.0970523393356411E-2</v>
      </c>
      <c r="Q163" s="96"/>
      <c r="R163" s="96"/>
      <c r="T163" s="90">
        <f t="shared" si="32"/>
        <v>69</v>
      </c>
      <c r="U163" s="89">
        <f t="shared" si="23"/>
        <v>106.39448489855072</v>
      </c>
      <c r="V163" s="89">
        <f t="shared" si="24"/>
        <v>104.628578</v>
      </c>
      <c r="W163" s="90">
        <f t="shared" si="29"/>
        <v>7219.3718820000004</v>
      </c>
      <c r="X163" s="93">
        <f t="shared" si="25"/>
        <v>-1.6597729668361483E-2</v>
      </c>
    </row>
    <row r="164" spans="2:24" x14ac:dyDescent="0.25">
      <c r="B164" s="91">
        <v>39589</v>
      </c>
      <c r="C164" s="89">
        <v>141.80999800000001</v>
      </c>
      <c r="D164" s="89">
        <v>142.11999499999999</v>
      </c>
      <c r="E164" s="89">
        <v>139</v>
      </c>
      <c r="F164" s="89">
        <v>139.490005</v>
      </c>
      <c r="G164" s="89">
        <v>102.85884900000001</v>
      </c>
      <c r="H164" s="89">
        <v>252724800</v>
      </c>
      <c r="J164" s="89">
        <v>0</v>
      </c>
      <c r="K164" s="89">
        <f t="shared" si="30"/>
        <v>88</v>
      </c>
      <c r="L164" s="89">
        <f t="shared" si="31"/>
        <v>112.621376</v>
      </c>
      <c r="M164" s="89">
        <f>+SPY__2[[#This Row],[Adj Close]]</f>
        <v>102.85884900000001</v>
      </c>
      <c r="N164" s="89">
        <f t="shared" si="26"/>
        <v>9051.5787120000005</v>
      </c>
      <c r="O164" s="90">
        <f t="shared" si="27"/>
        <v>-859.10237599999925</v>
      </c>
      <c r="P164" s="93">
        <f t="shared" si="28"/>
        <v>-8.6684494069758089E-2</v>
      </c>
      <c r="Q164" s="96"/>
      <c r="R164" s="96"/>
      <c r="T164" s="90">
        <f t="shared" si="32"/>
        <v>69</v>
      </c>
      <c r="U164" s="89">
        <f t="shared" si="23"/>
        <v>106.39448489855072</v>
      </c>
      <c r="V164" s="89">
        <f t="shared" si="24"/>
        <v>102.85884900000001</v>
      </c>
      <c r="W164" s="90">
        <f t="shared" si="29"/>
        <v>7097.2605810000005</v>
      </c>
      <c r="X164" s="93">
        <f t="shared" si="25"/>
        <v>-3.323138320489083E-2</v>
      </c>
    </row>
    <row r="165" spans="2:24" x14ac:dyDescent="0.25">
      <c r="B165" s="91">
        <v>39590</v>
      </c>
      <c r="C165" s="89">
        <v>139.429993</v>
      </c>
      <c r="D165" s="89">
        <v>140.16999799999999</v>
      </c>
      <c r="E165" s="89">
        <v>139</v>
      </c>
      <c r="F165" s="89">
        <v>139.509995</v>
      </c>
      <c r="G165" s="89">
        <v>102.87354999999999</v>
      </c>
      <c r="H165" s="89">
        <v>170820400</v>
      </c>
      <c r="J165" s="89">
        <v>0</v>
      </c>
      <c r="K165" s="89">
        <f t="shared" si="30"/>
        <v>88</v>
      </c>
      <c r="L165" s="89">
        <f t="shared" si="31"/>
        <v>112.621376</v>
      </c>
      <c r="M165" s="89">
        <f>+SPY__2[[#This Row],[Adj Close]]</f>
        <v>102.87354999999999</v>
      </c>
      <c r="N165" s="89">
        <f t="shared" si="26"/>
        <v>9052.8724000000002</v>
      </c>
      <c r="O165" s="90">
        <f t="shared" si="27"/>
        <v>-857.8086880000003</v>
      </c>
      <c r="P165" s="93">
        <f t="shared" si="28"/>
        <v>-8.6553959347824061E-2</v>
      </c>
      <c r="Q165" s="96"/>
      <c r="R165" s="96"/>
      <c r="T165" s="90">
        <f t="shared" si="32"/>
        <v>69</v>
      </c>
      <c r="U165" s="89">
        <f t="shared" si="23"/>
        <v>106.39448489855072</v>
      </c>
      <c r="V165" s="89">
        <f t="shared" si="24"/>
        <v>102.87354999999999</v>
      </c>
      <c r="W165" s="90">
        <f t="shared" si="29"/>
        <v>7098.27495</v>
      </c>
      <c r="X165" s="93">
        <f t="shared" si="25"/>
        <v>-3.3093208749570113E-2</v>
      </c>
    </row>
    <row r="166" spans="2:24" x14ac:dyDescent="0.25">
      <c r="B166" s="91">
        <v>39591</v>
      </c>
      <c r="C166" s="89">
        <v>139.050003</v>
      </c>
      <c r="D166" s="89">
        <v>139.66000399999999</v>
      </c>
      <c r="E166" s="89">
        <v>137.520004</v>
      </c>
      <c r="F166" s="89">
        <v>137.63999899999999</v>
      </c>
      <c r="G166" s="89">
        <v>101.494659</v>
      </c>
      <c r="H166" s="89">
        <v>181376400</v>
      </c>
      <c r="J166" s="89">
        <v>0</v>
      </c>
      <c r="K166" s="89">
        <f t="shared" si="30"/>
        <v>88</v>
      </c>
      <c r="L166" s="89">
        <f t="shared" si="31"/>
        <v>112.621376</v>
      </c>
      <c r="M166" s="89">
        <f>+SPY__2[[#This Row],[Adj Close]]</f>
        <v>101.494659</v>
      </c>
      <c r="N166" s="89">
        <f t="shared" si="26"/>
        <v>8931.5299919999998</v>
      </c>
      <c r="O166" s="90">
        <f t="shared" si="27"/>
        <v>-979.15109599999994</v>
      </c>
      <c r="P166" s="93">
        <f t="shared" si="28"/>
        <v>-9.8797558644639571E-2</v>
      </c>
      <c r="Q166" s="96"/>
      <c r="R166" s="96"/>
      <c r="T166" s="90">
        <f t="shared" si="32"/>
        <v>69</v>
      </c>
      <c r="U166" s="89">
        <f t="shared" si="23"/>
        <v>106.39448489855072</v>
      </c>
      <c r="V166" s="89">
        <f t="shared" si="24"/>
        <v>101.494659</v>
      </c>
      <c r="W166" s="90">
        <f t="shared" si="29"/>
        <v>7003.1314709999997</v>
      </c>
      <c r="X166" s="93">
        <f t="shared" si="25"/>
        <v>-4.6053382402507115E-2</v>
      </c>
    </row>
    <row r="167" spans="2:24" x14ac:dyDescent="0.25">
      <c r="B167" s="91">
        <v>39595</v>
      </c>
      <c r="C167" s="89">
        <v>137.800003</v>
      </c>
      <c r="D167" s="89">
        <v>139</v>
      </c>
      <c r="E167" s="89">
        <v>137.529999</v>
      </c>
      <c r="F167" s="89">
        <v>138.66000399999999</v>
      </c>
      <c r="G167" s="89">
        <v>102.246803</v>
      </c>
      <c r="H167" s="89">
        <v>168322900</v>
      </c>
      <c r="J167" s="89">
        <v>0</v>
      </c>
      <c r="K167" s="89">
        <f t="shared" si="30"/>
        <v>88</v>
      </c>
      <c r="L167" s="89">
        <f t="shared" si="31"/>
        <v>112.621376</v>
      </c>
      <c r="M167" s="89">
        <f>+SPY__2[[#This Row],[Adj Close]]</f>
        <v>102.246803</v>
      </c>
      <c r="N167" s="89">
        <f t="shared" si="26"/>
        <v>8997.718664</v>
      </c>
      <c r="O167" s="90">
        <f t="shared" si="27"/>
        <v>-912.96242399999983</v>
      </c>
      <c r="P167" s="93">
        <f t="shared" si="28"/>
        <v>-9.2119039639508515E-2</v>
      </c>
      <c r="Q167" s="96"/>
      <c r="R167" s="96"/>
      <c r="T167" s="90">
        <f t="shared" si="32"/>
        <v>69</v>
      </c>
      <c r="U167" s="89">
        <f t="shared" si="23"/>
        <v>106.39448489855072</v>
      </c>
      <c r="V167" s="89">
        <f t="shared" si="24"/>
        <v>102.246803</v>
      </c>
      <c r="W167" s="90">
        <f t="shared" si="29"/>
        <v>7055.029407</v>
      </c>
      <c r="X167" s="93">
        <f t="shared" si="25"/>
        <v>-3.8983993413809204E-2</v>
      </c>
    </row>
    <row r="168" spans="2:24" x14ac:dyDescent="0.25">
      <c r="B168" s="91">
        <v>39596</v>
      </c>
      <c r="C168" s="89">
        <v>139.16999799999999</v>
      </c>
      <c r="D168" s="89">
        <v>140</v>
      </c>
      <c r="E168" s="89">
        <v>138</v>
      </c>
      <c r="F168" s="89">
        <v>139.300003</v>
      </c>
      <c r="G168" s="89">
        <v>102.71875</v>
      </c>
      <c r="H168" s="89">
        <v>181288100</v>
      </c>
      <c r="J168" s="89">
        <v>0</v>
      </c>
      <c r="K168" s="89">
        <f t="shared" si="30"/>
        <v>88</v>
      </c>
      <c r="L168" s="89">
        <f t="shared" si="31"/>
        <v>112.621376</v>
      </c>
      <c r="M168" s="89">
        <f>+SPY__2[[#This Row],[Adj Close]]</f>
        <v>102.71875</v>
      </c>
      <c r="N168" s="89">
        <f t="shared" si="26"/>
        <v>9039.25</v>
      </c>
      <c r="O168" s="90">
        <f t="shared" si="27"/>
        <v>-871.43108799999982</v>
      </c>
      <c r="P168" s="93">
        <f t="shared" si="28"/>
        <v>-8.7928476384447674E-2</v>
      </c>
      <c r="Q168" s="96"/>
      <c r="R168" s="96"/>
      <c r="T168" s="90">
        <f t="shared" si="32"/>
        <v>69</v>
      </c>
      <c r="U168" s="89">
        <f t="shared" si="23"/>
        <v>106.39448489855072</v>
      </c>
      <c r="V168" s="89">
        <f t="shared" si="24"/>
        <v>102.71875</v>
      </c>
      <c r="W168" s="90">
        <f t="shared" si="29"/>
        <v>7087.59375</v>
      </c>
      <c r="X168" s="93">
        <f t="shared" si="25"/>
        <v>-3.4548171383653958E-2</v>
      </c>
    </row>
    <row r="169" spans="2:24" x14ac:dyDescent="0.25">
      <c r="B169" s="91">
        <v>39597</v>
      </c>
      <c r="C169" s="89">
        <v>139.13000500000001</v>
      </c>
      <c r="D169" s="89">
        <v>140.929993</v>
      </c>
      <c r="E169" s="89">
        <v>139.08000200000001</v>
      </c>
      <c r="F169" s="89">
        <v>140</v>
      </c>
      <c r="G169" s="89">
        <v>103.234917</v>
      </c>
      <c r="H169" s="89">
        <v>173927200</v>
      </c>
      <c r="J169" s="89">
        <v>0</v>
      </c>
      <c r="K169" s="89">
        <f t="shared" si="30"/>
        <v>88</v>
      </c>
      <c r="L169" s="89">
        <f t="shared" si="31"/>
        <v>112.621376</v>
      </c>
      <c r="M169" s="89">
        <f>+SPY__2[[#This Row],[Adj Close]]</f>
        <v>103.234917</v>
      </c>
      <c r="N169" s="89">
        <f t="shared" si="26"/>
        <v>9084.6726959999996</v>
      </c>
      <c r="O169" s="90">
        <f t="shared" si="27"/>
        <v>-826.00839200000019</v>
      </c>
      <c r="P169" s="93">
        <f t="shared" si="28"/>
        <v>-8.3345270084428713E-2</v>
      </c>
      <c r="Q169" s="96"/>
      <c r="R169" s="96"/>
      <c r="T169" s="90">
        <f t="shared" si="32"/>
        <v>69</v>
      </c>
      <c r="U169" s="89">
        <f t="shared" si="23"/>
        <v>106.39448489855072</v>
      </c>
      <c r="V169" s="89">
        <f t="shared" si="24"/>
        <v>103.234917</v>
      </c>
      <c r="W169" s="90">
        <f t="shared" si="29"/>
        <v>7123.2092729999995</v>
      </c>
      <c r="X169" s="93">
        <f t="shared" si="25"/>
        <v>-2.9696726306475685E-2</v>
      </c>
    </row>
    <row r="170" spans="2:24" x14ac:dyDescent="0.25">
      <c r="B170" s="91">
        <v>39598</v>
      </c>
      <c r="C170" s="89">
        <v>140.470001</v>
      </c>
      <c r="D170" s="89">
        <v>140.740005</v>
      </c>
      <c r="E170" s="89">
        <v>139.94000199999999</v>
      </c>
      <c r="F170" s="89">
        <v>140.35000600000001</v>
      </c>
      <c r="G170" s="89">
        <v>103.49299600000001</v>
      </c>
      <c r="H170" s="89">
        <v>117362000</v>
      </c>
      <c r="J170" s="89">
        <v>0</v>
      </c>
      <c r="K170" s="89">
        <f t="shared" si="30"/>
        <v>88</v>
      </c>
      <c r="L170" s="89">
        <f t="shared" si="31"/>
        <v>112.621376</v>
      </c>
      <c r="M170" s="89">
        <f>+SPY__2[[#This Row],[Adj Close]]</f>
        <v>103.49299600000001</v>
      </c>
      <c r="N170" s="89">
        <f t="shared" si="26"/>
        <v>9107.3836480000009</v>
      </c>
      <c r="O170" s="90">
        <f t="shared" si="27"/>
        <v>-803.29743999999937</v>
      </c>
      <c r="P170" s="93">
        <f t="shared" si="28"/>
        <v>-8.1053706891309862E-2</v>
      </c>
      <c r="Q170" s="96"/>
      <c r="R170" s="96"/>
      <c r="T170" s="90">
        <f t="shared" si="32"/>
        <v>69</v>
      </c>
      <c r="U170" s="89">
        <f t="shared" si="23"/>
        <v>106.39448489855072</v>
      </c>
      <c r="V170" s="89">
        <f t="shared" si="24"/>
        <v>103.49299600000001</v>
      </c>
      <c r="W170" s="90">
        <f t="shared" si="29"/>
        <v>7141.0167240000001</v>
      </c>
      <c r="X170" s="93">
        <f t="shared" si="25"/>
        <v>-2.7271046063311877E-2</v>
      </c>
    </row>
    <row r="171" spans="2:24" x14ac:dyDescent="0.25">
      <c r="B171" s="91">
        <v>39601</v>
      </c>
      <c r="C171" s="89">
        <v>139.83000200000001</v>
      </c>
      <c r="D171" s="89">
        <v>139.86000100000001</v>
      </c>
      <c r="E171" s="89">
        <v>138</v>
      </c>
      <c r="F171" s="89">
        <v>138.89999399999999</v>
      </c>
      <c r="G171" s="89">
        <v>102.423744</v>
      </c>
      <c r="H171" s="89">
        <v>181069900</v>
      </c>
      <c r="J171" s="89">
        <v>0</v>
      </c>
      <c r="K171" s="89">
        <f t="shared" si="30"/>
        <v>88</v>
      </c>
      <c r="L171" s="89">
        <f t="shared" si="31"/>
        <v>112.621376</v>
      </c>
      <c r="M171" s="89">
        <f>+SPY__2[[#This Row],[Adj Close]]</f>
        <v>102.423744</v>
      </c>
      <c r="N171" s="89">
        <f t="shared" si="26"/>
        <v>9013.2894720000004</v>
      </c>
      <c r="O171" s="90">
        <f t="shared" si="27"/>
        <v>-897.39161599999989</v>
      </c>
      <c r="P171" s="93">
        <f t="shared" si="28"/>
        <v>-9.0547925821826247E-2</v>
      </c>
      <c r="Q171" s="96"/>
      <c r="R171" s="96"/>
      <c r="T171" s="90">
        <f t="shared" si="32"/>
        <v>69</v>
      </c>
      <c r="U171" s="89">
        <f t="shared" si="23"/>
        <v>106.39448489855072</v>
      </c>
      <c r="V171" s="89">
        <f t="shared" si="24"/>
        <v>102.423744</v>
      </c>
      <c r="W171" s="90">
        <f t="shared" si="29"/>
        <v>7067.2383360000003</v>
      </c>
      <c r="X171" s="93">
        <f t="shared" si="25"/>
        <v>-3.7320927887727451E-2</v>
      </c>
    </row>
    <row r="172" spans="2:24" x14ac:dyDescent="0.25">
      <c r="B172" s="91">
        <v>39602</v>
      </c>
      <c r="C172" s="89">
        <v>139.300003</v>
      </c>
      <c r="D172" s="89">
        <v>139.61999499999999</v>
      </c>
      <c r="E172" s="89">
        <v>137.229996</v>
      </c>
      <c r="F172" s="89">
        <v>138.08999600000001</v>
      </c>
      <c r="G172" s="89">
        <v>101.8265</v>
      </c>
      <c r="H172" s="89">
        <v>271965700</v>
      </c>
      <c r="J172" s="89">
        <v>0</v>
      </c>
      <c r="K172" s="89">
        <f t="shared" si="30"/>
        <v>88</v>
      </c>
      <c r="L172" s="89">
        <f t="shared" si="31"/>
        <v>112.621376</v>
      </c>
      <c r="M172" s="89">
        <f>+SPY__2[[#This Row],[Adj Close]]</f>
        <v>101.8265</v>
      </c>
      <c r="N172" s="89">
        <f t="shared" si="26"/>
        <v>8960.732</v>
      </c>
      <c r="O172" s="90">
        <f t="shared" si="27"/>
        <v>-949.94908800000019</v>
      </c>
      <c r="P172" s="93">
        <f t="shared" si="28"/>
        <v>-9.5851039859431331E-2</v>
      </c>
      <c r="Q172" s="96"/>
      <c r="R172" s="96"/>
      <c r="T172" s="90">
        <f t="shared" si="32"/>
        <v>69</v>
      </c>
      <c r="U172" s="89">
        <f t="shared" si="23"/>
        <v>106.39448489855072</v>
      </c>
      <c r="V172" s="89">
        <f t="shared" si="24"/>
        <v>101.8265</v>
      </c>
      <c r="W172" s="90">
        <f t="shared" si="29"/>
        <v>7026.0284999999994</v>
      </c>
      <c r="X172" s="93">
        <f t="shared" si="25"/>
        <v>-4.2934414343999028E-2</v>
      </c>
    </row>
    <row r="173" spans="2:24" x14ac:dyDescent="0.25">
      <c r="B173" s="91">
        <v>39603</v>
      </c>
      <c r="C173" s="89">
        <v>137.699997</v>
      </c>
      <c r="D173" s="89">
        <v>139.16000399999999</v>
      </c>
      <c r="E173" s="89">
        <v>137.46000699999999</v>
      </c>
      <c r="F173" s="89">
        <v>138.020004</v>
      </c>
      <c r="G173" s="89">
        <v>101.774895</v>
      </c>
      <c r="H173" s="89">
        <v>246637700</v>
      </c>
      <c r="J173" s="89">
        <v>0</v>
      </c>
      <c r="K173" s="89">
        <f t="shared" si="30"/>
        <v>88</v>
      </c>
      <c r="L173" s="89">
        <f t="shared" si="31"/>
        <v>112.621376</v>
      </c>
      <c r="M173" s="89">
        <f>+SPY__2[[#This Row],[Adj Close]]</f>
        <v>101.774895</v>
      </c>
      <c r="N173" s="89">
        <f t="shared" si="26"/>
        <v>8956.1907599999995</v>
      </c>
      <c r="O173" s="90">
        <f t="shared" si="27"/>
        <v>-954.49032799999975</v>
      </c>
      <c r="P173" s="93">
        <f t="shared" si="28"/>
        <v>-9.6309256601517568E-2</v>
      </c>
      <c r="Q173" s="96"/>
      <c r="R173" s="96"/>
      <c r="T173" s="90">
        <f t="shared" si="32"/>
        <v>69</v>
      </c>
      <c r="U173" s="89">
        <f t="shared" si="23"/>
        <v>106.39448489855072</v>
      </c>
      <c r="V173" s="89">
        <f t="shared" si="24"/>
        <v>101.774895</v>
      </c>
      <c r="W173" s="90">
        <f t="shared" si="29"/>
        <v>7022.4677549999997</v>
      </c>
      <c r="X173" s="93">
        <f t="shared" si="25"/>
        <v>-4.3419448883610823E-2</v>
      </c>
    </row>
    <row r="174" spans="2:24" x14ac:dyDescent="0.25">
      <c r="B174" s="91">
        <v>39604</v>
      </c>
      <c r="C174" s="89">
        <v>138.58000200000001</v>
      </c>
      <c r="D174" s="89">
        <v>140.88999899999999</v>
      </c>
      <c r="E174" s="89">
        <v>138.320007</v>
      </c>
      <c r="F174" s="89">
        <v>140.779999</v>
      </c>
      <c r="G174" s="89">
        <v>103.810104</v>
      </c>
      <c r="H174" s="89">
        <v>237867100</v>
      </c>
      <c r="J174" s="89">
        <v>0</v>
      </c>
      <c r="K174" s="89">
        <f t="shared" si="30"/>
        <v>88</v>
      </c>
      <c r="L174" s="89">
        <f t="shared" si="31"/>
        <v>112.621376</v>
      </c>
      <c r="M174" s="89">
        <f>+SPY__2[[#This Row],[Adj Close]]</f>
        <v>103.810104</v>
      </c>
      <c r="N174" s="89">
        <f t="shared" si="26"/>
        <v>9135.2891519999994</v>
      </c>
      <c r="O174" s="90">
        <f t="shared" si="27"/>
        <v>-775.39193600000021</v>
      </c>
      <c r="P174" s="93">
        <f t="shared" si="28"/>
        <v>-7.8238006965924534E-2</v>
      </c>
      <c r="Q174" s="96"/>
      <c r="R174" s="96"/>
      <c r="T174" s="90">
        <f t="shared" si="32"/>
        <v>69</v>
      </c>
      <c r="U174" s="89">
        <f t="shared" si="23"/>
        <v>106.39448489855072</v>
      </c>
      <c r="V174" s="89">
        <f t="shared" si="24"/>
        <v>103.810104</v>
      </c>
      <c r="W174" s="90">
        <f t="shared" si="29"/>
        <v>7162.8971759999995</v>
      </c>
      <c r="X174" s="93">
        <f t="shared" si="25"/>
        <v>-2.4290553227594325E-2</v>
      </c>
    </row>
    <row r="175" spans="2:24" x14ac:dyDescent="0.25">
      <c r="B175" s="91">
        <v>39605</v>
      </c>
      <c r="C175" s="89">
        <v>139.550003</v>
      </c>
      <c r="D175" s="89">
        <v>139.800003</v>
      </c>
      <c r="E175" s="89">
        <v>136.220001</v>
      </c>
      <c r="F175" s="89">
        <v>136.28999300000001</v>
      </c>
      <c r="G175" s="89">
        <v>100.499199</v>
      </c>
      <c r="H175" s="89">
        <v>384276300</v>
      </c>
      <c r="J175" s="89">
        <v>0</v>
      </c>
      <c r="K175" s="89">
        <f t="shared" si="30"/>
        <v>88</v>
      </c>
      <c r="L175" s="89">
        <f t="shared" si="31"/>
        <v>112.621376</v>
      </c>
      <c r="M175" s="89">
        <f>+SPY__2[[#This Row],[Adj Close]]</f>
        <v>100.499199</v>
      </c>
      <c r="N175" s="89">
        <f t="shared" si="26"/>
        <v>8843.9295120000006</v>
      </c>
      <c r="O175" s="90">
        <f t="shared" si="27"/>
        <v>-1066.7515759999994</v>
      </c>
      <c r="P175" s="93">
        <f t="shared" si="28"/>
        <v>-0.10763655560379581</v>
      </c>
      <c r="Q175" s="96"/>
      <c r="R175" s="96"/>
      <c r="T175" s="90">
        <f t="shared" si="32"/>
        <v>69</v>
      </c>
      <c r="U175" s="89">
        <f t="shared" si="23"/>
        <v>106.39448489855072</v>
      </c>
      <c r="V175" s="89">
        <f t="shared" si="24"/>
        <v>100.499199</v>
      </c>
      <c r="W175" s="90">
        <f t="shared" si="29"/>
        <v>6934.4447310000005</v>
      </c>
      <c r="X175" s="93">
        <f t="shared" si="25"/>
        <v>-5.5409694442075552E-2</v>
      </c>
    </row>
    <row r="176" spans="2:24" x14ac:dyDescent="0.25">
      <c r="B176" s="91">
        <v>39608</v>
      </c>
      <c r="C176" s="89">
        <v>136.86000100000001</v>
      </c>
      <c r="D176" s="89">
        <v>137.5</v>
      </c>
      <c r="E176" s="89">
        <v>135.41000399999999</v>
      </c>
      <c r="F176" s="89">
        <v>136.61999499999999</v>
      </c>
      <c r="G176" s="89">
        <v>100.742531</v>
      </c>
      <c r="H176" s="89">
        <v>228263900</v>
      </c>
      <c r="J176" s="89">
        <v>0</v>
      </c>
      <c r="K176" s="89">
        <f t="shared" si="30"/>
        <v>88</v>
      </c>
      <c r="L176" s="89">
        <f t="shared" si="31"/>
        <v>112.621376</v>
      </c>
      <c r="M176" s="89">
        <f>+SPY__2[[#This Row],[Adj Close]]</f>
        <v>100.742531</v>
      </c>
      <c r="N176" s="89">
        <f t="shared" si="26"/>
        <v>8865.3427279999996</v>
      </c>
      <c r="O176" s="90">
        <f t="shared" si="27"/>
        <v>-1045.3383599999997</v>
      </c>
      <c r="P176" s="93">
        <f t="shared" si="28"/>
        <v>-0.10547593558082613</v>
      </c>
      <c r="Q176" s="96"/>
      <c r="R176" s="96"/>
      <c r="T176" s="90">
        <f t="shared" si="32"/>
        <v>69</v>
      </c>
      <c r="U176" s="89">
        <f t="shared" si="23"/>
        <v>106.39448489855072</v>
      </c>
      <c r="V176" s="89">
        <f t="shared" si="24"/>
        <v>100.742531</v>
      </c>
      <c r="W176" s="90">
        <f t="shared" si="29"/>
        <v>6951.2346390000002</v>
      </c>
      <c r="X176" s="93">
        <f t="shared" si="25"/>
        <v>-5.3122621007470117E-2</v>
      </c>
    </row>
    <row r="177" spans="2:24" x14ac:dyDescent="0.25">
      <c r="B177" s="91">
        <v>39609</v>
      </c>
      <c r="C177" s="89">
        <v>135.66999799999999</v>
      </c>
      <c r="D177" s="89">
        <v>137.10000600000001</v>
      </c>
      <c r="E177" s="89">
        <v>135.35000600000001</v>
      </c>
      <c r="F177" s="89">
        <v>135.94000199999999</v>
      </c>
      <c r="G177" s="89">
        <v>100.24110400000001</v>
      </c>
      <c r="H177" s="89">
        <v>260234900</v>
      </c>
      <c r="J177" s="89">
        <v>0</v>
      </c>
      <c r="K177" s="89">
        <f t="shared" si="30"/>
        <v>88</v>
      </c>
      <c r="L177" s="89">
        <f t="shared" si="31"/>
        <v>112.621376</v>
      </c>
      <c r="M177" s="89">
        <f>+SPY__2[[#This Row],[Adj Close]]</f>
        <v>100.24110400000001</v>
      </c>
      <c r="N177" s="89">
        <f t="shared" si="26"/>
        <v>8821.2171520000011</v>
      </c>
      <c r="O177" s="90">
        <f t="shared" si="27"/>
        <v>-1089.4639359999992</v>
      </c>
      <c r="P177" s="93">
        <f t="shared" si="28"/>
        <v>-0.10992826086585894</v>
      </c>
      <c r="Q177" s="96"/>
      <c r="R177" s="96"/>
      <c r="T177" s="90">
        <f t="shared" si="32"/>
        <v>69</v>
      </c>
      <c r="U177" s="89">
        <f t="shared" si="23"/>
        <v>106.39448489855072</v>
      </c>
      <c r="V177" s="89">
        <f t="shared" si="24"/>
        <v>100.24110400000001</v>
      </c>
      <c r="W177" s="90">
        <f t="shared" si="29"/>
        <v>6916.6361760000009</v>
      </c>
      <c r="X177" s="93">
        <f t="shared" si="25"/>
        <v>-5.7835525068974047E-2</v>
      </c>
    </row>
    <row r="178" spans="2:24" x14ac:dyDescent="0.25">
      <c r="B178" s="91">
        <v>39610</v>
      </c>
      <c r="C178" s="89">
        <v>135.970001</v>
      </c>
      <c r="D178" s="89">
        <v>136.259995</v>
      </c>
      <c r="E178" s="89">
        <v>133.929993</v>
      </c>
      <c r="F178" s="89">
        <v>133.94000199999999</v>
      </c>
      <c r="G178" s="89">
        <v>98.766295999999997</v>
      </c>
      <c r="H178" s="89">
        <v>283890100</v>
      </c>
      <c r="J178" s="89">
        <v>0</v>
      </c>
      <c r="K178" s="89">
        <f t="shared" si="30"/>
        <v>88</v>
      </c>
      <c r="L178" s="89">
        <f t="shared" si="31"/>
        <v>112.621376</v>
      </c>
      <c r="M178" s="89">
        <f>+SPY__2[[#This Row],[Adj Close]]</f>
        <v>98.766295999999997</v>
      </c>
      <c r="N178" s="89">
        <f t="shared" si="26"/>
        <v>8691.4340479999992</v>
      </c>
      <c r="O178" s="90">
        <f t="shared" si="27"/>
        <v>-1219.2470400000002</v>
      </c>
      <c r="P178" s="93">
        <f t="shared" si="28"/>
        <v>-0.12302353684614897</v>
      </c>
      <c r="Q178" s="96"/>
      <c r="R178" s="96"/>
      <c r="T178" s="90">
        <f t="shared" si="32"/>
        <v>69</v>
      </c>
      <c r="U178" s="89">
        <f t="shared" si="23"/>
        <v>106.39448489855072</v>
      </c>
      <c r="V178" s="89">
        <f t="shared" si="24"/>
        <v>98.766295999999997</v>
      </c>
      <c r="W178" s="90">
        <f t="shared" si="29"/>
        <v>6814.8744239999996</v>
      </c>
      <c r="X178" s="93">
        <f t="shared" si="25"/>
        <v>-7.1697221015021184E-2</v>
      </c>
    </row>
    <row r="179" spans="2:24" x14ac:dyDescent="0.25">
      <c r="B179" s="91">
        <v>39611</v>
      </c>
      <c r="C179" s="89">
        <v>134.60000600000001</v>
      </c>
      <c r="D179" s="89">
        <v>135.86999499999999</v>
      </c>
      <c r="E179" s="89">
        <v>133.520004</v>
      </c>
      <c r="F179" s="89">
        <v>134.449997</v>
      </c>
      <c r="G179" s="89">
        <v>99.142386999999999</v>
      </c>
      <c r="H179" s="89">
        <v>252791800</v>
      </c>
      <c r="J179" s="89">
        <v>0</v>
      </c>
      <c r="K179" s="89">
        <f t="shared" si="30"/>
        <v>88</v>
      </c>
      <c r="L179" s="89">
        <f t="shared" si="31"/>
        <v>112.621376</v>
      </c>
      <c r="M179" s="89">
        <f>+SPY__2[[#This Row],[Adj Close]]</f>
        <v>99.142386999999999</v>
      </c>
      <c r="N179" s="89">
        <f t="shared" si="26"/>
        <v>8724.5300559999996</v>
      </c>
      <c r="O179" s="90">
        <f t="shared" si="27"/>
        <v>-1186.1510319999998</v>
      </c>
      <c r="P179" s="93">
        <f t="shared" si="28"/>
        <v>-0.11968410863671208</v>
      </c>
      <c r="Q179" s="96"/>
      <c r="R179" s="96"/>
      <c r="T179" s="90">
        <f t="shared" si="32"/>
        <v>69</v>
      </c>
      <c r="U179" s="89">
        <f t="shared" si="23"/>
        <v>106.39448489855072</v>
      </c>
      <c r="V179" s="89">
        <f t="shared" si="24"/>
        <v>99.142386999999999</v>
      </c>
      <c r="W179" s="90">
        <f t="shared" si="29"/>
        <v>6840.8247030000002</v>
      </c>
      <c r="X179" s="93">
        <f t="shared" si="25"/>
        <v>-6.81623479399871E-2</v>
      </c>
    </row>
    <row r="180" spans="2:24" x14ac:dyDescent="0.25">
      <c r="B180" s="91">
        <v>39612</v>
      </c>
      <c r="C180" s="89">
        <v>135.16999799999999</v>
      </c>
      <c r="D180" s="89">
        <v>136.520004</v>
      </c>
      <c r="E180" s="89">
        <v>134.41999799999999</v>
      </c>
      <c r="F180" s="89">
        <v>136.14999399999999</v>
      </c>
      <c r="G180" s="89">
        <v>100.39595799999999</v>
      </c>
      <c r="H180" s="89">
        <v>244726900</v>
      </c>
      <c r="J180" s="89">
        <v>0</v>
      </c>
      <c r="K180" s="89">
        <f t="shared" si="30"/>
        <v>88</v>
      </c>
      <c r="L180" s="89">
        <f t="shared" si="31"/>
        <v>112.621376</v>
      </c>
      <c r="M180" s="89">
        <f>+SPY__2[[#This Row],[Adj Close]]</f>
        <v>100.39595799999999</v>
      </c>
      <c r="N180" s="89">
        <f t="shared" si="26"/>
        <v>8834.8443040000002</v>
      </c>
      <c r="O180" s="90">
        <f t="shared" si="27"/>
        <v>-1075.8367840000005</v>
      </c>
      <c r="P180" s="93">
        <f t="shared" si="28"/>
        <v>-0.10855326434654822</v>
      </c>
      <c r="Q180" s="96"/>
      <c r="R180" s="96"/>
      <c r="T180" s="90">
        <f t="shared" si="32"/>
        <v>69</v>
      </c>
      <c r="U180" s="89">
        <f t="shared" si="23"/>
        <v>106.39448489855072</v>
      </c>
      <c r="V180" s="89">
        <f t="shared" si="24"/>
        <v>100.39595799999999</v>
      </c>
      <c r="W180" s="90">
        <f t="shared" si="29"/>
        <v>6927.3211019999999</v>
      </c>
      <c r="X180" s="93">
        <f t="shared" si="25"/>
        <v>-5.6380054889785258E-2</v>
      </c>
    </row>
    <row r="181" spans="2:24" x14ac:dyDescent="0.25">
      <c r="B181" s="91">
        <v>39615</v>
      </c>
      <c r="C181" s="89">
        <v>135.550003</v>
      </c>
      <c r="D181" s="89">
        <v>136.929993</v>
      </c>
      <c r="E181" s="89">
        <v>135.46000699999999</v>
      </c>
      <c r="F181" s="89">
        <v>136.229996</v>
      </c>
      <c r="G181" s="89">
        <v>100.454926</v>
      </c>
      <c r="H181" s="89">
        <v>185832500</v>
      </c>
      <c r="J181" s="89">
        <v>0</v>
      </c>
      <c r="K181" s="89">
        <f t="shared" si="30"/>
        <v>88</v>
      </c>
      <c r="L181" s="89">
        <f t="shared" si="31"/>
        <v>112.621376</v>
      </c>
      <c r="M181" s="89">
        <f>+SPY__2[[#This Row],[Adj Close]]</f>
        <v>100.454926</v>
      </c>
      <c r="N181" s="89">
        <f t="shared" si="26"/>
        <v>8840.0334880000009</v>
      </c>
      <c r="O181" s="90">
        <f t="shared" si="27"/>
        <v>-1070.6475999999998</v>
      </c>
      <c r="P181" s="93">
        <f t="shared" si="28"/>
        <v>-0.10802966925213198</v>
      </c>
      <c r="Q181" s="96"/>
      <c r="R181" s="96"/>
      <c r="T181" s="90">
        <f t="shared" si="32"/>
        <v>69</v>
      </c>
      <c r="U181" s="89">
        <f t="shared" si="23"/>
        <v>106.39448489855072</v>
      </c>
      <c r="V181" s="89">
        <f t="shared" si="24"/>
        <v>100.454926</v>
      </c>
      <c r="W181" s="90">
        <f t="shared" si="29"/>
        <v>6931.3898939999999</v>
      </c>
      <c r="X181" s="93">
        <f t="shared" si="25"/>
        <v>-5.5825815635220266E-2</v>
      </c>
    </row>
    <row r="182" spans="2:24" x14ac:dyDescent="0.25">
      <c r="B182" s="91">
        <v>39616</v>
      </c>
      <c r="C182" s="89">
        <v>137.070007</v>
      </c>
      <c r="D182" s="89">
        <v>137.11999499999999</v>
      </c>
      <c r="E182" s="89">
        <v>135.36999499999999</v>
      </c>
      <c r="F182" s="89">
        <v>135.570007</v>
      </c>
      <c r="G182" s="89">
        <v>99.968269000000006</v>
      </c>
      <c r="H182" s="89">
        <v>191707700</v>
      </c>
      <c r="J182" s="89">
        <v>0</v>
      </c>
      <c r="K182" s="89">
        <f t="shared" si="30"/>
        <v>88</v>
      </c>
      <c r="L182" s="89">
        <f t="shared" si="31"/>
        <v>112.621376</v>
      </c>
      <c r="M182" s="89">
        <f>+SPY__2[[#This Row],[Adj Close]]</f>
        <v>99.968269000000006</v>
      </c>
      <c r="N182" s="89">
        <f t="shared" si="26"/>
        <v>8797.2076720000005</v>
      </c>
      <c r="O182" s="90">
        <f t="shared" si="27"/>
        <v>-1113.4734159999994</v>
      </c>
      <c r="P182" s="93">
        <f t="shared" si="28"/>
        <v>-0.11235084714290822</v>
      </c>
      <c r="Q182" s="96"/>
      <c r="R182" s="96"/>
      <c r="T182" s="90">
        <f t="shared" si="32"/>
        <v>69</v>
      </c>
      <c r="U182" s="89">
        <f t="shared" si="23"/>
        <v>106.39448489855072</v>
      </c>
      <c r="V182" s="89">
        <f t="shared" si="24"/>
        <v>99.968269000000006</v>
      </c>
      <c r="W182" s="90">
        <f t="shared" si="29"/>
        <v>6897.8105610000002</v>
      </c>
      <c r="X182" s="93">
        <f t="shared" si="25"/>
        <v>-6.0399896711546996E-2</v>
      </c>
    </row>
    <row r="183" spans="2:24" x14ac:dyDescent="0.25">
      <c r="B183" s="91">
        <v>39617</v>
      </c>
      <c r="C183" s="89">
        <v>134.69000199999999</v>
      </c>
      <c r="D183" s="89">
        <v>135.520004</v>
      </c>
      <c r="E183" s="89">
        <v>133.71000699999999</v>
      </c>
      <c r="F183" s="89">
        <v>134.25</v>
      </c>
      <c r="G183" s="89">
        <v>98.994904000000005</v>
      </c>
      <c r="H183" s="89">
        <v>265893000</v>
      </c>
      <c r="J183" s="89">
        <v>0</v>
      </c>
      <c r="K183" s="89">
        <f t="shared" si="30"/>
        <v>88</v>
      </c>
      <c r="L183" s="89">
        <f t="shared" si="31"/>
        <v>112.621376</v>
      </c>
      <c r="M183" s="89">
        <f>+SPY__2[[#This Row],[Adj Close]]</f>
        <v>98.994904000000005</v>
      </c>
      <c r="N183" s="89">
        <f t="shared" si="26"/>
        <v>8711.5515520000008</v>
      </c>
      <c r="O183" s="90">
        <f t="shared" si="27"/>
        <v>-1199.1295359999995</v>
      </c>
      <c r="P183" s="93">
        <f t="shared" si="28"/>
        <v>-0.12099365576922083</v>
      </c>
      <c r="Q183" s="96"/>
      <c r="R183" s="96"/>
      <c r="T183" s="90">
        <f t="shared" si="32"/>
        <v>69</v>
      </c>
      <c r="U183" s="89">
        <f t="shared" si="23"/>
        <v>106.39448489855072</v>
      </c>
      <c r="V183" s="89">
        <f t="shared" si="24"/>
        <v>98.994904000000005</v>
      </c>
      <c r="W183" s="90">
        <f t="shared" si="29"/>
        <v>6830.6483760000001</v>
      </c>
      <c r="X183" s="93">
        <f t="shared" si="25"/>
        <v>-6.9548538212355293E-2</v>
      </c>
    </row>
    <row r="184" spans="2:24" x14ac:dyDescent="0.25">
      <c r="B184" s="91">
        <v>39618</v>
      </c>
      <c r="C184" s="89">
        <v>134.14999399999999</v>
      </c>
      <c r="D184" s="89">
        <v>135.240005</v>
      </c>
      <c r="E184" s="89">
        <v>133.5</v>
      </c>
      <c r="F184" s="89">
        <v>134.41999799999999</v>
      </c>
      <c r="G184" s="89">
        <v>99.120270000000005</v>
      </c>
      <c r="H184" s="89">
        <v>304204900</v>
      </c>
      <c r="J184" s="89">
        <v>0</v>
      </c>
      <c r="K184" s="89">
        <f t="shared" si="30"/>
        <v>88</v>
      </c>
      <c r="L184" s="89">
        <f t="shared" si="31"/>
        <v>112.621376</v>
      </c>
      <c r="M184" s="89">
        <f>+SPY__2[[#This Row],[Adj Close]]</f>
        <v>99.120270000000005</v>
      </c>
      <c r="N184" s="89">
        <f t="shared" si="26"/>
        <v>8722.5837600000013</v>
      </c>
      <c r="O184" s="90">
        <f t="shared" si="27"/>
        <v>-1188.0973279999994</v>
      </c>
      <c r="P184" s="93">
        <f t="shared" si="28"/>
        <v>-0.11988049231435416</v>
      </c>
      <c r="Q184" s="96"/>
      <c r="R184" s="96"/>
      <c r="T184" s="90">
        <f t="shared" si="32"/>
        <v>69</v>
      </c>
      <c r="U184" s="89">
        <f t="shared" si="23"/>
        <v>106.39448489855072</v>
      </c>
      <c r="V184" s="89">
        <f t="shared" si="24"/>
        <v>99.120270000000005</v>
      </c>
      <c r="W184" s="90">
        <f t="shared" si="29"/>
        <v>6839.2986300000002</v>
      </c>
      <c r="X184" s="93">
        <f t="shared" si="25"/>
        <v>-6.83702252563827E-2</v>
      </c>
    </row>
    <row r="185" spans="2:24" x14ac:dyDescent="0.25">
      <c r="B185" s="91">
        <v>39619</v>
      </c>
      <c r="C185" s="89">
        <v>132.83999600000001</v>
      </c>
      <c r="D185" s="89">
        <v>133.08999600000001</v>
      </c>
      <c r="E185" s="89">
        <v>131.220001</v>
      </c>
      <c r="F185" s="89">
        <v>131.58000200000001</v>
      </c>
      <c r="G185" s="89">
        <v>97.511382999999995</v>
      </c>
      <c r="H185" s="89">
        <v>289275700</v>
      </c>
      <c r="J185" s="89">
        <v>0</v>
      </c>
      <c r="K185" s="89">
        <f t="shared" si="30"/>
        <v>88</v>
      </c>
      <c r="L185" s="89">
        <f t="shared" si="31"/>
        <v>112.621376</v>
      </c>
      <c r="M185" s="89">
        <f>+SPY__2[[#This Row],[Adj Close]]</f>
        <v>97.511382999999995</v>
      </c>
      <c r="N185" s="89">
        <f t="shared" si="26"/>
        <v>8581.0017040000002</v>
      </c>
      <c r="O185" s="90">
        <f t="shared" si="27"/>
        <v>-1329.6793840000003</v>
      </c>
      <c r="P185" s="93">
        <f t="shared" si="28"/>
        <v>-0.13416629716902062</v>
      </c>
      <c r="Q185" s="96"/>
      <c r="R185" s="96"/>
      <c r="T185" s="90">
        <f t="shared" si="32"/>
        <v>69</v>
      </c>
      <c r="U185" s="89">
        <f t="shared" si="23"/>
        <v>106.39448489855072</v>
      </c>
      <c r="V185" s="89">
        <f t="shared" si="24"/>
        <v>97.511382999999995</v>
      </c>
      <c r="W185" s="90">
        <f t="shared" si="29"/>
        <v>6728.2854269999998</v>
      </c>
      <c r="X185" s="93">
        <f t="shared" si="25"/>
        <v>-8.3492127500978452E-2</v>
      </c>
    </row>
    <row r="186" spans="2:24" x14ac:dyDescent="0.25">
      <c r="B186" s="91">
        <v>39622</v>
      </c>
      <c r="C186" s="89">
        <v>132.08999600000001</v>
      </c>
      <c r="D186" s="89">
        <v>132.229996</v>
      </c>
      <c r="E186" s="89">
        <v>131.320007</v>
      </c>
      <c r="F186" s="89">
        <v>131.449997</v>
      </c>
      <c r="G186" s="89">
        <v>97.415038999999993</v>
      </c>
      <c r="H186" s="89">
        <v>165096400</v>
      </c>
      <c r="J186" s="89">
        <v>0</v>
      </c>
      <c r="K186" s="89">
        <f t="shared" si="30"/>
        <v>88</v>
      </c>
      <c r="L186" s="89">
        <f t="shared" si="31"/>
        <v>112.621376</v>
      </c>
      <c r="M186" s="89">
        <f>+SPY__2[[#This Row],[Adj Close]]</f>
        <v>97.415038999999993</v>
      </c>
      <c r="N186" s="89">
        <f t="shared" si="26"/>
        <v>8572.523432</v>
      </c>
      <c r="O186" s="90">
        <f t="shared" si="27"/>
        <v>-1338.1576560000003</v>
      </c>
      <c r="P186" s="93">
        <f t="shared" si="28"/>
        <v>-0.13502176531744747</v>
      </c>
      <c r="Q186" s="96"/>
      <c r="R186" s="96"/>
      <c r="T186" s="90">
        <f t="shared" si="32"/>
        <v>69</v>
      </c>
      <c r="U186" s="89">
        <f t="shared" si="23"/>
        <v>106.39448489855072</v>
      </c>
      <c r="V186" s="89">
        <f t="shared" si="24"/>
        <v>97.415038999999993</v>
      </c>
      <c r="W186" s="90">
        <f t="shared" si="29"/>
        <v>6721.6376909999999</v>
      </c>
      <c r="X186" s="93">
        <f t="shared" si="25"/>
        <v>-8.4397663160010628E-2</v>
      </c>
    </row>
    <row r="187" spans="2:24" x14ac:dyDescent="0.25">
      <c r="B187" s="91">
        <v>39623</v>
      </c>
      <c r="C187" s="89">
        <v>131.050003</v>
      </c>
      <c r="D187" s="89">
        <v>132.44000199999999</v>
      </c>
      <c r="E187" s="89">
        <v>130.19000199999999</v>
      </c>
      <c r="F187" s="89">
        <v>131.19000199999999</v>
      </c>
      <c r="G187" s="89">
        <v>97.222351000000003</v>
      </c>
      <c r="H187" s="89">
        <v>267300600</v>
      </c>
      <c r="J187" s="89">
        <v>0</v>
      </c>
      <c r="K187" s="89">
        <f t="shared" si="30"/>
        <v>88</v>
      </c>
      <c r="L187" s="89">
        <f t="shared" si="31"/>
        <v>112.621376</v>
      </c>
      <c r="M187" s="89">
        <f>+SPY__2[[#This Row],[Adj Close]]</f>
        <v>97.222351000000003</v>
      </c>
      <c r="N187" s="89">
        <f t="shared" si="26"/>
        <v>8555.5668880000012</v>
      </c>
      <c r="O187" s="90">
        <f t="shared" si="27"/>
        <v>-1355.1141999999995</v>
      </c>
      <c r="P187" s="93">
        <f t="shared" si="28"/>
        <v>-0.13673270161430096</v>
      </c>
      <c r="Q187" s="96"/>
      <c r="R187" s="96"/>
      <c r="T187" s="90">
        <f t="shared" si="32"/>
        <v>69</v>
      </c>
      <c r="U187" s="89">
        <f t="shared" si="23"/>
        <v>106.39448489855072</v>
      </c>
      <c r="V187" s="89">
        <f t="shared" si="24"/>
        <v>97.222351000000003</v>
      </c>
      <c r="W187" s="90">
        <f t="shared" si="29"/>
        <v>6708.3422190000001</v>
      </c>
      <c r="X187" s="93">
        <f t="shared" si="25"/>
        <v>-8.6208734478074978E-2</v>
      </c>
    </row>
    <row r="188" spans="2:24" x14ac:dyDescent="0.25">
      <c r="B188" s="91">
        <v>39624</v>
      </c>
      <c r="C188" s="89">
        <v>131.720001</v>
      </c>
      <c r="D188" s="89">
        <v>133.39999399999999</v>
      </c>
      <c r="E188" s="89">
        <v>131.240005</v>
      </c>
      <c r="F188" s="89">
        <v>131.80999800000001</v>
      </c>
      <c r="G188" s="89">
        <v>97.681838999999997</v>
      </c>
      <c r="H188" s="89">
        <v>287853900</v>
      </c>
      <c r="J188" s="89">
        <v>0</v>
      </c>
      <c r="K188" s="89">
        <f t="shared" si="30"/>
        <v>88</v>
      </c>
      <c r="L188" s="89">
        <f t="shared" si="31"/>
        <v>112.621376</v>
      </c>
      <c r="M188" s="89">
        <f>+SPY__2[[#This Row],[Adj Close]]</f>
        <v>97.681838999999997</v>
      </c>
      <c r="N188" s="89">
        <f t="shared" si="26"/>
        <v>8596.0018319999999</v>
      </c>
      <c r="O188" s="90">
        <f t="shared" si="27"/>
        <v>-1314.6792560000001</v>
      </c>
      <c r="P188" s="93">
        <f t="shared" si="28"/>
        <v>-0.13265276567034667</v>
      </c>
      <c r="Q188" s="96"/>
      <c r="R188" s="96"/>
      <c r="T188" s="90">
        <f t="shared" si="32"/>
        <v>69</v>
      </c>
      <c r="U188" s="89">
        <f t="shared" si="23"/>
        <v>106.39448489855072</v>
      </c>
      <c r="V188" s="89">
        <f t="shared" si="24"/>
        <v>97.681838999999997</v>
      </c>
      <c r="W188" s="90">
        <f t="shared" si="29"/>
        <v>6740.046891</v>
      </c>
      <c r="X188" s="93">
        <f t="shared" si="25"/>
        <v>-8.1890014382403398E-2</v>
      </c>
    </row>
    <row r="189" spans="2:24" x14ac:dyDescent="0.25">
      <c r="B189" s="91">
        <v>39625</v>
      </c>
      <c r="C189" s="89">
        <v>130.570007</v>
      </c>
      <c r="D189" s="89">
        <v>131.41999799999999</v>
      </c>
      <c r="E189" s="89">
        <v>128.08000200000001</v>
      </c>
      <c r="F189" s="89">
        <v>128.229996</v>
      </c>
      <c r="G189" s="89">
        <v>95.028762999999998</v>
      </c>
      <c r="H189" s="89">
        <v>297775000</v>
      </c>
      <c r="J189" s="89">
        <v>0</v>
      </c>
      <c r="K189" s="89">
        <f t="shared" si="30"/>
        <v>88</v>
      </c>
      <c r="L189" s="89">
        <f t="shared" si="31"/>
        <v>112.621376</v>
      </c>
      <c r="M189" s="89">
        <f>+SPY__2[[#This Row],[Adj Close]]</f>
        <v>95.028762999999998</v>
      </c>
      <c r="N189" s="89">
        <f t="shared" si="26"/>
        <v>8362.5311440000005</v>
      </c>
      <c r="O189" s="90">
        <f t="shared" si="27"/>
        <v>-1548.149944</v>
      </c>
      <c r="P189" s="93">
        <f t="shared" si="28"/>
        <v>-0.15621024733350797</v>
      </c>
      <c r="Q189" s="96"/>
      <c r="R189" s="96"/>
      <c r="T189" s="90">
        <f t="shared" si="32"/>
        <v>69</v>
      </c>
      <c r="U189" s="89">
        <f t="shared" si="23"/>
        <v>106.39448489855072</v>
      </c>
      <c r="V189" s="89">
        <f t="shared" si="24"/>
        <v>95.028762999999998</v>
      </c>
      <c r="W189" s="90">
        <f t="shared" si="29"/>
        <v>6556.9846470000002</v>
      </c>
      <c r="X189" s="93">
        <f t="shared" si="25"/>
        <v>-0.10682623172985106</v>
      </c>
    </row>
    <row r="190" spans="2:24" x14ac:dyDescent="0.25">
      <c r="B190" s="91">
        <v>39626</v>
      </c>
      <c r="C190" s="89">
        <v>128.279999</v>
      </c>
      <c r="D190" s="89">
        <v>128.86000100000001</v>
      </c>
      <c r="E190" s="89">
        <v>127.040001</v>
      </c>
      <c r="F190" s="89">
        <v>127.529999</v>
      </c>
      <c r="G190" s="89">
        <v>94.509979000000001</v>
      </c>
      <c r="H190" s="89">
        <v>303423400</v>
      </c>
      <c r="J190" s="89">
        <v>0</v>
      </c>
      <c r="K190" s="89">
        <f t="shared" si="30"/>
        <v>88</v>
      </c>
      <c r="L190" s="89">
        <f t="shared" si="31"/>
        <v>112.621376</v>
      </c>
      <c r="M190" s="89">
        <f>+SPY__2[[#This Row],[Adj Close]]</f>
        <v>94.509979000000001</v>
      </c>
      <c r="N190" s="89">
        <f t="shared" si="26"/>
        <v>8316.8781519999993</v>
      </c>
      <c r="O190" s="90">
        <f t="shared" si="27"/>
        <v>-1593.8029359999996</v>
      </c>
      <c r="P190" s="93">
        <f t="shared" si="28"/>
        <v>-0.16081669078523775</v>
      </c>
      <c r="Q190" s="96"/>
      <c r="R190" s="96"/>
      <c r="T190" s="90">
        <f t="shared" si="32"/>
        <v>69</v>
      </c>
      <c r="U190" s="89">
        <f t="shared" si="23"/>
        <v>106.39448489855072</v>
      </c>
      <c r="V190" s="89">
        <f t="shared" si="24"/>
        <v>94.509979000000001</v>
      </c>
      <c r="W190" s="90">
        <f t="shared" si="29"/>
        <v>6521.1885510000002</v>
      </c>
      <c r="X190" s="93">
        <f t="shared" si="25"/>
        <v>-0.11170227394665078</v>
      </c>
    </row>
    <row r="191" spans="2:24" x14ac:dyDescent="0.25">
      <c r="B191" s="91">
        <v>39629</v>
      </c>
      <c r="C191" s="89">
        <v>127.889999</v>
      </c>
      <c r="D191" s="89">
        <v>128.91000399999999</v>
      </c>
      <c r="E191" s="89">
        <v>127.300003</v>
      </c>
      <c r="F191" s="89">
        <v>127.980003</v>
      </c>
      <c r="G191" s="89">
        <v>94.843483000000006</v>
      </c>
      <c r="H191" s="89">
        <v>258842600</v>
      </c>
      <c r="J191" s="89">
        <v>0</v>
      </c>
      <c r="K191" s="89">
        <f t="shared" si="30"/>
        <v>88</v>
      </c>
      <c r="L191" s="89">
        <f t="shared" si="31"/>
        <v>112.621376</v>
      </c>
      <c r="M191" s="89">
        <f>+SPY__2[[#This Row],[Adj Close]]</f>
        <v>94.843483000000006</v>
      </c>
      <c r="N191" s="89">
        <f t="shared" si="26"/>
        <v>8346.2265040000002</v>
      </c>
      <c r="O191" s="90">
        <f t="shared" si="27"/>
        <v>-1564.4545839999992</v>
      </c>
      <c r="P191" s="93">
        <f t="shared" si="28"/>
        <v>-0.15785540570912571</v>
      </c>
      <c r="Q191" s="96"/>
      <c r="R191" s="96"/>
      <c r="T191" s="90">
        <f t="shared" si="32"/>
        <v>69</v>
      </c>
      <c r="U191" s="89">
        <f t="shared" si="23"/>
        <v>106.39448489855072</v>
      </c>
      <c r="V191" s="89">
        <f t="shared" si="24"/>
        <v>94.843483000000006</v>
      </c>
      <c r="W191" s="90">
        <f t="shared" si="29"/>
        <v>6544.2003270000005</v>
      </c>
      <c r="X191" s="93">
        <f t="shared" si="25"/>
        <v>-0.10856767537870804</v>
      </c>
    </row>
    <row r="192" spans="2:24" x14ac:dyDescent="0.25">
      <c r="B192" s="91">
        <v>39630</v>
      </c>
      <c r="C192" s="89">
        <v>126.519997</v>
      </c>
      <c r="D192" s="89">
        <v>128.470001</v>
      </c>
      <c r="E192" s="89">
        <v>125.93</v>
      </c>
      <c r="F192" s="89">
        <v>128.38000500000001</v>
      </c>
      <c r="G192" s="89">
        <v>95.139908000000005</v>
      </c>
      <c r="H192" s="89">
        <v>388622000</v>
      </c>
      <c r="J192" s="89">
        <v>0</v>
      </c>
      <c r="K192" s="89">
        <f t="shared" si="30"/>
        <v>88</v>
      </c>
      <c r="L192" s="89">
        <f t="shared" si="31"/>
        <v>112.621376</v>
      </c>
      <c r="M192" s="89">
        <f>+SPY__2[[#This Row],[Adj Close]]</f>
        <v>95.139908000000005</v>
      </c>
      <c r="N192" s="89">
        <f t="shared" si="26"/>
        <v>8372.3119040000001</v>
      </c>
      <c r="O192" s="90">
        <f t="shared" si="27"/>
        <v>-1538.3691839999992</v>
      </c>
      <c r="P192" s="93">
        <f t="shared" si="28"/>
        <v>-0.15522335653224473</v>
      </c>
      <c r="Q192" s="96"/>
      <c r="R192" s="90">
        <v>-2500</v>
      </c>
      <c r="S192" s="89">
        <f>-ROUNDDOWN(+R192/M192,0)</f>
        <v>26</v>
      </c>
      <c r="T192" s="90">
        <f>+S192+T128</f>
        <v>95</v>
      </c>
      <c r="U192" s="89">
        <f>+(T3*M3+S67*M67+S128*M128+S192*M192)/T192</f>
        <v>103.31428490526316</v>
      </c>
      <c r="V192" s="89">
        <f t="shared" si="24"/>
        <v>95.139908000000005</v>
      </c>
      <c r="W192" s="90">
        <f t="shared" si="29"/>
        <v>9038.29126</v>
      </c>
      <c r="X192" s="93">
        <f t="shared" si="25"/>
        <v>-7.9121458496846597E-2</v>
      </c>
    </row>
    <row r="193" spans="2:24" x14ac:dyDescent="0.25">
      <c r="B193" s="91">
        <v>39631</v>
      </c>
      <c r="C193" s="89">
        <v>128.78999300000001</v>
      </c>
      <c r="D193" s="89">
        <v>129.16000399999999</v>
      </c>
      <c r="E193" s="89">
        <v>125.949997</v>
      </c>
      <c r="F193" s="89">
        <v>126.18</v>
      </c>
      <c r="G193" s="89">
        <v>93.509551999999999</v>
      </c>
      <c r="H193" s="89">
        <v>288064600</v>
      </c>
      <c r="J193" s="89">
        <v>0</v>
      </c>
      <c r="K193" s="89">
        <f t="shared" si="30"/>
        <v>88</v>
      </c>
      <c r="L193" s="89">
        <f t="shared" si="31"/>
        <v>112.621376</v>
      </c>
      <c r="M193" s="89">
        <f>+SPY__2[[#This Row],[Adj Close]]</f>
        <v>93.509551999999999</v>
      </c>
      <c r="N193" s="89">
        <f t="shared" si="26"/>
        <v>8228.8405760000005</v>
      </c>
      <c r="O193" s="90">
        <f t="shared" si="27"/>
        <v>-1681.8405119999998</v>
      </c>
      <c r="P193" s="93">
        <f t="shared" si="28"/>
        <v>-0.16969979127230694</v>
      </c>
      <c r="Q193" s="96"/>
      <c r="R193" s="96"/>
      <c r="T193" s="90">
        <f>+T192</f>
        <v>95</v>
      </c>
      <c r="U193" s="89">
        <f>+U192</f>
        <v>103.31428490526316</v>
      </c>
      <c r="V193" s="89">
        <f t="shared" si="24"/>
        <v>93.509551999999999</v>
      </c>
      <c r="W193" s="90">
        <f t="shared" si="29"/>
        <v>8883.407439999999</v>
      </c>
      <c r="X193" s="93">
        <f t="shared" si="25"/>
        <v>-9.490200618679101E-2</v>
      </c>
    </row>
    <row r="194" spans="2:24" x14ac:dyDescent="0.25">
      <c r="B194" s="91">
        <v>39632</v>
      </c>
      <c r="C194" s="89">
        <v>127.110001</v>
      </c>
      <c r="D194" s="89">
        <v>127.110001</v>
      </c>
      <c r="E194" s="89">
        <v>124.989998</v>
      </c>
      <c r="F194" s="89">
        <v>126.30999799999999</v>
      </c>
      <c r="G194" s="89">
        <v>93.605880999999997</v>
      </c>
      <c r="H194" s="89">
        <v>239352500</v>
      </c>
      <c r="J194" s="89">
        <v>0</v>
      </c>
      <c r="K194" s="89">
        <f t="shared" si="30"/>
        <v>88</v>
      </c>
      <c r="L194" s="89">
        <f t="shared" si="31"/>
        <v>112.621376</v>
      </c>
      <c r="M194" s="89">
        <f>+SPY__2[[#This Row],[Adj Close]]</f>
        <v>93.605880999999997</v>
      </c>
      <c r="N194" s="89">
        <f t="shared" si="26"/>
        <v>8237.3175279999996</v>
      </c>
      <c r="O194" s="90">
        <f t="shared" si="27"/>
        <v>-1673.3635600000002</v>
      </c>
      <c r="P194" s="93">
        <f t="shared" si="28"/>
        <v>-0.16884445631351552</v>
      </c>
      <c r="Q194" s="96"/>
      <c r="R194" s="96"/>
      <c r="T194" s="90">
        <f t="shared" ref="T194:T257" si="33">+T193</f>
        <v>95</v>
      </c>
      <c r="U194" s="89">
        <f t="shared" ref="U194:U257" si="34">+U193</f>
        <v>103.31428490526316</v>
      </c>
      <c r="V194" s="89">
        <f t="shared" si="24"/>
        <v>93.605880999999997</v>
      </c>
      <c r="W194" s="90">
        <f t="shared" si="29"/>
        <v>8892.5586949999997</v>
      </c>
      <c r="X194" s="93">
        <f t="shared" si="25"/>
        <v>-9.396961818170213E-2</v>
      </c>
    </row>
    <row r="195" spans="2:24" x14ac:dyDescent="0.25">
      <c r="B195" s="91">
        <v>39636</v>
      </c>
      <c r="C195" s="89">
        <v>126.790001</v>
      </c>
      <c r="D195" s="89">
        <v>127.339996</v>
      </c>
      <c r="E195" s="89">
        <v>123.91999800000001</v>
      </c>
      <c r="F195" s="89">
        <v>125.019997</v>
      </c>
      <c r="G195" s="89">
        <v>92.649901999999997</v>
      </c>
      <c r="H195" s="89">
        <v>372427300</v>
      </c>
      <c r="J195" s="89">
        <v>0</v>
      </c>
      <c r="K195" s="89">
        <f t="shared" si="30"/>
        <v>88</v>
      </c>
      <c r="L195" s="89">
        <f t="shared" si="31"/>
        <v>112.621376</v>
      </c>
      <c r="M195" s="89">
        <f>+SPY__2[[#This Row],[Adj Close]]</f>
        <v>92.649901999999997</v>
      </c>
      <c r="N195" s="89">
        <f t="shared" si="26"/>
        <v>8153.1913759999998</v>
      </c>
      <c r="O195" s="90">
        <f t="shared" si="27"/>
        <v>-1757.4897120000001</v>
      </c>
      <c r="P195" s="93">
        <f t="shared" si="28"/>
        <v>-0.17733288927316959</v>
      </c>
      <c r="Q195" s="96"/>
      <c r="R195" s="96"/>
      <c r="T195" s="90">
        <f t="shared" si="33"/>
        <v>95</v>
      </c>
      <c r="U195" s="89">
        <f t="shared" si="34"/>
        <v>103.31428490526316</v>
      </c>
      <c r="V195" s="89">
        <f t="shared" ref="V195:V258" si="35">+M195</f>
        <v>92.649901999999997</v>
      </c>
      <c r="W195" s="90">
        <f t="shared" si="29"/>
        <v>8801.7406900000005</v>
      </c>
      <c r="X195" s="93">
        <f t="shared" ref="X195:X258" si="36">+W195/(U195*T195)-1</f>
        <v>-0.10322273357495682</v>
      </c>
    </row>
    <row r="196" spans="2:24" x14ac:dyDescent="0.25">
      <c r="B196" s="91">
        <v>39637</v>
      </c>
      <c r="C196" s="89">
        <v>124.989998</v>
      </c>
      <c r="D196" s="89">
        <v>127.389999</v>
      </c>
      <c r="E196" s="89">
        <v>124.199997</v>
      </c>
      <c r="F196" s="89">
        <v>127.239998</v>
      </c>
      <c r="G196" s="89">
        <v>94.295105000000007</v>
      </c>
      <c r="H196" s="89">
        <v>375973700</v>
      </c>
      <c r="J196" s="89">
        <v>0</v>
      </c>
      <c r="K196" s="89">
        <f t="shared" si="30"/>
        <v>88</v>
      </c>
      <c r="L196" s="89">
        <f t="shared" si="31"/>
        <v>112.621376</v>
      </c>
      <c r="M196" s="89">
        <f>+SPY__2[[#This Row],[Adj Close]]</f>
        <v>94.295105000000007</v>
      </c>
      <c r="N196" s="89">
        <f t="shared" ref="N196:N259" si="37">+K196*M196</f>
        <v>8297.9692400000004</v>
      </c>
      <c r="O196" s="90">
        <f t="shared" ref="O196:O259" si="38">+(M196-L196)*K196</f>
        <v>-1612.7118479999992</v>
      </c>
      <c r="P196" s="93">
        <f t="shared" ref="P196:P259" si="39">+M196/L196-1</f>
        <v>-0.16272462343205607</v>
      </c>
      <c r="Q196" s="96"/>
      <c r="R196" s="96"/>
      <c r="T196" s="90">
        <f t="shared" si="33"/>
        <v>95</v>
      </c>
      <c r="U196" s="89">
        <f t="shared" si="34"/>
        <v>103.31428490526316</v>
      </c>
      <c r="V196" s="89">
        <f t="shared" si="35"/>
        <v>94.295105000000007</v>
      </c>
      <c r="W196" s="90">
        <f t="shared" ref="W196:W259" si="40">+V196*T196</f>
        <v>8958.0349750000005</v>
      </c>
      <c r="X196" s="93">
        <f t="shared" si="36"/>
        <v>-8.7298478748931374E-2</v>
      </c>
    </row>
    <row r="197" spans="2:24" x14ac:dyDescent="0.25">
      <c r="B197" s="91">
        <v>39638</v>
      </c>
      <c r="C197" s="89">
        <v>127.5</v>
      </c>
      <c r="D197" s="89">
        <v>127.739998</v>
      </c>
      <c r="E197" s="89">
        <v>124.389999</v>
      </c>
      <c r="F197" s="89">
        <v>124.790001</v>
      </c>
      <c r="G197" s="89">
        <v>92.479431000000005</v>
      </c>
      <c r="H197" s="89">
        <v>336729400</v>
      </c>
      <c r="J197" s="89">
        <v>0</v>
      </c>
      <c r="K197" s="89">
        <f t="shared" ref="K197:K260" si="41">+$K$3</f>
        <v>88</v>
      </c>
      <c r="L197" s="89">
        <f t="shared" ref="L197:L260" si="42">+$L$3</f>
        <v>112.621376</v>
      </c>
      <c r="M197" s="89">
        <f>+SPY__2[[#This Row],[Adj Close]]</f>
        <v>92.479431000000005</v>
      </c>
      <c r="N197" s="89">
        <f t="shared" si="37"/>
        <v>8138.1899280000007</v>
      </c>
      <c r="O197" s="90">
        <f t="shared" si="38"/>
        <v>-1772.4911599999994</v>
      </c>
      <c r="P197" s="93">
        <f t="shared" si="39"/>
        <v>-0.17884655396147875</v>
      </c>
      <c r="Q197" s="96"/>
      <c r="R197" s="96"/>
      <c r="T197" s="90">
        <f t="shared" si="33"/>
        <v>95</v>
      </c>
      <c r="U197" s="89">
        <f t="shared" si="34"/>
        <v>103.31428490526316</v>
      </c>
      <c r="V197" s="89">
        <f t="shared" si="35"/>
        <v>92.479431000000005</v>
      </c>
      <c r="W197" s="90">
        <f t="shared" si="40"/>
        <v>8785.5459449999998</v>
      </c>
      <c r="X197" s="93">
        <f t="shared" si="36"/>
        <v>-0.10487275709451482</v>
      </c>
    </row>
    <row r="198" spans="2:24" x14ac:dyDescent="0.25">
      <c r="B198" s="91">
        <v>39639</v>
      </c>
      <c r="C198" s="89">
        <v>124.43</v>
      </c>
      <c r="D198" s="89">
        <v>125.790001</v>
      </c>
      <c r="E198" s="89">
        <v>123.58000199999999</v>
      </c>
      <c r="F198" s="89">
        <v>125.300003</v>
      </c>
      <c r="G198" s="89">
        <v>92.857399000000001</v>
      </c>
      <c r="H198" s="89">
        <v>436475700</v>
      </c>
      <c r="J198" s="89">
        <v>0</v>
      </c>
      <c r="K198" s="89">
        <f t="shared" si="41"/>
        <v>88</v>
      </c>
      <c r="L198" s="89">
        <f t="shared" si="42"/>
        <v>112.621376</v>
      </c>
      <c r="M198" s="89">
        <f>+SPY__2[[#This Row],[Adj Close]]</f>
        <v>92.857399000000001</v>
      </c>
      <c r="N198" s="89">
        <f t="shared" si="37"/>
        <v>8171.4511119999997</v>
      </c>
      <c r="O198" s="90">
        <f t="shared" si="38"/>
        <v>-1739.2299759999996</v>
      </c>
      <c r="P198" s="93">
        <f t="shared" si="39"/>
        <v>-0.17549045928900742</v>
      </c>
      <c r="Q198" s="96"/>
      <c r="R198" s="96"/>
      <c r="T198" s="90">
        <f t="shared" si="33"/>
        <v>95</v>
      </c>
      <c r="U198" s="89">
        <f t="shared" si="34"/>
        <v>103.31428490526316</v>
      </c>
      <c r="V198" s="89">
        <f t="shared" si="35"/>
        <v>92.857399000000001</v>
      </c>
      <c r="W198" s="90">
        <f t="shared" si="40"/>
        <v>8821.4529050000001</v>
      </c>
      <c r="X198" s="93">
        <f t="shared" si="36"/>
        <v>-0.10121432786232698</v>
      </c>
    </row>
    <row r="199" spans="2:24" x14ac:dyDescent="0.25">
      <c r="B199" s="91">
        <v>39640</v>
      </c>
      <c r="C199" s="89">
        <v>123.970001</v>
      </c>
      <c r="D199" s="89">
        <v>125.900002</v>
      </c>
      <c r="E199" s="89">
        <v>122.489998</v>
      </c>
      <c r="F199" s="89">
        <v>123.839996</v>
      </c>
      <c r="G199" s="89">
        <v>91.775406000000004</v>
      </c>
      <c r="H199" s="89">
        <v>481124600</v>
      </c>
      <c r="J199" s="89">
        <v>0</v>
      </c>
      <c r="K199" s="89">
        <f t="shared" si="41"/>
        <v>88</v>
      </c>
      <c r="L199" s="89">
        <f t="shared" si="42"/>
        <v>112.621376</v>
      </c>
      <c r="M199" s="89">
        <f>+SPY__2[[#This Row],[Adj Close]]</f>
        <v>91.775406000000004</v>
      </c>
      <c r="N199" s="89">
        <f t="shared" si="37"/>
        <v>8076.2357280000006</v>
      </c>
      <c r="O199" s="90">
        <f t="shared" si="38"/>
        <v>-1834.4453599999995</v>
      </c>
      <c r="P199" s="93">
        <f t="shared" si="39"/>
        <v>-0.18509780949577459</v>
      </c>
      <c r="Q199" s="96"/>
      <c r="R199" s="96"/>
      <c r="T199" s="90">
        <f t="shared" si="33"/>
        <v>95</v>
      </c>
      <c r="U199" s="89">
        <f t="shared" si="34"/>
        <v>103.31428490526316</v>
      </c>
      <c r="V199" s="89">
        <f t="shared" si="35"/>
        <v>91.775406000000004</v>
      </c>
      <c r="W199" s="90">
        <f t="shared" si="40"/>
        <v>8718.6635700000006</v>
      </c>
      <c r="X199" s="93">
        <f t="shared" si="36"/>
        <v>-0.1116871584200001</v>
      </c>
    </row>
    <row r="200" spans="2:24" x14ac:dyDescent="0.25">
      <c r="B200" s="91">
        <v>39643</v>
      </c>
      <c r="C200" s="89">
        <v>125.260002</v>
      </c>
      <c r="D200" s="89">
        <v>125.5</v>
      </c>
      <c r="E200" s="89">
        <v>122.400002</v>
      </c>
      <c r="F200" s="89">
        <v>122.720001</v>
      </c>
      <c r="G200" s="89">
        <v>90.945403999999996</v>
      </c>
      <c r="H200" s="89">
        <v>322720800</v>
      </c>
      <c r="J200" s="89">
        <v>0</v>
      </c>
      <c r="K200" s="89">
        <f t="shared" si="41"/>
        <v>88</v>
      </c>
      <c r="L200" s="89">
        <f t="shared" si="42"/>
        <v>112.621376</v>
      </c>
      <c r="M200" s="89">
        <f>+SPY__2[[#This Row],[Adj Close]]</f>
        <v>90.945403999999996</v>
      </c>
      <c r="N200" s="89">
        <f t="shared" si="37"/>
        <v>8003.1955519999992</v>
      </c>
      <c r="O200" s="90">
        <f t="shared" si="38"/>
        <v>-1907.4855360000001</v>
      </c>
      <c r="P200" s="93">
        <f t="shared" si="39"/>
        <v>-0.19246765374274954</v>
      </c>
      <c r="Q200" s="96"/>
      <c r="R200" s="96"/>
      <c r="T200" s="90">
        <f t="shared" si="33"/>
        <v>95</v>
      </c>
      <c r="U200" s="89">
        <f t="shared" si="34"/>
        <v>103.31428490526316</v>
      </c>
      <c r="V200" s="89">
        <f t="shared" si="35"/>
        <v>90.945403999999996</v>
      </c>
      <c r="W200" s="90">
        <f t="shared" si="40"/>
        <v>8639.8133799999996</v>
      </c>
      <c r="X200" s="93">
        <f t="shared" si="36"/>
        <v>-0.11972091677937036</v>
      </c>
    </row>
    <row r="201" spans="2:24" x14ac:dyDescent="0.25">
      <c r="B201" s="91">
        <v>39644</v>
      </c>
      <c r="C201" s="89">
        <v>121.800003</v>
      </c>
      <c r="D201" s="89">
        <v>123.489998</v>
      </c>
      <c r="E201" s="89">
        <v>120.019997</v>
      </c>
      <c r="F201" s="89">
        <v>120.989998</v>
      </c>
      <c r="G201" s="89">
        <v>89.663353000000001</v>
      </c>
      <c r="H201" s="89">
        <v>502502500</v>
      </c>
      <c r="J201" s="89">
        <v>0</v>
      </c>
      <c r="K201" s="89">
        <f t="shared" si="41"/>
        <v>88</v>
      </c>
      <c r="L201" s="89">
        <f t="shared" si="42"/>
        <v>112.621376</v>
      </c>
      <c r="M201" s="89">
        <f>+SPY__2[[#This Row],[Adj Close]]</f>
        <v>89.663353000000001</v>
      </c>
      <c r="N201" s="89">
        <f t="shared" si="37"/>
        <v>7890.3750639999998</v>
      </c>
      <c r="O201" s="90">
        <f t="shared" si="38"/>
        <v>-2020.3060239999998</v>
      </c>
      <c r="P201" s="93">
        <f t="shared" si="39"/>
        <v>-0.20385138075386322</v>
      </c>
      <c r="Q201" s="96"/>
      <c r="R201" s="96"/>
      <c r="T201" s="90">
        <f t="shared" si="33"/>
        <v>95</v>
      </c>
      <c r="U201" s="89">
        <f t="shared" si="34"/>
        <v>103.31428490526316</v>
      </c>
      <c r="V201" s="89">
        <f t="shared" si="35"/>
        <v>89.663353000000001</v>
      </c>
      <c r="W201" s="90">
        <f t="shared" si="40"/>
        <v>8518.0185349999992</v>
      </c>
      <c r="X201" s="93">
        <f t="shared" si="36"/>
        <v>-0.13213014945397694</v>
      </c>
    </row>
    <row r="202" spans="2:24" x14ac:dyDescent="0.25">
      <c r="B202" s="91">
        <v>39645</v>
      </c>
      <c r="C202" s="89">
        <v>121.449997</v>
      </c>
      <c r="D202" s="89">
        <v>124.57</v>
      </c>
      <c r="E202" s="89">
        <v>121.099998</v>
      </c>
      <c r="F202" s="89">
        <v>123.959999</v>
      </c>
      <c r="G202" s="89">
        <v>91.864341999999994</v>
      </c>
      <c r="H202" s="89">
        <v>371642900</v>
      </c>
      <c r="J202" s="89">
        <v>0</v>
      </c>
      <c r="K202" s="89">
        <f t="shared" si="41"/>
        <v>88</v>
      </c>
      <c r="L202" s="89">
        <f t="shared" si="42"/>
        <v>112.621376</v>
      </c>
      <c r="M202" s="89">
        <f>+SPY__2[[#This Row],[Adj Close]]</f>
        <v>91.864341999999994</v>
      </c>
      <c r="N202" s="89">
        <f t="shared" si="37"/>
        <v>8084.0620959999997</v>
      </c>
      <c r="O202" s="90">
        <f t="shared" si="38"/>
        <v>-1826.6189920000004</v>
      </c>
      <c r="P202" s="93">
        <f t="shared" si="39"/>
        <v>-0.1843081192685837</v>
      </c>
      <c r="Q202" s="96"/>
      <c r="R202" s="96"/>
      <c r="T202" s="90">
        <f t="shared" si="33"/>
        <v>95</v>
      </c>
      <c r="U202" s="89">
        <f t="shared" si="34"/>
        <v>103.31428490526316</v>
      </c>
      <c r="V202" s="89">
        <f t="shared" si="35"/>
        <v>91.864341999999994</v>
      </c>
      <c r="W202" s="90">
        <f t="shared" si="40"/>
        <v>8727.1124899999995</v>
      </c>
      <c r="X202" s="93">
        <f t="shared" si="36"/>
        <v>-0.11082632876724163</v>
      </c>
    </row>
    <row r="203" spans="2:24" x14ac:dyDescent="0.25">
      <c r="B203" s="91">
        <v>39646</v>
      </c>
      <c r="C203" s="89">
        <v>125.139999</v>
      </c>
      <c r="D203" s="89">
        <v>126.260002</v>
      </c>
      <c r="E203" s="89">
        <v>124.089996</v>
      </c>
      <c r="F203" s="89">
        <v>125.199997</v>
      </c>
      <c r="G203" s="89">
        <v>92.783271999999997</v>
      </c>
      <c r="H203" s="89">
        <v>375490600</v>
      </c>
      <c r="J203" s="89">
        <v>0</v>
      </c>
      <c r="K203" s="89">
        <f t="shared" si="41"/>
        <v>88</v>
      </c>
      <c r="L203" s="89">
        <f t="shared" si="42"/>
        <v>112.621376</v>
      </c>
      <c r="M203" s="89">
        <f>+SPY__2[[#This Row],[Adj Close]]</f>
        <v>92.783271999999997</v>
      </c>
      <c r="N203" s="89">
        <f t="shared" si="37"/>
        <v>8164.927936</v>
      </c>
      <c r="O203" s="90">
        <f t="shared" si="38"/>
        <v>-1745.7531520000002</v>
      </c>
      <c r="P203" s="93">
        <f t="shared" si="39"/>
        <v>-0.17614865582888994</v>
      </c>
      <c r="Q203" s="96"/>
      <c r="R203" s="96"/>
      <c r="T203" s="90">
        <f t="shared" si="33"/>
        <v>95</v>
      </c>
      <c r="U203" s="89">
        <f t="shared" si="34"/>
        <v>103.31428490526316</v>
      </c>
      <c r="V203" s="89">
        <f t="shared" si="35"/>
        <v>92.783271999999997</v>
      </c>
      <c r="W203" s="90">
        <f t="shared" si="40"/>
        <v>8814.4108400000005</v>
      </c>
      <c r="X203" s="93">
        <f t="shared" si="36"/>
        <v>-0.10193181818874186</v>
      </c>
    </row>
    <row r="204" spans="2:24" x14ac:dyDescent="0.25">
      <c r="B204" s="91">
        <v>39647</v>
      </c>
      <c r="C204" s="89">
        <v>126.16999800000001</v>
      </c>
      <c r="D204" s="89">
        <v>126.41999800000001</v>
      </c>
      <c r="E204" s="89">
        <v>125.150002</v>
      </c>
      <c r="F204" s="89">
        <v>125.980003</v>
      </c>
      <c r="G204" s="89">
        <v>93.361289999999997</v>
      </c>
      <c r="H204" s="89">
        <v>267030100</v>
      </c>
      <c r="J204" s="89">
        <v>0</v>
      </c>
      <c r="K204" s="89">
        <f t="shared" si="41"/>
        <v>88</v>
      </c>
      <c r="L204" s="89">
        <f t="shared" si="42"/>
        <v>112.621376</v>
      </c>
      <c r="M204" s="89">
        <f>+SPY__2[[#This Row],[Adj Close]]</f>
        <v>93.361289999999997</v>
      </c>
      <c r="N204" s="89">
        <f t="shared" si="37"/>
        <v>8215.7935199999993</v>
      </c>
      <c r="O204" s="90">
        <f t="shared" si="38"/>
        <v>-1694.8875680000001</v>
      </c>
      <c r="P204" s="93">
        <f t="shared" si="39"/>
        <v>-0.17101625538654408</v>
      </c>
      <c r="Q204" s="96"/>
      <c r="R204" s="96"/>
      <c r="T204" s="90">
        <f t="shared" si="33"/>
        <v>95</v>
      </c>
      <c r="U204" s="89">
        <f t="shared" si="34"/>
        <v>103.31428490526316</v>
      </c>
      <c r="V204" s="89">
        <f t="shared" si="35"/>
        <v>93.361289999999997</v>
      </c>
      <c r="W204" s="90">
        <f t="shared" si="40"/>
        <v>8869.322549999999</v>
      </c>
      <c r="X204" s="93">
        <f t="shared" si="36"/>
        <v>-9.6337064273249728E-2</v>
      </c>
    </row>
    <row r="205" spans="2:24" x14ac:dyDescent="0.25">
      <c r="B205" s="91">
        <v>39650</v>
      </c>
      <c r="C205" s="89">
        <v>126.510002</v>
      </c>
      <c r="D205" s="89">
        <v>126.800003</v>
      </c>
      <c r="E205" s="89">
        <v>125.19000200000001</v>
      </c>
      <c r="F205" s="89">
        <v>126.050003</v>
      </c>
      <c r="G205" s="89">
        <v>93.413216000000006</v>
      </c>
      <c r="H205" s="89">
        <v>222863000</v>
      </c>
      <c r="J205" s="89">
        <v>0</v>
      </c>
      <c r="K205" s="89">
        <f t="shared" si="41"/>
        <v>88</v>
      </c>
      <c r="L205" s="89">
        <f t="shared" si="42"/>
        <v>112.621376</v>
      </c>
      <c r="M205" s="89">
        <f>+SPY__2[[#This Row],[Adj Close]]</f>
        <v>93.413216000000006</v>
      </c>
      <c r="N205" s="89">
        <f t="shared" si="37"/>
        <v>8220.3630080000003</v>
      </c>
      <c r="O205" s="90">
        <f t="shared" si="38"/>
        <v>-1690.3180799999993</v>
      </c>
      <c r="P205" s="93">
        <f t="shared" si="39"/>
        <v>-0.17055518838626149</v>
      </c>
      <c r="Q205" s="96"/>
      <c r="R205" s="96"/>
      <c r="T205" s="90">
        <f t="shared" si="33"/>
        <v>95</v>
      </c>
      <c r="U205" s="89">
        <f t="shared" si="34"/>
        <v>103.31428490526316</v>
      </c>
      <c r="V205" s="89">
        <f t="shared" si="35"/>
        <v>93.413216000000006</v>
      </c>
      <c r="W205" s="90">
        <f t="shared" si="40"/>
        <v>8874.2555200000006</v>
      </c>
      <c r="X205" s="93">
        <f t="shared" si="36"/>
        <v>-9.5834461946304961E-2</v>
      </c>
    </row>
    <row r="206" spans="2:24" x14ac:dyDescent="0.25">
      <c r="B206" s="91">
        <v>39651</v>
      </c>
      <c r="C206" s="89">
        <v>125.150002</v>
      </c>
      <c r="D206" s="89">
        <v>127.800003</v>
      </c>
      <c r="E206" s="89">
        <v>124.849998</v>
      </c>
      <c r="F206" s="89">
        <v>127.480003</v>
      </c>
      <c r="G206" s="89">
        <v>94.472977</v>
      </c>
      <c r="H206" s="89">
        <v>296904200</v>
      </c>
      <c r="J206" s="89">
        <v>0</v>
      </c>
      <c r="K206" s="89">
        <f t="shared" si="41"/>
        <v>88</v>
      </c>
      <c r="L206" s="89">
        <f t="shared" si="42"/>
        <v>112.621376</v>
      </c>
      <c r="M206" s="89">
        <f>+SPY__2[[#This Row],[Adj Close]]</f>
        <v>94.472977</v>
      </c>
      <c r="N206" s="89">
        <f t="shared" si="37"/>
        <v>8313.6219760000004</v>
      </c>
      <c r="O206" s="90">
        <f t="shared" si="38"/>
        <v>-1597.0591119999999</v>
      </c>
      <c r="P206" s="93">
        <f t="shared" si="39"/>
        <v>-0.16114524297767419</v>
      </c>
      <c r="Q206" s="96"/>
      <c r="R206" s="96"/>
      <c r="T206" s="90">
        <f t="shared" si="33"/>
        <v>95</v>
      </c>
      <c r="U206" s="89">
        <f t="shared" si="34"/>
        <v>103.31428490526316</v>
      </c>
      <c r="V206" s="89">
        <f t="shared" si="35"/>
        <v>94.472977</v>
      </c>
      <c r="W206" s="90">
        <f t="shared" si="40"/>
        <v>8974.9328150000001</v>
      </c>
      <c r="X206" s="93">
        <f t="shared" si="36"/>
        <v>-8.557681944341422E-2</v>
      </c>
    </row>
    <row r="207" spans="2:24" x14ac:dyDescent="0.25">
      <c r="B207" s="91">
        <v>39652</v>
      </c>
      <c r="C207" s="89">
        <v>127.889999</v>
      </c>
      <c r="D207" s="89">
        <v>129.14999399999999</v>
      </c>
      <c r="E207" s="89">
        <v>127.550003</v>
      </c>
      <c r="F207" s="89">
        <v>128.16999799999999</v>
      </c>
      <c r="G207" s="89">
        <v>94.984283000000005</v>
      </c>
      <c r="H207" s="89">
        <v>311698400</v>
      </c>
      <c r="J207" s="89">
        <v>0</v>
      </c>
      <c r="K207" s="89">
        <f t="shared" si="41"/>
        <v>88</v>
      </c>
      <c r="L207" s="89">
        <f t="shared" si="42"/>
        <v>112.621376</v>
      </c>
      <c r="M207" s="89">
        <f>+SPY__2[[#This Row],[Adj Close]]</f>
        <v>94.984283000000005</v>
      </c>
      <c r="N207" s="89">
        <f t="shared" si="37"/>
        <v>8358.6169040000004</v>
      </c>
      <c r="O207" s="90">
        <f t="shared" si="38"/>
        <v>-1552.0641839999994</v>
      </c>
      <c r="P207" s="93">
        <f t="shared" si="39"/>
        <v>-0.15660519899881165</v>
      </c>
      <c r="Q207" s="96"/>
      <c r="R207" s="96"/>
      <c r="T207" s="90">
        <f t="shared" si="33"/>
        <v>95</v>
      </c>
      <c r="U207" s="89">
        <f t="shared" si="34"/>
        <v>103.31428490526316</v>
      </c>
      <c r="V207" s="89">
        <f t="shared" si="35"/>
        <v>94.984283000000005</v>
      </c>
      <c r="W207" s="90">
        <f t="shared" si="40"/>
        <v>9023.5068850000007</v>
      </c>
      <c r="X207" s="93">
        <f t="shared" si="36"/>
        <v>-8.0627784559527016E-2</v>
      </c>
    </row>
    <row r="208" spans="2:24" x14ac:dyDescent="0.25">
      <c r="B208" s="91">
        <v>39653</v>
      </c>
      <c r="C208" s="89">
        <v>128.33999600000001</v>
      </c>
      <c r="D208" s="89">
        <v>128.41000399999999</v>
      </c>
      <c r="E208" s="89">
        <v>125.160004</v>
      </c>
      <c r="F208" s="89">
        <v>125.510002</v>
      </c>
      <c r="G208" s="89">
        <v>93.013023000000004</v>
      </c>
      <c r="H208" s="89">
        <v>248634500</v>
      </c>
      <c r="J208" s="89">
        <v>0</v>
      </c>
      <c r="K208" s="89">
        <f t="shared" si="41"/>
        <v>88</v>
      </c>
      <c r="L208" s="89">
        <f t="shared" si="42"/>
        <v>112.621376</v>
      </c>
      <c r="M208" s="89">
        <f>+SPY__2[[#This Row],[Adj Close]]</f>
        <v>93.013023000000004</v>
      </c>
      <c r="N208" s="89">
        <f t="shared" si="37"/>
        <v>8185.1460240000006</v>
      </c>
      <c r="O208" s="90">
        <f t="shared" si="38"/>
        <v>-1725.5350639999995</v>
      </c>
      <c r="P208" s="93">
        <f t="shared" si="39"/>
        <v>-0.17410862570174945</v>
      </c>
      <c r="Q208" s="96"/>
      <c r="R208" s="96"/>
      <c r="T208" s="90">
        <f t="shared" si="33"/>
        <v>95</v>
      </c>
      <c r="U208" s="89">
        <f t="shared" si="34"/>
        <v>103.31428490526316</v>
      </c>
      <c r="V208" s="89">
        <f t="shared" si="35"/>
        <v>93.013023000000004</v>
      </c>
      <c r="W208" s="90">
        <f t="shared" si="40"/>
        <v>8836.237185</v>
      </c>
      <c r="X208" s="93">
        <f t="shared" si="36"/>
        <v>-9.970801147885E-2</v>
      </c>
    </row>
    <row r="209" spans="2:24" x14ac:dyDescent="0.25">
      <c r="B209" s="91">
        <v>39654</v>
      </c>
      <c r="C209" s="89">
        <v>125.889999</v>
      </c>
      <c r="D209" s="89">
        <v>126.489998</v>
      </c>
      <c r="E209" s="89">
        <v>125.16999800000001</v>
      </c>
      <c r="F209" s="89">
        <v>125.480003</v>
      </c>
      <c r="G209" s="89">
        <v>92.990791000000002</v>
      </c>
      <c r="H209" s="89">
        <v>219131000</v>
      </c>
      <c r="J209" s="89">
        <v>0</v>
      </c>
      <c r="K209" s="89">
        <f t="shared" si="41"/>
        <v>88</v>
      </c>
      <c r="L209" s="89">
        <f t="shared" si="42"/>
        <v>112.621376</v>
      </c>
      <c r="M209" s="89">
        <f>+SPY__2[[#This Row],[Adj Close]]</f>
        <v>92.990791000000002</v>
      </c>
      <c r="N209" s="89">
        <f t="shared" si="37"/>
        <v>8183.1896080000006</v>
      </c>
      <c r="O209" s="90">
        <f t="shared" si="38"/>
        <v>-1727.4914799999997</v>
      </c>
      <c r="P209" s="93">
        <f t="shared" si="39"/>
        <v>-0.17430603049992921</v>
      </c>
      <c r="Q209" s="96"/>
      <c r="R209" s="96"/>
      <c r="T209" s="90">
        <f t="shared" si="33"/>
        <v>95</v>
      </c>
      <c r="U209" s="89">
        <f t="shared" si="34"/>
        <v>103.31428490526316</v>
      </c>
      <c r="V209" s="89">
        <f t="shared" si="35"/>
        <v>92.990791000000002</v>
      </c>
      <c r="W209" s="90">
        <f t="shared" si="40"/>
        <v>8834.125145</v>
      </c>
      <c r="X209" s="93">
        <f t="shared" si="36"/>
        <v>-9.992319953363249E-2</v>
      </c>
    </row>
    <row r="210" spans="2:24" x14ac:dyDescent="0.25">
      <c r="B210" s="91">
        <v>39657</v>
      </c>
      <c r="C210" s="89">
        <v>125.510002</v>
      </c>
      <c r="D210" s="89">
        <v>126.05999799999999</v>
      </c>
      <c r="E210" s="89">
        <v>123.41999800000001</v>
      </c>
      <c r="F210" s="89">
        <v>123.639999</v>
      </c>
      <c r="G210" s="89">
        <v>91.627182000000005</v>
      </c>
      <c r="H210" s="89">
        <v>205201300</v>
      </c>
      <c r="J210" s="89">
        <v>0</v>
      </c>
      <c r="K210" s="89">
        <f t="shared" si="41"/>
        <v>88</v>
      </c>
      <c r="L210" s="89">
        <f t="shared" si="42"/>
        <v>112.621376</v>
      </c>
      <c r="M210" s="89">
        <f>+SPY__2[[#This Row],[Adj Close]]</f>
        <v>91.627182000000005</v>
      </c>
      <c r="N210" s="89">
        <f t="shared" si="37"/>
        <v>8063.1920160000009</v>
      </c>
      <c r="O210" s="90">
        <f t="shared" si="38"/>
        <v>-1847.4890719999994</v>
      </c>
      <c r="P210" s="93">
        <f t="shared" si="39"/>
        <v>-0.18641393619626878</v>
      </c>
      <c r="Q210" s="96"/>
      <c r="R210" s="96"/>
      <c r="T210" s="90">
        <f t="shared" si="33"/>
        <v>95</v>
      </c>
      <c r="U210" s="89">
        <f t="shared" si="34"/>
        <v>103.31428490526316</v>
      </c>
      <c r="V210" s="89">
        <f t="shared" si="35"/>
        <v>91.627182000000005</v>
      </c>
      <c r="W210" s="90">
        <f t="shared" si="40"/>
        <v>8704.5822900000003</v>
      </c>
      <c r="X210" s="93">
        <f t="shared" si="36"/>
        <v>-0.11312184869672148</v>
      </c>
    </row>
    <row r="211" spans="2:24" x14ac:dyDescent="0.25">
      <c r="B211" s="91">
        <v>39658</v>
      </c>
      <c r="C211" s="89">
        <v>123.980003</v>
      </c>
      <c r="D211" s="89">
        <v>126.379997</v>
      </c>
      <c r="E211" s="89">
        <v>123.639999</v>
      </c>
      <c r="F211" s="89">
        <v>126.279999</v>
      </c>
      <c r="G211" s="89">
        <v>93.583648999999994</v>
      </c>
      <c r="H211" s="89">
        <v>261505600</v>
      </c>
      <c r="J211" s="89">
        <v>0</v>
      </c>
      <c r="K211" s="89">
        <f t="shared" si="41"/>
        <v>88</v>
      </c>
      <c r="L211" s="89">
        <f t="shared" si="42"/>
        <v>112.621376</v>
      </c>
      <c r="M211" s="89">
        <f>+SPY__2[[#This Row],[Adj Close]]</f>
        <v>93.583648999999994</v>
      </c>
      <c r="N211" s="89">
        <f t="shared" si="37"/>
        <v>8235.3611119999987</v>
      </c>
      <c r="O211" s="90">
        <f t="shared" si="38"/>
        <v>-1675.3199760000002</v>
      </c>
      <c r="P211" s="93">
        <f t="shared" si="39"/>
        <v>-0.16904186111169517</v>
      </c>
      <c r="Q211" s="96"/>
      <c r="R211" s="96"/>
      <c r="T211" s="90">
        <f t="shared" si="33"/>
        <v>95</v>
      </c>
      <c r="U211" s="89">
        <f t="shared" si="34"/>
        <v>103.31428490526316</v>
      </c>
      <c r="V211" s="89">
        <f t="shared" si="35"/>
        <v>93.583648999999994</v>
      </c>
      <c r="W211" s="90">
        <f t="shared" si="40"/>
        <v>8890.4466549999997</v>
      </c>
      <c r="X211" s="93">
        <f t="shared" si="36"/>
        <v>-9.4184806236484508E-2</v>
      </c>
    </row>
    <row r="212" spans="2:24" x14ac:dyDescent="0.25">
      <c r="B212" s="91">
        <v>39659</v>
      </c>
      <c r="C212" s="89">
        <v>127.110001</v>
      </c>
      <c r="D212" s="89">
        <v>128.60000600000001</v>
      </c>
      <c r="E212" s="89">
        <v>126.279999</v>
      </c>
      <c r="F212" s="89">
        <v>128.529999</v>
      </c>
      <c r="G212" s="89">
        <v>95.251082999999994</v>
      </c>
      <c r="H212" s="89">
        <v>354710000</v>
      </c>
      <c r="J212" s="89">
        <v>0</v>
      </c>
      <c r="K212" s="89">
        <f t="shared" si="41"/>
        <v>88</v>
      </c>
      <c r="L212" s="89">
        <f t="shared" si="42"/>
        <v>112.621376</v>
      </c>
      <c r="M212" s="89">
        <f>+SPY__2[[#This Row],[Adj Close]]</f>
        <v>95.251082999999994</v>
      </c>
      <c r="N212" s="89">
        <f t="shared" si="37"/>
        <v>8382.0953039999986</v>
      </c>
      <c r="O212" s="90">
        <f t="shared" si="38"/>
        <v>-1528.5857840000003</v>
      </c>
      <c r="P212" s="93">
        <f t="shared" si="39"/>
        <v>-0.15423619935171107</v>
      </c>
      <c r="Q212" s="96"/>
      <c r="R212" s="96"/>
      <c r="T212" s="90">
        <f t="shared" si="33"/>
        <v>95</v>
      </c>
      <c r="U212" s="89">
        <f t="shared" si="34"/>
        <v>103.31428490526316</v>
      </c>
      <c r="V212" s="89">
        <f t="shared" si="35"/>
        <v>95.251082999999994</v>
      </c>
      <c r="W212" s="90">
        <f t="shared" si="40"/>
        <v>9048.8528850000002</v>
      </c>
      <c r="X212" s="93">
        <f t="shared" si="36"/>
        <v>-7.8045373034880239E-2</v>
      </c>
    </row>
    <row r="213" spans="2:24" x14ac:dyDescent="0.25">
      <c r="B213" s="91">
        <v>39660</v>
      </c>
      <c r="C213" s="89">
        <v>127.400002</v>
      </c>
      <c r="D213" s="89">
        <v>128.570007</v>
      </c>
      <c r="E213" s="89">
        <v>126.629997</v>
      </c>
      <c r="F213" s="89">
        <v>126.83000199999999</v>
      </c>
      <c r="G213" s="89">
        <v>93.991257000000004</v>
      </c>
      <c r="H213" s="89">
        <v>277402100</v>
      </c>
      <c r="J213" s="89">
        <v>0</v>
      </c>
      <c r="K213" s="89">
        <f t="shared" si="41"/>
        <v>88</v>
      </c>
      <c r="L213" s="89">
        <f t="shared" si="42"/>
        <v>112.621376</v>
      </c>
      <c r="M213" s="89">
        <f>+SPY__2[[#This Row],[Adj Close]]</f>
        <v>93.991257000000004</v>
      </c>
      <c r="N213" s="89">
        <f t="shared" si="37"/>
        <v>8271.2306160000007</v>
      </c>
      <c r="O213" s="90">
        <f t="shared" si="38"/>
        <v>-1639.4504719999995</v>
      </c>
      <c r="P213" s="93">
        <f t="shared" si="39"/>
        <v>-0.16542258371980811</v>
      </c>
      <c r="Q213" s="96"/>
      <c r="R213" s="96"/>
      <c r="T213" s="90">
        <f t="shared" si="33"/>
        <v>95</v>
      </c>
      <c r="U213" s="89">
        <f t="shared" si="34"/>
        <v>103.31428490526316</v>
      </c>
      <c r="V213" s="89">
        <f t="shared" si="35"/>
        <v>93.991257000000004</v>
      </c>
      <c r="W213" s="90">
        <f t="shared" si="40"/>
        <v>8929.1694150000003</v>
      </c>
      <c r="X213" s="93">
        <f t="shared" si="36"/>
        <v>-9.0239485409129627E-2</v>
      </c>
    </row>
    <row r="214" spans="2:24" x14ac:dyDescent="0.25">
      <c r="B214" s="91">
        <v>39661</v>
      </c>
      <c r="C214" s="89">
        <v>127.120003</v>
      </c>
      <c r="D214" s="89">
        <v>127.279999</v>
      </c>
      <c r="E214" s="89">
        <v>125.459999</v>
      </c>
      <c r="F214" s="89">
        <v>126.160004</v>
      </c>
      <c r="G214" s="89">
        <v>93.494698</v>
      </c>
      <c r="H214" s="89">
        <v>248690900</v>
      </c>
      <c r="J214" s="89">
        <v>0</v>
      </c>
      <c r="K214" s="89">
        <f t="shared" si="41"/>
        <v>88</v>
      </c>
      <c r="L214" s="89">
        <f t="shared" si="42"/>
        <v>112.621376</v>
      </c>
      <c r="M214" s="89">
        <f>+SPY__2[[#This Row],[Adj Close]]</f>
        <v>93.494698</v>
      </c>
      <c r="N214" s="89">
        <f t="shared" si="37"/>
        <v>8227.5334239999993</v>
      </c>
      <c r="O214" s="90">
        <f t="shared" si="38"/>
        <v>-1683.1476639999998</v>
      </c>
      <c r="P214" s="93">
        <f t="shared" si="39"/>
        <v>-0.16983168452852149</v>
      </c>
      <c r="Q214" s="96"/>
      <c r="R214" s="96"/>
      <c r="T214" s="90">
        <f t="shared" si="33"/>
        <v>95</v>
      </c>
      <c r="U214" s="89">
        <f t="shared" si="34"/>
        <v>103.31428490526316</v>
      </c>
      <c r="V214" s="89">
        <f t="shared" si="35"/>
        <v>93.494698</v>
      </c>
      <c r="W214" s="90">
        <f t="shared" si="40"/>
        <v>8881.9963100000004</v>
      </c>
      <c r="X214" s="93">
        <f t="shared" si="36"/>
        <v>-9.504578107729722E-2</v>
      </c>
    </row>
    <row r="215" spans="2:24" x14ac:dyDescent="0.25">
      <c r="B215" s="91">
        <v>39664</v>
      </c>
      <c r="C215" s="89">
        <v>126.040001</v>
      </c>
      <c r="D215" s="89">
        <v>126.139999</v>
      </c>
      <c r="E215" s="89">
        <v>124.760002</v>
      </c>
      <c r="F215" s="89">
        <v>124.989998</v>
      </c>
      <c r="G215" s="89">
        <v>92.627632000000006</v>
      </c>
      <c r="H215" s="89">
        <v>188239600</v>
      </c>
      <c r="J215" s="89">
        <v>0</v>
      </c>
      <c r="K215" s="89">
        <f t="shared" si="41"/>
        <v>88</v>
      </c>
      <c r="L215" s="89">
        <f t="shared" si="42"/>
        <v>112.621376</v>
      </c>
      <c r="M215" s="89">
        <f>+SPY__2[[#This Row],[Adj Close]]</f>
        <v>92.627632000000006</v>
      </c>
      <c r="N215" s="89">
        <f t="shared" si="37"/>
        <v>8151.2316160000009</v>
      </c>
      <c r="O215" s="90">
        <f t="shared" si="38"/>
        <v>-1759.4494719999993</v>
      </c>
      <c r="P215" s="93">
        <f t="shared" si="39"/>
        <v>-0.17753063148509207</v>
      </c>
      <c r="Q215" s="96"/>
      <c r="R215" s="96"/>
      <c r="T215" s="90">
        <f t="shared" si="33"/>
        <v>95</v>
      </c>
      <c r="U215" s="89">
        <f t="shared" si="34"/>
        <v>103.31428490526316</v>
      </c>
      <c r="V215" s="89">
        <f t="shared" si="35"/>
        <v>92.627632000000006</v>
      </c>
      <c r="W215" s="90">
        <f t="shared" si="40"/>
        <v>8799.6250400000008</v>
      </c>
      <c r="X215" s="93">
        <f t="shared" si="36"/>
        <v>-0.10343828943947653</v>
      </c>
    </row>
    <row r="216" spans="2:24" x14ac:dyDescent="0.25">
      <c r="B216" s="91">
        <v>39665</v>
      </c>
      <c r="C216" s="89">
        <v>126.019997</v>
      </c>
      <c r="D216" s="89">
        <v>128.55999800000001</v>
      </c>
      <c r="E216" s="89">
        <v>124.970001</v>
      </c>
      <c r="F216" s="89">
        <v>128.36000100000001</v>
      </c>
      <c r="G216" s="89">
        <v>95.125107</v>
      </c>
      <c r="H216" s="89">
        <v>251577600</v>
      </c>
      <c r="J216" s="89">
        <v>0</v>
      </c>
      <c r="K216" s="89">
        <f t="shared" si="41"/>
        <v>88</v>
      </c>
      <c r="L216" s="89">
        <f t="shared" si="42"/>
        <v>112.621376</v>
      </c>
      <c r="M216" s="89">
        <f>+SPY__2[[#This Row],[Adj Close]]</f>
        <v>95.125107</v>
      </c>
      <c r="N216" s="89">
        <f t="shared" si="37"/>
        <v>8371.0094160000008</v>
      </c>
      <c r="O216" s="90">
        <f t="shared" si="38"/>
        <v>-1539.6716719999999</v>
      </c>
      <c r="P216" s="93">
        <f t="shared" si="39"/>
        <v>-0.15535477918508112</v>
      </c>
      <c r="Q216" s="96"/>
      <c r="R216" s="96"/>
      <c r="T216" s="90">
        <f t="shared" si="33"/>
        <v>95</v>
      </c>
      <c r="U216" s="89">
        <f t="shared" si="34"/>
        <v>103.31428490526316</v>
      </c>
      <c r="V216" s="89">
        <f t="shared" si="35"/>
        <v>95.125107</v>
      </c>
      <c r="W216" s="90">
        <f t="shared" si="40"/>
        <v>9036.8851649999997</v>
      </c>
      <c r="X216" s="93">
        <f t="shared" si="36"/>
        <v>-7.9264720389561338E-2</v>
      </c>
    </row>
    <row r="217" spans="2:24" x14ac:dyDescent="0.25">
      <c r="B217" s="91">
        <v>39666</v>
      </c>
      <c r="C217" s="89">
        <v>128.020004</v>
      </c>
      <c r="D217" s="89">
        <v>129.300003</v>
      </c>
      <c r="E217" s="89">
        <v>127.480003</v>
      </c>
      <c r="F217" s="89">
        <v>128.929993</v>
      </c>
      <c r="G217" s="89">
        <v>95.547545999999997</v>
      </c>
      <c r="H217" s="89">
        <v>209555400</v>
      </c>
      <c r="J217" s="89">
        <v>0</v>
      </c>
      <c r="K217" s="89">
        <f t="shared" si="41"/>
        <v>88</v>
      </c>
      <c r="L217" s="89">
        <f t="shared" si="42"/>
        <v>112.621376</v>
      </c>
      <c r="M217" s="89">
        <f>+SPY__2[[#This Row],[Adj Close]]</f>
        <v>95.547545999999997</v>
      </c>
      <c r="N217" s="89">
        <f t="shared" si="37"/>
        <v>8408.1840479999992</v>
      </c>
      <c r="O217" s="90">
        <f t="shared" si="38"/>
        <v>-1502.4970400000002</v>
      </c>
      <c r="P217" s="93">
        <f t="shared" si="39"/>
        <v>-0.15160381276108725</v>
      </c>
      <c r="Q217" s="96"/>
      <c r="R217" s="96"/>
      <c r="T217" s="90">
        <f t="shared" si="33"/>
        <v>95</v>
      </c>
      <c r="U217" s="89">
        <f t="shared" si="34"/>
        <v>103.31428490526316</v>
      </c>
      <c r="V217" s="89">
        <f t="shared" si="35"/>
        <v>95.547545999999997</v>
      </c>
      <c r="W217" s="90">
        <f t="shared" si="40"/>
        <v>9077.0168699999995</v>
      </c>
      <c r="X217" s="93">
        <f t="shared" si="36"/>
        <v>-7.5175847293383447E-2</v>
      </c>
    </row>
    <row r="218" spans="2:24" x14ac:dyDescent="0.25">
      <c r="B218" s="91">
        <v>39667</v>
      </c>
      <c r="C218" s="89">
        <v>127.959999</v>
      </c>
      <c r="D218" s="89">
        <v>128.44000199999999</v>
      </c>
      <c r="E218" s="89">
        <v>126.540001</v>
      </c>
      <c r="F218" s="89">
        <v>127.010002</v>
      </c>
      <c r="G218" s="89">
        <v>94.124649000000005</v>
      </c>
      <c r="H218" s="89">
        <v>246312500</v>
      </c>
      <c r="J218" s="89">
        <v>0</v>
      </c>
      <c r="K218" s="89">
        <f t="shared" si="41"/>
        <v>88</v>
      </c>
      <c r="L218" s="89">
        <f t="shared" si="42"/>
        <v>112.621376</v>
      </c>
      <c r="M218" s="89">
        <f>+SPY__2[[#This Row],[Adj Close]]</f>
        <v>94.124649000000005</v>
      </c>
      <c r="N218" s="89">
        <f t="shared" si="37"/>
        <v>8282.9691120000007</v>
      </c>
      <c r="O218" s="90">
        <f t="shared" si="38"/>
        <v>-1627.7119759999994</v>
      </c>
      <c r="P218" s="93">
        <f t="shared" si="39"/>
        <v>-0.16423815493073002</v>
      </c>
      <c r="Q218" s="96"/>
      <c r="R218" s="96"/>
      <c r="T218" s="90">
        <f t="shared" si="33"/>
        <v>95</v>
      </c>
      <c r="U218" s="89">
        <f t="shared" si="34"/>
        <v>103.31428490526316</v>
      </c>
      <c r="V218" s="89">
        <f t="shared" si="35"/>
        <v>94.124649000000005</v>
      </c>
      <c r="W218" s="90">
        <f t="shared" si="40"/>
        <v>8941.8416550000002</v>
      </c>
      <c r="X218" s="93">
        <f t="shared" si="36"/>
        <v>-8.8948357080435136E-2</v>
      </c>
    </row>
    <row r="219" spans="2:24" x14ac:dyDescent="0.25">
      <c r="B219" s="91">
        <v>39668</v>
      </c>
      <c r="C219" s="89">
        <v>126.58000199999999</v>
      </c>
      <c r="D219" s="89">
        <v>129.929993</v>
      </c>
      <c r="E219" s="89">
        <v>126.379997</v>
      </c>
      <c r="F219" s="89">
        <v>129.36999499999999</v>
      </c>
      <c r="G219" s="89">
        <v>95.873572999999993</v>
      </c>
      <c r="H219" s="89">
        <v>260811700</v>
      </c>
      <c r="J219" s="89">
        <v>0</v>
      </c>
      <c r="K219" s="89">
        <f t="shared" si="41"/>
        <v>88</v>
      </c>
      <c r="L219" s="89">
        <f t="shared" si="42"/>
        <v>112.621376</v>
      </c>
      <c r="M219" s="89">
        <f>+SPY__2[[#This Row],[Adj Close]]</f>
        <v>95.873572999999993</v>
      </c>
      <c r="N219" s="89">
        <f t="shared" si="37"/>
        <v>8436.8744239999996</v>
      </c>
      <c r="O219" s="90">
        <f t="shared" si="38"/>
        <v>-1473.8066640000004</v>
      </c>
      <c r="P219" s="93">
        <f t="shared" si="39"/>
        <v>-0.14870891827853361</v>
      </c>
      <c r="Q219" s="96"/>
      <c r="R219" s="96"/>
      <c r="T219" s="90">
        <f t="shared" si="33"/>
        <v>95</v>
      </c>
      <c r="U219" s="89">
        <f t="shared" si="34"/>
        <v>103.31428490526316</v>
      </c>
      <c r="V219" s="89">
        <f t="shared" si="35"/>
        <v>95.873572999999993</v>
      </c>
      <c r="W219" s="90">
        <f t="shared" si="40"/>
        <v>9107.9894349999995</v>
      </c>
      <c r="X219" s="93">
        <f t="shared" si="36"/>
        <v>-7.2020165576194284E-2</v>
      </c>
    </row>
    <row r="220" spans="2:24" x14ac:dyDescent="0.25">
      <c r="B220" s="91">
        <v>39671</v>
      </c>
      <c r="C220" s="89">
        <v>129.470001</v>
      </c>
      <c r="D220" s="89">
        <v>131.509995</v>
      </c>
      <c r="E220" s="89">
        <v>129.229996</v>
      </c>
      <c r="F220" s="89">
        <v>130.71000699999999</v>
      </c>
      <c r="G220" s="89">
        <v>96.866646000000003</v>
      </c>
      <c r="H220" s="89">
        <v>249425800</v>
      </c>
      <c r="J220" s="89">
        <v>0</v>
      </c>
      <c r="K220" s="89">
        <f t="shared" si="41"/>
        <v>88</v>
      </c>
      <c r="L220" s="89">
        <f t="shared" si="42"/>
        <v>112.621376</v>
      </c>
      <c r="M220" s="89">
        <f>+SPY__2[[#This Row],[Adj Close]]</f>
        <v>96.866646000000003</v>
      </c>
      <c r="N220" s="89">
        <f t="shared" si="37"/>
        <v>8524.2648480000007</v>
      </c>
      <c r="O220" s="90">
        <f t="shared" si="38"/>
        <v>-1386.4162399999996</v>
      </c>
      <c r="P220" s="93">
        <f t="shared" si="39"/>
        <v>-0.13989111623001294</v>
      </c>
      <c r="Q220" s="96"/>
      <c r="R220" s="96"/>
      <c r="T220" s="90">
        <f t="shared" si="33"/>
        <v>95</v>
      </c>
      <c r="U220" s="89">
        <f t="shared" si="34"/>
        <v>103.31428490526316</v>
      </c>
      <c r="V220" s="89">
        <f t="shared" si="35"/>
        <v>96.866646000000003</v>
      </c>
      <c r="W220" s="90">
        <f t="shared" si="40"/>
        <v>9202.3313699999999</v>
      </c>
      <c r="X220" s="93">
        <f t="shared" si="36"/>
        <v>-6.2408009804021836E-2</v>
      </c>
    </row>
    <row r="221" spans="2:24" x14ac:dyDescent="0.25">
      <c r="B221" s="91">
        <v>39672</v>
      </c>
      <c r="C221" s="89">
        <v>130.279999</v>
      </c>
      <c r="D221" s="89">
        <v>130.699997</v>
      </c>
      <c r="E221" s="89">
        <v>128.729996</v>
      </c>
      <c r="F221" s="89">
        <v>129.35000600000001</v>
      </c>
      <c r="G221" s="89">
        <v>95.858779999999996</v>
      </c>
      <c r="H221" s="89">
        <v>213200800</v>
      </c>
      <c r="J221" s="89">
        <v>0</v>
      </c>
      <c r="K221" s="89">
        <f t="shared" si="41"/>
        <v>88</v>
      </c>
      <c r="L221" s="89">
        <f t="shared" si="42"/>
        <v>112.621376</v>
      </c>
      <c r="M221" s="89">
        <f>+SPY__2[[#This Row],[Adj Close]]</f>
        <v>95.858779999999996</v>
      </c>
      <c r="N221" s="89">
        <f t="shared" si="37"/>
        <v>8435.5726400000003</v>
      </c>
      <c r="O221" s="90">
        <f t="shared" si="38"/>
        <v>-1475.1084480000002</v>
      </c>
      <c r="P221" s="93">
        <f t="shared" si="39"/>
        <v>-0.14884026989689769</v>
      </c>
      <c r="Q221" s="96"/>
      <c r="R221" s="96"/>
      <c r="T221" s="90">
        <f t="shared" si="33"/>
        <v>95</v>
      </c>
      <c r="U221" s="89">
        <f t="shared" si="34"/>
        <v>103.31428490526316</v>
      </c>
      <c r="V221" s="89">
        <f t="shared" si="35"/>
        <v>95.858779999999996</v>
      </c>
      <c r="W221" s="90">
        <f t="shared" si="40"/>
        <v>9106.5841</v>
      </c>
      <c r="X221" s="93">
        <f t="shared" si="36"/>
        <v>-7.2163350035280072E-2</v>
      </c>
    </row>
    <row r="222" spans="2:24" x14ac:dyDescent="0.25">
      <c r="B222" s="91">
        <v>39673</v>
      </c>
      <c r="C222" s="89">
        <v>128.78999300000001</v>
      </c>
      <c r="D222" s="89">
        <v>129.64999399999999</v>
      </c>
      <c r="E222" s="89">
        <v>127.66999800000001</v>
      </c>
      <c r="F222" s="89">
        <v>128.570007</v>
      </c>
      <c r="G222" s="89">
        <v>95.280731000000003</v>
      </c>
      <c r="H222" s="89">
        <v>256393200</v>
      </c>
      <c r="J222" s="89">
        <v>0</v>
      </c>
      <c r="K222" s="89">
        <f t="shared" si="41"/>
        <v>88</v>
      </c>
      <c r="L222" s="89">
        <f t="shared" si="42"/>
        <v>112.621376</v>
      </c>
      <c r="M222" s="89">
        <f>+SPY__2[[#This Row],[Adj Close]]</f>
        <v>95.280731000000003</v>
      </c>
      <c r="N222" s="89">
        <f t="shared" si="37"/>
        <v>8384.7043279999998</v>
      </c>
      <c r="O222" s="90">
        <f t="shared" si="38"/>
        <v>-1525.9767599999996</v>
      </c>
      <c r="P222" s="93">
        <f t="shared" si="39"/>
        <v>-0.15397294559782326</v>
      </c>
      <c r="Q222" s="96"/>
      <c r="R222" s="96"/>
      <c r="T222" s="90">
        <f t="shared" si="33"/>
        <v>95</v>
      </c>
      <c r="U222" s="89">
        <f t="shared" si="34"/>
        <v>103.31428490526316</v>
      </c>
      <c r="V222" s="89">
        <f t="shared" si="35"/>
        <v>95.280731000000003</v>
      </c>
      <c r="W222" s="90">
        <f t="shared" si="40"/>
        <v>9051.6694449999995</v>
      </c>
      <c r="X222" s="93">
        <f t="shared" si="36"/>
        <v>-7.7758404006084469E-2</v>
      </c>
    </row>
    <row r="223" spans="2:24" x14ac:dyDescent="0.25">
      <c r="B223" s="91">
        <v>39674</v>
      </c>
      <c r="C223" s="89">
        <v>127.839996</v>
      </c>
      <c r="D223" s="89">
        <v>130.279999</v>
      </c>
      <c r="E223" s="89">
        <v>127.75</v>
      </c>
      <c r="F223" s="89">
        <v>129.53999300000001</v>
      </c>
      <c r="G223" s="89">
        <v>95.999556999999996</v>
      </c>
      <c r="H223" s="89">
        <v>239555300</v>
      </c>
      <c r="J223" s="89">
        <v>0</v>
      </c>
      <c r="K223" s="89">
        <f t="shared" si="41"/>
        <v>88</v>
      </c>
      <c r="L223" s="89">
        <f t="shared" si="42"/>
        <v>112.621376</v>
      </c>
      <c r="M223" s="89">
        <f>+SPY__2[[#This Row],[Adj Close]]</f>
        <v>95.999556999999996</v>
      </c>
      <c r="N223" s="89">
        <f t="shared" si="37"/>
        <v>8447.9610159999993</v>
      </c>
      <c r="O223" s="90">
        <f t="shared" si="38"/>
        <v>-1462.7200720000001</v>
      </c>
      <c r="P223" s="93">
        <f t="shared" si="39"/>
        <v>-0.14759026741069126</v>
      </c>
      <c r="Q223" s="96"/>
      <c r="R223" s="96"/>
      <c r="T223" s="90">
        <f t="shared" si="33"/>
        <v>95</v>
      </c>
      <c r="U223" s="89">
        <f t="shared" si="34"/>
        <v>103.31428490526316</v>
      </c>
      <c r="V223" s="89">
        <f t="shared" si="35"/>
        <v>95.999556999999996</v>
      </c>
      <c r="W223" s="90">
        <f t="shared" si="40"/>
        <v>9119.957914999999</v>
      </c>
      <c r="X223" s="93">
        <f t="shared" si="36"/>
        <v>-7.0800740787884342E-2</v>
      </c>
    </row>
    <row r="224" spans="2:24" x14ac:dyDescent="0.25">
      <c r="B224" s="91">
        <v>39675</v>
      </c>
      <c r="C224" s="89">
        <v>129.929993</v>
      </c>
      <c r="D224" s="89">
        <v>130.5</v>
      </c>
      <c r="E224" s="89">
        <v>129.300003</v>
      </c>
      <c r="F224" s="89">
        <v>130.16999799999999</v>
      </c>
      <c r="G224" s="89">
        <v>96.466446000000005</v>
      </c>
      <c r="H224" s="89">
        <v>181000800</v>
      </c>
      <c r="J224" s="89">
        <v>0</v>
      </c>
      <c r="K224" s="89">
        <f t="shared" si="41"/>
        <v>88</v>
      </c>
      <c r="L224" s="89">
        <f t="shared" si="42"/>
        <v>112.621376</v>
      </c>
      <c r="M224" s="89">
        <f>+SPY__2[[#This Row],[Adj Close]]</f>
        <v>96.466446000000005</v>
      </c>
      <c r="N224" s="89">
        <f t="shared" si="37"/>
        <v>8489.0472480000008</v>
      </c>
      <c r="O224" s="90">
        <f t="shared" si="38"/>
        <v>-1421.6338399999995</v>
      </c>
      <c r="P224" s="93">
        <f t="shared" si="39"/>
        <v>-0.14344461570066414</v>
      </c>
      <c r="Q224" s="96"/>
      <c r="R224" s="96"/>
      <c r="T224" s="90">
        <f t="shared" si="33"/>
        <v>95</v>
      </c>
      <c r="U224" s="89">
        <f t="shared" si="34"/>
        <v>103.31428490526316</v>
      </c>
      <c r="V224" s="89">
        <f t="shared" si="35"/>
        <v>96.466446000000005</v>
      </c>
      <c r="W224" s="90">
        <f t="shared" si="40"/>
        <v>9164.3123699999996</v>
      </c>
      <c r="X224" s="93">
        <f t="shared" si="36"/>
        <v>-6.6281627090992057E-2</v>
      </c>
    </row>
    <row r="225" spans="2:24" x14ac:dyDescent="0.25">
      <c r="B225" s="91">
        <v>39678</v>
      </c>
      <c r="C225" s="89">
        <v>130.429993</v>
      </c>
      <c r="D225" s="89">
        <v>130.479996</v>
      </c>
      <c r="E225" s="89">
        <v>127.660004</v>
      </c>
      <c r="F225" s="89">
        <v>128.38999899999999</v>
      </c>
      <c r="G225" s="89">
        <v>95.147316000000004</v>
      </c>
      <c r="H225" s="89">
        <v>172275100</v>
      </c>
      <c r="J225" s="89">
        <v>0</v>
      </c>
      <c r="K225" s="89">
        <f t="shared" si="41"/>
        <v>88</v>
      </c>
      <c r="L225" s="89">
        <f t="shared" si="42"/>
        <v>112.621376</v>
      </c>
      <c r="M225" s="89">
        <f>+SPY__2[[#This Row],[Adj Close]]</f>
        <v>95.147316000000004</v>
      </c>
      <c r="N225" s="89">
        <f t="shared" si="37"/>
        <v>8372.9638080000004</v>
      </c>
      <c r="O225" s="90">
        <f t="shared" si="38"/>
        <v>-1537.7172799999994</v>
      </c>
      <c r="P225" s="93">
        <f t="shared" si="39"/>
        <v>-0.15515757861100898</v>
      </c>
      <c r="Q225" s="96"/>
      <c r="R225" s="96"/>
      <c r="T225" s="90">
        <f t="shared" si="33"/>
        <v>95</v>
      </c>
      <c r="U225" s="89">
        <f t="shared" si="34"/>
        <v>103.31428490526316</v>
      </c>
      <c r="V225" s="89">
        <f t="shared" si="35"/>
        <v>95.147316000000004</v>
      </c>
      <c r="W225" s="90">
        <f t="shared" si="40"/>
        <v>9038.9950200000003</v>
      </c>
      <c r="X225" s="93">
        <f t="shared" si="36"/>
        <v>-7.9049754956462048E-2</v>
      </c>
    </row>
    <row r="226" spans="2:24" x14ac:dyDescent="0.25">
      <c r="B226" s="91">
        <v>39679</v>
      </c>
      <c r="C226" s="89">
        <v>127.41999800000001</v>
      </c>
      <c r="D226" s="89">
        <v>127.69000200000001</v>
      </c>
      <c r="E226" s="89">
        <v>126.529999</v>
      </c>
      <c r="F226" s="89">
        <v>126.989998</v>
      </c>
      <c r="G226" s="89">
        <v>94.109795000000005</v>
      </c>
      <c r="H226" s="89">
        <v>194673700</v>
      </c>
      <c r="J226" s="89">
        <v>0</v>
      </c>
      <c r="K226" s="89">
        <f t="shared" si="41"/>
        <v>88</v>
      </c>
      <c r="L226" s="89">
        <f t="shared" si="42"/>
        <v>112.621376</v>
      </c>
      <c r="M226" s="89">
        <f>+SPY__2[[#This Row],[Adj Close]]</f>
        <v>94.109795000000005</v>
      </c>
      <c r="N226" s="89">
        <f t="shared" si="37"/>
        <v>8281.6619600000013</v>
      </c>
      <c r="O226" s="90">
        <f t="shared" si="38"/>
        <v>-1629.0191279999995</v>
      </c>
      <c r="P226" s="93">
        <f t="shared" si="39"/>
        <v>-0.16437004818694445</v>
      </c>
      <c r="Q226" s="96"/>
      <c r="R226" s="96"/>
      <c r="T226" s="90">
        <f t="shared" si="33"/>
        <v>95</v>
      </c>
      <c r="U226" s="89">
        <f t="shared" si="34"/>
        <v>103.31428490526316</v>
      </c>
      <c r="V226" s="89">
        <f t="shared" si="35"/>
        <v>94.109795000000005</v>
      </c>
      <c r="W226" s="90">
        <f t="shared" si="40"/>
        <v>8940.4305249999998</v>
      </c>
      <c r="X226" s="93">
        <f t="shared" si="36"/>
        <v>-8.9092131970941568E-2</v>
      </c>
    </row>
    <row r="227" spans="2:24" x14ac:dyDescent="0.25">
      <c r="B227" s="91">
        <v>39680</v>
      </c>
      <c r="C227" s="89">
        <v>127.389999</v>
      </c>
      <c r="D227" s="89">
        <v>127.949997</v>
      </c>
      <c r="E227" s="89">
        <v>126.339996</v>
      </c>
      <c r="F227" s="89">
        <v>127.58000199999999</v>
      </c>
      <c r="G227" s="89">
        <v>94.547081000000006</v>
      </c>
      <c r="H227" s="89">
        <v>225498200</v>
      </c>
      <c r="J227" s="89">
        <v>0</v>
      </c>
      <c r="K227" s="89">
        <f t="shared" si="41"/>
        <v>88</v>
      </c>
      <c r="L227" s="89">
        <f t="shared" si="42"/>
        <v>112.621376</v>
      </c>
      <c r="M227" s="89">
        <f>+SPY__2[[#This Row],[Adj Close]]</f>
        <v>94.547081000000006</v>
      </c>
      <c r="N227" s="89">
        <f t="shared" si="37"/>
        <v>8320.1431279999997</v>
      </c>
      <c r="O227" s="90">
        <f t="shared" si="38"/>
        <v>-1590.5379599999992</v>
      </c>
      <c r="P227" s="93">
        <f t="shared" si="39"/>
        <v>-0.16048725066189917</v>
      </c>
      <c r="Q227" s="96"/>
      <c r="R227" s="96"/>
      <c r="T227" s="90">
        <f t="shared" si="33"/>
        <v>95</v>
      </c>
      <c r="U227" s="89">
        <f t="shared" si="34"/>
        <v>103.31428490526316</v>
      </c>
      <c r="V227" s="89">
        <f t="shared" si="35"/>
        <v>94.547081000000006</v>
      </c>
      <c r="W227" s="90">
        <f t="shared" si="40"/>
        <v>8981.9726950000004</v>
      </c>
      <c r="X227" s="93">
        <f t="shared" si="36"/>
        <v>-8.4859551738682426E-2</v>
      </c>
    </row>
    <row r="228" spans="2:24" x14ac:dyDescent="0.25">
      <c r="B228" s="91">
        <v>39681</v>
      </c>
      <c r="C228" s="89">
        <v>126.75</v>
      </c>
      <c r="D228" s="89">
        <v>128.44000199999999</v>
      </c>
      <c r="E228" s="89">
        <v>126.599998</v>
      </c>
      <c r="F228" s="89">
        <v>127.800003</v>
      </c>
      <c r="G228" s="89">
        <v>94.710091000000006</v>
      </c>
      <c r="H228" s="89">
        <v>180609800</v>
      </c>
      <c r="J228" s="89">
        <v>0</v>
      </c>
      <c r="K228" s="89">
        <f t="shared" si="41"/>
        <v>88</v>
      </c>
      <c r="L228" s="89">
        <f t="shared" si="42"/>
        <v>112.621376</v>
      </c>
      <c r="M228" s="89">
        <f>+SPY__2[[#This Row],[Adj Close]]</f>
        <v>94.710091000000006</v>
      </c>
      <c r="N228" s="89">
        <f t="shared" si="37"/>
        <v>8334.4880080000003</v>
      </c>
      <c r="O228" s="90">
        <f t="shared" si="38"/>
        <v>-1576.1930799999993</v>
      </c>
      <c r="P228" s="93">
        <f t="shared" si="39"/>
        <v>-0.15903983449820391</v>
      </c>
      <c r="Q228" s="96"/>
      <c r="R228" s="96"/>
      <c r="T228" s="90">
        <f t="shared" si="33"/>
        <v>95</v>
      </c>
      <c r="U228" s="89">
        <f t="shared" si="34"/>
        <v>103.31428490526316</v>
      </c>
      <c r="V228" s="89">
        <f t="shared" si="35"/>
        <v>94.710091000000006</v>
      </c>
      <c r="W228" s="90">
        <f t="shared" si="40"/>
        <v>8997.4586450000006</v>
      </c>
      <c r="X228" s="93">
        <f t="shared" si="36"/>
        <v>-8.3281744757300546E-2</v>
      </c>
    </row>
    <row r="229" spans="2:24" x14ac:dyDescent="0.25">
      <c r="B229" s="91">
        <v>39682</v>
      </c>
      <c r="C229" s="89">
        <v>128.66999799999999</v>
      </c>
      <c r="D229" s="89">
        <v>129.64999399999999</v>
      </c>
      <c r="E229" s="89">
        <v>127.800003</v>
      </c>
      <c r="F229" s="89">
        <v>129.64999399999999</v>
      </c>
      <c r="G229" s="89">
        <v>96.081115999999994</v>
      </c>
      <c r="H229" s="89">
        <v>167715300</v>
      </c>
      <c r="J229" s="89">
        <v>0</v>
      </c>
      <c r="K229" s="89">
        <f t="shared" si="41"/>
        <v>88</v>
      </c>
      <c r="L229" s="89">
        <f t="shared" si="42"/>
        <v>112.621376</v>
      </c>
      <c r="M229" s="89">
        <f>+SPY__2[[#This Row],[Adj Close]]</f>
        <v>96.081115999999994</v>
      </c>
      <c r="N229" s="89">
        <f t="shared" si="37"/>
        <v>8455.1382080000003</v>
      </c>
      <c r="O229" s="90">
        <f t="shared" si="38"/>
        <v>-1455.5428800000004</v>
      </c>
      <c r="P229" s="93">
        <f t="shared" si="39"/>
        <v>-0.14686607984615641</v>
      </c>
      <c r="Q229" s="96"/>
      <c r="R229" s="96"/>
      <c r="T229" s="90">
        <f t="shared" si="33"/>
        <v>95</v>
      </c>
      <c r="U229" s="89">
        <f t="shared" si="34"/>
        <v>103.31428490526316</v>
      </c>
      <c r="V229" s="89">
        <f t="shared" si="35"/>
        <v>96.081115999999994</v>
      </c>
      <c r="W229" s="90">
        <f t="shared" si="40"/>
        <v>9127.7060199999996</v>
      </c>
      <c r="X229" s="93">
        <f t="shared" si="36"/>
        <v>-7.0011314620198162E-2</v>
      </c>
    </row>
    <row r="230" spans="2:24" x14ac:dyDescent="0.25">
      <c r="B230" s="91">
        <v>39685</v>
      </c>
      <c r="C230" s="89">
        <v>128.800003</v>
      </c>
      <c r="D230" s="89">
        <v>129.64999399999999</v>
      </c>
      <c r="E230" s="89">
        <v>126.75</v>
      </c>
      <c r="F230" s="89">
        <v>127.019997</v>
      </c>
      <c r="G230" s="89">
        <v>94.132050000000007</v>
      </c>
      <c r="H230" s="89">
        <v>171936900</v>
      </c>
      <c r="J230" s="89">
        <v>0</v>
      </c>
      <c r="K230" s="89">
        <f t="shared" si="41"/>
        <v>88</v>
      </c>
      <c r="L230" s="89">
        <f t="shared" si="42"/>
        <v>112.621376</v>
      </c>
      <c r="M230" s="89">
        <f>+SPY__2[[#This Row],[Adj Close]]</f>
        <v>94.132050000000007</v>
      </c>
      <c r="N230" s="89">
        <f t="shared" si="37"/>
        <v>8283.6203999999998</v>
      </c>
      <c r="O230" s="90">
        <f t="shared" si="38"/>
        <v>-1627.0606879999991</v>
      </c>
      <c r="P230" s="93">
        <f t="shared" si="39"/>
        <v>-0.16417243916465729</v>
      </c>
      <c r="Q230" s="96"/>
      <c r="R230" s="96"/>
      <c r="T230" s="90">
        <f t="shared" si="33"/>
        <v>95</v>
      </c>
      <c r="U230" s="89">
        <f t="shared" si="34"/>
        <v>103.31428490526316</v>
      </c>
      <c r="V230" s="89">
        <f t="shared" si="35"/>
        <v>94.132050000000007</v>
      </c>
      <c r="W230" s="90">
        <f t="shared" si="40"/>
        <v>8942.5447500000009</v>
      </c>
      <c r="X230" s="93">
        <f t="shared" si="36"/>
        <v>-8.887672129447588E-2</v>
      </c>
    </row>
    <row r="231" spans="2:24" x14ac:dyDescent="0.25">
      <c r="B231" s="91">
        <v>39686</v>
      </c>
      <c r="C231" s="89">
        <v>127.019997</v>
      </c>
      <c r="D231" s="89">
        <v>127.870003</v>
      </c>
      <c r="E231" s="89">
        <v>126.58000199999999</v>
      </c>
      <c r="F231" s="89">
        <v>127.389999</v>
      </c>
      <c r="G231" s="89">
        <v>94.40625</v>
      </c>
      <c r="H231" s="89">
        <v>159117200</v>
      </c>
      <c r="J231" s="89">
        <v>0</v>
      </c>
      <c r="K231" s="89">
        <f t="shared" si="41"/>
        <v>88</v>
      </c>
      <c r="L231" s="89">
        <f t="shared" si="42"/>
        <v>112.621376</v>
      </c>
      <c r="M231" s="89">
        <f>+SPY__2[[#This Row],[Adj Close]]</f>
        <v>94.40625</v>
      </c>
      <c r="N231" s="89">
        <f t="shared" si="37"/>
        <v>8307.75</v>
      </c>
      <c r="O231" s="90">
        <f t="shared" si="38"/>
        <v>-1602.9310879999998</v>
      </c>
      <c r="P231" s="93">
        <f t="shared" si="39"/>
        <v>-0.16173773263079294</v>
      </c>
      <c r="Q231" s="96"/>
      <c r="R231" s="96"/>
      <c r="T231" s="90">
        <f t="shared" si="33"/>
        <v>95</v>
      </c>
      <c r="U231" s="89">
        <f t="shared" si="34"/>
        <v>103.31428490526316</v>
      </c>
      <c r="V231" s="89">
        <f t="shared" si="35"/>
        <v>94.40625</v>
      </c>
      <c r="W231" s="90">
        <f t="shared" si="40"/>
        <v>8968.59375</v>
      </c>
      <c r="X231" s="93">
        <f t="shared" si="36"/>
        <v>-8.6222683663073618E-2</v>
      </c>
    </row>
    <row r="232" spans="2:24" x14ac:dyDescent="0.25">
      <c r="B232" s="91">
        <v>39687</v>
      </c>
      <c r="C232" s="89">
        <v>127.550003</v>
      </c>
      <c r="D232" s="89">
        <v>128.83000200000001</v>
      </c>
      <c r="E232" s="89">
        <v>127.300003</v>
      </c>
      <c r="F232" s="89">
        <v>128.63000500000001</v>
      </c>
      <c r="G232" s="89">
        <v>95.325187999999997</v>
      </c>
      <c r="H232" s="89">
        <v>171032800</v>
      </c>
      <c r="J232" s="89">
        <v>0</v>
      </c>
      <c r="K232" s="89">
        <f t="shared" si="41"/>
        <v>88</v>
      </c>
      <c r="L232" s="89">
        <f t="shared" si="42"/>
        <v>112.621376</v>
      </c>
      <c r="M232" s="89">
        <f>+SPY__2[[#This Row],[Adj Close]]</f>
        <v>95.325187999999997</v>
      </c>
      <c r="N232" s="89">
        <f t="shared" si="37"/>
        <v>8388.6165440000004</v>
      </c>
      <c r="O232" s="90">
        <f t="shared" si="38"/>
        <v>-1522.0645440000001</v>
      </c>
      <c r="P232" s="93">
        <f t="shared" si="39"/>
        <v>-0.15357819815662699</v>
      </c>
      <c r="Q232" s="96"/>
      <c r="R232" s="96"/>
      <c r="T232" s="90">
        <f t="shared" si="33"/>
        <v>95</v>
      </c>
      <c r="U232" s="89">
        <f t="shared" si="34"/>
        <v>103.31428490526316</v>
      </c>
      <c r="V232" s="89">
        <f t="shared" si="35"/>
        <v>95.325187999999997</v>
      </c>
      <c r="W232" s="90">
        <f t="shared" si="40"/>
        <v>9055.8928599999999</v>
      </c>
      <c r="X232" s="93">
        <f t="shared" si="36"/>
        <v>-7.7328095650944895E-2</v>
      </c>
    </row>
    <row r="233" spans="2:24" x14ac:dyDescent="0.25">
      <c r="B233" s="91">
        <v>39688</v>
      </c>
      <c r="C233" s="89">
        <v>129.279999</v>
      </c>
      <c r="D233" s="89">
        <v>130.33999600000001</v>
      </c>
      <c r="E233" s="89">
        <v>129.11000100000001</v>
      </c>
      <c r="F233" s="89">
        <v>130.19000199999999</v>
      </c>
      <c r="G233" s="89">
        <v>96.481262000000001</v>
      </c>
      <c r="H233" s="89">
        <v>167537100</v>
      </c>
      <c r="J233" s="89">
        <v>0</v>
      </c>
      <c r="K233" s="89">
        <f t="shared" si="41"/>
        <v>88</v>
      </c>
      <c r="L233" s="89">
        <f t="shared" si="42"/>
        <v>112.621376</v>
      </c>
      <c r="M233" s="89">
        <f>+SPY__2[[#This Row],[Adj Close]]</f>
        <v>96.481262000000001</v>
      </c>
      <c r="N233" s="89">
        <f t="shared" si="37"/>
        <v>8490.3510559999995</v>
      </c>
      <c r="O233" s="90">
        <f t="shared" si="38"/>
        <v>-1420.3300319999998</v>
      </c>
      <c r="P233" s="93">
        <f t="shared" si="39"/>
        <v>-0.14331305985819243</v>
      </c>
      <c r="Q233" s="96"/>
      <c r="R233" s="96"/>
      <c r="T233" s="90">
        <f t="shared" si="33"/>
        <v>95</v>
      </c>
      <c r="U233" s="89">
        <f t="shared" si="34"/>
        <v>103.31428490526316</v>
      </c>
      <c r="V233" s="89">
        <f t="shared" si="35"/>
        <v>96.481262000000001</v>
      </c>
      <c r="W233" s="90">
        <f t="shared" si="40"/>
        <v>9165.7198900000003</v>
      </c>
      <c r="X233" s="93">
        <f t="shared" si="36"/>
        <v>-6.613822001022307E-2</v>
      </c>
    </row>
    <row r="234" spans="2:24" x14ac:dyDescent="0.25">
      <c r="B234" s="91">
        <v>39689</v>
      </c>
      <c r="C234" s="89">
        <v>129.729996</v>
      </c>
      <c r="D234" s="89">
        <v>130.13999899999999</v>
      </c>
      <c r="E234" s="89">
        <v>128.509995</v>
      </c>
      <c r="F234" s="89">
        <v>128.78999300000001</v>
      </c>
      <c r="G234" s="89">
        <v>95.443764000000002</v>
      </c>
      <c r="H234" s="89">
        <v>189195800</v>
      </c>
      <c r="J234" s="89">
        <v>0</v>
      </c>
      <c r="K234" s="89">
        <f t="shared" si="41"/>
        <v>88</v>
      </c>
      <c r="L234" s="89">
        <f t="shared" si="42"/>
        <v>112.621376</v>
      </c>
      <c r="M234" s="89">
        <f>+SPY__2[[#This Row],[Adj Close]]</f>
        <v>95.443764000000002</v>
      </c>
      <c r="N234" s="89">
        <f t="shared" si="37"/>
        <v>8399.0512319999998</v>
      </c>
      <c r="O234" s="90">
        <f t="shared" si="38"/>
        <v>-1511.6298559999996</v>
      </c>
      <c r="P234" s="93">
        <f t="shared" si="39"/>
        <v>-0.15252532521002049</v>
      </c>
      <c r="Q234" s="96"/>
      <c r="R234" s="96"/>
      <c r="T234" s="90">
        <f t="shared" si="33"/>
        <v>95</v>
      </c>
      <c r="U234" s="89">
        <f t="shared" si="34"/>
        <v>103.31428490526316</v>
      </c>
      <c r="V234" s="89">
        <f t="shared" si="35"/>
        <v>95.443764000000002</v>
      </c>
      <c r="W234" s="90">
        <f t="shared" si="40"/>
        <v>9067.157580000001</v>
      </c>
      <c r="X234" s="93">
        <f t="shared" si="36"/>
        <v>-7.618037440301928E-2</v>
      </c>
    </row>
    <row r="235" spans="2:24" x14ac:dyDescent="0.25">
      <c r="B235" s="91">
        <v>39693</v>
      </c>
      <c r="C235" s="89">
        <v>130.029999</v>
      </c>
      <c r="D235" s="89">
        <v>130.71000699999999</v>
      </c>
      <c r="E235" s="89">
        <v>127.519997</v>
      </c>
      <c r="F235" s="89">
        <v>127.989998</v>
      </c>
      <c r="G235" s="89">
        <v>94.850891000000004</v>
      </c>
      <c r="H235" s="89">
        <v>252364900</v>
      </c>
      <c r="J235" s="89">
        <v>0</v>
      </c>
      <c r="K235" s="89">
        <f t="shared" si="41"/>
        <v>88</v>
      </c>
      <c r="L235" s="89">
        <f t="shared" si="42"/>
        <v>112.621376</v>
      </c>
      <c r="M235" s="89">
        <f>+SPY__2[[#This Row],[Adj Close]]</f>
        <v>94.850891000000004</v>
      </c>
      <c r="N235" s="89">
        <f t="shared" si="37"/>
        <v>8346.8784080000005</v>
      </c>
      <c r="O235" s="90">
        <f t="shared" si="38"/>
        <v>-1563.8026799999993</v>
      </c>
      <c r="P235" s="93">
        <f t="shared" si="39"/>
        <v>-0.15778962778788985</v>
      </c>
      <c r="Q235" s="96"/>
      <c r="R235" s="96"/>
      <c r="T235" s="90">
        <f t="shared" si="33"/>
        <v>95</v>
      </c>
      <c r="U235" s="89">
        <f t="shared" si="34"/>
        <v>103.31428490526316</v>
      </c>
      <c r="V235" s="89">
        <f t="shared" si="35"/>
        <v>94.850891000000004</v>
      </c>
      <c r="W235" s="90">
        <f t="shared" si="40"/>
        <v>9010.8346450000008</v>
      </c>
      <c r="X235" s="93">
        <f t="shared" si="36"/>
        <v>-8.1918912888221507E-2</v>
      </c>
    </row>
    <row r="236" spans="2:24" x14ac:dyDescent="0.25">
      <c r="B236" s="91">
        <v>39694</v>
      </c>
      <c r="C236" s="89">
        <v>127.879997</v>
      </c>
      <c r="D236" s="89">
        <v>128.5</v>
      </c>
      <c r="E236" s="89">
        <v>126.93</v>
      </c>
      <c r="F236" s="89">
        <v>127.879997</v>
      </c>
      <c r="G236" s="89">
        <v>94.769401999999999</v>
      </c>
      <c r="H236" s="89">
        <v>251947000</v>
      </c>
      <c r="J236" s="89">
        <v>0</v>
      </c>
      <c r="K236" s="89">
        <f t="shared" si="41"/>
        <v>88</v>
      </c>
      <c r="L236" s="89">
        <f t="shared" si="42"/>
        <v>112.621376</v>
      </c>
      <c r="M236" s="89">
        <f>+SPY__2[[#This Row],[Adj Close]]</f>
        <v>94.769401999999999</v>
      </c>
      <c r="N236" s="89">
        <f t="shared" si="37"/>
        <v>8339.7073760000003</v>
      </c>
      <c r="O236" s="90">
        <f t="shared" si="38"/>
        <v>-1570.973712</v>
      </c>
      <c r="P236" s="93">
        <f t="shared" si="39"/>
        <v>-0.15851319380079321</v>
      </c>
      <c r="Q236" s="96"/>
      <c r="R236" s="96"/>
      <c r="T236" s="90">
        <f t="shared" si="33"/>
        <v>95</v>
      </c>
      <c r="U236" s="89">
        <f t="shared" si="34"/>
        <v>103.31428490526316</v>
      </c>
      <c r="V236" s="89">
        <f t="shared" si="35"/>
        <v>94.769401999999999</v>
      </c>
      <c r="W236" s="90">
        <f t="shared" si="40"/>
        <v>9003.0931899999996</v>
      </c>
      <c r="X236" s="93">
        <f t="shared" si="36"/>
        <v>-8.2707661511654762E-2</v>
      </c>
    </row>
    <row r="237" spans="2:24" x14ac:dyDescent="0.25">
      <c r="B237" s="91">
        <v>39695</v>
      </c>
      <c r="C237" s="89">
        <v>126.970001</v>
      </c>
      <c r="D237" s="89">
        <v>127.230003</v>
      </c>
      <c r="E237" s="89">
        <v>123.959999</v>
      </c>
      <c r="F237" s="89">
        <v>124.029999</v>
      </c>
      <c r="G237" s="89">
        <v>91.916206000000003</v>
      </c>
      <c r="H237" s="89">
        <v>340042500</v>
      </c>
      <c r="J237" s="89">
        <v>0</v>
      </c>
      <c r="K237" s="89">
        <f t="shared" si="41"/>
        <v>88</v>
      </c>
      <c r="L237" s="89">
        <f t="shared" si="42"/>
        <v>112.621376</v>
      </c>
      <c r="M237" s="89">
        <f>+SPY__2[[#This Row],[Adj Close]]</f>
        <v>91.916206000000003</v>
      </c>
      <c r="N237" s="89">
        <f t="shared" si="37"/>
        <v>8088.6261279999999</v>
      </c>
      <c r="O237" s="90">
        <f t="shared" si="38"/>
        <v>-1822.0549599999995</v>
      </c>
      <c r="P237" s="93">
        <f t="shared" si="39"/>
        <v>-0.18384760278546053</v>
      </c>
      <c r="Q237" s="96"/>
      <c r="R237" s="96"/>
      <c r="T237" s="90">
        <f t="shared" si="33"/>
        <v>95</v>
      </c>
      <c r="U237" s="89">
        <f t="shared" si="34"/>
        <v>103.31428490526316</v>
      </c>
      <c r="V237" s="89">
        <f t="shared" si="35"/>
        <v>91.916206000000003</v>
      </c>
      <c r="W237" s="90">
        <f t="shared" si="40"/>
        <v>8732.0395700000008</v>
      </c>
      <c r="X237" s="93">
        <f t="shared" si="36"/>
        <v>-0.11032432655092117</v>
      </c>
    </row>
    <row r="238" spans="2:24" x14ac:dyDescent="0.25">
      <c r="B238" s="91">
        <v>39696</v>
      </c>
      <c r="C238" s="89">
        <v>123.290001</v>
      </c>
      <c r="D238" s="89">
        <v>124.949997</v>
      </c>
      <c r="E238" s="89">
        <v>122</v>
      </c>
      <c r="F238" s="89">
        <v>124.41999800000001</v>
      </c>
      <c r="G238" s="89">
        <v>92.205237999999994</v>
      </c>
      <c r="H238" s="89">
        <v>289503400</v>
      </c>
      <c r="J238" s="89">
        <v>0</v>
      </c>
      <c r="K238" s="89">
        <f t="shared" si="41"/>
        <v>88</v>
      </c>
      <c r="L238" s="89">
        <f t="shared" si="42"/>
        <v>112.621376</v>
      </c>
      <c r="M238" s="89">
        <f>+SPY__2[[#This Row],[Adj Close]]</f>
        <v>92.205237999999994</v>
      </c>
      <c r="N238" s="89">
        <f t="shared" si="37"/>
        <v>8114.0609439999998</v>
      </c>
      <c r="O238" s="90">
        <f t="shared" si="38"/>
        <v>-1796.6201440000004</v>
      </c>
      <c r="P238" s="93">
        <f t="shared" si="39"/>
        <v>-0.18128119834018019</v>
      </c>
      <c r="Q238" s="96"/>
      <c r="R238" s="96"/>
      <c r="T238" s="90">
        <f t="shared" si="33"/>
        <v>95</v>
      </c>
      <c r="U238" s="89">
        <f t="shared" si="34"/>
        <v>103.31428490526316</v>
      </c>
      <c r="V238" s="89">
        <f t="shared" si="35"/>
        <v>92.205237999999994</v>
      </c>
      <c r="W238" s="90">
        <f t="shared" si="40"/>
        <v>8759.4976100000003</v>
      </c>
      <c r="X238" s="93">
        <f t="shared" si="36"/>
        <v>-0.1075267269714919</v>
      </c>
    </row>
    <row r="239" spans="2:24" x14ac:dyDescent="0.25">
      <c r="B239" s="91">
        <v>39699</v>
      </c>
      <c r="C239" s="89">
        <v>128.03999300000001</v>
      </c>
      <c r="D239" s="89">
        <v>128.240005</v>
      </c>
      <c r="E239" s="89">
        <v>124.41999800000001</v>
      </c>
      <c r="F239" s="89">
        <v>126.989998</v>
      </c>
      <c r="G239" s="89">
        <v>94.109795000000005</v>
      </c>
      <c r="H239" s="89">
        <v>364075300</v>
      </c>
      <c r="J239" s="89">
        <v>0</v>
      </c>
      <c r="K239" s="89">
        <f t="shared" si="41"/>
        <v>88</v>
      </c>
      <c r="L239" s="89">
        <f t="shared" si="42"/>
        <v>112.621376</v>
      </c>
      <c r="M239" s="89">
        <f>+SPY__2[[#This Row],[Adj Close]]</f>
        <v>94.109795000000005</v>
      </c>
      <c r="N239" s="89">
        <f t="shared" si="37"/>
        <v>8281.6619600000013</v>
      </c>
      <c r="O239" s="90">
        <f t="shared" si="38"/>
        <v>-1629.0191279999995</v>
      </c>
      <c r="P239" s="93">
        <f t="shared" si="39"/>
        <v>-0.16437004818694445</v>
      </c>
      <c r="Q239" s="96"/>
      <c r="R239" s="96"/>
      <c r="T239" s="90">
        <f t="shared" si="33"/>
        <v>95</v>
      </c>
      <c r="U239" s="89">
        <f t="shared" si="34"/>
        <v>103.31428490526316</v>
      </c>
      <c r="V239" s="89">
        <f t="shared" si="35"/>
        <v>94.109795000000005</v>
      </c>
      <c r="W239" s="90">
        <f t="shared" si="40"/>
        <v>8940.4305249999998</v>
      </c>
      <c r="X239" s="93">
        <f t="shared" si="36"/>
        <v>-8.9092131970941568E-2</v>
      </c>
    </row>
    <row r="240" spans="2:24" x14ac:dyDescent="0.25">
      <c r="B240" s="91">
        <v>39700</v>
      </c>
      <c r="C240" s="89">
        <v>127.099998</v>
      </c>
      <c r="D240" s="89">
        <v>127.360001</v>
      </c>
      <c r="E240" s="89">
        <v>122.800003</v>
      </c>
      <c r="F240" s="89">
        <v>123.220001</v>
      </c>
      <c r="G240" s="89">
        <v>91.315926000000005</v>
      </c>
      <c r="H240" s="89">
        <v>377326800</v>
      </c>
      <c r="J240" s="89">
        <v>0</v>
      </c>
      <c r="K240" s="89">
        <f t="shared" si="41"/>
        <v>88</v>
      </c>
      <c r="L240" s="89">
        <f t="shared" si="42"/>
        <v>112.621376</v>
      </c>
      <c r="M240" s="89">
        <f>+SPY__2[[#This Row],[Adj Close]]</f>
        <v>91.315926000000005</v>
      </c>
      <c r="N240" s="89">
        <f t="shared" si="37"/>
        <v>8035.8014880000001</v>
      </c>
      <c r="O240" s="90">
        <f t="shared" si="38"/>
        <v>-1874.8795999999993</v>
      </c>
      <c r="P240" s="93">
        <f t="shared" si="39"/>
        <v>-0.18917767440525668</v>
      </c>
      <c r="Q240" s="96"/>
      <c r="R240" s="96"/>
      <c r="T240" s="90">
        <f t="shared" si="33"/>
        <v>95</v>
      </c>
      <c r="U240" s="89">
        <f t="shared" si="34"/>
        <v>103.31428490526316</v>
      </c>
      <c r="V240" s="89">
        <f t="shared" si="35"/>
        <v>91.315926000000005</v>
      </c>
      <c r="W240" s="90">
        <f t="shared" si="40"/>
        <v>8675.0129699999998</v>
      </c>
      <c r="X240" s="93">
        <f t="shared" si="36"/>
        <v>-0.11613455889730429</v>
      </c>
    </row>
    <row r="241" spans="2:24" x14ac:dyDescent="0.25">
      <c r="B241" s="91">
        <v>39701</v>
      </c>
      <c r="C241" s="89">
        <v>123.889999</v>
      </c>
      <c r="D241" s="89">
        <v>124.900002</v>
      </c>
      <c r="E241" s="89">
        <v>122.550003</v>
      </c>
      <c r="F241" s="89">
        <v>123.720001</v>
      </c>
      <c r="G241" s="89">
        <v>91.686477999999994</v>
      </c>
      <c r="H241" s="89">
        <v>298916600</v>
      </c>
      <c r="J241" s="89">
        <v>0</v>
      </c>
      <c r="K241" s="89">
        <f t="shared" si="41"/>
        <v>88</v>
      </c>
      <c r="L241" s="89">
        <f t="shared" si="42"/>
        <v>112.621376</v>
      </c>
      <c r="M241" s="89">
        <f>+SPY__2[[#This Row],[Adj Close]]</f>
        <v>91.686477999999994</v>
      </c>
      <c r="N241" s="89">
        <f t="shared" si="37"/>
        <v>8068.4100639999997</v>
      </c>
      <c r="O241" s="90">
        <f t="shared" si="38"/>
        <v>-1842.2710240000004</v>
      </c>
      <c r="P241" s="93">
        <f t="shared" si="39"/>
        <v>-0.18588742868849339</v>
      </c>
      <c r="Q241" s="96"/>
      <c r="R241" s="96"/>
      <c r="T241" s="90">
        <f t="shared" si="33"/>
        <v>95</v>
      </c>
      <c r="U241" s="89">
        <f t="shared" si="34"/>
        <v>103.31428490526316</v>
      </c>
      <c r="V241" s="89">
        <f t="shared" si="35"/>
        <v>91.686477999999994</v>
      </c>
      <c r="W241" s="90">
        <f t="shared" si="40"/>
        <v>8710.2154099999989</v>
      </c>
      <c r="X241" s="93">
        <f t="shared" si="36"/>
        <v>-0.11254791063912994</v>
      </c>
    </row>
    <row r="242" spans="2:24" x14ac:dyDescent="0.25">
      <c r="B242" s="91">
        <v>39702</v>
      </c>
      <c r="C242" s="89">
        <v>122.120003</v>
      </c>
      <c r="D242" s="89">
        <v>125.739998</v>
      </c>
      <c r="E242" s="89">
        <v>121.599998</v>
      </c>
      <c r="F242" s="89">
        <v>125.510002</v>
      </c>
      <c r="G242" s="89">
        <v>93.013023000000004</v>
      </c>
      <c r="H242" s="89">
        <v>375369400</v>
      </c>
      <c r="J242" s="89">
        <v>0</v>
      </c>
      <c r="K242" s="89">
        <f t="shared" si="41"/>
        <v>88</v>
      </c>
      <c r="L242" s="89">
        <f t="shared" si="42"/>
        <v>112.621376</v>
      </c>
      <c r="M242" s="89">
        <f>+SPY__2[[#This Row],[Adj Close]]</f>
        <v>93.013023000000004</v>
      </c>
      <c r="N242" s="89">
        <f t="shared" si="37"/>
        <v>8185.1460240000006</v>
      </c>
      <c r="O242" s="90">
        <f t="shared" si="38"/>
        <v>-1725.5350639999995</v>
      </c>
      <c r="P242" s="93">
        <f t="shared" si="39"/>
        <v>-0.17410862570174945</v>
      </c>
      <c r="Q242" s="96"/>
      <c r="R242" s="96"/>
      <c r="T242" s="90">
        <f t="shared" si="33"/>
        <v>95</v>
      </c>
      <c r="U242" s="89">
        <f t="shared" si="34"/>
        <v>103.31428490526316</v>
      </c>
      <c r="V242" s="89">
        <f t="shared" si="35"/>
        <v>93.013023000000004</v>
      </c>
      <c r="W242" s="90">
        <f t="shared" si="40"/>
        <v>8836.237185</v>
      </c>
      <c r="X242" s="93">
        <f t="shared" si="36"/>
        <v>-9.970801147885E-2</v>
      </c>
    </row>
    <row r="243" spans="2:24" x14ac:dyDescent="0.25">
      <c r="B243" s="91">
        <v>39703</v>
      </c>
      <c r="C243" s="89">
        <v>124.290001</v>
      </c>
      <c r="D243" s="89">
        <v>126.209999</v>
      </c>
      <c r="E243" s="89">
        <v>123.83000199999999</v>
      </c>
      <c r="F243" s="89">
        <v>126.089996</v>
      </c>
      <c r="G243" s="89">
        <v>93.442802</v>
      </c>
      <c r="H243" s="89">
        <v>297851200</v>
      </c>
      <c r="J243" s="89">
        <v>0</v>
      </c>
      <c r="K243" s="89">
        <f t="shared" si="41"/>
        <v>88</v>
      </c>
      <c r="L243" s="89">
        <f t="shared" si="42"/>
        <v>112.621376</v>
      </c>
      <c r="M243" s="89">
        <f>+SPY__2[[#This Row],[Adj Close]]</f>
        <v>93.442802</v>
      </c>
      <c r="N243" s="89">
        <f t="shared" si="37"/>
        <v>8222.9665760000007</v>
      </c>
      <c r="O243" s="90">
        <f t="shared" si="38"/>
        <v>-1687.7145119999998</v>
      </c>
      <c r="P243" s="93">
        <f t="shared" si="39"/>
        <v>-0.17029248514953321</v>
      </c>
      <c r="Q243" s="96"/>
      <c r="R243" s="96"/>
      <c r="T243" s="90">
        <f t="shared" si="33"/>
        <v>95</v>
      </c>
      <c r="U243" s="89">
        <f t="shared" si="34"/>
        <v>103.31428490526316</v>
      </c>
      <c r="V243" s="89">
        <f t="shared" si="35"/>
        <v>93.442802</v>
      </c>
      <c r="W243" s="90">
        <f t="shared" si="40"/>
        <v>8877.0661899999996</v>
      </c>
      <c r="X243" s="93">
        <f t="shared" si="36"/>
        <v>-9.5548093028133496E-2</v>
      </c>
    </row>
    <row r="244" spans="2:24" x14ac:dyDescent="0.25">
      <c r="B244" s="91">
        <v>39706</v>
      </c>
      <c r="C244" s="89">
        <v>121.629997</v>
      </c>
      <c r="D244" s="89">
        <v>125.650002</v>
      </c>
      <c r="E244" s="89">
        <v>119.889999</v>
      </c>
      <c r="F244" s="89">
        <v>120.089996</v>
      </c>
      <c r="G244" s="89">
        <v>88.996368000000004</v>
      </c>
      <c r="H244" s="89">
        <v>483607000</v>
      </c>
      <c r="J244" s="89">
        <v>0</v>
      </c>
      <c r="K244" s="89">
        <f t="shared" si="41"/>
        <v>88</v>
      </c>
      <c r="L244" s="89">
        <f t="shared" si="42"/>
        <v>112.621376</v>
      </c>
      <c r="M244" s="89">
        <f>+SPY__2[[#This Row],[Adj Close]]</f>
        <v>88.996368000000004</v>
      </c>
      <c r="N244" s="89">
        <f t="shared" si="37"/>
        <v>7831.6803840000002</v>
      </c>
      <c r="O244" s="90">
        <f t="shared" si="38"/>
        <v>-2079.0007039999996</v>
      </c>
      <c r="P244" s="93">
        <f t="shared" si="39"/>
        <v>-0.20977374668197979</v>
      </c>
      <c r="Q244" s="96"/>
      <c r="R244" s="96"/>
      <c r="T244" s="90">
        <f t="shared" si="33"/>
        <v>95</v>
      </c>
      <c r="U244" s="89">
        <f t="shared" si="34"/>
        <v>103.31428490526316</v>
      </c>
      <c r="V244" s="89">
        <f t="shared" si="35"/>
        <v>88.996368000000004</v>
      </c>
      <c r="W244" s="90">
        <f t="shared" si="40"/>
        <v>8454.6549599999998</v>
      </c>
      <c r="X244" s="93">
        <f t="shared" si="36"/>
        <v>-0.13858603307753969</v>
      </c>
    </row>
    <row r="245" spans="2:24" x14ac:dyDescent="0.25">
      <c r="B245" s="91">
        <v>39707</v>
      </c>
      <c r="C245" s="89">
        <v>117.199997</v>
      </c>
      <c r="D245" s="89">
        <v>122.32</v>
      </c>
      <c r="E245" s="89">
        <v>117</v>
      </c>
      <c r="F245" s="89">
        <v>122.099998</v>
      </c>
      <c r="G245" s="89">
        <v>90.485930999999994</v>
      </c>
      <c r="H245" s="89">
        <v>581744300</v>
      </c>
      <c r="J245" s="89">
        <v>0</v>
      </c>
      <c r="K245" s="89">
        <f t="shared" si="41"/>
        <v>88</v>
      </c>
      <c r="L245" s="89">
        <f t="shared" si="42"/>
        <v>112.621376</v>
      </c>
      <c r="M245" s="89">
        <f>+SPY__2[[#This Row],[Adj Close]]</f>
        <v>90.485930999999994</v>
      </c>
      <c r="N245" s="89">
        <f t="shared" si="37"/>
        <v>7962.7619279999999</v>
      </c>
      <c r="O245" s="90">
        <f t="shared" si="38"/>
        <v>-1947.9191600000004</v>
      </c>
      <c r="P245" s="93">
        <f t="shared" si="39"/>
        <v>-0.19654745649706862</v>
      </c>
      <c r="Q245" s="96"/>
      <c r="R245" s="96"/>
      <c r="T245" s="90">
        <f t="shared" si="33"/>
        <v>95</v>
      </c>
      <c r="U245" s="89">
        <f t="shared" si="34"/>
        <v>103.31428490526316</v>
      </c>
      <c r="V245" s="89">
        <f t="shared" si="35"/>
        <v>90.485930999999994</v>
      </c>
      <c r="W245" s="90">
        <f t="shared" si="40"/>
        <v>8596.1634450000001</v>
      </c>
      <c r="X245" s="93">
        <f t="shared" si="36"/>
        <v>-0.12416824950224903</v>
      </c>
    </row>
    <row r="246" spans="2:24" x14ac:dyDescent="0.25">
      <c r="B246" s="91">
        <v>39708</v>
      </c>
      <c r="C246" s="89">
        <v>119.639999</v>
      </c>
      <c r="D246" s="89">
        <v>121.849998</v>
      </c>
      <c r="E246" s="89">
        <v>116</v>
      </c>
      <c r="F246" s="89">
        <v>116.610001</v>
      </c>
      <c r="G246" s="89">
        <v>86.417418999999995</v>
      </c>
      <c r="H246" s="89">
        <v>624095600</v>
      </c>
      <c r="J246" s="89">
        <v>0</v>
      </c>
      <c r="K246" s="89">
        <f t="shared" si="41"/>
        <v>88</v>
      </c>
      <c r="L246" s="89">
        <f t="shared" si="42"/>
        <v>112.621376</v>
      </c>
      <c r="M246" s="89">
        <f>+SPY__2[[#This Row],[Adj Close]]</f>
        <v>86.417418999999995</v>
      </c>
      <c r="N246" s="89">
        <f t="shared" si="37"/>
        <v>7604.7328719999996</v>
      </c>
      <c r="O246" s="90">
        <f t="shared" si="38"/>
        <v>-2305.9482160000002</v>
      </c>
      <c r="P246" s="93">
        <f t="shared" si="39"/>
        <v>-0.23267303180525878</v>
      </c>
      <c r="Q246" s="96"/>
      <c r="R246" s="96"/>
      <c r="T246" s="90">
        <f t="shared" si="33"/>
        <v>95</v>
      </c>
      <c r="U246" s="89">
        <f t="shared" si="34"/>
        <v>103.31428490526316</v>
      </c>
      <c r="V246" s="89">
        <f t="shared" si="35"/>
        <v>86.417418999999995</v>
      </c>
      <c r="W246" s="90">
        <f t="shared" si="40"/>
        <v>8209.6548050000001</v>
      </c>
      <c r="X246" s="93">
        <f t="shared" si="36"/>
        <v>-0.16354820556283389</v>
      </c>
    </row>
    <row r="247" spans="2:24" x14ac:dyDescent="0.25">
      <c r="B247" s="91">
        <v>39709</v>
      </c>
      <c r="C247" s="89">
        <v>118.050003</v>
      </c>
      <c r="D247" s="89">
        <v>121.790001</v>
      </c>
      <c r="E247" s="89">
        <v>113.800003</v>
      </c>
      <c r="F247" s="89">
        <v>120.07</v>
      </c>
      <c r="G247" s="89">
        <v>88.981528999999995</v>
      </c>
      <c r="H247" s="89">
        <v>776114700</v>
      </c>
      <c r="J247" s="89">
        <v>0</v>
      </c>
      <c r="K247" s="89">
        <f t="shared" si="41"/>
        <v>88</v>
      </c>
      <c r="L247" s="89">
        <f t="shared" si="42"/>
        <v>112.621376</v>
      </c>
      <c r="M247" s="89">
        <f>+SPY__2[[#This Row],[Adj Close]]</f>
        <v>88.981528999999995</v>
      </c>
      <c r="N247" s="89">
        <f t="shared" si="37"/>
        <v>7830.3745519999993</v>
      </c>
      <c r="O247" s="90">
        <f t="shared" si="38"/>
        <v>-2080.3065360000001</v>
      </c>
      <c r="P247" s="93">
        <f t="shared" si="39"/>
        <v>-0.20990550674855901</v>
      </c>
      <c r="Q247" s="96"/>
      <c r="R247" s="96"/>
      <c r="T247" s="90">
        <f t="shared" si="33"/>
        <v>95</v>
      </c>
      <c r="U247" s="89">
        <f t="shared" si="34"/>
        <v>103.31428490526316</v>
      </c>
      <c r="V247" s="89">
        <f t="shared" si="35"/>
        <v>88.981528999999995</v>
      </c>
      <c r="W247" s="90">
        <f t="shared" si="40"/>
        <v>8453.2452549999998</v>
      </c>
      <c r="X247" s="93">
        <f t="shared" si="36"/>
        <v>-0.13872966277999188</v>
      </c>
    </row>
    <row r="248" spans="2:24" x14ac:dyDescent="0.25">
      <c r="B248" s="91">
        <v>39710</v>
      </c>
      <c r="C248" s="89">
        <v>126.699997</v>
      </c>
      <c r="D248" s="89">
        <v>128</v>
      </c>
      <c r="E248" s="89">
        <v>123.33000199999999</v>
      </c>
      <c r="F248" s="89">
        <v>124.120003</v>
      </c>
      <c r="G248" s="89">
        <v>92.515326999999999</v>
      </c>
      <c r="H248" s="89">
        <v>501087800</v>
      </c>
      <c r="J248" s="89">
        <v>0</v>
      </c>
      <c r="K248" s="89">
        <f t="shared" si="41"/>
        <v>88</v>
      </c>
      <c r="L248" s="89">
        <f t="shared" si="42"/>
        <v>112.621376</v>
      </c>
      <c r="M248" s="89">
        <f>+SPY__2[[#This Row],[Adj Close]]</f>
        <v>92.515326999999999</v>
      </c>
      <c r="N248" s="89">
        <f t="shared" si="37"/>
        <v>8141.3487759999998</v>
      </c>
      <c r="O248" s="90">
        <f t="shared" si="38"/>
        <v>-1769.332312</v>
      </c>
      <c r="P248" s="93">
        <f t="shared" si="39"/>
        <v>-0.178527822284821</v>
      </c>
      <c r="Q248" s="96"/>
      <c r="R248" s="96"/>
      <c r="T248" s="90">
        <f t="shared" si="33"/>
        <v>95</v>
      </c>
      <c r="U248" s="89">
        <f t="shared" si="34"/>
        <v>103.31428490526316</v>
      </c>
      <c r="V248" s="89">
        <f t="shared" si="35"/>
        <v>92.515326999999999</v>
      </c>
      <c r="W248" s="90">
        <f t="shared" si="40"/>
        <v>8788.9560650000003</v>
      </c>
      <c r="X248" s="93">
        <f t="shared" si="36"/>
        <v>-0.10452531240152863</v>
      </c>
    </row>
    <row r="249" spans="2:24" x14ac:dyDescent="0.25">
      <c r="B249" s="91">
        <v>39713</v>
      </c>
      <c r="C249" s="89">
        <v>124.449997</v>
      </c>
      <c r="D249" s="89">
        <v>124.75</v>
      </c>
      <c r="E249" s="89">
        <v>120.360001</v>
      </c>
      <c r="F249" s="89">
        <v>121.30999799999999</v>
      </c>
      <c r="G249" s="89">
        <v>90.420852999999994</v>
      </c>
      <c r="H249" s="89">
        <v>249966500</v>
      </c>
      <c r="J249" s="89">
        <v>0</v>
      </c>
      <c r="K249" s="89">
        <f t="shared" si="41"/>
        <v>88</v>
      </c>
      <c r="L249" s="89">
        <f t="shared" si="42"/>
        <v>112.621376</v>
      </c>
      <c r="M249" s="89">
        <f>+SPY__2[[#This Row],[Adj Close]]</f>
        <v>90.420852999999994</v>
      </c>
      <c r="N249" s="89">
        <f t="shared" si="37"/>
        <v>7957.0350639999997</v>
      </c>
      <c r="O249" s="90">
        <f t="shared" si="38"/>
        <v>-1953.6460240000004</v>
      </c>
      <c r="P249" s="93">
        <f t="shared" si="39"/>
        <v>-0.19712530416960994</v>
      </c>
      <c r="Q249" s="96"/>
      <c r="R249" s="96"/>
      <c r="T249" s="90">
        <f t="shared" si="33"/>
        <v>95</v>
      </c>
      <c r="U249" s="89">
        <f t="shared" si="34"/>
        <v>103.31428490526316</v>
      </c>
      <c r="V249" s="89">
        <f t="shared" si="35"/>
        <v>90.420852999999994</v>
      </c>
      <c r="W249" s="90">
        <f t="shared" si="40"/>
        <v>8589.9810349999989</v>
      </c>
      <c r="X249" s="93">
        <f t="shared" si="36"/>
        <v>-0.12479815271514638</v>
      </c>
    </row>
    <row r="250" spans="2:24" x14ac:dyDescent="0.25">
      <c r="B250" s="91">
        <v>39714</v>
      </c>
      <c r="C250" s="89">
        <v>120.849998</v>
      </c>
      <c r="D250" s="89">
        <v>122.019997</v>
      </c>
      <c r="E250" s="89">
        <v>118.279999</v>
      </c>
      <c r="F250" s="89">
        <v>118.550003</v>
      </c>
      <c r="G250" s="89">
        <v>88.363624999999999</v>
      </c>
      <c r="H250" s="89">
        <v>327470400</v>
      </c>
      <c r="J250" s="89">
        <v>0</v>
      </c>
      <c r="K250" s="89">
        <f t="shared" si="41"/>
        <v>88</v>
      </c>
      <c r="L250" s="89">
        <f t="shared" si="42"/>
        <v>112.621376</v>
      </c>
      <c r="M250" s="89">
        <f>+SPY__2[[#This Row],[Adj Close]]</f>
        <v>88.363624999999999</v>
      </c>
      <c r="N250" s="89">
        <f t="shared" si="37"/>
        <v>7775.9989999999998</v>
      </c>
      <c r="O250" s="90">
        <f t="shared" si="38"/>
        <v>-2134.682088</v>
      </c>
      <c r="P250" s="93">
        <f t="shared" si="39"/>
        <v>-0.21539206731056104</v>
      </c>
      <c r="Q250" s="96"/>
      <c r="R250" s="96"/>
      <c r="T250" s="90">
        <f t="shared" si="33"/>
        <v>95</v>
      </c>
      <c r="U250" s="89">
        <f t="shared" si="34"/>
        <v>103.31428490526316</v>
      </c>
      <c r="V250" s="89">
        <f t="shared" si="35"/>
        <v>88.363624999999999</v>
      </c>
      <c r="W250" s="90">
        <f t="shared" si="40"/>
        <v>8394.5443749999995</v>
      </c>
      <c r="X250" s="93">
        <f t="shared" si="36"/>
        <v>-0.14471048141089671</v>
      </c>
    </row>
    <row r="251" spans="2:24" x14ac:dyDescent="0.25">
      <c r="B251" s="91">
        <v>39715</v>
      </c>
      <c r="C251" s="89">
        <v>119.349998</v>
      </c>
      <c r="D251" s="89">
        <v>120</v>
      </c>
      <c r="E251" s="89">
        <v>117.790001</v>
      </c>
      <c r="F251" s="89">
        <v>118.93</v>
      </c>
      <c r="G251" s="89">
        <v>88.646889000000002</v>
      </c>
      <c r="H251" s="89">
        <v>311818400</v>
      </c>
      <c r="J251" s="89">
        <v>0</v>
      </c>
      <c r="K251" s="89">
        <f t="shared" si="41"/>
        <v>88</v>
      </c>
      <c r="L251" s="89">
        <f t="shared" si="42"/>
        <v>112.621376</v>
      </c>
      <c r="M251" s="89">
        <f>+SPY__2[[#This Row],[Adj Close]]</f>
        <v>88.646889000000002</v>
      </c>
      <c r="N251" s="89">
        <f t="shared" si="37"/>
        <v>7800.9262319999998</v>
      </c>
      <c r="O251" s="90">
        <f t="shared" si="38"/>
        <v>-2109.7548559999996</v>
      </c>
      <c r="P251" s="93">
        <f t="shared" si="39"/>
        <v>-0.21287687871972005</v>
      </c>
      <c r="Q251" s="96"/>
      <c r="R251" s="96"/>
      <c r="T251" s="90">
        <f t="shared" si="33"/>
        <v>95</v>
      </c>
      <c r="U251" s="89">
        <f t="shared" si="34"/>
        <v>103.31428490526316</v>
      </c>
      <c r="V251" s="89">
        <f t="shared" si="35"/>
        <v>88.646889000000002</v>
      </c>
      <c r="W251" s="90">
        <f t="shared" si="40"/>
        <v>8421.454455000001</v>
      </c>
      <c r="X251" s="93">
        <f t="shared" si="36"/>
        <v>-0.14196871147792212</v>
      </c>
    </row>
    <row r="252" spans="2:24" x14ac:dyDescent="0.25">
      <c r="B252" s="91">
        <v>39716</v>
      </c>
      <c r="C252" s="89">
        <v>119.400002</v>
      </c>
      <c r="D252" s="89">
        <v>121.910004</v>
      </c>
      <c r="E252" s="89">
        <v>118.44000200000001</v>
      </c>
      <c r="F252" s="89">
        <v>120.790001</v>
      </c>
      <c r="G252" s="89">
        <v>90.033248999999998</v>
      </c>
      <c r="H252" s="89">
        <v>328253000</v>
      </c>
      <c r="J252" s="89">
        <v>0</v>
      </c>
      <c r="K252" s="89">
        <f t="shared" si="41"/>
        <v>88</v>
      </c>
      <c r="L252" s="89">
        <f t="shared" si="42"/>
        <v>112.621376</v>
      </c>
      <c r="M252" s="89">
        <f>+SPY__2[[#This Row],[Adj Close]]</f>
        <v>90.033248999999998</v>
      </c>
      <c r="N252" s="89">
        <f t="shared" si="37"/>
        <v>7922.9259119999997</v>
      </c>
      <c r="O252" s="90">
        <f t="shared" si="38"/>
        <v>-1987.7551760000001</v>
      </c>
      <c r="P252" s="93">
        <f t="shared" si="39"/>
        <v>-0.20056695986381845</v>
      </c>
      <c r="Q252" s="96"/>
      <c r="R252" s="96"/>
      <c r="T252" s="90">
        <f t="shared" si="33"/>
        <v>95</v>
      </c>
      <c r="U252" s="89">
        <f t="shared" si="34"/>
        <v>103.31428490526316</v>
      </c>
      <c r="V252" s="89">
        <f t="shared" si="35"/>
        <v>90.033248999999998</v>
      </c>
      <c r="W252" s="90">
        <f t="shared" si="40"/>
        <v>8553.1586549999993</v>
      </c>
      <c r="X252" s="93">
        <f t="shared" si="36"/>
        <v>-0.12854985075337433</v>
      </c>
    </row>
    <row r="253" spans="2:24" x14ac:dyDescent="0.25">
      <c r="B253" s="91">
        <v>39717</v>
      </c>
      <c r="C253" s="89">
        <v>118.83000199999999</v>
      </c>
      <c r="D253" s="89">
        <v>121.5</v>
      </c>
      <c r="E253" s="89">
        <v>118.510002</v>
      </c>
      <c r="F253" s="89">
        <v>120.849998</v>
      </c>
      <c r="G253" s="89">
        <v>90.077979999999997</v>
      </c>
      <c r="H253" s="89">
        <v>285917400</v>
      </c>
      <c r="J253" s="89">
        <v>0</v>
      </c>
      <c r="K253" s="89">
        <f t="shared" si="41"/>
        <v>88</v>
      </c>
      <c r="L253" s="89">
        <f t="shared" si="42"/>
        <v>112.621376</v>
      </c>
      <c r="M253" s="89">
        <f>+SPY__2[[#This Row],[Adj Close]]</f>
        <v>90.077979999999997</v>
      </c>
      <c r="N253" s="89">
        <f t="shared" si="37"/>
        <v>7926.8622399999995</v>
      </c>
      <c r="O253" s="90">
        <f t="shared" si="38"/>
        <v>-1983.8188480000001</v>
      </c>
      <c r="P253" s="93">
        <f t="shared" si="39"/>
        <v>-0.20016977949195014</v>
      </c>
      <c r="Q253" s="96"/>
      <c r="R253" s="96"/>
      <c r="T253" s="90">
        <f t="shared" si="33"/>
        <v>95</v>
      </c>
      <c r="U253" s="89">
        <f t="shared" si="34"/>
        <v>103.31428490526316</v>
      </c>
      <c r="V253" s="89">
        <f t="shared" si="35"/>
        <v>90.077979999999997</v>
      </c>
      <c r="W253" s="90">
        <f t="shared" si="40"/>
        <v>8557.4081000000006</v>
      </c>
      <c r="X253" s="93">
        <f t="shared" si="36"/>
        <v>-0.12811689029644391</v>
      </c>
    </row>
    <row r="254" spans="2:24" x14ac:dyDescent="0.25">
      <c r="B254" s="91">
        <v>39720</v>
      </c>
      <c r="C254" s="89">
        <v>119.139999</v>
      </c>
      <c r="D254" s="89">
        <v>119.339996</v>
      </c>
      <c r="E254" s="89">
        <v>110.970001</v>
      </c>
      <c r="F254" s="89">
        <v>111.379997</v>
      </c>
      <c r="G254" s="89">
        <v>83.019333000000003</v>
      </c>
      <c r="H254" s="89">
        <v>459562300</v>
      </c>
      <c r="J254" s="89">
        <v>0</v>
      </c>
      <c r="K254" s="89">
        <f t="shared" si="41"/>
        <v>88</v>
      </c>
      <c r="L254" s="89">
        <f t="shared" si="42"/>
        <v>112.621376</v>
      </c>
      <c r="M254" s="89">
        <f>+SPY__2[[#This Row],[Adj Close]]</f>
        <v>83.019333000000003</v>
      </c>
      <c r="N254" s="89">
        <f t="shared" si="37"/>
        <v>7305.7013040000002</v>
      </c>
      <c r="O254" s="90">
        <f t="shared" si="38"/>
        <v>-2604.9797839999997</v>
      </c>
      <c r="P254" s="93">
        <f t="shared" si="39"/>
        <v>-0.2628456874829872</v>
      </c>
      <c r="Q254" s="96"/>
      <c r="R254" s="96"/>
      <c r="T254" s="90">
        <f t="shared" si="33"/>
        <v>95</v>
      </c>
      <c r="U254" s="89">
        <f t="shared" si="34"/>
        <v>103.31428490526316</v>
      </c>
      <c r="V254" s="89">
        <f t="shared" si="35"/>
        <v>83.019333000000003</v>
      </c>
      <c r="W254" s="90">
        <f t="shared" si="40"/>
        <v>7886.8366350000006</v>
      </c>
      <c r="X254" s="93">
        <f t="shared" si="36"/>
        <v>-0.19643897186021431</v>
      </c>
    </row>
    <row r="255" spans="2:24" x14ac:dyDescent="0.25">
      <c r="B255" s="91">
        <v>39721</v>
      </c>
      <c r="C255" s="89">
        <v>113.510002</v>
      </c>
      <c r="D255" s="89">
        <v>116.800003</v>
      </c>
      <c r="E255" s="89">
        <v>110.529999</v>
      </c>
      <c r="F255" s="89">
        <v>115.989998</v>
      </c>
      <c r="G255" s="89">
        <v>86.455475000000007</v>
      </c>
      <c r="H255" s="89">
        <v>328154400</v>
      </c>
      <c r="J255" s="89">
        <v>0</v>
      </c>
      <c r="K255" s="89">
        <f t="shared" si="41"/>
        <v>88</v>
      </c>
      <c r="L255" s="89">
        <f t="shared" si="42"/>
        <v>112.621376</v>
      </c>
      <c r="M255" s="89">
        <f>+SPY__2[[#This Row],[Adj Close]]</f>
        <v>86.455475000000007</v>
      </c>
      <c r="N255" s="89">
        <f t="shared" si="37"/>
        <v>7608.0818000000008</v>
      </c>
      <c r="O255" s="90">
        <f t="shared" si="38"/>
        <v>-2302.5992879999994</v>
      </c>
      <c r="P255" s="93">
        <f t="shared" si="39"/>
        <v>-0.23233512082111296</v>
      </c>
      <c r="Q255" s="96"/>
      <c r="R255" s="96"/>
      <c r="T255" s="90">
        <f t="shared" si="33"/>
        <v>95</v>
      </c>
      <c r="U255" s="89">
        <f t="shared" si="34"/>
        <v>103.31428490526316</v>
      </c>
      <c r="V255" s="89">
        <f t="shared" si="35"/>
        <v>86.455475000000007</v>
      </c>
      <c r="W255" s="90">
        <f t="shared" si="40"/>
        <v>8213.2701250000009</v>
      </c>
      <c r="X255" s="93">
        <f t="shared" si="36"/>
        <v>-0.16317985379003785</v>
      </c>
    </row>
    <row r="256" spans="2:24" x14ac:dyDescent="0.25">
      <c r="B256" s="91">
        <v>39722</v>
      </c>
      <c r="C256" s="89">
        <v>115.269997</v>
      </c>
      <c r="D256" s="89">
        <v>116.69000200000001</v>
      </c>
      <c r="E256" s="89">
        <v>113.949997</v>
      </c>
      <c r="F256" s="89">
        <v>116.05999799999999</v>
      </c>
      <c r="G256" s="89">
        <v>86.507660000000001</v>
      </c>
      <c r="H256" s="89">
        <v>332783000</v>
      </c>
      <c r="J256" s="89">
        <v>0</v>
      </c>
      <c r="K256" s="89">
        <f t="shared" si="41"/>
        <v>88</v>
      </c>
      <c r="L256" s="89">
        <f t="shared" si="42"/>
        <v>112.621376</v>
      </c>
      <c r="M256" s="89">
        <f>+SPY__2[[#This Row],[Adj Close]]</f>
        <v>86.507660000000001</v>
      </c>
      <c r="N256" s="89">
        <f t="shared" si="37"/>
        <v>7612.6740799999998</v>
      </c>
      <c r="O256" s="90">
        <f t="shared" si="38"/>
        <v>-2298.0070079999996</v>
      </c>
      <c r="P256" s="93">
        <f t="shared" si="39"/>
        <v>-0.23187175407979388</v>
      </c>
      <c r="Q256" s="96"/>
      <c r="R256" s="96"/>
      <c r="T256" s="90">
        <f t="shared" si="33"/>
        <v>95</v>
      </c>
      <c r="U256" s="89">
        <f t="shared" si="34"/>
        <v>103.31428490526316</v>
      </c>
      <c r="V256" s="89">
        <f t="shared" si="35"/>
        <v>86.507660000000001</v>
      </c>
      <c r="W256" s="90">
        <f t="shared" si="40"/>
        <v>8218.2276999999995</v>
      </c>
      <c r="X256" s="93">
        <f t="shared" si="36"/>
        <v>-0.16267474454935693</v>
      </c>
    </row>
    <row r="257" spans="2:24" x14ac:dyDescent="0.25">
      <c r="B257" s="91">
        <v>39723</v>
      </c>
      <c r="C257" s="89">
        <v>114.949997</v>
      </c>
      <c r="D257" s="89">
        <v>115.110001</v>
      </c>
      <c r="E257" s="89">
        <v>111.05999799999999</v>
      </c>
      <c r="F257" s="89">
        <v>111.849998</v>
      </c>
      <c r="G257" s="89">
        <v>83.369643999999994</v>
      </c>
      <c r="H257" s="89">
        <v>365337800</v>
      </c>
      <c r="J257" s="89">
        <v>0</v>
      </c>
      <c r="K257" s="89">
        <f t="shared" si="41"/>
        <v>88</v>
      </c>
      <c r="L257" s="89">
        <f t="shared" si="42"/>
        <v>112.621376</v>
      </c>
      <c r="M257" s="89">
        <f>+SPY__2[[#This Row],[Adj Close]]</f>
        <v>83.369643999999994</v>
      </c>
      <c r="N257" s="89">
        <f t="shared" si="37"/>
        <v>7336.5286719999995</v>
      </c>
      <c r="O257" s="90">
        <f t="shared" si="38"/>
        <v>-2574.1524160000004</v>
      </c>
      <c r="P257" s="93">
        <f t="shared" si="39"/>
        <v>-0.2597351678601405</v>
      </c>
      <c r="Q257" s="96"/>
      <c r="R257" s="96"/>
      <c r="T257" s="90">
        <f t="shared" si="33"/>
        <v>95</v>
      </c>
      <c r="U257" s="89">
        <f t="shared" si="34"/>
        <v>103.31428490526316</v>
      </c>
      <c r="V257" s="89">
        <f t="shared" si="35"/>
        <v>83.369643999999994</v>
      </c>
      <c r="W257" s="90">
        <f t="shared" si="40"/>
        <v>7920.1161799999991</v>
      </c>
      <c r="X257" s="93">
        <f t="shared" si="36"/>
        <v>-0.19304824036242374</v>
      </c>
    </row>
    <row r="258" spans="2:24" x14ac:dyDescent="0.25">
      <c r="B258" s="91">
        <v>39724</v>
      </c>
      <c r="C258" s="89">
        <v>112.860001</v>
      </c>
      <c r="D258" s="89">
        <v>115.449997</v>
      </c>
      <c r="E258" s="89">
        <v>109.68</v>
      </c>
      <c r="F258" s="89">
        <v>110.339996</v>
      </c>
      <c r="G258" s="89">
        <v>82.244133000000005</v>
      </c>
      <c r="H258" s="89">
        <v>461798000</v>
      </c>
      <c r="J258" s="89">
        <v>0</v>
      </c>
      <c r="K258" s="89">
        <f t="shared" si="41"/>
        <v>88</v>
      </c>
      <c r="L258" s="89">
        <f t="shared" si="42"/>
        <v>112.621376</v>
      </c>
      <c r="M258" s="89">
        <f>+SPY__2[[#This Row],[Adj Close]]</f>
        <v>82.244133000000005</v>
      </c>
      <c r="N258" s="89">
        <f t="shared" si="37"/>
        <v>7237.4837040000002</v>
      </c>
      <c r="O258" s="90">
        <f t="shared" si="38"/>
        <v>-2673.1973839999991</v>
      </c>
      <c r="P258" s="93">
        <f t="shared" si="39"/>
        <v>-0.26972892783693203</v>
      </c>
      <c r="Q258" s="96"/>
      <c r="R258" s="96"/>
      <c r="T258" s="90">
        <f t="shared" ref="T258:T321" si="43">+T257</f>
        <v>95</v>
      </c>
      <c r="U258" s="89">
        <f t="shared" ref="U258:U321" si="44">+U257</f>
        <v>103.31428490526316</v>
      </c>
      <c r="V258" s="89">
        <f t="shared" si="35"/>
        <v>82.244133000000005</v>
      </c>
      <c r="W258" s="90">
        <f t="shared" si="40"/>
        <v>7813.1926350000003</v>
      </c>
      <c r="X258" s="93">
        <f t="shared" si="36"/>
        <v>-0.20394229050304136</v>
      </c>
    </row>
    <row r="259" spans="2:24" x14ac:dyDescent="0.25">
      <c r="B259" s="91">
        <v>39727</v>
      </c>
      <c r="C259" s="89">
        <v>107.150002</v>
      </c>
      <c r="D259" s="89">
        <v>107.620003</v>
      </c>
      <c r="E259" s="89">
        <v>100.639999</v>
      </c>
      <c r="F259" s="89">
        <v>104.720001</v>
      </c>
      <c r="G259" s="89">
        <v>78.055167999999995</v>
      </c>
      <c r="H259" s="89">
        <v>610637500</v>
      </c>
      <c r="J259" s="89">
        <v>0</v>
      </c>
      <c r="K259" s="89">
        <f t="shared" si="41"/>
        <v>88</v>
      </c>
      <c r="L259" s="89">
        <f t="shared" si="42"/>
        <v>112.621376</v>
      </c>
      <c r="M259" s="89">
        <f>+SPY__2[[#This Row],[Adj Close]]</f>
        <v>78.055167999999995</v>
      </c>
      <c r="N259" s="89">
        <f t="shared" si="37"/>
        <v>6868.8547839999992</v>
      </c>
      <c r="O259" s="90">
        <f t="shared" si="38"/>
        <v>-3041.8263040000002</v>
      </c>
      <c r="P259" s="93">
        <f t="shared" si="39"/>
        <v>-0.30692404255476335</v>
      </c>
      <c r="Q259" s="96"/>
      <c r="R259" s="96"/>
      <c r="T259" s="90">
        <f t="shared" si="43"/>
        <v>95</v>
      </c>
      <c r="U259" s="89">
        <f t="shared" si="44"/>
        <v>103.31428490526316</v>
      </c>
      <c r="V259" s="89">
        <f t="shared" ref="V259:V322" si="45">+M259</f>
        <v>78.055167999999995</v>
      </c>
      <c r="W259" s="90">
        <f t="shared" si="40"/>
        <v>7415.2409599999992</v>
      </c>
      <c r="X259" s="93">
        <f t="shared" ref="X259:X322" si="46">+W259/(U259*T259)-1</f>
        <v>-0.24448813567673822</v>
      </c>
    </row>
    <row r="260" spans="2:24" x14ac:dyDescent="0.25">
      <c r="B260" s="91">
        <v>39728</v>
      </c>
      <c r="C260" s="89">
        <v>106.839996</v>
      </c>
      <c r="D260" s="89">
        <v>107.33000199999999</v>
      </c>
      <c r="E260" s="89">
        <v>99.650002000000001</v>
      </c>
      <c r="F260" s="89">
        <v>100.029999</v>
      </c>
      <c r="G260" s="89">
        <v>74.559394999999995</v>
      </c>
      <c r="H260" s="89">
        <v>540012100</v>
      </c>
      <c r="J260" s="89">
        <v>0</v>
      </c>
      <c r="K260" s="89">
        <f t="shared" si="41"/>
        <v>88</v>
      </c>
      <c r="L260" s="89">
        <f t="shared" si="42"/>
        <v>112.621376</v>
      </c>
      <c r="M260" s="89">
        <f>+SPY__2[[#This Row],[Adj Close]]</f>
        <v>74.559394999999995</v>
      </c>
      <c r="N260" s="89">
        <f t="shared" ref="N260:N323" si="47">+K260*M260</f>
        <v>6561.2267599999996</v>
      </c>
      <c r="O260" s="90">
        <f t="shared" ref="O260:O323" si="48">+(M260-L260)*K260</f>
        <v>-3349.4543280000003</v>
      </c>
      <c r="P260" s="93">
        <f t="shared" ref="P260:P323" si="49">+M260/L260-1</f>
        <v>-0.33796409129293536</v>
      </c>
      <c r="Q260" s="96"/>
      <c r="R260" s="96"/>
      <c r="T260" s="90">
        <f t="shared" si="43"/>
        <v>95</v>
      </c>
      <c r="U260" s="89">
        <f t="shared" si="44"/>
        <v>103.31428490526316</v>
      </c>
      <c r="V260" s="89">
        <f t="shared" si="45"/>
        <v>74.559394999999995</v>
      </c>
      <c r="W260" s="90">
        <f t="shared" ref="W260:W323" si="50">+V260*T260</f>
        <v>7083.1425249999993</v>
      </c>
      <c r="X260" s="93">
        <f t="shared" si="46"/>
        <v>-0.2783244343377177</v>
      </c>
    </row>
    <row r="261" spans="2:24" x14ac:dyDescent="0.25">
      <c r="B261" s="91">
        <v>39729</v>
      </c>
      <c r="C261" s="89">
        <v>97.519997000000004</v>
      </c>
      <c r="D261" s="89">
        <v>102.18</v>
      </c>
      <c r="E261" s="89">
        <v>96.809997999999993</v>
      </c>
      <c r="F261" s="89">
        <v>97.510002</v>
      </c>
      <c r="G261" s="89">
        <v>72.681030000000007</v>
      </c>
      <c r="H261" s="89">
        <v>725414800</v>
      </c>
      <c r="J261" s="89">
        <v>0</v>
      </c>
      <c r="K261" s="89">
        <f t="shared" ref="K261:K324" si="51">+$K$3</f>
        <v>88</v>
      </c>
      <c r="L261" s="89">
        <f t="shared" ref="L261:L324" si="52">+$L$3</f>
        <v>112.621376</v>
      </c>
      <c r="M261" s="89">
        <f>+SPY__2[[#This Row],[Adj Close]]</f>
        <v>72.681030000000007</v>
      </c>
      <c r="N261" s="89">
        <f t="shared" si="47"/>
        <v>6395.9306400000005</v>
      </c>
      <c r="O261" s="90">
        <f t="shared" si="48"/>
        <v>-3514.7504479999993</v>
      </c>
      <c r="P261" s="93">
        <f t="shared" si="49"/>
        <v>-0.35464267458426357</v>
      </c>
      <c r="Q261" s="96"/>
      <c r="R261" s="96"/>
      <c r="T261" s="90">
        <f t="shared" si="43"/>
        <v>95</v>
      </c>
      <c r="U261" s="89">
        <f t="shared" si="44"/>
        <v>103.31428490526316</v>
      </c>
      <c r="V261" s="89">
        <f t="shared" si="45"/>
        <v>72.681030000000007</v>
      </c>
      <c r="W261" s="90">
        <f t="shared" si="50"/>
        <v>6904.6978500000005</v>
      </c>
      <c r="X261" s="93">
        <f t="shared" si="46"/>
        <v>-0.29650551163716765</v>
      </c>
    </row>
    <row r="262" spans="2:24" x14ac:dyDescent="0.25">
      <c r="B262" s="91">
        <v>39730</v>
      </c>
      <c r="C262" s="89">
        <v>99.660004000000001</v>
      </c>
      <c r="D262" s="89">
        <v>100.620003</v>
      </c>
      <c r="E262" s="89">
        <v>90.25</v>
      </c>
      <c r="F262" s="89">
        <v>90.699996999999996</v>
      </c>
      <c r="G262" s="89">
        <v>67.605048999999994</v>
      </c>
      <c r="H262" s="89">
        <v>534485200</v>
      </c>
      <c r="J262" s="89">
        <v>0</v>
      </c>
      <c r="K262" s="89">
        <f t="shared" si="51"/>
        <v>88</v>
      </c>
      <c r="L262" s="89">
        <f t="shared" si="52"/>
        <v>112.621376</v>
      </c>
      <c r="M262" s="89">
        <f>+SPY__2[[#This Row],[Adj Close]]</f>
        <v>67.605048999999994</v>
      </c>
      <c r="N262" s="89">
        <f t="shared" si="47"/>
        <v>5949.2443119999998</v>
      </c>
      <c r="O262" s="90">
        <f t="shared" si="48"/>
        <v>-3961.4367760000005</v>
      </c>
      <c r="P262" s="93">
        <f t="shared" si="49"/>
        <v>-0.3997138784736568</v>
      </c>
      <c r="Q262" s="96"/>
      <c r="R262" s="96"/>
      <c r="T262" s="90">
        <f t="shared" si="43"/>
        <v>95</v>
      </c>
      <c r="U262" s="89">
        <f t="shared" si="44"/>
        <v>103.31428490526316</v>
      </c>
      <c r="V262" s="89">
        <f t="shared" si="45"/>
        <v>67.605048999999994</v>
      </c>
      <c r="W262" s="90">
        <f t="shared" si="50"/>
        <v>6422.4796549999992</v>
      </c>
      <c r="X262" s="93">
        <f t="shared" si="46"/>
        <v>-0.34563696528517551</v>
      </c>
    </row>
    <row r="263" spans="2:24" x14ac:dyDescent="0.25">
      <c r="B263" s="91">
        <v>39731</v>
      </c>
      <c r="C263" s="89">
        <v>86.760002</v>
      </c>
      <c r="D263" s="89">
        <v>93.940002000000007</v>
      </c>
      <c r="E263" s="89">
        <v>83.580001999999993</v>
      </c>
      <c r="F263" s="89">
        <v>88.5</v>
      </c>
      <c r="G263" s="89">
        <v>65.965262999999993</v>
      </c>
      <c r="H263" s="89">
        <v>871026300</v>
      </c>
      <c r="J263" s="89">
        <v>0</v>
      </c>
      <c r="K263" s="89">
        <f t="shared" si="51"/>
        <v>88</v>
      </c>
      <c r="L263" s="89">
        <f t="shared" si="52"/>
        <v>112.621376</v>
      </c>
      <c r="M263" s="89">
        <f>+SPY__2[[#This Row],[Adj Close]]</f>
        <v>65.965262999999993</v>
      </c>
      <c r="N263" s="89">
        <f t="shared" si="47"/>
        <v>5804.9431439999989</v>
      </c>
      <c r="O263" s="90">
        <f t="shared" si="48"/>
        <v>-4105.7379440000004</v>
      </c>
      <c r="P263" s="93">
        <f t="shared" si="49"/>
        <v>-0.41427404509779742</v>
      </c>
      <c r="Q263" s="96"/>
      <c r="R263" s="96"/>
      <c r="T263" s="90">
        <f t="shared" si="43"/>
        <v>95</v>
      </c>
      <c r="U263" s="89">
        <f t="shared" si="44"/>
        <v>103.31428490526316</v>
      </c>
      <c r="V263" s="89">
        <f t="shared" si="45"/>
        <v>65.965262999999993</v>
      </c>
      <c r="W263" s="90">
        <f t="shared" si="50"/>
        <v>6266.6999849999993</v>
      </c>
      <c r="X263" s="93">
        <f t="shared" si="46"/>
        <v>-0.36150878786521501</v>
      </c>
    </row>
    <row r="264" spans="2:24" x14ac:dyDescent="0.25">
      <c r="B264" s="91">
        <v>39734</v>
      </c>
      <c r="C264" s="89">
        <v>93.870002999999997</v>
      </c>
      <c r="D264" s="89">
        <v>101.349998</v>
      </c>
      <c r="E264" s="89">
        <v>89.949996999999996</v>
      </c>
      <c r="F264" s="89">
        <v>101.349998</v>
      </c>
      <c r="G264" s="89">
        <v>75.543259000000006</v>
      </c>
      <c r="H264" s="89">
        <v>455584000</v>
      </c>
      <c r="J264" s="89">
        <v>0</v>
      </c>
      <c r="K264" s="89">
        <f t="shared" si="51"/>
        <v>88</v>
      </c>
      <c r="L264" s="89">
        <f t="shared" si="52"/>
        <v>112.621376</v>
      </c>
      <c r="M264" s="89">
        <f>+SPY__2[[#This Row],[Adj Close]]</f>
        <v>75.543259000000006</v>
      </c>
      <c r="N264" s="89">
        <f t="shared" si="47"/>
        <v>6647.8067920000003</v>
      </c>
      <c r="O264" s="90">
        <f t="shared" si="48"/>
        <v>-3262.874295999999</v>
      </c>
      <c r="P264" s="93">
        <f t="shared" si="49"/>
        <v>-0.32922805880119943</v>
      </c>
      <c r="Q264" s="96"/>
      <c r="R264" s="96"/>
      <c r="T264" s="90">
        <f t="shared" si="43"/>
        <v>95</v>
      </c>
      <c r="U264" s="89">
        <f t="shared" si="44"/>
        <v>103.31428490526316</v>
      </c>
      <c r="V264" s="89">
        <f t="shared" si="45"/>
        <v>75.543259000000006</v>
      </c>
      <c r="W264" s="90">
        <f t="shared" si="50"/>
        <v>7176.6096050000006</v>
      </c>
      <c r="X264" s="93">
        <f t="shared" si="46"/>
        <v>-0.26880141435164129</v>
      </c>
    </row>
    <row r="265" spans="2:24" x14ac:dyDescent="0.25">
      <c r="B265" s="91">
        <v>39735</v>
      </c>
      <c r="C265" s="89">
        <v>104.699997</v>
      </c>
      <c r="D265" s="89">
        <v>105.529999</v>
      </c>
      <c r="E265" s="89">
        <v>97.110000999999997</v>
      </c>
      <c r="F265" s="89">
        <v>99.849997999999999</v>
      </c>
      <c r="G265" s="89">
        <v>74.425201000000001</v>
      </c>
      <c r="H265" s="89">
        <v>546268300</v>
      </c>
      <c r="J265" s="89">
        <v>0</v>
      </c>
      <c r="K265" s="89">
        <f t="shared" si="51"/>
        <v>88</v>
      </c>
      <c r="L265" s="89">
        <f t="shared" si="52"/>
        <v>112.621376</v>
      </c>
      <c r="M265" s="89">
        <f>+SPY__2[[#This Row],[Adj Close]]</f>
        <v>74.425201000000001</v>
      </c>
      <c r="N265" s="89">
        <f t="shared" si="47"/>
        <v>6549.4176880000005</v>
      </c>
      <c r="O265" s="90">
        <f t="shared" si="48"/>
        <v>-3361.2633999999998</v>
      </c>
      <c r="P265" s="93">
        <f t="shared" si="49"/>
        <v>-0.33915564128784925</v>
      </c>
      <c r="Q265" s="96"/>
      <c r="R265" s="96"/>
      <c r="T265" s="90">
        <f t="shared" si="43"/>
        <v>95</v>
      </c>
      <c r="U265" s="89">
        <f t="shared" si="44"/>
        <v>103.31428490526316</v>
      </c>
      <c r="V265" s="89">
        <f t="shared" si="45"/>
        <v>74.425201000000001</v>
      </c>
      <c r="W265" s="90">
        <f t="shared" si="50"/>
        <v>7070.3940950000006</v>
      </c>
      <c r="X265" s="93">
        <f t="shared" si="46"/>
        <v>-0.27962332538771173</v>
      </c>
    </row>
    <row r="266" spans="2:24" x14ac:dyDescent="0.25">
      <c r="B266" s="91">
        <v>39736</v>
      </c>
      <c r="C266" s="89">
        <v>97.459998999999996</v>
      </c>
      <c r="D266" s="89">
        <v>97.800003000000004</v>
      </c>
      <c r="E266" s="89">
        <v>89.709998999999996</v>
      </c>
      <c r="F266" s="89">
        <v>90.019997000000004</v>
      </c>
      <c r="G266" s="89">
        <v>67.098220999999995</v>
      </c>
      <c r="H266" s="89">
        <v>484627500</v>
      </c>
      <c r="J266" s="89">
        <v>0</v>
      </c>
      <c r="K266" s="89">
        <f t="shared" si="51"/>
        <v>88</v>
      </c>
      <c r="L266" s="89">
        <f t="shared" si="52"/>
        <v>112.621376</v>
      </c>
      <c r="M266" s="89">
        <f>+SPY__2[[#This Row],[Adj Close]]</f>
        <v>67.098220999999995</v>
      </c>
      <c r="N266" s="89">
        <f t="shared" si="47"/>
        <v>5904.6434479999998</v>
      </c>
      <c r="O266" s="90">
        <f t="shared" si="48"/>
        <v>-4006.0376400000005</v>
      </c>
      <c r="P266" s="93">
        <f t="shared" si="49"/>
        <v>-0.40421416090671813</v>
      </c>
      <c r="Q266" s="96"/>
      <c r="R266" s="96"/>
      <c r="T266" s="90">
        <f t="shared" si="43"/>
        <v>95</v>
      </c>
      <c r="U266" s="89">
        <f t="shared" si="44"/>
        <v>103.31428490526316</v>
      </c>
      <c r="V266" s="89">
        <f t="shared" si="45"/>
        <v>67.098220999999995</v>
      </c>
      <c r="W266" s="90">
        <f t="shared" si="50"/>
        <v>6374.3309949999993</v>
      </c>
      <c r="X266" s="93">
        <f t="shared" si="46"/>
        <v>-0.35054265669527185</v>
      </c>
    </row>
    <row r="267" spans="2:24" x14ac:dyDescent="0.25">
      <c r="B267" s="91">
        <v>39737</v>
      </c>
      <c r="C267" s="89">
        <v>91.290001000000004</v>
      </c>
      <c r="D267" s="89">
        <v>94.769997000000004</v>
      </c>
      <c r="E267" s="89">
        <v>86.540001000000004</v>
      </c>
      <c r="F267" s="89">
        <v>93.769997000000004</v>
      </c>
      <c r="G267" s="89">
        <v>69.893378999999996</v>
      </c>
      <c r="H267" s="89">
        <v>708811200</v>
      </c>
      <c r="J267" s="89">
        <v>0</v>
      </c>
      <c r="K267" s="89">
        <f t="shared" si="51"/>
        <v>88</v>
      </c>
      <c r="L267" s="89">
        <f t="shared" si="52"/>
        <v>112.621376</v>
      </c>
      <c r="M267" s="89">
        <f>+SPY__2[[#This Row],[Adj Close]]</f>
        <v>69.893378999999996</v>
      </c>
      <c r="N267" s="89">
        <f t="shared" si="47"/>
        <v>6150.6173519999993</v>
      </c>
      <c r="O267" s="90">
        <f t="shared" si="48"/>
        <v>-3760.0637360000001</v>
      </c>
      <c r="P267" s="93">
        <f t="shared" si="49"/>
        <v>-0.37939508925907639</v>
      </c>
      <c r="Q267" s="96"/>
      <c r="R267" s="96"/>
      <c r="T267" s="90">
        <f t="shared" si="43"/>
        <v>95</v>
      </c>
      <c r="U267" s="89">
        <f t="shared" si="44"/>
        <v>103.31428490526316</v>
      </c>
      <c r="V267" s="89">
        <f t="shared" si="45"/>
        <v>69.893378999999996</v>
      </c>
      <c r="W267" s="90">
        <f t="shared" si="50"/>
        <v>6639.871005</v>
      </c>
      <c r="X267" s="93">
        <f t="shared" si="46"/>
        <v>-0.32348775327544854</v>
      </c>
    </row>
    <row r="268" spans="2:24" x14ac:dyDescent="0.25">
      <c r="B268" s="91">
        <v>39738</v>
      </c>
      <c r="C268" s="89">
        <v>91.989998</v>
      </c>
      <c r="D268" s="89">
        <v>98.589995999999999</v>
      </c>
      <c r="E268" s="89">
        <v>91.650002000000001</v>
      </c>
      <c r="F268" s="89">
        <v>93.209998999999996</v>
      </c>
      <c r="G268" s="89">
        <v>69.475914000000003</v>
      </c>
      <c r="H268" s="89">
        <v>476649000</v>
      </c>
      <c r="J268" s="89">
        <v>0</v>
      </c>
      <c r="K268" s="89">
        <f t="shared" si="51"/>
        <v>88</v>
      </c>
      <c r="L268" s="89">
        <f t="shared" si="52"/>
        <v>112.621376</v>
      </c>
      <c r="M268" s="89">
        <f>+SPY__2[[#This Row],[Adj Close]]</f>
        <v>69.475914000000003</v>
      </c>
      <c r="N268" s="89">
        <f t="shared" si="47"/>
        <v>6113.8804319999999</v>
      </c>
      <c r="O268" s="90">
        <f t="shared" si="48"/>
        <v>-3796.8006559999994</v>
      </c>
      <c r="P268" s="93">
        <f t="shared" si="49"/>
        <v>-0.38310188999999428</v>
      </c>
      <c r="Q268" s="96"/>
      <c r="R268" s="96"/>
      <c r="T268" s="90">
        <f t="shared" si="43"/>
        <v>95</v>
      </c>
      <c r="U268" s="89">
        <f t="shared" si="44"/>
        <v>103.31428490526316</v>
      </c>
      <c r="V268" s="89">
        <f t="shared" si="45"/>
        <v>69.475914000000003</v>
      </c>
      <c r="W268" s="90">
        <f t="shared" si="50"/>
        <v>6600.2118300000002</v>
      </c>
      <c r="X268" s="93">
        <f t="shared" si="46"/>
        <v>-0.32752848201284235</v>
      </c>
    </row>
    <row r="269" spans="2:24" x14ac:dyDescent="0.25">
      <c r="B269" s="91">
        <v>39741</v>
      </c>
      <c r="C269" s="89">
        <v>95.349997999999999</v>
      </c>
      <c r="D269" s="89">
        <v>99.099997999999999</v>
      </c>
      <c r="E269" s="89">
        <v>94.089995999999999</v>
      </c>
      <c r="F269" s="89">
        <v>98.809997999999993</v>
      </c>
      <c r="G269" s="89">
        <v>73.650017000000005</v>
      </c>
      <c r="H269" s="89">
        <v>321294200</v>
      </c>
      <c r="J269" s="89">
        <v>0</v>
      </c>
      <c r="K269" s="89">
        <f t="shared" si="51"/>
        <v>88</v>
      </c>
      <c r="L269" s="89">
        <f t="shared" si="52"/>
        <v>112.621376</v>
      </c>
      <c r="M269" s="89">
        <f>+SPY__2[[#This Row],[Adj Close]]</f>
        <v>73.650017000000005</v>
      </c>
      <c r="N269" s="89">
        <f t="shared" si="47"/>
        <v>6481.2014960000006</v>
      </c>
      <c r="O269" s="90">
        <f t="shared" si="48"/>
        <v>-3429.4795919999992</v>
      </c>
      <c r="P269" s="93">
        <f t="shared" si="49"/>
        <v>-0.34603873957284981</v>
      </c>
      <c r="Q269" s="96"/>
      <c r="R269" s="96"/>
      <c r="T269" s="90">
        <f t="shared" si="43"/>
        <v>95</v>
      </c>
      <c r="U269" s="89">
        <f t="shared" si="44"/>
        <v>103.31428490526316</v>
      </c>
      <c r="V269" s="89">
        <f t="shared" si="45"/>
        <v>73.650017000000005</v>
      </c>
      <c r="W269" s="90">
        <f t="shared" si="50"/>
        <v>6996.7516150000001</v>
      </c>
      <c r="X269" s="93">
        <f t="shared" si="46"/>
        <v>-0.28712648916328087</v>
      </c>
    </row>
    <row r="270" spans="2:24" x14ac:dyDescent="0.25">
      <c r="B270" s="91">
        <v>39742</v>
      </c>
      <c r="C270" s="89">
        <v>96.970000999999996</v>
      </c>
      <c r="D270" s="89">
        <v>98.639999000000003</v>
      </c>
      <c r="E270" s="89">
        <v>95.220000999999996</v>
      </c>
      <c r="F270" s="89">
        <v>95.860000999999997</v>
      </c>
      <c r="G270" s="89">
        <v>71.451187000000004</v>
      </c>
      <c r="H270" s="89">
        <v>356502000</v>
      </c>
      <c r="J270" s="89">
        <v>0</v>
      </c>
      <c r="K270" s="89">
        <f t="shared" si="51"/>
        <v>88</v>
      </c>
      <c r="L270" s="89">
        <f t="shared" si="52"/>
        <v>112.621376</v>
      </c>
      <c r="M270" s="89">
        <f>+SPY__2[[#This Row],[Adj Close]]</f>
        <v>71.451187000000004</v>
      </c>
      <c r="N270" s="89">
        <f t="shared" si="47"/>
        <v>6287.7044560000004</v>
      </c>
      <c r="O270" s="90">
        <f t="shared" si="48"/>
        <v>-3622.9766319999994</v>
      </c>
      <c r="P270" s="93">
        <f t="shared" si="49"/>
        <v>-0.36556283062995065</v>
      </c>
      <c r="Q270" s="96"/>
      <c r="R270" s="96"/>
      <c r="T270" s="90">
        <f t="shared" si="43"/>
        <v>95</v>
      </c>
      <c r="U270" s="89">
        <f t="shared" si="44"/>
        <v>103.31428490526316</v>
      </c>
      <c r="V270" s="89">
        <f t="shared" si="45"/>
        <v>71.451187000000004</v>
      </c>
      <c r="W270" s="90">
        <f t="shared" si="50"/>
        <v>6787.8627650000008</v>
      </c>
      <c r="X270" s="93">
        <f t="shared" si="46"/>
        <v>-0.30840941244940989</v>
      </c>
    </row>
    <row r="271" spans="2:24" x14ac:dyDescent="0.25">
      <c r="B271" s="91">
        <v>39743</v>
      </c>
      <c r="C271" s="89">
        <v>93.199996999999996</v>
      </c>
      <c r="D271" s="89">
        <v>95.860000999999997</v>
      </c>
      <c r="E271" s="89">
        <v>87.529999000000004</v>
      </c>
      <c r="F271" s="89">
        <v>90.639999000000003</v>
      </c>
      <c r="G271" s="89">
        <v>67.560355999999999</v>
      </c>
      <c r="H271" s="89">
        <v>516168000</v>
      </c>
      <c r="J271" s="89">
        <v>0</v>
      </c>
      <c r="K271" s="89">
        <f t="shared" si="51"/>
        <v>88</v>
      </c>
      <c r="L271" s="89">
        <f t="shared" si="52"/>
        <v>112.621376</v>
      </c>
      <c r="M271" s="89">
        <f>+SPY__2[[#This Row],[Adj Close]]</f>
        <v>67.560355999999999</v>
      </c>
      <c r="N271" s="89">
        <f t="shared" si="47"/>
        <v>5945.3113279999998</v>
      </c>
      <c r="O271" s="90">
        <f t="shared" si="48"/>
        <v>-3965.36976</v>
      </c>
      <c r="P271" s="93">
        <f t="shared" si="49"/>
        <v>-0.40011072143178217</v>
      </c>
      <c r="Q271" s="96"/>
      <c r="R271" s="96"/>
      <c r="T271" s="90">
        <f t="shared" si="43"/>
        <v>95</v>
      </c>
      <c r="U271" s="89">
        <f t="shared" si="44"/>
        <v>103.31428490526316</v>
      </c>
      <c r="V271" s="89">
        <f t="shared" si="45"/>
        <v>67.560355999999999</v>
      </c>
      <c r="W271" s="90">
        <f t="shared" si="50"/>
        <v>6418.2338199999995</v>
      </c>
      <c r="X271" s="93">
        <f t="shared" si="46"/>
        <v>-0.34606955793236827</v>
      </c>
    </row>
    <row r="272" spans="2:24" x14ac:dyDescent="0.25">
      <c r="B272" s="91">
        <v>39744</v>
      </c>
      <c r="C272" s="89">
        <v>90.290001000000004</v>
      </c>
      <c r="D272" s="89">
        <v>92.449996999999996</v>
      </c>
      <c r="E272" s="89">
        <v>85.809997999999993</v>
      </c>
      <c r="F272" s="89">
        <v>91.690002000000007</v>
      </c>
      <c r="G272" s="89">
        <v>68.342979</v>
      </c>
      <c r="H272" s="89">
        <v>634666400</v>
      </c>
      <c r="J272" s="89">
        <v>0</v>
      </c>
      <c r="K272" s="89">
        <f t="shared" si="51"/>
        <v>88</v>
      </c>
      <c r="L272" s="89">
        <f t="shared" si="52"/>
        <v>112.621376</v>
      </c>
      <c r="M272" s="89">
        <f>+SPY__2[[#This Row],[Adj Close]]</f>
        <v>68.342979</v>
      </c>
      <c r="N272" s="89">
        <f t="shared" si="47"/>
        <v>6014.1821520000003</v>
      </c>
      <c r="O272" s="90">
        <f t="shared" si="48"/>
        <v>-3896.498936</v>
      </c>
      <c r="P272" s="93">
        <f t="shared" si="49"/>
        <v>-0.39316156996696616</v>
      </c>
      <c r="Q272" s="96"/>
      <c r="R272" s="96"/>
      <c r="T272" s="90">
        <f t="shared" si="43"/>
        <v>95</v>
      </c>
      <c r="U272" s="89">
        <f t="shared" si="44"/>
        <v>103.31428490526316</v>
      </c>
      <c r="V272" s="89">
        <f t="shared" si="45"/>
        <v>68.342979</v>
      </c>
      <c r="W272" s="90">
        <f t="shared" si="50"/>
        <v>6492.5830050000004</v>
      </c>
      <c r="X272" s="93">
        <f t="shared" si="46"/>
        <v>-0.33849439056110242</v>
      </c>
    </row>
    <row r="273" spans="2:24" x14ac:dyDescent="0.25">
      <c r="B273" s="91">
        <v>39745</v>
      </c>
      <c r="C273" s="89">
        <v>84.059997999999993</v>
      </c>
      <c r="D273" s="89">
        <v>89.919998000000007</v>
      </c>
      <c r="E273" s="89">
        <v>84</v>
      </c>
      <c r="F273" s="89">
        <v>87.040001000000004</v>
      </c>
      <c r="G273" s="89">
        <v>64.877044999999995</v>
      </c>
      <c r="H273" s="89">
        <v>545812600</v>
      </c>
      <c r="J273" s="89">
        <v>0</v>
      </c>
      <c r="K273" s="89">
        <f t="shared" si="51"/>
        <v>88</v>
      </c>
      <c r="L273" s="89">
        <f t="shared" si="52"/>
        <v>112.621376</v>
      </c>
      <c r="M273" s="89">
        <f>+SPY__2[[#This Row],[Adj Close]]</f>
        <v>64.877044999999995</v>
      </c>
      <c r="N273" s="89">
        <f t="shared" si="47"/>
        <v>5709.1799599999995</v>
      </c>
      <c r="O273" s="90">
        <f t="shared" si="48"/>
        <v>-4201.5011279999999</v>
      </c>
      <c r="P273" s="93">
        <f t="shared" si="49"/>
        <v>-0.42393666900322724</v>
      </c>
      <c r="Q273" s="96"/>
      <c r="R273" s="96"/>
      <c r="T273" s="90">
        <f t="shared" si="43"/>
        <v>95</v>
      </c>
      <c r="U273" s="89">
        <f t="shared" si="44"/>
        <v>103.31428490526316</v>
      </c>
      <c r="V273" s="89">
        <f t="shared" si="45"/>
        <v>64.877044999999995</v>
      </c>
      <c r="W273" s="90">
        <f t="shared" si="50"/>
        <v>6163.3192749999998</v>
      </c>
      <c r="X273" s="93">
        <f t="shared" si="46"/>
        <v>-0.37204187146539547</v>
      </c>
    </row>
    <row r="274" spans="2:24" x14ac:dyDescent="0.25">
      <c r="B274" s="91">
        <v>39748</v>
      </c>
      <c r="C274" s="89">
        <v>85.970000999999996</v>
      </c>
      <c r="D274" s="89">
        <v>89.510002</v>
      </c>
      <c r="E274" s="89">
        <v>83.699996999999996</v>
      </c>
      <c r="F274" s="89">
        <v>83.949996999999996</v>
      </c>
      <c r="G274" s="89">
        <v>62.573807000000002</v>
      </c>
      <c r="H274" s="89">
        <v>397288600</v>
      </c>
      <c r="J274" s="89">
        <v>0</v>
      </c>
      <c r="K274" s="89">
        <f t="shared" si="51"/>
        <v>88</v>
      </c>
      <c r="L274" s="89">
        <f t="shared" si="52"/>
        <v>112.621376</v>
      </c>
      <c r="M274" s="89">
        <f>+SPY__2[[#This Row],[Adj Close]]</f>
        <v>62.573807000000002</v>
      </c>
      <c r="N274" s="89">
        <f t="shared" si="47"/>
        <v>5506.4950159999999</v>
      </c>
      <c r="O274" s="90">
        <f t="shared" si="48"/>
        <v>-4404.1860719999995</v>
      </c>
      <c r="P274" s="93">
        <f t="shared" si="49"/>
        <v>-0.44438783095670931</v>
      </c>
      <c r="Q274" s="96"/>
      <c r="R274" s="96"/>
      <c r="T274" s="90">
        <f t="shared" si="43"/>
        <v>95</v>
      </c>
      <c r="U274" s="89">
        <f t="shared" si="44"/>
        <v>103.31428490526316</v>
      </c>
      <c r="V274" s="89">
        <f t="shared" si="45"/>
        <v>62.573807000000002</v>
      </c>
      <c r="W274" s="90">
        <f t="shared" si="50"/>
        <v>5944.511665</v>
      </c>
      <c r="X274" s="93">
        <f t="shared" si="46"/>
        <v>-0.394335381042624</v>
      </c>
    </row>
    <row r="275" spans="2:24" x14ac:dyDescent="0.25">
      <c r="B275" s="91">
        <v>39749</v>
      </c>
      <c r="C275" s="89">
        <v>87.339995999999999</v>
      </c>
      <c r="D275" s="89">
        <v>94.239998</v>
      </c>
      <c r="E275" s="89">
        <v>84.529999000000004</v>
      </c>
      <c r="F275" s="89">
        <v>93.760002</v>
      </c>
      <c r="G275" s="89">
        <v>69.885886999999997</v>
      </c>
      <c r="H275" s="89">
        <v>639939500</v>
      </c>
      <c r="J275" s="89">
        <v>0</v>
      </c>
      <c r="K275" s="89">
        <f t="shared" si="51"/>
        <v>88</v>
      </c>
      <c r="L275" s="89">
        <f t="shared" si="52"/>
        <v>112.621376</v>
      </c>
      <c r="M275" s="89">
        <f>+SPY__2[[#This Row],[Adj Close]]</f>
        <v>69.885886999999997</v>
      </c>
      <c r="N275" s="89">
        <f t="shared" si="47"/>
        <v>6149.9580559999995</v>
      </c>
      <c r="O275" s="90">
        <f t="shared" si="48"/>
        <v>-3760.7230319999999</v>
      </c>
      <c r="P275" s="93">
        <f t="shared" si="49"/>
        <v>-0.37946161304227011</v>
      </c>
      <c r="Q275" s="96"/>
      <c r="R275" s="96"/>
      <c r="T275" s="90">
        <f t="shared" si="43"/>
        <v>95</v>
      </c>
      <c r="U275" s="89">
        <f t="shared" si="44"/>
        <v>103.31428490526316</v>
      </c>
      <c r="V275" s="89">
        <f t="shared" si="45"/>
        <v>69.885886999999997</v>
      </c>
      <c r="W275" s="90">
        <f t="shared" si="50"/>
        <v>6639.1592649999993</v>
      </c>
      <c r="X275" s="93">
        <f t="shared" si="46"/>
        <v>-0.32356026986893682</v>
      </c>
    </row>
    <row r="276" spans="2:24" x14ac:dyDescent="0.25">
      <c r="B276" s="91">
        <v>39750</v>
      </c>
      <c r="C276" s="89">
        <v>93.769997000000004</v>
      </c>
      <c r="D276" s="89">
        <v>97.169998000000007</v>
      </c>
      <c r="E276" s="89">
        <v>92.099997999999999</v>
      </c>
      <c r="F276" s="89">
        <v>93.080001999999993</v>
      </c>
      <c r="G276" s="89">
        <v>69.379051000000004</v>
      </c>
      <c r="H276" s="89">
        <v>531270100</v>
      </c>
      <c r="J276" s="89">
        <v>0</v>
      </c>
      <c r="K276" s="89">
        <f t="shared" si="51"/>
        <v>88</v>
      </c>
      <c r="L276" s="89">
        <f t="shared" si="52"/>
        <v>112.621376</v>
      </c>
      <c r="M276" s="89">
        <f>+SPY__2[[#This Row],[Adj Close]]</f>
        <v>69.379051000000004</v>
      </c>
      <c r="N276" s="89">
        <f t="shared" si="47"/>
        <v>6105.3564880000004</v>
      </c>
      <c r="O276" s="90">
        <f t="shared" si="48"/>
        <v>-3805.3245999999995</v>
      </c>
      <c r="P276" s="93">
        <f t="shared" si="49"/>
        <v>-0.38396196650980352</v>
      </c>
      <c r="Q276" s="96"/>
      <c r="R276" s="96"/>
      <c r="T276" s="90">
        <f t="shared" si="43"/>
        <v>95</v>
      </c>
      <c r="U276" s="89">
        <f t="shared" si="44"/>
        <v>103.31428490526316</v>
      </c>
      <c r="V276" s="89">
        <f t="shared" si="45"/>
        <v>69.379051000000004</v>
      </c>
      <c r="W276" s="90">
        <f t="shared" si="50"/>
        <v>6591.0098450000005</v>
      </c>
      <c r="X276" s="93">
        <f t="shared" si="46"/>
        <v>-0.328466038712662</v>
      </c>
    </row>
    <row r="277" spans="2:24" x14ac:dyDescent="0.25">
      <c r="B277" s="91">
        <v>39751</v>
      </c>
      <c r="C277" s="89">
        <v>95.779999000000004</v>
      </c>
      <c r="D277" s="89">
        <v>96.540001000000004</v>
      </c>
      <c r="E277" s="89">
        <v>92.900002000000001</v>
      </c>
      <c r="F277" s="89">
        <v>96.300003000000004</v>
      </c>
      <c r="G277" s="89">
        <v>71.779167000000001</v>
      </c>
      <c r="H277" s="89">
        <v>414582100</v>
      </c>
      <c r="J277" s="89">
        <v>0</v>
      </c>
      <c r="K277" s="89">
        <f t="shared" si="51"/>
        <v>88</v>
      </c>
      <c r="L277" s="89">
        <f t="shared" si="52"/>
        <v>112.621376</v>
      </c>
      <c r="M277" s="89">
        <f>+SPY__2[[#This Row],[Adj Close]]</f>
        <v>71.779167000000001</v>
      </c>
      <c r="N277" s="89">
        <f t="shared" si="47"/>
        <v>6316.5666959999999</v>
      </c>
      <c r="O277" s="90">
        <f t="shared" si="48"/>
        <v>-3594.1143919999995</v>
      </c>
      <c r="P277" s="93">
        <f t="shared" si="49"/>
        <v>-0.3626505948568769</v>
      </c>
      <c r="Q277" s="96"/>
      <c r="R277" s="96"/>
      <c r="T277" s="90">
        <f t="shared" si="43"/>
        <v>95</v>
      </c>
      <c r="U277" s="89">
        <f t="shared" si="44"/>
        <v>103.31428490526316</v>
      </c>
      <c r="V277" s="89">
        <f t="shared" si="45"/>
        <v>71.779167000000001</v>
      </c>
      <c r="W277" s="90">
        <f t="shared" si="50"/>
        <v>6819.0208650000004</v>
      </c>
      <c r="X277" s="93">
        <f t="shared" si="46"/>
        <v>-0.30523482724755968</v>
      </c>
    </row>
    <row r="278" spans="2:24" x14ac:dyDescent="0.25">
      <c r="B278" s="91">
        <v>39752</v>
      </c>
      <c r="C278" s="89">
        <v>95.080001999999993</v>
      </c>
      <c r="D278" s="89">
        <v>98.57</v>
      </c>
      <c r="E278" s="89">
        <v>94.480002999999996</v>
      </c>
      <c r="F278" s="89">
        <v>96.830001999999993</v>
      </c>
      <c r="G278" s="89">
        <v>72.174178999999995</v>
      </c>
      <c r="H278" s="89">
        <v>411394000</v>
      </c>
      <c r="J278" s="89">
        <v>0</v>
      </c>
      <c r="K278" s="89">
        <f t="shared" si="51"/>
        <v>88</v>
      </c>
      <c r="L278" s="89">
        <f t="shared" si="52"/>
        <v>112.621376</v>
      </c>
      <c r="M278" s="89">
        <f>+SPY__2[[#This Row],[Adj Close]]</f>
        <v>72.174178999999995</v>
      </c>
      <c r="N278" s="89">
        <f t="shared" si="47"/>
        <v>6351.3277519999992</v>
      </c>
      <c r="O278" s="90">
        <f t="shared" si="48"/>
        <v>-3559.3533360000001</v>
      </c>
      <c r="P278" s="93">
        <f t="shared" si="49"/>
        <v>-0.35914316124143253</v>
      </c>
      <c r="Q278" s="96"/>
      <c r="R278" s="96"/>
      <c r="T278" s="90">
        <f t="shared" si="43"/>
        <v>95</v>
      </c>
      <c r="U278" s="89">
        <f t="shared" si="44"/>
        <v>103.31428490526316</v>
      </c>
      <c r="V278" s="89">
        <f t="shared" si="45"/>
        <v>72.174178999999995</v>
      </c>
      <c r="W278" s="90">
        <f t="shared" si="50"/>
        <v>6856.5470049999994</v>
      </c>
      <c r="X278" s="93">
        <f t="shared" si="46"/>
        <v>-0.3014114256689473</v>
      </c>
    </row>
    <row r="279" spans="2:24" x14ac:dyDescent="0.25">
      <c r="B279" s="91">
        <v>39755</v>
      </c>
      <c r="C279" s="89">
        <v>96.779999000000004</v>
      </c>
      <c r="D279" s="89">
        <v>97.690002000000007</v>
      </c>
      <c r="E279" s="89">
        <v>95.949996999999996</v>
      </c>
      <c r="F279" s="89">
        <v>97.110000999999997</v>
      </c>
      <c r="G279" s="89">
        <v>72.382889000000006</v>
      </c>
      <c r="H279" s="89">
        <v>205419400</v>
      </c>
      <c r="J279" s="89">
        <v>0</v>
      </c>
      <c r="K279" s="89">
        <f t="shared" si="51"/>
        <v>88</v>
      </c>
      <c r="L279" s="89">
        <f t="shared" si="52"/>
        <v>112.621376</v>
      </c>
      <c r="M279" s="89">
        <f>+SPY__2[[#This Row],[Adj Close]]</f>
        <v>72.382889000000006</v>
      </c>
      <c r="N279" s="89">
        <f t="shared" si="47"/>
        <v>6369.6942320000007</v>
      </c>
      <c r="O279" s="90">
        <f t="shared" si="48"/>
        <v>-3540.9868559999995</v>
      </c>
      <c r="P279" s="93">
        <f t="shared" si="49"/>
        <v>-0.35728996065542651</v>
      </c>
      <c r="Q279" s="96"/>
      <c r="R279" s="96"/>
      <c r="T279" s="90">
        <f t="shared" si="43"/>
        <v>95</v>
      </c>
      <c r="U279" s="89">
        <f t="shared" si="44"/>
        <v>103.31428490526316</v>
      </c>
      <c r="V279" s="89">
        <f t="shared" si="45"/>
        <v>72.382889000000006</v>
      </c>
      <c r="W279" s="90">
        <f t="shared" si="50"/>
        <v>6876.3744550000001</v>
      </c>
      <c r="X279" s="93">
        <f t="shared" si="46"/>
        <v>-0.29939127908233154</v>
      </c>
    </row>
    <row r="280" spans="2:24" x14ac:dyDescent="0.25">
      <c r="B280" s="91">
        <v>39756</v>
      </c>
      <c r="C280" s="89">
        <v>99.059997999999993</v>
      </c>
      <c r="D280" s="89">
        <v>100.860001</v>
      </c>
      <c r="E280" s="89">
        <v>96.709998999999996</v>
      </c>
      <c r="F280" s="89">
        <v>100.410004</v>
      </c>
      <c r="G280" s="89">
        <v>74.842606000000004</v>
      </c>
      <c r="H280" s="89">
        <v>346793400</v>
      </c>
      <c r="J280" s="89">
        <v>0</v>
      </c>
      <c r="K280" s="89">
        <f t="shared" si="51"/>
        <v>88</v>
      </c>
      <c r="L280" s="89">
        <f t="shared" si="52"/>
        <v>112.621376</v>
      </c>
      <c r="M280" s="89">
        <f>+SPY__2[[#This Row],[Adj Close]]</f>
        <v>74.842606000000004</v>
      </c>
      <c r="N280" s="89">
        <f t="shared" si="47"/>
        <v>6586.1493280000004</v>
      </c>
      <c r="O280" s="90">
        <f t="shared" si="48"/>
        <v>-3324.5317599999994</v>
      </c>
      <c r="P280" s="93">
        <f t="shared" si="49"/>
        <v>-0.33544937330547264</v>
      </c>
      <c r="Q280" s="96"/>
      <c r="R280" s="96"/>
      <c r="T280" s="90">
        <f t="shared" si="43"/>
        <v>95</v>
      </c>
      <c r="U280" s="89">
        <f t="shared" si="44"/>
        <v>103.31428490526316</v>
      </c>
      <c r="V280" s="89">
        <f t="shared" si="45"/>
        <v>74.842606000000004</v>
      </c>
      <c r="W280" s="90">
        <f t="shared" si="50"/>
        <v>7110.0475700000006</v>
      </c>
      <c r="X280" s="93">
        <f t="shared" si="46"/>
        <v>-0.2755831774025348</v>
      </c>
    </row>
    <row r="281" spans="2:24" x14ac:dyDescent="0.25">
      <c r="B281" s="91">
        <v>39757</v>
      </c>
      <c r="C281" s="89">
        <v>99.199996999999996</v>
      </c>
      <c r="D281" s="89">
        <v>100.709999</v>
      </c>
      <c r="E281" s="89">
        <v>95</v>
      </c>
      <c r="F281" s="89">
        <v>96.190002000000007</v>
      </c>
      <c r="G281" s="89">
        <v>71.697174000000004</v>
      </c>
      <c r="H281" s="89">
        <v>387844100</v>
      </c>
      <c r="J281" s="89">
        <v>0</v>
      </c>
      <c r="K281" s="89">
        <f t="shared" si="51"/>
        <v>88</v>
      </c>
      <c r="L281" s="89">
        <f t="shared" si="52"/>
        <v>112.621376</v>
      </c>
      <c r="M281" s="89">
        <f>+SPY__2[[#This Row],[Adj Close]]</f>
        <v>71.697174000000004</v>
      </c>
      <c r="N281" s="89">
        <f t="shared" si="47"/>
        <v>6309.3513120000007</v>
      </c>
      <c r="O281" s="90">
        <f t="shared" si="48"/>
        <v>-3601.3297759999996</v>
      </c>
      <c r="P281" s="93">
        <f t="shared" si="49"/>
        <v>-0.36337863604152731</v>
      </c>
      <c r="Q281" s="96"/>
      <c r="R281" s="96"/>
      <c r="T281" s="90">
        <f t="shared" si="43"/>
        <v>95</v>
      </c>
      <c r="U281" s="89">
        <f t="shared" si="44"/>
        <v>103.31428490526316</v>
      </c>
      <c r="V281" s="89">
        <f t="shared" si="45"/>
        <v>71.697174000000004</v>
      </c>
      <c r="W281" s="90">
        <f t="shared" si="50"/>
        <v>6811.23153</v>
      </c>
      <c r="X281" s="93">
        <f t="shared" si="46"/>
        <v>-0.306028454189615</v>
      </c>
    </row>
    <row r="282" spans="2:24" x14ac:dyDescent="0.25">
      <c r="B282" s="91">
        <v>39758</v>
      </c>
      <c r="C282" s="89">
        <v>94.459998999999996</v>
      </c>
      <c r="D282" s="89">
        <v>95.440002000000007</v>
      </c>
      <c r="E282" s="89">
        <v>90.059997999999993</v>
      </c>
      <c r="F282" s="89">
        <v>90.860000999999997</v>
      </c>
      <c r="G282" s="89">
        <v>67.724327000000002</v>
      </c>
      <c r="H282" s="89">
        <v>477721900</v>
      </c>
      <c r="J282" s="89">
        <v>0</v>
      </c>
      <c r="K282" s="89">
        <f t="shared" si="51"/>
        <v>88</v>
      </c>
      <c r="L282" s="89">
        <f t="shared" si="52"/>
        <v>112.621376</v>
      </c>
      <c r="M282" s="89">
        <f>+SPY__2[[#This Row],[Adj Close]]</f>
        <v>67.724327000000002</v>
      </c>
      <c r="N282" s="89">
        <f t="shared" si="47"/>
        <v>5959.7407760000006</v>
      </c>
      <c r="O282" s="90">
        <f t="shared" si="48"/>
        <v>-3950.9403119999997</v>
      </c>
      <c r="P282" s="93">
        <f t="shared" si="49"/>
        <v>-0.39865477225211665</v>
      </c>
      <c r="Q282" s="96"/>
      <c r="R282" s="96"/>
      <c r="T282" s="90">
        <f t="shared" si="43"/>
        <v>95</v>
      </c>
      <c r="U282" s="89">
        <f t="shared" si="44"/>
        <v>103.31428490526316</v>
      </c>
      <c r="V282" s="89">
        <f t="shared" si="45"/>
        <v>67.724327000000002</v>
      </c>
      <c r="W282" s="90">
        <f t="shared" si="50"/>
        <v>6433.8110649999999</v>
      </c>
      <c r="X282" s="93">
        <f t="shared" si="46"/>
        <v>-0.34448244923631177</v>
      </c>
    </row>
    <row r="283" spans="2:24" x14ac:dyDescent="0.25">
      <c r="B283" s="91">
        <v>39759</v>
      </c>
      <c r="C283" s="89">
        <v>91.650002000000001</v>
      </c>
      <c r="D283" s="89">
        <v>94</v>
      </c>
      <c r="E283" s="89">
        <v>90.5</v>
      </c>
      <c r="F283" s="89">
        <v>93.860000999999997</v>
      </c>
      <c r="G283" s="89">
        <v>69.960425999999998</v>
      </c>
      <c r="H283" s="89">
        <v>380391000</v>
      </c>
      <c r="J283" s="89">
        <v>0</v>
      </c>
      <c r="K283" s="89">
        <f t="shared" si="51"/>
        <v>88</v>
      </c>
      <c r="L283" s="89">
        <f t="shared" si="52"/>
        <v>112.621376</v>
      </c>
      <c r="M283" s="89">
        <f>+SPY__2[[#This Row],[Adj Close]]</f>
        <v>69.960425999999998</v>
      </c>
      <c r="N283" s="89">
        <f t="shared" si="47"/>
        <v>6156.5174879999995</v>
      </c>
      <c r="O283" s="90">
        <f t="shared" si="48"/>
        <v>-3754.1635999999999</v>
      </c>
      <c r="P283" s="93">
        <f t="shared" si="49"/>
        <v>-0.37879975822707046</v>
      </c>
      <c r="Q283" s="96"/>
      <c r="R283" s="96"/>
      <c r="T283" s="90">
        <f t="shared" si="43"/>
        <v>95</v>
      </c>
      <c r="U283" s="89">
        <f t="shared" si="44"/>
        <v>103.31428490526316</v>
      </c>
      <c r="V283" s="89">
        <f t="shared" si="45"/>
        <v>69.960425999999998</v>
      </c>
      <c r="W283" s="90">
        <f t="shared" si="50"/>
        <v>6646.2404699999997</v>
      </c>
      <c r="X283" s="93">
        <f t="shared" si="46"/>
        <v>-0.32283879171063223</v>
      </c>
    </row>
    <row r="284" spans="2:24" x14ac:dyDescent="0.25">
      <c r="B284" s="91">
        <v>39762</v>
      </c>
      <c r="C284" s="89">
        <v>95.209998999999996</v>
      </c>
      <c r="D284" s="89">
        <v>95.529999000000004</v>
      </c>
      <c r="E284" s="89">
        <v>90.919998000000007</v>
      </c>
      <c r="F284" s="89">
        <v>92.629997000000003</v>
      </c>
      <c r="G284" s="89">
        <v>69.043639999999996</v>
      </c>
      <c r="H284" s="89">
        <v>301773000</v>
      </c>
      <c r="J284" s="89">
        <v>0</v>
      </c>
      <c r="K284" s="89">
        <f t="shared" si="51"/>
        <v>88</v>
      </c>
      <c r="L284" s="89">
        <f t="shared" si="52"/>
        <v>112.621376</v>
      </c>
      <c r="M284" s="89">
        <f>+SPY__2[[#This Row],[Adj Close]]</f>
        <v>69.043639999999996</v>
      </c>
      <c r="N284" s="89">
        <f t="shared" si="47"/>
        <v>6075.8403199999993</v>
      </c>
      <c r="O284" s="90">
        <f t="shared" si="48"/>
        <v>-3834.840768</v>
      </c>
      <c r="P284" s="93">
        <f t="shared" si="49"/>
        <v>-0.38694018442822087</v>
      </c>
      <c r="Q284" s="96"/>
      <c r="R284" s="96"/>
      <c r="T284" s="90">
        <f t="shared" si="43"/>
        <v>95</v>
      </c>
      <c r="U284" s="89">
        <f t="shared" si="44"/>
        <v>103.31428490526316</v>
      </c>
      <c r="V284" s="89">
        <f t="shared" si="45"/>
        <v>69.043639999999996</v>
      </c>
      <c r="W284" s="90">
        <f t="shared" si="50"/>
        <v>6559.1457999999993</v>
      </c>
      <c r="X284" s="93">
        <f t="shared" si="46"/>
        <v>-0.33171255007658007</v>
      </c>
    </row>
    <row r="285" spans="2:24" x14ac:dyDescent="0.25">
      <c r="B285" s="91">
        <v>39763</v>
      </c>
      <c r="C285" s="89">
        <v>90.760002</v>
      </c>
      <c r="D285" s="89">
        <v>92.139999000000003</v>
      </c>
      <c r="E285" s="89">
        <v>88.650002000000001</v>
      </c>
      <c r="F285" s="89">
        <v>89.769997000000004</v>
      </c>
      <c r="G285" s="89">
        <v>66.911865000000006</v>
      </c>
      <c r="H285" s="89">
        <v>418498200</v>
      </c>
      <c r="J285" s="89">
        <v>0</v>
      </c>
      <c r="K285" s="89">
        <f t="shared" si="51"/>
        <v>88</v>
      </c>
      <c r="L285" s="89">
        <f t="shared" si="52"/>
        <v>112.621376</v>
      </c>
      <c r="M285" s="89">
        <f>+SPY__2[[#This Row],[Adj Close]]</f>
        <v>66.911865000000006</v>
      </c>
      <c r="N285" s="89">
        <f t="shared" si="47"/>
        <v>5888.2441200000003</v>
      </c>
      <c r="O285" s="90">
        <f t="shared" si="48"/>
        <v>-4022.4369679999991</v>
      </c>
      <c r="P285" s="93">
        <f t="shared" si="49"/>
        <v>-0.40586887341884359</v>
      </c>
      <c r="Q285" s="96"/>
      <c r="R285" s="96"/>
      <c r="T285" s="90">
        <f t="shared" si="43"/>
        <v>95</v>
      </c>
      <c r="U285" s="89">
        <f t="shared" si="44"/>
        <v>103.31428490526316</v>
      </c>
      <c r="V285" s="89">
        <f t="shared" si="45"/>
        <v>66.911865000000006</v>
      </c>
      <c r="W285" s="90">
        <f t="shared" si="50"/>
        <v>6356.6271750000005</v>
      </c>
      <c r="X285" s="93">
        <f t="shared" si="46"/>
        <v>-0.35234643436426383</v>
      </c>
    </row>
    <row r="286" spans="2:24" x14ac:dyDescent="0.25">
      <c r="B286" s="91">
        <v>39764</v>
      </c>
      <c r="C286" s="89">
        <v>88.230002999999996</v>
      </c>
      <c r="D286" s="89">
        <v>88.949996999999996</v>
      </c>
      <c r="E286" s="89">
        <v>85.120002999999997</v>
      </c>
      <c r="F286" s="89">
        <v>85.82</v>
      </c>
      <c r="G286" s="89">
        <v>63.967666999999999</v>
      </c>
      <c r="H286" s="89">
        <v>454330600</v>
      </c>
      <c r="J286" s="89">
        <v>0</v>
      </c>
      <c r="K286" s="89">
        <f t="shared" si="51"/>
        <v>88</v>
      </c>
      <c r="L286" s="89">
        <f t="shared" si="52"/>
        <v>112.621376</v>
      </c>
      <c r="M286" s="89">
        <f>+SPY__2[[#This Row],[Adj Close]]</f>
        <v>63.967666999999999</v>
      </c>
      <c r="N286" s="89">
        <f t="shared" si="47"/>
        <v>5629.1546959999996</v>
      </c>
      <c r="O286" s="90">
        <f t="shared" si="48"/>
        <v>-4281.5263919999998</v>
      </c>
      <c r="P286" s="93">
        <f t="shared" si="49"/>
        <v>-0.43201131728314168</v>
      </c>
      <c r="Q286" s="96"/>
      <c r="R286" s="96"/>
      <c r="T286" s="90">
        <f t="shared" si="43"/>
        <v>95</v>
      </c>
      <c r="U286" s="89">
        <f t="shared" si="44"/>
        <v>103.31428490526316</v>
      </c>
      <c r="V286" s="89">
        <f t="shared" si="45"/>
        <v>63.967666999999999</v>
      </c>
      <c r="W286" s="90">
        <f t="shared" si="50"/>
        <v>6076.9283649999998</v>
      </c>
      <c r="X286" s="93">
        <f t="shared" si="46"/>
        <v>-0.38084392629095887</v>
      </c>
    </row>
    <row r="287" spans="2:24" x14ac:dyDescent="0.25">
      <c r="B287" s="91">
        <v>39765</v>
      </c>
      <c r="C287" s="89">
        <v>86.129997000000003</v>
      </c>
      <c r="D287" s="89">
        <v>91.730002999999996</v>
      </c>
      <c r="E287" s="89">
        <v>82.089995999999999</v>
      </c>
      <c r="F287" s="89">
        <v>91.169998000000007</v>
      </c>
      <c r="G287" s="89">
        <v>67.955376000000001</v>
      </c>
      <c r="H287" s="89">
        <v>753141900</v>
      </c>
      <c r="J287" s="89">
        <v>0</v>
      </c>
      <c r="K287" s="89">
        <f t="shared" si="51"/>
        <v>88</v>
      </c>
      <c r="L287" s="89">
        <f t="shared" si="52"/>
        <v>112.621376</v>
      </c>
      <c r="M287" s="89">
        <f>+SPY__2[[#This Row],[Adj Close]]</f>
        <v>67.955376000000001</v>
      </c>
      <c r="N287" s="89">
        <f t="shared" si="47"/>
        <v>5980.0730880000001</v>
      </c>
      <c r="O287" s="90">
        <f t="shared" si="48"/>
        <v>-3930.6079999999997</v>
      </c>
      <c r="P287" s="93">
        <f t="shared" si="49"/>
        <v>-0.39660321678186561</v>
      </c>
      <c r="Q287" s="96"/>
      <c r="R287" s="96"/>
      <c r="T287" s="90">
        <f t="shared" si="43"/>
        <v>95</v>
      </c>
      <c r="U287" s="89">
        <f t="shared" si="44"/>
        <v>103.31428490526316</v>
      </c>
      <c r="V287" s="89">
        <f t="shared" si="45"/>
        <v>67.955376000000001</v>
      </c>
      <c r="W287" s="90">
        <f t="shared" si="50"/>
        <v>6455.7607200000002</v>
      </c>
      <c r="X287" s="93">
        <f t="shared" si="46"/>
        <v>-0.34224607892012682</v>
      </c>
    </row>
    <row r="288" spans="2:24" x14ac:dyDescent="0.25">
      <c r="B288" s="91">
        <v>39766</v>
      </c>
      <c r="C288" s="89">
        <v>89.410004000000001</v>
      </c>
      <c r="D288" s="89">
        <v>92.059997999999993</v>
      </c>
      <c r="E288" s="89">
        <v>86.519997000000004</v>
      </c>
      <c r="F288" s="89">
        <v>86.620002999999997</v>
      </c>
      <c r="G288" s="89">
        <v>64.563950000000006</v>
      </c>
      <c r="H288" s="89">
        <v>540352300</v>
      </c>
      <c r="J288" s="89">
        <v>0</v>
      </c>
      <c r="K288" s="89">
        <f t="shared" si="51"/>
        <v>88</v>
      </c>
      <c r="L288" s="89">
        <f t="shared" si="52"/>
        <v>112.621376</v>
      </c>
      <c r="M288" s="89">
        <f>+SPY__2[[#This Row],[Adj Close]]</f>
        <v>64.563950000000006</v>
      </c>
      <c r="N288" s="89">
        <f t="shared" si="47"/>
        <v>5681.6276000000007</v>
      </c>
      <c r="O288" s="90">
        <f t="shared" si="48"/>
        <v>-4229.0534879999996</v>
      </c>
      <c r="P288" s="93">
        <f t="shared" si="49"/>
        <v>-0.42671673626150686</v>
      </c>
      <c r="Q288" s="96"/>
      <c r="R288" s="96"/>
      <c r="T288" s="90">
        <f t="shared" si="43"/>
        <v>95</v>
      </c>
      <c r="U288" s="89">
        <f t="shared" si="44"/>
        <v>103.31428490526316</v>
      </c>
      <c r="V288" s="89">
        <f t="shared" si="45"/>
        <v>64.563950000000006</v>
      </c>
      <c r="W288" s="90">
        <f t="shared" si="50"/>
        <v>6133.5752500000008</v>
      </c>
      <c r="X288" s="93">
        <f t="shared" si="46"/>
        <v>-0.37507238172142721</v>
      </c>
    </row>
    <row r="289" spans="2:24" x14ac:dyDescent="0.25">
      <c r="B289" s="91">
        <v>39769</v>
      </c>
      <c r="C289" s="89">
        <v>86.379997000000003</v>
      </c>
      <c r="D289" s="89">
        <v>88.559997999999993</v>
      </c>
      <c r="E289" s="89">
        <v>85.160004000000001</v>
      </c>
      <c r="F289" s="89">
        <v>85.470000999999996</v>
      </c>
      <c r="G289" s="89">
        <v>63.706795</v>
      </c>
      <c r="H289" s="89">
        <v>415254900</v>
      </c>
      <c r="J289" s="89">
        <v>0</v>
      </c>
      <c r="K289" s="89">
        <f t="shared" si="51"/>
        <v>88</v>
      </c>
      <c r="L289" s="89">
        <f t="shared" si="52"/>
        <v>112.621376</v>
      </c>
      <c r="M289" s="89">
        <f>+SPY__2[[#This Row],[Adj Close]]</f>
        <v>63.706795</v>
      </c>
      <c r="N289" s="89">
        <f t="shared" si="47"/>
        <v>5606.1979599999995</v>
      </c>
      <c r="O289" s="90">
        <f t="shared" si="48"/>
        <v>-4304.4831279999999</v>
      </c>
      <c r="P289" s="93">
        <f t="shared" si="49"/>
        <v>-0.43432768038635938</v>
      </c>
      <c r="Q289" s="96"/>
      <c r="R289" s="96"/>
      <c r="T289" s="90">
        <f t="shared" si="43"/>
        <v>95</v>
      </c>
      <c r="U289" s="89">
        <f t="shared" si="44"/>
        <v>103.31428490526316</v>
      </c>
      <c r="V289" s="89">
        <f t="shared" si="45"/>
        <v>63.706795</v>
      </c>
      <c r="W289" s="90">
        <f t="shared" si="50"/>
        <v>6052.1455249999999</v>
      </c>
      <c r="X289" s="93">
        <f t="shared" si="46"/>
        <v>-0.38336895949657235</v>
      </c>
    </row>
    <row r="290" spans="2:24" x14ac:dyDescent="0.25">
      <c r="B290" s="91">
        <v>39770</v>
      </c>
      <c r="C290" s="89">
        <v>85.150002000000001</v>
      </c>
      <c r="D290" s="89">
        <v>87.220000999999996</v>
      </c>
      <c r="E290" s="89">
        <v>82.910004000000001</v>
      </c>
      <c r="F290" s="89">
        <v>87.080001999999993</v>
      </c>
      <c r="G290" s="89">
        <v>64.906822000000005</v>
      </c>
      <c r="H290" s="89">
        <v>523811800</v>
      </c>
      <c r="J290" s="89">
        <v>0</v>
      </c>
      <c r="K290" s="89">
        <f t="shared" si="51"/>
        <v>88</v>
      </c>
      <c r="L290" s="89">
        <f t="shared" si="52"/>
        <v>112.621376</v>
      </c>
      <c r="M290" s="89">
        <f>+SPY__2[[#This Row],[Adj Close]]</f>
        <v>64.906822000000005</v>
      </c>
      <c r="N290" s="89">
        <f t="shared" si="47"/>
        <v>5711.8003360000002</v>
      </c>
      <c r="O290" s="90">
        <f t="shared" si="48"/>
        <v>-4198.8807519999991</v>
      </c>
      <c r="P290" s="93">
        <f t="shared" si="49"/>
        <v>-0.42367226981847561</v>
      </c>
      <c r="Q290" s="96"/>
      <c r="R290" s="96"/>
      <c r="T290" s="90">
        <f t="shared" si="43"/>
        <v>95</v>
      </c>
      <c r="U290" s="89">
        <f t="shared" si="44"/>
        <v>103.31428490526316</v>
      </c>
      <c r="V290" s="89">
        <f t="shared" si="45"/>
        <v>64.906822000000005</v>
      </c>
      <c r="W290" s="90">
        <f t="shared" si="50"/>
        <v>6166.1480900000006</v>
      </c>
      <c r="X290" s="93">
        <f t="shared" si="46"/>
        <v>-0.37175365381933312</v>
      </c>
    </row>
    <row r="291" spans="2:24" x14ac:dyDescent="0.25">
      <c r="B291" s="91">
        <v>39771</v>
      </c>
      <c r="C291" s="89">
        <v>85.910004000000001</v>
      </c>
      <c r="D291" s="89">
        <v>86.870002999999997</v>
      </c>
      <c r="E291" s="89">
        <v>80.919998000000007</v>
      </c>
      <c r="F291" s="89">
        <v>81.5</v>
      </c>
      <c r="G291" s="89">
        <v>60.74765</v>
      </c>
      <c r="H291" s="89">
        <v>558327600</v>
      </c>
      <c r="J291" s="89">
        <v>0</v>
      </c>
      <c r="K291" s="89">
        <f t="shared" si="51"/>
        <v>88</v>
      </c>
      <c r="L291" s="89">
        <f t="shared" si="52"/>
        <v>112.621376</v>
      </c>
      <c r="M291" s="89">
        <f>+SPY__2[[#This Row],[Adj Close]]</f>
        <v>60.74765</v>
      </c>
      <c r="N291" s="89">
        <f t="shared" si="47"/>
        <v>5345.7932000000001</v>
      </c>
      <c r="O291" s="90">
        <f t="shared" si="48"/>
        <v>-4564.8878880000002</v>
      </c>
      <c r="P291" s="93">
        <f t="shared" si="49"/>
        <v>-0.46060284328261092</v>
      </c>
      <c r="Q291" s="96"/>
      <c r="R291" s="96"/>
      <c r="T291" s="90">
        <f t="shared" si="43"/>
        <v>95</v>
      </c>
      <c r="U291" s="89">
        <f t="shared" si="44"/>
        <v>103.31428490526316</v>
      </c>
      <c r="V291" s="89">
        <f t="shared" si="45"/>
        <v>60.74765</v>
      </c>
      <c r="W291" s="90">
        <f t="shared" si="50"/>
        <v>5771.02675</v>
      </c>
      <c r="X291" s="93">
        <f t="shared" si="46"/>
        <v>-0.41201112647970983</v>
      </c>
    </row>
    <row r="292" spans="2:24" x14ac:dyDescent="0.25">
      <c r="B292" s="91">
        <v>39772</v>
      </c>
      <c r="C292" s="89">
        <v>80.129997000000003</v>
      </c>
      <c r="D292" s="89">
        <v>82.510002</v>
      </c>
      <c r="E292" s="89">
        <v>75.050003000000004</v>
      </c>
      <c r="F292" s="89">
        <v>75.449996999999996</v>
      </c>
      <c r="G292" s="89">
        <v>56.238163</v>
      </c>
      <c r="H292" s="89">
        <v>814180400</v>
      </c>
      <c r="J292" s="89">
        <v>0</v>
      </c>
      <c r="K292" s="89">
        <f t="shared" si="51"/>
        <v>88</v>
      </c>
      <c r="L292" s="89">
        <f t="shared" si="52"/>
        <v>112.621376</v>
      </c>
      <c r="M292" s="89">
        <f>+SPY__2[[#This Row],[Adj Close]]</f>
        <v>56.238163</v>
      </c>
      <c r="N292" s="89">
        <f t="shared" si="47"/>
        <v>4948.9583439999997</v>
      </c>
      <c r="O292" s="90">
        <f t="shared" si="48"/>
        <v>-4961.7227439999997</v>
      </c>
      <c r="P292" s="93">
        <f t="shared" si="49"/>
        <v>-0.50064397188682896</v>
      </c>
      <c r="Q292" s="96"/>
      <c r="R292" s="96"/>
      <c r="T292" s="90">
        <f t="shared" si="43"/>
        <v>95</v>
      </c>
      <c r="U292" s="89">
        <f t="shared" si="44"/>
        <v>103.31428490526316</v>
      </c>
      <c r="V292" s="89">
        <f t="shared" si="45"/>
        <v>56.238163</v>
      </c>
      <c r="W292" s="90">
        <f t="shared" si="50"/>
        <v>5342.6254849999996</v>
      </c>
      <c r="X292" s="93">
        <f t="shared" si="46"/>
        <v>-0.45565936935469176</v>
      </c>
    </row>
    <row r="293" spans="2:24" x14ac:dyDescent="0.25">
      <c r="B293" s="91">
        <v>39773</v>
      </c>
      <c r="C293" s="89">
        <v>77.459998999999996</v>
      </c>
      <c r="D293" s="89">
        <v>80.900002000000001</v>
      </c>
      <c r="E293" s="89">
        <v>74.339995999999999</v>
      </c>
      <c r="F293" s="89">
        <v>79.519997000000004</v>
      </c>
      <c r="G293" s="89">
        <v>59.271824000000002</v>
      </c>
      <c r="H293" s="89">
        <v>718536500</v>
      </c>
      <c r="J293" s="89">
        <v>0</v>
      </c>
      <c r="K293" s="89">
        <f t="shared" si="51"/>
        <v>88</v>
      </c>
      <c r="L293" s="89">
        <f t="shared" si="52"/>
        <v>112.621376</v>
      </c>
      <c r="M293" s="89">
        <f>+SPY__2[[#This Row],[Adj Close]]</f>
        <v>59.271824000000002</v>
      </c>
      <c r="N293" s="89">
        <f t="shared" si="47"/>
        <v>5215.9205120000006</v>
      </c>
      <c r="O293" s="90">
        <f t="shared" si="48"/>
        <v>-4694.7605759999997</v>
      </c>
      <c r="P293" s="93">
        <f t="shared" si="49"/>
        <v>-0.4737071583994853</v>
      </c>
      <c r="Q293" s="96"/>
      <c r="R293" s="96"/>
      <c r="T293" s="90">
        <f t="shared" si="43"/>
        <v>95</v>
      </c>
      <c r="U293" s="89">
        <f t="shared" si="44"/>
        <v>103.31428490526316</v>
      </c>
      <c r="V293" s="89">
        <f t="shared" si="45"/>
        <v>59.271824000000002</v>
      </c>
      <c r="W293" s="90">
        <f t="shared" si="50"/>
        <v>5630.8232800000005</v>
      </c>
      <c r="X293" s="93">
        <f t="shared" si="46"/>
        <v>-0.42629594683493277</v>
      </c>
    </row>
    <row r="294" spans="2:24" x14ac:dyDescent="0.25">
      <c r="B294" s="91">
        <v>39776</v>
      </c>
      <c r="C294" s="89">
        <v>81.919998000000007</v>
      </c>
      <c r="D294" s="89">
        <v>86.989998</v>
      </c>
      <c r="E294" s="89">
        <v>80.360000999999997</v>
      </c>
      <c r="F294" s="89">
        <v>85.029999000000004</v>
      </c>
      <c r="G294" s="89">
        <v>63.378802999999998</v>
      </c>
      <c r="H294" s="89">
        <v>523305300</v>
      </c>
      <c r="J294" s="89">
        <v>0</v>
      </c>
      <c r="K294" s="89">
        <f t="shared" si="51"/>
        <v>88</v>
      </c>
      <c r="L294" s="89">
        <f t="shared" si="52"/>
        <v>112.621376</v>
      </c>
      <c r="M294" s="89">
        <f>+SPY__2[[#This Row],[Adj Close]]</f>
        <v>63.378802999999998</v>
      </c>
      <c r="N294" s="89">
        <f t="shared" si="47"/>
        <v>5577.334664</v>
      </c>
      <c r="O294" s="90">
        <f t="shared" si="48"/>
        <v>-4333.3464240000003</v>
      </c>
      <c r="P294" s="93">
        <f t="shared" si="49"/>
        <v>-0.43724002271114148</v>
      </c>
      <c r="Q294" s="96"/>
      <c r="R294" s="96"/>
      <c r="T294" s="90">
        <f t="shared" si="43"/>
        <v>95</v>
      </c>
      <c r="U294" s="89">
        <f t="shared" si="44"/>
        <v>103.31428490526316</v>
      </c>
      <c r="V294" s="89">
        <f t="shared" si="45"/>
        <v>63.378802999999998</v>
      </c>
      <c r="W294" s="90">
        <f t="shared" si="50"/>
        <v>6020.986285</v>
      </c>
      <c r="X294" s="93">
        <f t="shared" si="46"/>
        <v>-0.38654366084886604</v>
      </c>
    </row>
    <row r="295" spans="2:24" x14ac:dyDescent="0.25">
      <c r="B295" s="91">
        <v>39777</v>
      </c>
      <c r="C295" s="89">
        <v>87.300003000000004</v>
      </c>
      <c r="D295" s="89">
        <v>87.510002</v>
      </c>
      <c r="E295" s="89">
        <v>83.82</v>
      </c>
      <c r="F295" s="89">
        <v>85.660004000000001</v>
      </c>
      <c r="G295" s="89">
        <v>63.848412000000003</v>
      </c>
      <c r="H295" s="89">
        <v>454112400</v>
      </c>
      <c r="J295" s="89">
        <v>0</v>
      </c>
      <c r="K295" s="89">
        <f t="shared" si="51"/>
        <v>88</v>
      </c>
      <c r="L295" s="89">
        <f t="shared" si="52"/>
        <v>112.621376</v>
      </c>
      <c r="M295" s="89">
        <f>+SPY__2[[#This Row],[Adj Close]]</f>
        <v>63.848412000000003</v>
      </c>
      <c r="N295" s="89">
        <f t="shared" si="47"/>
        <v>5618.6602560000001</v>
      </c>
      <c r="O295" s="90">
        <f t="shared" si="48"/>
        <v>-4292.0208319999992</v>
      </c>
      <c r="P295" s="93">
        <f t="shared" si="49"/>
        <v>-0.43307021928057421</v>
      </c>
      <c r="Q295" s="96"/>
      <c r="R295" s="96"/>
      <c r="T295" s="90">
        <f t="shared" si="43"/>
        <v>95</v>
      </c>
      <c r="U295" s="89">
        <f t="shared" si="44"/>
        <v>103.31428490526316</v>
      </c>
      <c r="V295" s="89">
        <f t="shared" si="45"/>
        <v>63.848412000000003</v>
      </c>
      <c r="W295" s="90">
        <f t="shared" si="50"/>
        <v>6065.5991400000003</v>
      </c>
      <c r="X295" s="93">
        <f t="shared" si="46"/>
        <v>-0.3819982197181393</v>
      </c>
    </row>
    <row r="296" spans="2:24" x14ac:dyDescent="0.25">
      <c r="B296" s="91">
        <v>39778</v>
      </c>
      <c r="C296" s="89">
        <v>84.300003000000004</v>
      </c>
      <c r="D296" s="89">
        <v>89.190002000000007</v>
      </c>
      <c r="E296" s="89">
        <v>84.239998</v>
      </c>
      <c r="F296" s="89">
        <v>88.970000999999996</v>
      </c>
      <c r="G296" s="89">
        <v>66.315567000000001</v>
      </c>
      <c r="H296" s="89">
        <v>370134200</v>
      </c>
      <c r="J296" s="89">
        <v>0</v>
      </c>
      <c r="K296" s="89">
        <f t="shared" si="51"/>
        <v>88</v>
      </c>
      <c r="L296" s="89">
        <f t="shared" si="52"/>
        <v>112.621376</v>
      </c>
      <c r="M296" s="89">
        <f>+SPY__2[[#This Row],[Adj Close]]</f>
        <v>66.315567000000001</v>
      </c>
      <c r="N296" s="89">
        <f t="shared" si="47"/>
        <v>5835.7698959999998</v>
      </c>
      <c r="O296" s="90">
        <f t="shared" si="48"/>
        <v>-4074.9111919999996</v>
      </c>
      <c r="P296" s="93">
        <f t="shared" si="49"/>
        <v>-0.41116358763011385</v>
      </c>
      <c r="Q296" s="96"/>
      <c r="R296" s="96"/>
      <c r="T296" s="90">
        <f t="shared" si="43"/>
        <v>95</v>
      </c>
      <c r="U296" s="89">
        <f t="shared" si="44"/>
        <v>103.31428490526316</v>
      </c>
      <c r="V296" s="89">
        <f t="shared" si="45"/>
        <v>66.315567000000001</v>
      </c>
      <c r="W296" s="90">
        <f t="shared" si="50"/>
        <v>6299.978865</v>
      </c>
      <c r="X296" s="93">
        <f t="shared" si="46"/>
        <v>-0.35811812412184951</v>
      </c>
    </row>
    <row r="297" spans="2:24" x14ac:dyDescent="0.25">
      <c r="B297" s="91">
        <v>39780</v>
      </c>
      <c r="C297" s="89">
        <v>88.629997000000003</v>
      </c>
      <c r="D297" s="89">
        <v>90.129997000000003</v>
      </c>
      <c r="E297" s="89">
        <v>88.480002999999996</v>
      </c>
      <c r="F297" s="89">
        <v>90.089995999999999</v>
      </c>
      <c r="G297" s="89">
        <v>67.150390999999999</v>
      </c>
      <c r="H297" s="89">
        <v>118308100</v>
      </c>
      <c r="J297" s="89">
        <v>0</v>
      </c>
      <c r="K297" s="89">
        <f t="shared" si="51"/>
        <v>88</v>
      </c>
      <c r="L297" s="89">
        <f t="shared" si="52"/>
        <v>112.621376</v>
      </c>
      <c r="M297" s="89">
        <f>+SPY__2[[#This Row],[Adj Close]]</f>
        <v>67.150390999999999</v>
      </c>
      <c r="N297" s="89">
        <f t="shared" si="47"/>
        <v>5909.2344080000003</v>
      </c>
      <c r="O297" s="90">
        <f t="shared" si="48"/>
        <v>-4001.44668</v>
      </c>
      <c r="P297" s="93">
        <f t="shared" si="49"/>
        <v>-0.40375092735503426</v>
      </c>
      <c r="Q297" s="96"/>
      <c r="R297" s="96"/>
      <c r="T297" s="90">
        <f t="shared" si="43"/>
        <v>95</v>
      </c>
      <c r="U297" s="89">
        <f t="shared" si="44"/>
        <v>103.31428490526316</v>
      </c>
      <c r="V297" s="89">
        <f t="shared" si="45"/>
        <v>67.150390999999999</v>
      </c>
      <c r="W297" s="90">
        <f t="shared" si="50"/>
        <v>6379.2871450000002</v>
      </c>
      <c r="X297" s="93">
        <f t="shared" si="46"/>
        <v>-0.35003769264264495</v>
      </c>
    </row>
    <row r="298" spans="2:24" x14ac:dyDescent="0.25">
      <c r="B298" s="91">
        <v>39783</v>
      </c>
      <c r="C298" s="89">
        <v>87.510002</v>
      </c>
      <c r="D298" s="89">
        <v>87.550003000000004</v>
      </c>
      <c r="E298" s="89">
        <v>81.860000999999997</v>
      </c>
      <c r="F298" s="89">
        <v>82.110000999999997</v>
      </c>
      <c r="G298" s="89">
        <v>61.202354</v>
      </c>
      <c r="H298" s="89">
        <v>369927100</v>
      </c>
      <c r="J298" s="89">
        <v>0</v>
      </c>
      <c r="K298" s="89">
        <f t="shared" si="51"/>
        <v>88</v>
      </c>
      <c r="L298" s="89">
        <f t="shared" si="52"/>
        <v>112.621376</v>
      </c>
      <c r="M298" s="89">
        <f>+SPY__2[[#This Row],[Adj Close]]</f>
        <v>61.202354</v>
      </c>
      <c r="N298" s="89">
        <f t="shared" si="47"/>
        <v>5385.8071520000003</v>
      </c>
      <c r="O298" s="90">
        <f t="shared" si="48"/>
        <v>-4524.873936</v>
      </c>
      <c r="P298" s="93">
        <f t="shared" si="49"/>
        <v>-0.45656538595301832</v>
      </c>
      <c r="Q298" s="96"/>
      <c r="R298" s="96"/>
      <c r="T298" s="90">
        <f t="shared" si="43"/>
        <v>95</v>
      </c>
      <c r="U298" s="89">
        <f t="shared" si="44"/>
        <v>103.31428490526316</v>
      </c>
      <c r="V298" s="89">
        <f t="shared" si="45"/>
        <v>61.202354</v>
      </c>
      <c r="W298" s="90">
        <f t="shared" si="50"/>
        <v>5814.2236300000004</v>
      </c>
      <c r="X298" s="93">
        <f t="shared" si="46"/>
        <v>-0.40760995387887389</v>
      </c>
    </row>
    <row r="299" spans="2:24" x14ac:dyDescent="0.25">
      <c r="B299" s="91">
        <v>39784</v>
      </c>
      <c r="C299" s="89">
        <v>83.470000999999996</v>
      </c>
      <c r="D299" s="89">
        <v>85.489998</v>
      </c>
      <c r="E299" s="89">
        <v>82.040001000000004</v>
      </c>
      <c r="F299" s="89">
        <v>85.269997000000004</v>
      </c>
      <c r="G299" s="89">
        <v>63.557720000000003</v>
      </c>
      <c r="H299" s="89">
        <v>469508400</v>
      </c>
      <c r="J299" s="89">
        <v>0</v>
      </c>
      <c r="K299" s="89">
        <f t="shared" si="51"/>
        <v>88</v>
      </c>
      <c r="L299" s="89">
        <f t="shared" si="52"/>
        <v>112.621376</v>
      </c>
      <c r="M299" s="89">
        <f>+SPY__2[[#This Row],[Adj Close]]</f>
        <v>63.557720000000003</v>
      </c>
      <c r="N299" s="89">
        <f t="shared" si="47"/>
        <v>5593.0793600000006</v>
      </c>
      <c r="O299" s="90">
        <f t="shared" si="48"/>
        <v>-4317.6017279999996</v>
      </c>
      <c r="P299" s="93">
        <f t="shared" si="49"/>
        <v>-0.43565136337883137</v>
      </c>
      <c r="Q299" s="96"/>
      <c r="R299" s="96"/>
      <c r="T299" s="90">
        <f t="shared" si="43"/>
        <v>95</v>
      </c>
      <c r="U299" s="89">
        <f t="shared" si="44"/>
        <v>103.31428490526316</v>
      </c>
      <c r="V299" s="89">
        <f t="shared" si="45"/>
        <v>63.557720000000003</v>
      </c>
      <c r="W299" s="90">
        <f t="shared" si="50"/>
        <v>6037.9834000000001</v>
      </c>
      <c r="X299" s="93">
        <f t="shared" si="46"/>
        <v>-0.38481188677557054</v>
      </c>
    </row>
    <row r="300" spans="2:24" x14ac:dyDescent="0.25">
      <c r="B300" s="91">
        <v>39785</v>
      </c>
      <c r="C300" s="89">
        <v>83.400002000000001</v>
      </c>
      <c r="D300" s="89">
        <v>87.830001999999993</v>
      </c>
      <c r="E300" s="89">
        <v>83.139999000000003</v>
      </c>
      <c r="F300" s="89">
        <v>87.32</v>
      </c>
      <c r="G300" s="89">
        <v>65.085716000000005</v>
      </c>
      <c r="H300" s="89">
        <v>519863500</v>
      </c>
      <c r="J300" s="89">
        <v>0</v>
      </c>
      <c r="K300" s="89">
        <f t="shared" si="51"/>
        <v>88</v>
      </c>
      <c r="L300" s="89">
        <f t="shared" si="52"/>
        <v>112.621376</v>
      </c>
      <c r="M300" s="89">
        <f>+SPY__2[[#This Row],[Adj Close]]</f>
        <v>65.085716000000005</v>
      </c>
      <c r="N300" s="89">
        <f t="shared" si="47"/>
        <v>5727.5430080000006</v>
      </c>
      <c r="O300" s="90">
        <f t="shared" si="48"/>
        <v>-4183.1380799999997</v>
      </c>
      <c r="P300" s="93">
        <f t="shared" si="49"/>
        <v>-0.42208381471027301</v>
      </c>
      <c r="Q300" s="96"/>
      <c r="R300" s="96"/>
      <c r="T300" s="90">
        <f t="shared" si="43"/>
        <v>95</v>
      </c>
      <c r="U300" s="89">
        <f t="shared" si="44"/>
        <v>103.31428490526316</v>
      </c>
      <c r="V300" s="89">
        <f t="shared" si="45"/>
        <v>65.085716000000005</v>
      </c>
      <c r="W300" s="90">
        <f t="shared" si="50"/>
        <v>6183.1430200000004</v>
      </c>
      <c r="X300" s="93">
        <f t="shared" si="46"/>
        <v>-0.37002210236772082</v>
      </c>
    </row>
    <row r="301" spans="2:24" x14ac:dyDescent="0.25">
      <c r="B301" s="91">
        <v>39786</v>
      </c>
      <c r="C301" s="89">
        <v>86.059997999999993</v>
      </c>
      <c r="D301" s="89">
        <v>88.050003000000004</v>
      </c>
      <c r="E301" s="89">
        <v>83.739998</v>
      </c>
      <c r="F301" s="89">
        <v>85.300003000000004</v>
      </c>
      <c r="G301" s="89">
        <v>63.580050999999997</v>
      </c>
      <c r="H301" s="89">
        <v>444173800</v>
      </c>
      <c r="J301" s="89">
        <v>0</v>
      </c>
      <c r="K301" s="89">
        <f t="shared" si="51"/>
        <v>88</v>
      </c>
      <c r="L301" s="89">
        <f t="shared" si="52"/>
        <v>112.621376</v>
      </c>
      <c r="M301" s="89">
        <f>+SPY__2[[#This Row],[Adj Close]]</f>
        <v>63.580050999999997</v>
      </c>
      <c r="N301" s="89">
        <f t="shared" si="47"/>
        <v>5595.0444879999995</v>
      </c>
      <c r="O301" s="90">
        <f t="shared" si="48"/>
        <v>-4315.6365999999998</v>
      </c>
      <c r="P301" s="93">
        <f t="shared" si="49"/>
        <v>-0.43545307952905854</v>
      </c>
      <c r="Q301" s="96"/>
      <c r="R301" s="96"/>
      <c r="T301" s="90">
        <f t="shared" si="43"/>
        <v>95</v>
      </c>
      <c r="U301" s="89">
        <f t="shared" si="44"/>
        <v>103.31428490526316</v>
      </c>
      <c r="V301" s="89">
        <f t="shared" si="45"/>
        <v>63.580050999999997</v>
      </c>
      <c r="W301" s="90">
        <f t="shared" si="50"/>
        <v>6040.1048449999998</v>
      </c>
      <c r="X301" s="93">
        <f t="shared" si="46"/>
        <v>-0.38459574047963019</v>
      </c>
    </row>
    <row r="302" spans="2:24" x14ac:dyDescent="0.25">
      <c r="B302" s="91">
        <v>39787</v>
      </c>
      <c r="C302" s="89">
        <v>83.650002000000001</v>
      </c>
      <c r="D302" s="89">
        <v>88.419998000000007</v>
      </c>
      <c r="E302" s="89">
        <v>82.239998</v>
      </c>
      <c r="F302" s="89">
        <v>87.93</v>
      </c>
      <c r="G302" s="89">
        <v>65.540381999999994</v>
      </c>
      <c r="H302" s="89">
        <v>471905300</v>
      </c>
      <c r="J302" s="89">
        <v>0</v>
      </c>
      <c r="K302" s="89">
        <f t="shared" si="51"/>
        <v>88</v>
      </c>
      <c r="L302" s="89">
        <f t="shared" si="52"/>
        <v>112.621376</v>
      </c>
      <c r="M302" s="89">
        <f>+SPY__2[[#This Row],[Adj Close]]</f>
        <v>65.540381999999994</v>
      </c>
      <c r="N302" s="89">
        <f t="shared" si="47"/>
        <v>5767.5536159999992</v>
      </c>
      <c r="O302" s="90">
        <f t="shared" si="48"/>
        <v>-4143.1274720000001</v>
      </c>
      <c r="P302" s="93">
        <f t="shared" si="49"/>
        <v>-0.41804669479442347</v>
      </c>
      <c r="Q302" s="96"/>
      <c r="R302" s="96"/>
      <c r="T302" s="90">
        <f t="shared" si="43"/>
        <v>95</v>
      </c>
      <c r="U302" s="89">
        <f t="shared" si="44"/>
        <v>103.31428490526316</v>
      </c>
      <c r="V302" s="89">
        <f t="shared" si="45"/>
        <v>65.540381999999994</v>
      </c>
      <c r="W302" s="90">
        <f t="shared" si="50"/>
        <v>6226.3362899999993</v>
      </c>
      <c r="X302" s="93">
        <f t="shared" si="46"/>
        <v>-0.36562129757662243</v>
      </c>
    </row>
    <row r="303" spans="2:24" x14ac:dyDescent="0.25">
      <c r="B303" s="91">
        <v>39790</v>
      </c>
      <c r="C303" s="89">
        <v>90.339995999999999</v>
      </c>
      <c r="D303" s="89">
        <v>92.379997000000003</v>
      </c>
      <c r="E303" s="89">
        <v>88.080001999999993</v>
      </c>
      <c r="F303" s="89">
        <v>91</v>
      </c>
      <c r="G303" s="89">
        <v>67.828682000000001</v>
      </c>
      <c r="H303" s="89">
        <v>412859300</v>
      </c>
      <c r="J303" s="89">
        <v>0</v>
      </c>
      <c r="K303" s="89">
        <f t="shared" si="51"/>
        <v>88</v>
      </c>
      <c r="L303" s="89">
        <f t="shared" si="52"/>
        <v>112.621376</v>
      </c>
      <c r="M303" s="89">
        <f>+SPY__2[[#This Row],[Adj Close]]</f>
        <v>67.828682000000001</v>
      </c>
      <c r="N303" s="89">
        <f t="shared" si="47"/>
        <v>5968.9240159999999</v>
      </c>
      <c r="O303" s="90">
        <f t="shared" si="48"/>
        <v>-3941.7570719999999</v>
      </c>
      <c r="P303" s="93">
        <f t="shared" si="49"/>
        <v>-0.3977281719591137</v>
      </c>
      <c r="Q303" s="96"/>
      <c r="R303" s="96"/>
      <c r="T303" s="90">
        <f t="shared" si="43"/>
        <v>95</v>
      </c>
      <c r="U303" s="89">
        <f t="shared" si="44"/>
        <v>103.31428490526316</v>
      </c>
      <c r="V303" s="89">
        <f t="shared" si="45"/>
        <v>67.828682000000001</v>
      </c>
      <c r="W303" s="90">
        <f t="shared" si="50"/>
        <v>6443.7247900000002</v>
      </c>
      <c r="X303" s="93">
        <f t="shared" si="46"/>
        <v>-0.34347237594300384</v>
      </c>
    </row>
    <row r="304" spans="2:24" x14ac:dyDescent="0.25">
      <c r="B304" s="91">
        <v>39791</v>
      </c>
      <c r="C304" s="89">
        <v>90.370002999999997</v>
      </c>
      <c r="D304" s="89">
        <v>92.129997000000003</v>
      </c>
      <c r="E304" s="89">
        <v>88.980002999999996</v>
      </c>
      <c r="F304" s="89">
        <v>89.5</v>
      </c>
      <c r="G304" s="89">
        <v>66.710632000000004</v>
      </c>
      <c r="H304" s="89">
        <v>370790000</v>
      </c>
      <c r="J304" s="89">
        <v>0</v>
      </c>
      <c r="K304" s="89">
        <f t="shared" si="51"/>
        <v>88</v>
      </c>
      <c r="L304" s="89">
        <f t="shared" si="52"/>
        <v>112.621376</v>
      </c>
      <c r="M304" s="89">
        <f>+SPY__2[[#This Row],[Adj Close]]</f>
        <v>66.710632000000004</v>
      </c>
      <c r="N304" s="89">
        <f t="shared" si="47"/>
        <v>5870.5356160000001</v>
      </c>
      <c r="O304" s="90">
        <f t="shared" si="48"/>
        <v>-4040.1454719999992</v>
      </c>
      <c r="P304" s="93">
        <f t="shared" si="49"/>
        <v>-0.40765568341129121</v>
      </c>
      <c r="Q304" s="96"/>
      <c r="R304" s="96"/>
      <c r="T304" s="90">
        <f t="shared" si="43"/>
        <v>95</v>
      </c>
      <c r="U304" s="89">
        <f t="shared" si="44"/>
        <v>103.31428490526316</v>
      </c>
      <c r="V304" s="89">
        <f t="shared" si="45"/>
        <v>66.710632000000004</v>
      </c>
      <c r="W304" s="90">
        <f t="shared" si="50"/>
        <v>6337.5100400000001</v>
      </c>
      <c r="X304" s="93">
        <f t="shared" si="46"/>
        <v>-0.35429420954544544</v>
      </c>
    </row>
    <row r="305" spans="2:24" x14ac:dyDescent="0.25">
      <c r="B305" s="91">
        <v>39792</v>
      </c>
      <c r="C305" s="89">
        <v>90.32</v>
      </c>
      <c r="D305" s="89">
        <v>91.360000999999997</v>
      </c>
      <c r="E305" s="89">
        <v>89</v>
      </c>
      <c r="F305" s="89">
        <v>90.110000999999997</v>
      </c>
      <c r="G305" s="89">
        <v>67.165290999999996</v>
      </c>
      <c r="H305" s="89">
        <v>396187400</v>
      </c>
      <c r="J305" s="89">
        <v>0</v>
      </c>
      <c r="K305" s="89">
        <f t="shared" si="51"/>
        <v>88</v>
      </c>
      <c r="L305" s="89">
        <f t="shared" si="52"/>
        <v>112.621376</v>
      </c>
      <c r="M305" s="89">
        <f>+SPY__2[[#This Row],[Adj Close]]</f>
        <v>67.165290999999996</v>
      </c>
      <c r="N305" s="89">
        <f t="shared" si="47"/>
        <v>5910.5456079999994</v>
      </c>
      <c r="O305" s="90">
        <f t="shared" si="48"/>
        <v>-4000.1354799999999</v>
      </c>
      <c r="P305" s="93">
        <f t="shared" si="49"/>
        <v>-0.4036186256506048</v>
      </c>
      <c r="Q305" s="96"/>
      <c r="R305" s="96"/>
      <c r="T305" s="90">
        <f t="shared" si="43"/>
        <v>95</v>
      </c>
      <c r="U305" s="89">
        <f t="shared" si="44"/>
        <v>103.31428490526316</v>
      </c>
      <c r="V305" s="89">
        <f t="shared" si="45"/>
        <v>67.165290999999996</v>
      </c>
      <c r="W305" s="90">
        <f t="shared" si="50"/>
        <v>6380.7026449999994</v>
      </c>
      <c r="X305" s="93">
        <f t="shared" si="46"/>
        <v>-0.34989347250877234</v>
      </c>
    </row>
    <row r="306" spans="2:24" x14ac:dyDescent="0.25">
      <c r="B306" s="91">
        <v>39793</v>
      </c>
      <c r="C306" s="89">
        <v>89.540001000000004</v>
      </c>
      <c r="D306" s="89">
        <v>91</v>
      </c>
      <c r="E306" s="89">
        <v>87.370002999999997</v>
      </c>
      <c r="F306" s="89">
        <v>87.940002000000007</v>
      </c>
      <c r="G306" s="89">
        <v>65.547866999999997</v>
      </c>
      <c r="H306" s="89">
        <v>365061000</v>
      </c>
      <c r="J306" s="89">
        <v>0</v>
      </c>
      <c r="K306" s="89">
        <f t="shared" si="51"/>
        <v>88</v>
      </c>
      <c r="L306" s="89">
        <f t="shared" si="52"/>
        <v>112.621376</v>
      </c>
      <c r="M306" s="89">
        <f>+SPY__2[[#This Row],[Adj Close]]</f>
        <v>65.547866999999997</v>
      </c>
      <c r="N306" s="89">
        <f t="shared" si="47"/>
        <v>5768.2122959999997</v>
      </c>
      <c r="O306" s="90">
        <f t="shared" si="48"/>
        <v>-4142.4687919999997</v>
      </c>
      <c r="P306" s="93">
        <f t="shared" si="49"/>
        <v>-0.41798023316639288</v>
      </c>
      <c r="Q306" s="96"/>
      <c r="R306" s="96"/>
      <c r="T306" s="90">
        <f t="shared" si="43"/>
        <v>95</v>
      </c>
      <c r="U306" s="89">
        <f t="shared" si="44"/>
        <v>103.31428490526316</v>
      </c>
      <c r="V306" s="89">
        <f t="shared" si="45"/>
        <v>65.547866999999997</v>
      </c>
      <c r="W306" s="90">
        <f t="shared" si="50"/>
        <v>6227.0473649999994</v>
      </c>
      <c r="X306" s="93">
        <f t="shared" si="46"/>
        <v>-0.36554884873755944</v>
      </c>
    </row>
    <row r="307" spans="2:24" x14ac:dyDescent="0.25">
      <c r="B307" s="91">
        <v>39794</v>
      </c>
      <c r="C307" s="89">
        <v>85.550003000000004</v>
      </c>
      <c r="D307" s="89">
        <v>89.07</v>
      </c>
      <c r="E307" s="89">
        <v>85.199996999999996</v>
      </c>
      <c r="F307" s="89">
        <v>88.989998</v>
      </c>
      <c r="G307" s="89">
        <v>66.330482000000003</v>
      </c>
      <c r="H307" s="89">
        <v>415060400</v>
      </c>
      <c r="J307" s="89">
        <v>0</v>
      </c>
      <c r="K307" s="89">
        <f t="shared" si="51"/>
        <v>88</v>
      </c>
      <c r="L307" s="89">
        <f t="shared" si="52"/>
        <v>112.621376</v>
      </c>
      <c r="M307" s="89">
        <f>+SPY__2[[#This Row],[Adj Close]]</f>
        <v>66.330482000000003</v>
      </c>
      <c r="N307" s="89">
        <f t="shared" si="47"/>
        <v>5837.0824160000002</v>
      </c>
      <c r="O307" s="90">
        <f t="shared" si="48"/>
        <v>-4073.5986719999996</v>
      </c>
      <c r="P307" s="93">
        <f t="shared" si="49"/>
        <v>-0.41103115273604895</v>
      </c>
      <c r="Q307" s="96"/>
      <c r="R307" s="96"/>
      <c r="T307" s="90">
        <f t="shared" si="43"/>
        <v>95</v>
      </c>
      <c r="U307" s="89">
        <f t="shared" si="44"/>
        <v>103.31428490526316</v>
      </c>
      <c r="V307" s="89">
        <f t="shared" si="45"/>
        <v>66.330482000000003</v>
      </c>
      <c r="W307" s="90">
        <f t="shared" si="50"/>
        <v>6301.3957900000005</v>
      </c>
      <c r="X307" s="93">
        <f t="shared" si="46"/>
        <v>-0.35797375879992255</v>
      </c>
    </row>
    <row r="308" spans="2:24" x14ac:dyDescent="0.25">
      <c r="B308" s="91">
        <v>39797</v>
      </c>
      <c r="C308" s="89">
        <v>89.019997000000004</v>
      </c>
      <c r="D308" s="89">
        <v>89.150002000000001</v>
      </c>
      <c r="E308" s="89">
        <v>86.290001000000004</v>
      </c>
      <c r="F308" s="89">
        <v>87.75</v>
      </c>
      <c r="G308" s="89">
        <v>65.406218999999993</v>
      </c>
      <c r="H308" s="89">
        <v>256694200</v>
      </c>
      <c r="J308" s="89">
        <v>0</v>
      </c>
      <c r="K308" s="89">
        <f t="shared" si="51"/>
        <v>88</v>
      </c>
      <c r="L308" s="89">
        <f t="shared" si="52"/>
        <v>112.621376</v>
      </c>
      <c r="M308" s="89">
        <f>+SPY__2[[#This Row],[Adj Close]]</f>
        <v>65.406218999999993</v>
      </c>
      <c r="N308" s="89">
        <f t="shared" si="47"/>
        <v>5755.7472719999996</v>
      </c>
      <c r="O308" s="90">
        <f t="shared" si="48"/>
        <v>-4154.9338160000007</v>
      </c>
      <c r="P308" s="93">
        <f t="shared" si="49"/>
        <v>-0.41923796953075765</v>
      </c>
      <c r="Q308" s="96"/>
      <c r="R308" s="96"/>
      <c r="T308" s="90">
        <f t="shared" si="43"/>
        <v>95</v>
      </c>
      <c r="U308" s="89">
        <f t="shared" si="44"/>
        <v>103.31428490526316</v>
      </c>
      <c r="V308" s="89">
        <f t="shared" si="45"/>
        <v>65.406218999999993</v>
      </c>
      <c r="W308" s="90">
        <f t="shared" si="50"/>
        <v>6213.5908049999989</v>
      </c>
      <c r="X308" s="93">
        <f t="shared" si="46"/>
        <v>-0.36691988857130453</v>
      </c>
    </row>
    <row r="309" spans="2:24" x14ac:dyDescent="0.25">
      <c r="B309" s="91">
        <v>39798</v>
      </c>
      <c r="C309" s="89">
        <v>91.879997000000003</v>
      </c>
      <c r="D309" s="89">
        <v>92.019997000000004</v>
      </c>
      <c r="E309" s="89">
        <v>88.18</v>
      </c>
      <c r="F309" s="89">
        <v>91.879997000000003</v>
      </c>
      <c r="G309" s="89">
        <v>68.484618999999995</v>
      </c>
      <c r="H309" s="89">
        <v>377699500</v>
      </c>
      <c r="J309" s="89">
        <v>0</v>
      </c>
      <c r="K309" s="89">
        <f t="shared" si="51"/>
        <v>88</v>
      </c>
      <c r="L309" s="89">
        <f t="shared" si="52"/>
        <v>112.621376</v>
      </c>
      <c r="M309" s="89">
        <f>+SPY__2[[#This Row],[Adj Close]]</f>
        <v>68.484618999999995</v>
      </c>
      <c r="N309" s="89">
        <f t="shared" si="47"/>
        <v>6026.6464719999994</v>
      </c>
      <c r="O309" s="90">
        <f t="shared" si="48"/>
        <v>-3884.0346160000004</v>
      </c>
      <c r="P309" s="93">
        <f t="shared" si="49"/>
        <v>-0.39190390463707359</v>
      </c>
      <c r="Q309" s="96"/>
      <c r="R309" s="96"/>
      <c r="T309" s="90">
        <f t="shared" si="43"/>
        <v>95</v>
      </c>
      <c r="U309" s="89">
        <f t="shared" si="44"/>
        <v>103.31428490526316</v>
      </c>
      <c r="V309" s="89">
        <f t="shared" si="45"/>
        <v>68.484618999999995</v>
      </c>
      <c r="W309" s="90">
        <f t="shared" si="50"/>
        <v>6506.0388049999992</v>
      </c>
      <c r="X309" s="93">
        <f t="shared" si="46"/>
        <v>-0.33712342816098639</v>
      </c>
    </row>
    <row r="310" spans="2:24" x14ac:dyDescent="0.25">
      <c r="B310" s="91">
        <v>39799</v>
      </c>
      <c r="C310" s="89">
        <v>90.839995999999999</v>
      </c>
      <c r="D310" s="89">
        <v>92.43</v>
      </c>
      <c r="E310" s="89">
        <v>90.059997999999993</v>
      </c>
      <c r="F310" s="89">
        <v>90.989998</v>
      </c>
      <c r="G310" s="89">
        <v>67.821219999999997</v>
      </c>
      <c r="H310" s="89">
        <v>281819800</v>
      </c>
      <c r="J310" s="89">
        <v>0</v>
      </c>
      <c r="K310" s="89">
        <f t="shared" si="51"/>
        <v>88</v>
      </c>
      <c r="L310" s="89">
        <f t="shared" si="52"/>
        <v>112.621376</v>
      </c>
      <c r="M310" s="89">
        <f>+SPY__2[[#This Row],[Adj Close]]</f>
        <v>67.821219999999997</v>
      </c>
      <c r="N310" s="89">
        <f t="shared" si="47"/>
        <v>5968.2673599999998</v>
      </c>
      <c r="O310" s="90">
        <f t="shared" si="48"/>
        <v>-3942.413728</v>
      </c>
      <c r="P310" s="93">
        <f t="shared" si="49"/>
        <v>-0.39779442936303677</v>
      </c>
      <c r="Q310" s="96"/>
      <c r="R310" s="96"/>
      <c r="T310" s="90">
        <f t="shared" si="43"/>
        <v>95</v>
      </c>
      <c r="U310" s="89">
        <f t="shared" si="44"/>
        <v>103.31428490526316</v>
      </c>
      <c r="V310" s="89">
        <f t="shared" si="45"/>
        <v>67.821219999999997</v>
      </c>
      <c r="W310" s="90">
        <f t="shared" si="50"/>
        <v>6443.0158999999994</v>
      </c>
      <c r="X310" s="93">
        <f t="shared" si="46"/>
        <v>-0.34354460216038374</v>
      </c>
    </row>
    <row r="311" spans="2:24" x14ac:dyDescent="0.25">
      <c r="B311" s="91">
        <v>39800</v>
      </c>
      <c r="C311" s="89">
        <v>91.400002000000001</v>
      </c>
      <c r="D311" s="89">
        <v>91.669998000000007</v>
      </c>
      <c r="E311" s="89">
        <v>88.209998999999996</v>
      </c>
      <c r="F311" s="89">
        <v>89.290001000000004</v>
      </c>
      <c r="G311" s="89">
        <v>66.554114999999996</v>
      </c>
      <c r="H311" s="89">
        <v>374673300</v>
      </c>
      <c r="J311" s="89">
        <v>0</v>
      </c>
      <c r="K311" s="89">
        <f t="shared" si="51"/>
        <v>88</v>
      </c>
      <c r="L311" s="89">
        <f t="shared" si="52"/>
        <v>112.621376</v>
      </c>
      <c r="M311" s="89">
        <f>+SPY__2[[#This Row],[Adj Close]]</f>
        <v>66.554114999999996</v>
      </c>
      <c r="N311" s="89">
        <f t="shared" si="47"/>
        <v>5856.7621199999994</v>
      </c>
      <c r="O311" s="90">
        <f t="shared" si="48"/>
        <v>-4053.9189679999999</v>
      </c>
      <c r="P311" s="93">
        <f t="shared" si="49"/>
        <v>-0.40904544622150596</v>
      </c>
      <c r="Q311" s="96"/>
      <c r="R311" s="96"/>
      <c r="T311" s="90">
        <f t="shared" si="43"/>
        <v>95</v>
      </c>
      <c r="U311" s="89">
        <f t="shared" si="44"/>
        <v>103.31428490526316</v>
      </c>
      <c r="V311" s="89">
        <f t="shared" si="45"/>
        <v>66.554114999999996</v>
      </c>
      <c r="W311" s="90">
        <f t="shared" si="50"/>
        <v>6322.6409249999997</v>
      </c>
      <c r="X311" s="93">
        <f t="shared" si="46"/>
        <v>-0.35580916945775121</v>
      </c>
    </row>
    <row r="312" spans="2:24" x14ac:dyDescent="0.25">
      <c r="B312" s="91">
        <v>39801</v>
      </c>
      <c r="C312" s="89">
        <v>89.099997999999999</v>
      </c>
      <c r="D312" s="89">
        <v>90.620002999999997</v>
      </c>
      <c r="E312" s="89">
        <v>88.089995999999999</v>
      </c>
      <c r="F312" s="89">
        <v>88.190002000000007</v>
      </c>
      <c r="G312" s="89">
        <v>66.267798999999997</v>
      </c>
      <c r="H312" s="89">
        <v>301451300</v>
      </c>
      <c r="J312" s="89">
        <v>0</v>
      </c>
      <c r="K312" s="89">
        <f t="shared" si="51"/>
        <v>88</v>
      </c>
      <c r="L312" s="89">
        <f t="shared" si="52"/>
        <v>112.621376</v>
      </c>
      <c r="M312" s="89">
        <f>+SPY__2[[#This Row],[Adj Close]]</f>
        <v>66.267798999999997</v>
      </c>
      <c r="N312" s="89">
        <f t="shared" si="47"/>
        <v>5831.5663119999999</v>
      </c>
      <c r="O312" s="90">
        <f t="shared" si="48"/>
        <v>-4079.1147760000003</v>
      </c>
      <c r="P312" s="93">
        <f t="shared" si="49"/>
        <v>-0.41158773446348229</v>
      </c>
      <c r="Q312" s="96"/>
      <c r="R312" s="96"/>
      <c r="T312" s="90">
        <f t="shared" si="43"/>
        <v>95</v>
      </c>
      <c r="U312" s="89">
        <f t="shared" si="44"/>
        <v>103.31428490526316</v>
      </c>
      <c r="V312" s="89">
        <f t="shared" si="45"/>
        <v>66.267798999999997</v>
      </c>
      <c r="W312" s="90">
        <f t="shared" si="50"/>
        <v>6295.4409049999995</v>
      </c>
      <c r="X312" s="93">
        <f t="shared" si="46"/>
        <v>-0.35858048032016043</v>
      </c>
    </row>
    <row r="313" spans="2:24" x14ac:dyDescent="0.25">
      <c r="B313" s="91">
        <v>39804</v>
      </c>
      <c r="C313" s="89">
        <v>88.580001999999993</v>
      </c>
      <c r="D313" s="89">
        <v>88.669998000000007</v>
      </c>
      <c r="E313" s="89">
        <v>85.489998</v>
      </c>
      <c r="F313" s="89">
        <v>87.059997999999993</v>
      </c>
      <c r="G313" s="89">
        <v>65.418732000000006</v>
      </c>
      <c r="H313" s="89">
        <v>243759500</v>
      </c>
      <c r="J313" s="89">
        <v>0</v>
      </c>
      <c r="K313" s="89">
        <f t="shared" si="51"/>
        <v>88</v>
      </c>
      <c r="L313" s="89">
        <f t="shared" si="52"/>
        <v>112.621376</v>
      </c>
      <c r="M313" s="89">
        <f>+SPY__2[[#This Row],[Adj Close]]</f>
        <v>65.418732000000006</v>
      </c>
      <c r="N313" s="89">
        <f t="shared" si="47"/>
        <v>5756.8484160000007</v>
      </c>
      <c r="O313" s="90">
        <f t="shared" si="48"/>
        <v>-4153.8326719999995</v>
      </c>
      <c r="P313" s="93">
        <f t="shared" si="49"/>
        <v>-0.41912686273696387</v>
      </c>
      <c r="Q313" s="96"/>
      <c r="R313" s="96"/>
      <c r="T313" s="90">
        <f t="shared" si="43"/>
        <v>95</v>
      </c>
      <c r="U313" s="89">
        <f t="shared" si="44"/>
        <v>103.31428490526316</v>
      </c>
      <c r="V313" s="89">
        <f t="shared" si="45"/>
        <v>65.418732000000006</v>
      </c>
      <c r="W313" s="90">
        <f t="shared" si="50"/>
        <v>6214.7795400000005</v>
      </c>
      <c r="X313" s="93">
        <f t="shared" si="46"/>
        <v>-0.36679877269646222</v>
      </c>
    </row>
    <row r="314" spans="2:24" x14ac:dyDescent="0.25">
      <c r="B314" s="91">
        <v>39805</v>
      </c>
      <c r="C314" s="89">
        <v>87.529999000000004</v>
      </c>
      <c r="D314" s="89">
        <v>87.93</v>
      </c>
      <c r="E314" s="89">
        <v>85.800003000000004</v>
      </c>
      <c r="F314" s="89">
        <v>86.160004000000001</v>
      </c>
      <c r="G314" s="89">
        <v>64.742416000000006</v>
      </c>
      <c r="H314" s="89">
        <v>221625200</v>
      </c>
      <c r="J314" s="89">
        <v>0</v>
      </c>
      <c r="K314" s="89">
        <f t="shared" si="51"/>
        <v>88</v>
      </c>
      <c r="L314" s="89">
        <f t="shared" si="52"/>
        <v>112.621376</v>
      </c>
      <c r="M314" s="89">
        <f>+SPY__2[[#This Row],[Adj Close]]</f>
        <v>64.742416000000006</v>
      </c>
      <c r="N314" s="89">
        <f t="shared" si="47"/>
        <v>5697.3326080000006</v>
      </c>
      <c r="O314" s="90">
        <f t="shared" si="48"/>
        <v>-4213.3484799999997</v>
      </c>
      <c r="P314" s="93">
        <f t="shared" si="49"/>
        <v>-0.42513208149756576</v>
      </c>
      <c r="Q314" s="96"/>
      <c r="R314" s="96"/>
      <c r="T314" s="90">
        <f t="shared" si="43"/>
        <v>95</v>
      </c>
      <c r="U314" s="89">
        <f t="shared" si="44"/>
        <v>103.31428490526316</v>
      </c>
      <c r="V314" s="89">
        <f t="shared" si="45"/>
        <v>64.742416000000006</v>
      </c>
      <c r="W314" s="90">
        <f t="shared" si="50"/>
        <v>6150.529520000001</v>
      </c>
      <c r="X314" s="93">
        <f t="shared" si="46"/>
        <v>-0.37334497296896241</v>
      </c>
    </row>
    <row r="315" spans="2:24" x14ac:dyDescent="0.25">
      <c r="B315" s="91">
        <v>39806</v>
      </c>
      <c r="C315" s="89">
        <v>86.449996999999996</v>
      </c>
      <c r="D315" s="89">
        <v>86.870002999999997</v>
      </c>
      <c r="E315" s="89">
        <v>86</v>
      </c>
      <c r="F315" s="89">
        <v>86.660004000000001</v>
      </c>
      <c r="G315" s="89">
        <v>65.118133999999998</v>
      </c>
      <c r="H315" s="89">
        <v>62061600</v>
      </c>
      <c r="J315" s="89">
        <v>0</v>
      </c>
      <c r="K315" s="89">
        <f t="shared" si="51"/>
        <v>88</v>
      </c>
      <c r="L315" s="89">
        <f t="shared" si="52"/>
        <v>112.621376</v>
      </c>
      <c r="M315" s="89">
        <f>+SPY__2[[#This Row],[Adj Close]]</f>
        <v>65.118133999999998</v>
      </c>
      <c r="N315" s="89">
        <f t="shared" si="47"/>
        <v>5730.3957919999993</v>
      </c>
      <c r="O315" s="90">
        <f t="shared" si="48"/>
        <v>-4180.285296</v>
      </c>
      <c r="P315" s="93">
        <f t="shared" si="49"/>
        <v>-0.4217959652703942</v>
      </c>
      <c r="Q315" s="96"/>
      <c r="R315" s="96"/>
      <c r="T315" s="90">
        <f t="shared" si="43"/>
        <v>95</v>
      </c>
      <c r="U315" s="89">
        <f t="shared" si="44"/>
        <v>103.31428490526316</v>
      </c>
      <c r="V315" s="89">
        <f t="shared" si="45"/>
        <v>65.118133999999998</v>
      </c>
      <c r="W315" s="90">
        <f t="shared" si="50"/>
        <v>6186.2227299999995</v>
      </c>
      <c r="X315" s="93">
        <f t="shared" si="46"/>
        <v>-0.36970832194490977</v>
      </c>
    </row>
    <row r="316" spans="2:24" x14ac:dyDescent="0.25">
      <c r="B316" s="91">
        <v>39808</v>
      </c>
      <c r="C316" s="89">
        <v>87.239998</v>
      </c>
      <c r="D316" s="89">
        <v>87.300003000000004</v>
      </c>
      <c r="E316" s="89">
        <v>86.5</v>
      </c>
      <c r="F316" s="89">
        <v>87.160004000000001</v>
      </c>
      <c r="G316" s="89">
        <v>65.493851000000006</v>
      </c>
      <c r="H316" s="89">
        <v>74767700</v>
      </c>
      <c r="J316" s="89">
        <v>0</v>
      </c>
      <c r="K316" s="89">
        <f t="shared" si="51"/>
        <v>88</v>
      </c>
      <c r="L316" s="89">
        <f t="shared" si="52"/>
        <v>112.621376</v>
      </c>
      <c r="M316" s="89">
        <f>+SPY__2[[#This Row],[Adj Close]]</f>
        <v>65.493851000000006</v>
      </c>
      <c r="N316" s="89">
        <f t="shared" si="47"/>
        <v>5763.458888000001</v>
      </c>
      <c r="O316" s="90">
        <f t="shared" si="48"/>
        <v>-4147.2221999999992</v>
      </c>
      <c r="P316" s="93">
        <f t="shared" si="49"/>
        <v>-0.41845985792253149</v>
      </c>
      <c r="Q316" s="96"/>
      <c r="R316" s="96"/>
      <c r="T316" s="90">
        <f t="shared" si="43"/>
        <v>95</v>
      </c>
      <c r="U316" s="89">
        <f t="shared" si="44"/>
        <v>103.31428490526316</v>
      </c>
      <c r="V316" s="89">
        <f t="shared" si="45"/>
        <v>65.493851000000006</v>
      </c>
      <c r="W316" s="90">
        <f t="shared" si="50"/>
        <v>6221.9158450000004</v>
      </c>
      <c r="X316" s="93">
        <f t="shared" si="46"/>
        <v>-0.36607168060006057</v>
      </c>
    </row>
    <row r="317" spans="2:24" x14ac:dyDescent="0.25">
      <c r="B317" s="91">
        <v>39811</v>
      </c>
      <c r="C317" s="89">
        <v>87.239998</v>
      </c>
      <c r="D317" s="89">
        <v>87.330001999999993</v>
      </c>
      <c r="E317" s="89">
        <v>85.599997999999999</v>
      </c>
      <c r="F317" s="89">
        <v>86.910004000000001</v>
      </c>
      <c r="G317" s="89">
        <v>65.305976999999999</v>
      </c>
      <c r="H317" s="89">
        <v>127795900</v>
      </c>
      <c r="J317" s="89">
        <v>0</v>
      </c>
      <c r="K317" s="89">
        <f t="shared" si="51"/>
        <v>88</v>
      </c>
      <c r="L317" s="89">
        <f t="shared" si="52"/>
        <v>112.621376</v>
      </c>
      <c r="M317" s="89">
        <f>+SPY__2[[#This Row],[Adj Close]]</f>
        <v>65.305976999999999</v>
      </c>
      <c r="N317" s="89">
        <f t="shared" si="47"/>
        <v>5746.9259759999995</v>
      </c>
      <c r="O317" s="90">
        <f t="shared" si="48"/>
        <v>-4163.7551119999998</v>
      </c>
      <c r="P317" s="93">
        <f t="shared" si="49"/>
        <v>-0.42012804922575264</v>
      </c>
      <c r="Q317" s="96"/>
      <c r="R317" s="96"/>
      <c r="T317" s="90">
        <f t="shared" si="43"/>
        <v>95</v>
      </c>
      <c r="U317" s="89">
        <f t="shared" si="44"/>
        <v>103.31428490526316</v>
      </c>
      <c r="V317" s="89">
        <f t="shared" si="45"/>
        <v>65.305976999999999</v>
      </c>
      <c r="W317" s="90">
        <f t="shared" si="50"/>
        <v>6204.0678149999994</v>
      </c>
      <c r="X317" s="93">
        <f t="shared" si="46"/>
        <v>-0.36789015130014124</v>
      </c>
    </row>
    <row r="318" spans="2:24" x14ac:dyDescent="0.25">
      <c r="B318" s="91">
        <v>39812</v>
      </c>
      <c r="C318" s="89">
        <v>87.510002</v>
      </c>
      <c r="D318" s="89">
        <v>89.050003000000004</v>
      </c>
      <c r="E318" s="89">
        <v>86.879997000000003</v>
      </c>
      <c r="F318" s="89">
        <v>88.970000999999996</v>
      </c>
      <c r="G318" s="89">
        <v>66.853904999999997</v>
      </c>
      <c r="H318" s="89">
        <v>168256300</v>
      </c>
      <c r="J318" s="89">
        <v>0</v>
      </c>
      <c r="K318" s="89">
        <f t="shared" si="51"/>
        <v>88</v>
      </c>
      <c r="L318" s="89">
        <f t="shared" si="52"/>
        <v>112.621376</v>
      </c>
      <c r="M318" s="89">
        <f>+SPY__2[[#This Row],[Adj Close]]</f>
        <v>66.853904999999997</v>
      </c>
      <c r="N318" s="89">
        <f t="shared" si="47"/>
        <v>5883.1436400000002</v>
      </c>
      <c r="O318" s="90">
        <f t="shared" si="48"/>
        <v>-4027.537448</v>
      </c>
      <c r="P318" s="93">
        <f t="shared" si="49"/>
        <v>-0.40638351816976559</v>
      </c>
      <c r="Q318" s="96"/>
      <c r="R318" s="96"/>
      <c r="T318" s="90">
        <f t="shared" si="43"/>
        <v>95</v>
      </c>
      <c r="U318" s="89">
        <f t="shared" si="44"/>
        <v>103.31428490526316</v>
      </c>
      <c r="V318" s="89">
        <f t="shared" si="45"/>
        <v>66.853904999999997</v>
      </c>
      <c r="W318" s="90">
        <f t="shared" si="50"/>
        <v>6351.1209749999998</v>
      </c>
      <c r="X318" s="93">
        <f t="shared" si="46"/>
        <v>-0.35290744100582505</v>
      </c>
    </row>
    <row r="319" spans="2:24" x14ac:dyDescent="0.25">
      <c r="B319" s="91">
        <v>39813</v>
      </c>
      <c r="C319" s="89">
        <v>89.080001999999993</v>
      </c>
      <c r="D319" s="89">
        <v>90.970000999999996</v>
      </c>
      <c r="E319" s="89">
        <v>88.870002999999997</v>
      </c>
      <c r="F319" s="89">
        <v>90.239998</v>
      </c>
      <c r="G319" s="89">
        <v>67.808228</v>
      </c>
      <c r="H319" s="89">
        <v>193987200</v>
      </c>
      <c r="J319" s="89">
        <v>0</v>
      </c>
      <c r="K319" s="89">
        <f t="shared" si="51"/>
        <v>88</v>
      </c>
      <c r="L319" s="89">
        <f t="shared" si="52"/>
        <v>112.621376</v>
      </c>
      <c r="M319" s="89">
        <f>+SPY__2[[#This Row],[Adj Close]]</f>
        <v>67.808228</v>
      </c>
      <c r="N319" s="89">
        <f t="shared" si="47"/>
        <v>5967.1240639999996</v>
      </c>
      <c r="O319" s="90">
        <f t="shared" si="48"/>
        <v>-3943.5570239999997</v>
      </c>
      <c r="P319" s="93">
        <f t="shared" si="49"/>
        <v>-0.39790978934585208</v>
      </c>
      <c r="Q319" s="96"/>
      <c r="R319" s="96"/>
      <c r="T319" s="90">
        <f t="shared" si="43"/>
        <v>95</v>
      </c>
      <c r="U319" s="89">
        <f t="shared" si="44"/>
        <v>103.31428490526316</v>
      </c>
      <c r="V319" s="89">
        <f t="shared" si="45"/>
        <v>67.808228</v>
      </c>
      <c r="W319" s="90">
        <f t="shared" si="50"/>
        <v>6441.7816599999996</v>
      </c>
      <c r="X319" s="93">
        <f t="shared" si="46"/>
        <v>-0.34367035437375781</v>
      </c>
    </row>
    <row r="320" spans="2:24" x14ac:dyDescent="0.25">
      <c r="B320" s="91">
        <v>39815</v>
      </c>
      <c r="C320" s="89">
        <v>90.440002000000007</v>
      </c>
      <c r="D320" s="89">
        <v>93.440002000000007</v>
      </c>
      <c r="E320" s="89">
        <v>89.849997999999999</v>
      </c>
      <c r="F320" s="89">
        <v>92.959998999999996</v>
      </c>
      <c r="G320" s="89">
        <v>69.852074000000002</v>
      </c>
      <c r="H320" s="89">
        <v>227566300</v>
      </c>
      <c r="J320" s="89">
        <v>0</v>
      </c>
      <c r="K320" s="89">
        <f t="shared" si="51"/>
        <v>88</v>
      </c>
      <c r="L320" s="89">
        <f t="shared" si="52"/>
        <v>112.621376</v>
      </c>
      <c r="M320" s="89">
        <f>+SPY__2[[#This Row],[Adj Close]]</f>
        <v>69.852074000000002</v>
      </c>
      <c r="N320" s="89">
        <f t="shared" si="47"/>
        <v>6146.9825120000005</v>
      </c>
      <c r="O320" s="90">
        <f t="shared" si="48"/>
        <v>-3763.6985759999998</v>
      </c>
      <c r="P320" s="93">
        <f t="shared" si="49"/>
        <v>-0.37976184911823485</v>
      </c>
      <c r="Q320" s="96"/>
      <c r="R320" s="96"/>
      <c r="T320" s="90">
        <f t="shared" si="43"/>
        <v>95</v>
      </c>
      <c r="U320" s="89">
        <f t="shared" si="44"/>
        <v>103.31428490526316</v>
      </c>
      <c r="V320" s="89">
        <f t="shared" si="45"/>
        <v>69.852074000000002</v>
      </c>
      <c r="W320" s="90">
        <f t="shared" si="50"/>
        <v>6635.9470300000003</v>
      </c>
      <c r="X320" s="93">
        <f t="shared" si="46"/>
        <v>-0.32388755278079162</v>
      </c>
    </row>
    <row r="321" spans="2:24" x14ac:dyDescent="0.25">
      <c r="B321" s="91">
        <v>39818</v>
      </c>
      <c r="C321" s="89">
        <v>92.629997000000003</v>
      </c>
      <c r="D321" s="89">
        <v>93.660004000000001</v>
      </c>
      <c r="E321" s="89">
        <v>91.889999000000003</v>
      </c>
      <c r="F321" s="89">
        <v>92.849997999999999</v>
      </c>
      <c r="G321" s="89">
        <v>69.769401999999999</v>
      </c>
      <c r="H321" s="89">
        <v>240349700</v>
      </c>
      <c r="J321" s="89">
        <v>0</v>
      </c>
      <c r="K321" s="89">
        <f t="shared" si="51"/>
        <v>88</v>
      </c>
      <c r="L321" s="89">
        <f t="shared" si="52"/>
        <v>112.621376</v>
      </c>
      <c r="M321" s="89">
        <f>+SPY__2[[#This Row],[Adj Close]]</f>
        <v>69.769401999999999</v>
      </c>
      <c r="N321" s="89">
        <f t="shared" si="47"/>
        <v>6139.7073760000003</v>
      </c>
      <c r="O321" s="90">
        <f t="shared" si="48"/>
        <v>-3770.973712</v>
      </c>
      <c r="P321" s="93">
        <f t="shared" si="49"/>
        <v>-0.3804959193537113</v>
      </c>
      <c r="Q321" s="96"/>
      <c r="R321" s="96"/>
      <c r="T321" s="90">
        <f t="shared" si="43"/>
        <v>95</v>
      </c>
      <c r="U321" s="89">
        <f t="shared" si="44"/>
        <v>103.31428490526316</v>
      </c>
      <c r="V321" s="89">
        <f t="shared" si="45"/>
        <v>69.769401999999999</v>
      </c>
      <c r="W321" s="90">
        <f t="shared" si="50"/>
        <v>6628.0931899999996</v>
      </c>
      <c r="X321" s="93">
        <f t="shared" si="46"/>
        <v>-0.32468775190210197</v>
      </c>
    </row>
    <row r="322" spans="2:24" x14ac:dyDescent="0.25">
      <c r="B322" s="91">
        <v>39819</v>
      </c>
      <c r="C322" s="89">
        <v>93.639999000000003</v>
      </c>
      <c r="D322" s="89">
        <v>94.449996999999996</v>
      </c>
      <c r="E322" s="89">
        <v>92.68</v>
      </c>
      <c r="F322" s="89">
        <v>93.470000999999996</v>
      </c>
      <c r="G322" s="89">
        <v>70.235328999999993</v>
      </c>
      <c r="H322" s="89">
        <v>328260900</v>
      </c>
      <c r="J322" s="89">
        <v>0</v>
      </c>
      <c r="K322" s="89">
        <f t="shared" si="51"/>
        <v>88</v>
      </c>
      <c r="L322" s="89">
        <f t="shared" si="52"/>
        <v>112.621376</v>
      </c>
      <c r="M322" s="89">
        <f>+SPY__2[[#This Row],[Adj Close]]</f>
        <v>70.235328999999993</v>
      </c>
      <c r="N322" s="89">
        <f t="shared" si="47"/>
        <v>6180.708951999999</v>
      </c>
      <c r="O322" s="90">
        <f t="shared" si="48"/>
        <v>-3729.9721360000003</v>
      </c>
      <c r="P322" s="93">
        <f t="shared" si="49"/>
        <v>-0.37635880953896361</v>
      </c>
      <c r="Q322" s="96"/>
      <c r="R322" s="96"/>
      <c r="T322" s="90">
        <f t="shared" ref="T322:T385" si="53">+T321</f>
        <v>95</v>
      </c>
      <c r="U322" s="89">
        <f t="shared" ref="U322:U385" si="54">+U321</f>
        <v>103.31428490526316</v>
      </c>
      <c r="V322" s="89">
        <f t="shared" si="45"/>
        <v>70.235328999999993</v>
      </c>
      <c r="W322" s="90">
        <f t="shared" si="50"/>
        <v>6672.3562549999997</v>
      </c>
      <c r="X322" s="93">
        <f t="shared" si="46"/>
        <v>-0.32017794959908796</v>
      </c>
    </row>
    <row r="323" spans="2:24" x14ac:dyDescent="0.25">
      <c r="B323" s="91">
        <v>39820</v>
      </c>
      <c r="C323" s="89">
        <v>92</v>
      </c>
      <c r="D323" s="89">
        <v>92.260002</v>
      </c>
      <c r="E323" s="89">
        <v>90.199996999999996</v>
      </c>
      <c r="F323" s="89">
        <v>90.669998000000007</v>
      </c>
      <c r="G323" s="89">
        <v>68.131332</v>
      </c>
      <c r="H323" s="89">
        <v>280899200</v>
      </c>
      <c r="J323" s="89">
        <v>0</v>
      </c>
      <c r="K323" s="89">
        <f t="shared" si="51"/>
        <v>88</v>
      </c>
      <c r="L323" s="89">
        <f t="shared" si="52"/>
        <v>112.621376</v>
      </c>
      <c r="M323" s="89">
        <f>+SPY__2[[#This Row],[Adj Close]]</f>
        <v>68.131332</v>
      </c>
      <c r="N323" s="89">
        <f t="shared" si="47"/>
        <v>5995.5572160000002</v>
      </c>
      <c r="O323" s="90">
        <f t="shared" si="48"/>
        <v>-3915.1238719999997</v>
      </c>
      <c r="P323" s="93">
        <f t="shared" si="49"/>
        <v>-0.39504084908357007</v>
      </c>
      <c r="Q323" s="96"/>
      <c r="R323" s="96"/>
      <c r="T323" s="90">
        <f t="shared" si="53"/>
        <v>95</v>
      </c>
      <c r="U323" s="89">
        <f t="shared" si="54"/>
        <v>103.31428490526316</v>
      </c>
      <c r="V323" s="89">
        <f t="shared" ref="V323:V386" si="55">+M323</f>
        <v>68.131332</v>
      </c>
      <c r="W323" s="90">
        <f t="shared" si="50"/>
        <v>6472.4765399999997</v>
      </c>
      <c r="X323" s="93">
        <f t="shared" ref="X323:X386" si="56">+W323/(U323*T323)-1</f>
        <v>-0.34054296496873715</v>
      </c>
    </row>
    <row r="324" spans="2:24" x14ac:dyDescent="0.25">
      <c r="B324" s="91">
        <v>39821</v>
      </c>
      <c r="C324" s="89">
        <v>90.160004000000001</v>
      </c>
      <c r="D324" s="89">
        <v>91.089995999999999</v>
      </c>
      <c r="E324" s="89">
        <v>89.669998000000007</v>
      </c>
      <c r="F324" s="89">
        <v>91.040001000000004</v>
      </c>
      <c r="G324" s="89">
        <v>68.409362999999999</v>
      </c>
      <c r="H324" s="89">
        <v>263834400</v>
      </c>
      <c r="J324" s="89">
        <v>0</v>
      </c>
      <c r="K324" s="89">
        <f t="shared" si="51"/>
        <v>88</v>
      </c>
      <c r="L324" s="89">
        <f t="shared" si="52"/>
        <v>112.621376</v>
      </c>
      <c r="M324" s="89">
        <f>+SPY__2[[#This Row],[Adj Close]]</f>
        <v>68.409362999999999</v>
      </c>
      <c r="N324" s="89">
        <f t="shared" ref="N324:N387" si="57">+K324*M324</f>
        <v>6020.0239439999996</v>
      </c>
      <c r="O324" s="90">
        <f t="shared" ref="O324:O387" si="58">+(M324-L324)*K324</f>
        <v>-3890.6571439999998</v>
      </c>
      <c r="P324" s="93">
        <f t="shared" ref="P324:P387" si="59">+M324/L324-1</f>
        <v>-0.39257212591684199</v>
      </c>
      <c r="Q324" s="96"/>
      <c r="R324" s="96"/>
      <c r="T324" s="90">
        <f t="shared" si="53"/>
        <v>95</v>
      </c>
      <c r="U324" s="89">
        <f t="shared" si="54"/>
        <v>103.31428490526316</v>
      </c>
      <c r="V324" s="89">
        <f t="shared" si="55"/>
        <v>68.409362999999999</v>
      </c>
      <c r="W324" s="90">
        <f t="shared" ref="W324:W387" si="60">+V324*T324</f>
        <v>6498.8894849999997</v>
      </c>
      <c r="X324" s="93">
        <f t="shared" si="56"/>
        <v>-0.33785184630828335</v>
      </c>
    </row>
    <row r="325" spans="2:24" x14ac:dyDescent="0.25">
      <c r="B325" s="91">
        <v>39822</v>
      </c>
      <c r="C325" s="89">
        <v>91.160004000000001</v>
      </c>
      <c r="D325" s="89">
        <v>91.32</v>
      </c>
      <c r="E325" s="89">
        <v>85.360000999999997</v>
      </c>
      <c r="F325" s="89">
        <v>89.089995999999999</v>
      </c>
      <c r="G325" s="89">
        <v>66.944076999999993</v>
      </c>
      <c r="H325" s="89">
        <v>330953600</v>
      </c>
      <c r="J325" s="89">
        <v>0</v>
      </c>
      <c r="K325" s="89">
        <f t="shared" ref="K325:K388" si="61">+$K$3</f>
        <v>88</v>
      </c>
      <c r="L325" s="89">
        <f t="shared" ref="L325:L388" si="62">+$L$3</f>
        <v>112.621376</v>
      </c>
      <c r="M325" s="89">
        <f>+SPY__2[[#This Row],[Adj Close]]</f>
        <v>66.944076999999993</v>
      </c>
      <c r="N325" s="89">
        <f t="shared" si="57"/>
        <v>5891.0787759999994</v>
      </c>
      <c r="O325" s="90">
        <f t="shared" si="58"/>
        <v>-4019.6023120000004</v>
      </c>
      <c r="P325" s="93">
        <f t="shared" si="59"/>
        <v>-0.40558285311662334</v>
      </c>
      <c r="Q325" s="96"/>
      <c r="R325" s="96"/>
      <c r="T325" s="90">
        <f t="shared" si="53"/>
        <v>95</v>
      </c>
      <c r="U325" s="89">
        <f t="shared" si="54"/>
        <v>103.31428490526316</v>
      </c>
      <c r="V325" s="89">
        <f t="shared" si="55"/>
        <v>66.944076999999993</v>
      </c>
      <c r="W325" s="90">
        <f t="shared" si="60"/>
        <v>6359.6873149999992</v>
      </c>
      <c r="X325" s="93">
        <f t="shared" si="56"/>
        <v>-0.35203464785739769</v>
      </c>
    </row>
    <row r="326" spans="2:24" x14ac:dyDescent="0.25">
      <c r="B326" s="91">
        <v>39825</v>
      </c>
      <c r="C326" s="89">
        <v>88.839995999999999</v>
      </c>
      <c r="D326" s="89">
        <v>88.910004000000001</v>
      </c>
      <c r="E326" s="89">
        <v>86.410004000000001</v>
      </c>
      <c r="F326" s="89">
        <v>86.949996999999996</v>
      </c>
      <c r="G326" s="89">
        <v>65.336051999999995</v>
      </c>
      <c r="H326" s="89">
        <v>277858500</v>
      </c>
      <c r="J326" s="89">
        <v>0</v>
      </c>
      <c r="K326" s="89">
        <f t="shared" si="61"/>
        <v>88</v>
      </c>
      <c r="L326" s="89">
        <f t="shared" si="62"/>
        <v>112.621376</v>
      </c>
      <c r="M326" s="89">
        <f>+SPY__2[[#This Row],[Adj Close]]</f>
        <v>65.336051999999995</v>
      </c>
      <c r="N326" s="89">
        <f t="shared" si="57"/>
        <v>5749.5725759999996</v>
      </c>
      <c r="O326" s="90">
        <f t="shared" si="58"/>
        <v>-4161.1085120000007</v>
      </c>
      <c r="P326" s="93">
        <f t="shared" si="59"/>
        <v>-0.41986100400691251</v>
      </c>
      <c r="Q326" s="96"/>
      <c r="R326" s="96"/>
      <c r="T326" s="90">
        <f t="shared" si="53"/>
        <v>95</v>
      </c>
      <c r="U326" s="89">
        <f t="shared" si="54"/>
        <v>103.31428490526316</v>
      </c>
      <c r="V326" s="89">
        <f t="shared" si="55"/>
        <v>65.336051999999995</v>
      </c>
      <c r="W326" s="90">
        <f t="shared" si="60"/>
        <v>6206.9249399999999</v>
      </c>
      <c r="X326" s="93">
        <f t="shared" si="56"/>
        <v>-0.36759904925140152</v>
      </c>
    </row>
    <row r="327" spans="2:24" x14ac:dyDescent="0.25">
      <c r="B327" s="91">
        <v>39826</v>
      </c>
      <c r="C327" s="89">
        <v>86.730002999999996</v>
      </c>
      <c r="D327" s="89">
        <v>87.879997000000003</v>
      </c>
      <c r="E327" s="89">
        <v>86.199996999999996</v>
      </c>
      <c r="F327" s="89">
        <v>87.110000999999997</v>
      </c>
      <c r="G327" s="89">
        <v>65.456283999999997</v>
      </c>
      <c r="H327" s="89">
        <v>356432300</v>
      </c>
      <c r="J327" s="89">
        <v>0</v>
      </c>
      <c r="K327" s="89">
        <f t="shared" si="61"/>
        <v>88</v>
      </c>
      <c r="L327" s="89">
        <f t="shared" si="62"/>
        <v>112.621376</v>
      </c>
      <c r="M327" s="89">
        <f>+SPY__2[[#This Row],[Adj Close]]</f>
        <v>65.456283999999997</v>
      </c>
      <c r="N327" s="89">
        <f t="shared" si="57"/>
        <v>5760.1529919999994</v>
      </c>
      <c r="O327" s="90">
        <f t="shared" si="58"/>
        <v>-4150.528096</v>
      </c>
      <c r="P327" s="93">
        <f t="shared" si="59"/>
        <v>-0.41879342692456534</v>
      </c>
      <c r="Q327" s="96"/>
      <c r="R327" s="96"/>
      <c r="T327" s="90">
        <f t="shared" si="53"/>
        <v>95</v>
      </c>
      <c r="U327" s="89">
        <f t="shared" si="54"/>
        <v>103.31428490526316</v>
      </c>
      <c r="V327" s="89">
        <f t="shared" si="55"/>
        <v>65.456283999999997</v>
      </c>
      <c r="W327" s="90">
        <f t="shared" si="60"/>
        <v>6218.3469799999993</v>
      </c>
      <c r="X327" s="93">
        <f t="shared" si="56"/>
        <v>-0.36643529924228857</v>
      </c>
    </row>
    <row r="328" spans="2:24" x14ac:dyDescent="0.25">
      <c r="B328" s="91">
        <v>39827</v>
      </c>
      <c r="C328" s="89">
        <v>85.540001000000004</v>
      </c>
      <c r="D328" s="89">
        <v>85.75</v>
      </c>
      <c r="E328" s="89">
        <v>83.160004000000001</v>
      </c>
      <c r="F328" s="89">
        <v>84.370002999999997</v>
      </c>
      <c r="G328" s="89">
        <v>63.397376999999999</v>
      </c>
      <c r="H328" s="89">
        <v>435491600</v>
      </c>
      <c r="J328" s="89">
        <v>0</v>
      </c>
      <c r="K328" s="89">
        <f t="shared" si="61"/>
        <v>88</v>
      </c>
      <c r="L328" s="89">
        <f t="shared" si="62"/>
        <v>112.621376</v>
      </c>
      <c r="M328" s="89">
        <f>+SPY__2[[#This Row],[Adj Close]]</f>
        <v>63.397376999999999</v>
      </c>
      <c r="N328" s="89">
        <f t="shared" si="57"/>
        <v>5578.9691759999996</v>
      </c>
      <c r="O328" s="90">
        <f t="shared" si="58"/>
        <v>-4331.7119119999998</v>
      </c>
      <c r="P328" s="93">
        <f t="shared" si="59"/>
        <v>-0.43707509842536463</v>
      </c>
      <c r="Q328" s="96"/>
      <c r="R328" s="96"/>
      <c r="T328" s="90">
        <f t="shared" si="53"/>
        <v>95</v>
      </c>
      <c r="U328" s="89">
        <f t="shared" si="54"/>
        <v>103.31428490526316</v>
      </c>
      <c r="V328" s="89">
        <f t="shared" si="55"/>
        <v>63.397376999999999</v>
      </c>
      <c r="W328" s="90">
        <f t="shared" si="60"/>
        <v>6022.7508150000003</v>
      </c>
      <c r="X328" s="93">
        <f t="shared" si="56"/>
        <v>-0.38636387932090954</v>
      </c>
    </row>
    <row r="329" spans="2:24" x14ac:dyDescent="0.25">
      <c r="B329" s="91">
        <v>39828</v>
      </c>
      <c r="C329" s="89">
        <v>84.120002999999997</v>
      </c>
      <c r="D329" s="89">
        <v>85.25</v>
      </c>
      <c r="E329" s="89">
        <v>81.720000999999996</v>
      </c>
      <c r="F329" s="89">
        <v>84.400002000000001</v>
      </c>
      <c r="G329" s="89">
        <v>63.419944999999998</v>
      </c>
      <c r="H329" s="89">
        <v>532647300</v>
      </c>
      <c r="J329" s="89">
        <v>0</v>
      </c>
      <c r="K329" s="89">
        <f t="shared" si="61"/>
        <v>88</v>
      </c>
      <c r="L329" s="89">
        <f t="shared" si="62"/>
        <v>112.621376</v>
      </c>
      <c r="M329" s="89">
        <f>+SPY__2[[#This Row],[Adj Close]]</f>
        <v>63.419944999999998</v>
      </c>
      <c r="N329" s="89">
        <f t="shared" si="57"/>
        <v>5580.9551599999995</v>
      </c>
      <c r="O329" s="90">
        <f t="shared" si="58"/>
        <v>-4329.7259279999998</v>
      </c>
      <c r="P329" s="93">
        <f t="shared" si="59"/>
        <v>-0.43687471017935353</v>
      </c>
      <c r="Q329" s="96"/>
      <c r="R329" s="96"/>
      <c r="T329" s="90">
        <f t="shared" si="53"/>
        <v>95</v>
      </c>
      <c r="U329" s="89">
        <f t="shared" si="54"/>
        <v>103.31428490526316</v>
      </c>
      <c r="V329" s="89">
        <f t="shared" si="55"/>
        <v>63.419944999999998</v>
      </c>
      <c r="W329" s="90">
        <f t="shared" si="60"/>
        <v>6024.8947749999998</v>
      </c>
      <c r="X329" s="93">
        <f t="shared" si="56"/>
        <v>-0.38614543905371235</v>
      </c>
    </row>
    <row r="330" spans="2:24" x14ac:dyDescent="0.25">
      <c r="B330" s="91">
        <v>39829</v>
      </c>
      <c r="C330" s="89">
        <v>85.860000999999997</v>
      </c>
      <c r="D330" s="89">
        <v>85.989998</v>
      </c>
      <c r="E330" s="89">
        <v>83.050003000000004</v>
      </c>
      <c r="F330" s="89">
        <v>85.059997999999993</v>
      </c>
      <c r="G330" s="89">
        <v>63.915840000000003</v>
      </c>
      <c r="H330" s="89">
        <v>399237200</v>
      </c>
      <c r="J330" s="89">
        <v>0</v>
      </c>
      <c r="K330" s="89">
        <f t="shared" si="61"/>
        <v>88</v>
      </c>
      <c r="L330" s="89">
        <f t="shared" si="62"/>
        <v>112.621376</v>
      </c>
      <c r="M330" s="89">
        <f>+SPY__2[[#This Row],[Adj Close]]</f>
        <v>63.915840000000003</v>
      </c>
      <c r="N330" s="89">
        <f t="shared" si="57"/>
        <v>5624.5939200000003</v>
      </c>
      <c r="O330" s="90">
        <f t="shared" si="58"/>
        <v>-4286.087168</v>
      </c>
      <c r="P330" s="93">
        <f t="shared" si="59"/>
        <v>-0.43247150523183087</v>
      </c>
      <c r="Q330" s="96"/>
      <c r="R330" s="96"/>
      <c r="T330" s="90">
        <f t="shared" si="53"/>
        <v>95</v>
      </c>
      <c r="U330" s="89">
        <f t="shared" si="54"/>
        <v>103.31428490526316</v>
      </c>
      <c r="V330" s="89">
        <f t="shared" si="55"/>
        <v>63.915840000000003</v>
      </c>
      <c r="W330" s="90">
        <f t="shared" si="60"/>
        <v>6072.0048000000006</v>
      </c>
      <c r="X330" s="93">
        <f t="shared" si="56"/>
        <v>-0.38134557037674544</v>
      </c>
    </row>
    <row r="331" spans="2:24" x14ac:dyDescent="0.25">
      <c r="B331" s="91">
        <v>39833</v>
      </c>
      <c r="C331" s="89">
        <v>84.230002999999996</v>
      </c>
      <c r="D331" s="89">
        <v>85.059997999999993</v>
      </c>
      <c r="E331" s="89">
        <v>80.050003000000004</v>
      </c>
      <c r="F331" s="89">
        <v>80.569999999999993</v>
      </c>
      <c r="G331" s="89">
        <v>60.541981</v>
      </c>
      <c r="H331" s="89">
        <v>419855200</v>
      </c>
      <c r="J331" s="89">
        <v>0</v>
      </c>
      <c r="K331" s="89">
        <f t="shared" si="61"/>
        <v>88</v>
      </c>
      <c r="L331" s="89">
        <f t="shared" si="62"/>
        <v>112.621376</v>
      </c>
      <c r="M331" s="89">
        <f>+SPY__2[[#This Row],[Adj Close]]</f>
        <v>60.541981</v>
      </c>
      <c r="N331" s="89">
        <f t="shared" si="57"/>
        <v>5327.6943279999996</v>
      </c>
      <c r="O331" s="90">
        <f t="shared" si="58"/>
        <v>-4582.9867599999998</v>
      </c>
      <c r="P331" s="93">
        <f t="shared" si="59"/>
        <v>-0.46242904188988065</v>
      </c>
      <c r="Q331" s="96"/>
      <c r="R331" s="96"/>
      <c r="T331" s="90">
        <f t="shared" si="53"/>
        <v>95</v>
      </c>
      <c r="U331" s="89">
        <f t="shared" si="54"/>
        <v>103.31428490526316</v>
      </c>
      <c r="V331" s="89">
        <f t="shared" si="55"/>
        <v>60.541981</v>
      </c>
      <c r="W331" s="90">
        <f t="shared" si="60"/>
        <v>5751.4881949999999</v>
      </c>
      <c r="X331" s="93">
        <f t="shared" si="56"/>
        <v>-0.41400183860813045</v>
      </c>
    </row>
    <row r="332" spans="2:24" x14ac:dyDescent="0.25">
      <c r="B332" s="91">
        <v>39834</v>
      </c>
      <c r="C332" s="89">
        <v>81.940002000000007</v>
      </c>
      <c r="D332" s="89">
        <v>84.239998</v>
      </c>
      <c r="E332" s="89">
        <v>80.470000999999996</v>
      </c>
      <c r="F332" s="89">
        <v>84.050003000000004</v>
      </c>
      <c r="G332" s="89">
        <v>63.156917999999997</v>
      </c>
      <c r="H332" s="89">
        <v>364360700</v>
      </c>
      <c r="J332" s="89">
        <v>0</v>
      </c>
      <c r="K332" s="89">
        <f t="shared" si="61"/>
        <v>88</v>
      </c>
      <c r="L332" s="89">
        <f t="shared" si="62"/>
        <v>112.621376</v>
      </c>
      <c r="M332" s="89">
        <f>+SPY__2[[#This Row],[Adj Close]]</f>
        <v>63.156917999999997</v>
      </c>
      <c r="N332" s="89">
        <f t="shared" si="57"/>
        <v>5557.8087839999998</v>
      </c>
      <c r="O332" s="90">
        <f t="shared" si="58"/>
        <v>-4352.8723040000004</v>
      </c>
      <c r="P332" s="93">
        <f t="shared" si="59"/>
        <v>-0.43921020819351386</v>
      </c>
      <c r="Q332" s="96"/>
      <c r="R332" s="96"/>
      <c r="T332" s="90">
        <f t="shared" si="53"/>
        <v>95</v>
      </c>
      <c r="U332" s="89">
        <f t="shared" si="54"/>
        <v>103.31428490526316</v>
      </c>
      <c r="V332" s="89">
        <f t="shared" si="55"/>
        <v>63.156917999999997</v>
      </c>
      <c r="W332" s="90">
        <f t="shared" si="60"/>
        <v>5999.9072099999994</v>
      </c>
      <c r="X332" s="93">
        <f t="shared" si="56"/>
        <v>-0.38869133094311747</v>
      </c>
    </row>
    <row r="333" spans="2:24" x14ac:dyDescent="0.25">
      <c r="B333" s="91">
        <v>39835</v>
      </c>
      <c r="C333" s="89">
        <v>82.419998000000007</v>
      </c>
      <c r="D333" s="89">
        <v>84.040001000000004</v>
      </c>
      <c r="E333" s="89">
        <v>81.169998000000007</v>
      </c>
      <c r="F333" s="89">
        <v>82.75</v>
      </c>
      <c r="G333" s="89">
        <v>62.180084000000001</v>
      </c>
      <c r="H333" s="89">
        <v>427940300</v>
      </c>
      <c r="J333" s="89">
        <v>0</v>
      </c>
      <c r="K333" s="89">
        <f t="shared" si="61"/>
        <v>88</v>
      </c>
      <c r="L333" s="89">
        <f t="shared" si="62"/>
        <v>112.621376</v>
      </c>
      <c r="M333" s="89">
        <f>+SPY__2[[#This Row],[Adj Close]]</f>
        <v>62.180084000000001</v>
      </c>
      <c r="N333" s="89">
        <f t="shared" si="57"/>
        <v>5471.8473919999997</v>
      </c>
      <c r="O333" s="90">
        <f t="shared" si="58"/>
        <v>-4438.8336959999997</v>
      </c>
      <c r="P333" s="93">
        <f t="shared" si="59"/>
        <v>-0.44788381914282416</v>
      </c>
      <c r="Q333" s="96"/>
      <c r="R333" s="96"/>
      <c r="T333" s="90">
        <f t="shared" si="53"/>
        <v>95</v>
      </c>
      <c r="U333" s="89">
        <f t="shared" si="54"/>
        <v>103.31428490526316</v>
      </c>
      <c r="V333" s="89">
        <f t="shared" si="55"/>
        <v>62.180084000000001</v>
      </c>
      <c r="W333" s="90">
        <f t="shared" si="60"/>
        <v>5907.1079799999998</v>
      </c>
      <c r="X333" s="93">
        <f t="shared" si="56"/>
        <v>-0.39814630612777591</v>
      </c>
    </row>
    <row r="334" spans="2:24" x14ac:dyDescent="0.25">
      <c r="B334" s="91">
        <v>39836</v>
      </c>
      <c r="C334" s="89">
        <v>80.900002000000001</v>
      </c>
      <c r="D334" s="89">
        <v>83.989998</v>
      </c>
      <c r="E334" s="89">
        <v>80.569999999999993</v>
      </c>
      <c r="F334" s="89">
        <v>83.110000999999997</v>
      </c>
      <c r="G334" s="89">
        <v>62.450577000000003</v>
      </c>
      <c r="H334" s="89">
        <v>386800600</v>
      </c>
      <c r="J334" s="89">
        <v>0</v>
      </c>
      <c r="K334" s="89">
        <f t="shared" si="61"/>
        <v>88</v>
      </c>
      <c r="L334" s="89">
        <f t="shared" si="62"/>
        <v>112.621376</v>
      </c>
      <c r="M334" s="89">
        <f>+SPY__2[[#This Row],[Adj Close]]</f>
        <v>62.450577000000003</v>
      </c>
      <c r="N334" s="89">
        <f t="shared" si="57"/>
        <v>5495.6507760000004</v>
      </c>
      <c r="O334" s="90">
        <f t="shared" si="58"/>
        <v>-4415.0303119999999</v>
      </c>
      <c r="P334" s="93">
        <f t="shared" si="59"/>
        <v>-0.44548202820750471</v>
      </c>
      <c r="Q334" s="96"/>
      <c r="R334" s="96"/>
      <c r="T334" s="90">
        <f t="shared" si="53"/>
        <v>95</v>
      </c>
      <c r="U334" s="89">
        <f t="shared" si="54"/>
        <v>103.31428490526316</v>
      </c>
      <c r="V334" s="89">
        <f t="shared" si="55"/>
        <v>62.450577000000003</v>
      </c>
      <c r="W334" s="90">
        <f t="shared" si="60"/>
        <v>5932.8048150000004</v>
      </c>
      <c r="X334" s="93">
        <f t="shared" si="56"/>
        <v>-0.39552814930417657</v>
      </c>
    </row>
    <row r="335" spans="2:24" x14ac:dyDescent="0.25">
      <c r="B335" s="91">
        <v>39839</v>
      </c>
      <c r="C335" s="89">
        <v>83.589995999999999</v>
      </c>
      <c r="D335" s="89">
        <v>85.360000999999997</v>
      </c>
      <c r="E335" s="89">
        <v>82.809997999999993</v>
      </c>
      <c r="F335" s="89">
        <v>83.68</v>
      </c>
      <c r="G335" s="89">
        <v>62.878909999999998</v>
      </c>
      <c r="H335" s="89">
        <v>317978800</v>
      </c>
      <c r="J335" s="89">
        <v>0</v>
      </c>
      <c r="K335" s="89">
        <f t="shared" si="61"/>
        <v>88</v>
      </c>
      <c r="L335" s="89">
        <f t="shared" si="62"/>
        <v>112.621376</v>
      </c>
      <c r="M335" s="89">
        <f>+SPY__2[[#This Row],[Adj Close]]</f>
        <v>62.878909999999998</v>
      </c>
      <c r="N335" s="89">
        <f t="shared" si="57"/>
        <v>5533.3440799999998</v>
      </c>
      <c r="O335" s="90">
        <f t="shared" si="58"/>
        <v>-4377.3370080000004</v>
      </c>
      <c r="P335" s="93">
        <f t="shared" si="59"/>
        <v>-0.44167872713613443</v>
      </c>
      <c r="Q335" s="96"/>
      <c r="R335" s="96"/>
      <c r="T335" s="90">
        <f t="shared" si="53"/>
        <v>95</v>
      </c>
      <c r="U335" s="89">
        <f t="shared" si="54"/>
        <v>103.31428490526316</v>
      </c>
      <c r="V335" s="89">
        <f t="shared" si="55"/>
        <v>62.878909999999998</v>
      </c>
      <c r="W335" s="90">
        <f t="shared" si="60"/>
        <v>5973.4964499999996</v>
      </c>
      <c r="X335" s="93">
        <f t="shared" si="56"/>
        <v>-0.39138222698188818</v>
      </c>
    </row>
    <row r="336" spans="2:24" x14ac:dyDescent="0.25">
      <c r="B336" s="91">
        <v>39840</v>
      </c>
      <c r="C336" s="89">
        <v>84.129997000000003</v>
      </c>
      <c r="D336" s="89">
        <v>85.150002000000001</v>
      </c>
      <c r="E336" s="89">
        <v>83.300003000000004</v>
      </c>
      <c r="F336" s="89">
        <v>84.529999000000004</v>
      </c>
      <c r="G336" s="89">
        <v>63.517609</v>
      </c>
      <c r="H336" s="89">
        <v>273789700</v>
      </c>
      <c r="J336" s="89">
        <v>0</v>
      </c>
      <c r="K336" s="89">
        <f t="shared" si="61"/>
        <v>88</v>
      </c>
      <c r="L336" s="89">
        <f t="shared" si="62"/>
        <v>112.621376</v>
      </c>
      <c r="M336" s="89">
        <f>+SPY__2[[#This Row],[Adj Close]]</f>
        <v>63.517609</v>
      </c>
      <c r="N336" s="89">
        <f t="shared" si="57"/>
        <v>5589.5495920000003</v>
      </c>
      <c r="O336" s="90">
        <f t="shared" si="58"/>
        <v>-4321.131496</v>
      </c>
      <c r="P336" s="93">
        <f t="shared" si="59"/>
        <v>-0.43600752134301746</v>
      </c>
      <c r="Q336" s="96"/>
      <c r="R336" s="96"/>
      <c r="T336" s="90">
        <f t="shared" si="53"/>
        <v>95</v>
      </c>
      <c r="U336" s="89">
        <f t="shared" si="54"/>
        <v>103.31428490526316</v>
      </c>
      <c r="V336" s="89">
        <f t="shared" si="55"/>
        <v>63.517609</v>
      </c>
      <c r="W336" s="90">
        <f t="shared" si="60"/>
        <v>6034.1728549999998</v>
      </c>
      <c r="X336" s="93">
        <f t="shared" si="56"/>
        <v>-0.38520012931179659</v>
      </c>
    </row>
    <row r="337" spans="2:24" x14ac:dyDescent="0.25">
      <c r="B337" s="91">
        <v>39841</v>
      </c>
      <c r="C337" s="89">
        <v>86.400002000000001</v>
      </c>
      <c r="D337" s="89">
        <v>87.949996999999996</v>
      </c>
      <c r="E337" s="89">
        <v>86.07</v>
      </c>
      <c r="F337" s="89">
        <v>87.389999000000003</v>
      </c>
      <c r="G337" s="89">
        <v>65.666663999999997</v>
      </c>
      <c r="H337" s="89">
        <v>330007000</v>
      </c>
      <c r="J337" s="89">
        <v>0</v>
      </c>
      <c r="K337" s="89">
        <f t="shared" si="61"/>
        <v>88</v>
      </c>
      <c r="L337" s="89">
        <f t="shared" si="62"/>
        <v>112.621376</v>
      </c>
      <c r="M337" s="89">
        <f>+SPY__2[[#This Row],[Adj Close]]</f>
        <v>65.666663999999997</v>
      </c>
      <c r="N337" s="89">
        <f t="shared" si="57"/>
        <v>5778.666432</v>
      </c>
      <c r="O337" s="90">
        <f t="shared" si="58"/>
        <v>-4132.0146560000003</v>
      </c>
      <c r="P337" s="93">
        <f t="shared" si="59"/>
        <v>-0.4169253978924925</v>
      </c>
      <c r="Q337" s="96"/>
      <c r="R337" s="96"/>
      <c r="T337" s="90">
        <f t="shared" si="53"/>
        <v>95</v>
      </c>
      <c r="U337" s="89">
        <f t="shared" si="54"/>
        <v>103.31428490526316</v>
      </c>
      <c r="V337" s="89">
        <f t="shared" si="55"/>
        <v>65.666663999999997</v>
      </c>
      <c r="W337" s="90">
        <f t="shared" si="60"/>
        <v>6238.3330799999994</v>
      </c>
      <c r="X337" s="93">
        <f t="shared" si="56"/>
        <v>-0.36439898838563489</v>
      </c>
    </row>
    <row r="338" spans="2:24" x14ac:dyDescent="0.25">
      <c r="B338" s="91">
        <v>39842</v>
      </c>
      <c r="C338" s="89">
        <v>86.110000999999997</v>
      </c>
      <c r="D338" s="89">
        <v>87.489998</v>
      </c>
      <c r="E338" s="89">
        <v>84.470000999999996</v>
      </c>
      <c r="F338" s="89">
        <v>84.550003000000004</v>
      </c>
      <c r="G338" s="89">
        <v>63.532631000000002</v>
      </c>
      <c r="H338" s="89">
        <v>294392500</v>
      </c>
      <c r="J338" s="89">
        <v>0</v>
      </c>
      <c r="K338" s="89">
        <f t="shared" si="61"/>
        <v>88</v>
      </c>
      <c r="L338" s="89">
        <f t="shared" si="62"/>
        <v>112.621376</v>
      </c>
      <c r="M338" s="89">
        <f>+SPY__2[[#This Row],[Adj Close]]</f>
        <v>63.532631000000002</v>
      </c>
      <c r="N338" s="89">
        <f t="shared" si="57"/>
        <v>5590.8715280000006</v>
      </c>
      <c r="O338" s="90">
        <f t="shared" si="58"/>
        <v>-4319.8095599999997</v>
      </c>
      <c r="P338" s="93">
        <f t="shared" si="59"/>
        <v>-0.4358741363628873</v>
      </c>
      <c r="Q338" s="96"/>
      <c r="R338" s="96"/>
      <c r="T338" s="90">
        <f t="shared" si="53"/>
        <v>95</v>
      </c>
      <c r="U338" s="89">
        <f t="shared" si="54"/>
        <v>103.31428490526316</v>
      </c>
      <c r="V338" s="89">
        <f t="shared" si="55"/>
        <v>63.532631000000002</v>
      </c>
      <c r="W338" s="90">
        <f t="shared" si="60"/>
        <v>6035.5999449999999</v>
      </c>
      <c r="X338" s="93">
        <f t="shared" si="56"/>
        <v>-0.38505472831508281</v>
      </c>
    </row>
    <row r="339" spans="2:24" x14ac:dyDescent="0.25">
      <c r="B339" s="91">
        <v>39843</v>
      </c>
      <c r="C339" s="89">
        <v>84.980002999999996</v>
      </c>
      <c r="D339" s="89">
        <v>85.400002000000001</v>
      </c>
      <c r="E339" s="89">
        <v>82.209998999999996</v>
      </c>
      <c r="F339" s="89">
        <v>82.830001999999993</v>
      </c>
      <c r="G339" s="89">
        <v>62.240181</v>
      </c>
      <c r="H339" s="89">
        <v>383383600</v>
      </c>
      <c r="J339" s="89">
        <v>0</v>
      </c>
      <c r="K339" s="89">
        <f t="shared" si="61"/>
        <v>88</v>
      </c>
      <c r="L339" s="89">
        <f t="shared" si="62"/>
        <v>112.621376</v>
      </c>
      <c r="M339" s="89">
        <f>+SPY__2[[#This Row],[Adj Close]]</f>
        <v>62.240181</v>
      </c>
      <c r="N339" s="89">
        <f t="shared" si="57"/>
        <v>5477.1359279999997</v>
      </c>
      <c r="O339" s="90">
        <f t="shared" si="58"/>
        <v>-4433.5451599999997</v>
      </c>
      <c r="P339" s="93">
        <f t="shared" si="59"/>
        <v>-0.44735019930852205</v>
      </c>
      <c r="Q339" s="96"/>
      <c r="R339" s="96"/>
      <c r="T339" s="90">
        <f t="shared" si="53"/>
        <v>95</v>
      </c>
      <c r="U339" s="89">
        <f t="shared" si="54"/>
        <v>103.31428490526316</v>
      </c>
      <c r="V339" s="89">
        <f t="shared" si="55"/>
        <v>62.240181</v>
      </c>
      <c r="W339" s="90">
        <f t="shared" si="60"/>
        <v>5912.8171949999996</v>
      </c>
      <c r="X339" s="93">
        <f t="shared" si="56"/>
        <v>-0.39756461502808815</v>
      </c>
    </row>
    <row r="340" spans="2:24" x14ac:dyDescent="0.25">
      <c r="B340" s="91">
        <v>39846</v>
      </c>
      <c r="C340" s="89">
        <v>81.569999999999993</v>
      </c>
      <c r="D340" s="89">
        <v>83.18</v>
      </c>
      <c r="E340" s="89">
        <v>81.309997999999993</v>
      </c>
      <c r="F340" s="89">
        <v>82.580001999999993</v>
      </c>
      <c r="G340" s="89">
        <v>62.052337999999999</v>
      </c>
      <c r="H340" s="89">
        <v>288233300</v>
      </c>
      <c r="J340" s="89">
        <v>0</v>
      </c>
      <c r="K340" s="89">
        <f t="shared" si="61"/>
        <v>88</v>
      </c>
      <c r="L340" s="89">
        <f t="shared" si="62"/>
        <v>112.621376</v>
      </c>
      <c r="M340" s="89">
        <f>+SPY__2[[#This Row],[Adj Close]]</f>
        <v>62.052337999999999</v>
      </c>
      <c r="N340" s="89">
        <f t="shared" si="57"/>
        <v>5460.6057439999995</v>
      </c>
      <c r="O340" s="90">
        <f t="shared" si="58"/>
        <v>-4450.0753439999999</v>
      </c>
      <c r="P340" s="93">
        <f t="shared" si="59"/>
        <v>-0.44901811535316349</v>
      </c>
      <c r="Q340" s="96"/>
      <c r="R340" s="96"/>
      <c r="T340" s="90">
        <f t="shared" si="53"/>
        <v>95</v>
      </c>
      <c r="U340" s="89">
        <f t="shared" si="54"/>
        <v>103.31428490526316</v>
      </c>
      <c r="V340" s="89">
        <f t="shared" si="55"/>
        <v>62.052337999999999</v>
      </c>
      <c r="W340" s="90">
        <f t="shared" si="60"/>
        <v>5894.9721099999997</v>
      </c>
      <c r="X340" s="93">
        <f t="shared" si="56"/>
        <v>-0.39938278567285668</v>
      </c>
    </row>
    <row r="341" spans="2:24" x14ac:dyDescent="0.25">
      <c r="B341" s="91">
        <v>39847</v>
      </c>
      <c r="C341" s="89">
        <v>83.099997999999999</v>
      </c>
      <c r="D341" s="89">
        <v>84.360000999999997</v>
      </c>
      <c r="E341" s="89">
        <v>82.220000999999996</v>
      </c>
      <c r="F341" s="89">
        <v>83.739998</v>
      </c>
      <c r="G341" s="89">
        <v>62.923999999999999</v>
      </c>
      <c r="H341" s="89">
        <v>278385800</v>
      </c>
      <c r="J341" s="89">
        <v>0</v>
      </c>
      <c r="K341" s="89">
        <f t="shared" si="61"/>
        <v>88</v>
      </c>
      <c r="L341" s="89">
        <f t="shared" si="62"/>
        <v>112.621376</v>
      </c>
      <c r="M341" s="89">
        <f>+SPY__2[[#This Row],[Adj Close]]</f>
        <v>62.923999999999999</v>
      </c>
      <c r="N341" s="89">
        <f t="shared" si="57"/>
        <v>5537.3119999999999</v>
      </c>
      <c r="O341" s="90">
        <f t="shared" si="58"/>
        <v>-4373.3690879999995</v>
      </c>
      <c r="P341" s="93">
        <f t="shared" si="59"/>
        <v>-0.44127835909232715</v>
      </c>
      <c r="Q341" s="96"/>
      <c r="R341" s="96"/>
      <c r="T341" s="90">
        <f t="shared" si="53"/>
        <v>95</v>
      </c>
      <c r="U341" s="89">
        <f t="shared" si="54"/>
        <v>103.31428490526316</v>
      </c>
      <c r="V341" s="89">
        <f t="shared" si="55"/>
        <v>62.923999999999999</v>
      </c>
      <c r="W341" s="90">
        <f t="shared" si="60"/>
        <v>5977.78</v>
      </c>
      <c r="X341" s="93">
        <f t="shared" si="56"/>
        <v>-0.39094579169085997</v>
      </c>
    </row>
    <row r="342" spans="2:24" x14ac:dyDescent="0.25">
      <c r="B342" s="91">
        <v>39848</v>
      </c>
      <c r="C342" s="89">
        <v>84.300003000000004</v>
      </c>
      <c r="D342" s="89">
        <v>85.370002999999997</v>
      </c>
      <c r="E342" s="89">
        <v>83.040001000000004</v>
      </c>
      <c r="F342" s="89">
        <v>83.330001999999993</v>
      </c>
      <c r="G342" s="89">
        <v>62.615912999999999</v>
      </c>
      <c r="H342" s="89">
        <v>322989300</v>
      </c>
      <c r="J342" s="89">
        <v>0</v>
      </c>
      <c r="K342" s="89">
        <f t="shared" si="61"/>
        <v>88</v>
      </c>
      <c r="L342" s="89">
        <f t="shared" si="62"/>
        <v>112.621376</v>
      </c>
      <c r="M342" s="89">
        <f>+SPY__2[[#This Row],[Adj Close]]</f>
        <v>62.615912999999999</v>
      </c>
      <c r="N342" s="89">
        <f t="shared" si="57"/>
        <v>5510.2003439999999</v>
      </c>
      <c r="O342" s="90">
        <f t="shared" si="58"/>
        <v>-4400.4807439999995</v>
      </c>
      <c r="P342" s="93">
        <f t="shared" si="59"/>
        <v>-0.44401395877102412</v>
      </c>
      <c r="Q342" s="96"/>
      <c r="R342" s="96"/>
      <c r="T342" s="90">
        <f t="shared" si="53"/>
        <v>95</v>
      </c>
      <c r="U342" s="89">
        <f t="shared" si="54"/>
        <v>103.31428490526316</v>
      </c>
      <c r="V342" s="89">
        <f t="shared" si="55"/>
        <v>62.615912999999999</v>
      </c>
      <c r="W342" s="90">
        <f t="shared" si="60"/>
        <v>5948.511735</v>
      </c>
      <c r="X342" s="93">
        <f t="shared" si="56"/>
        <v>-0.39392782849518471</v>
      </c>
    </row>
    <row r="343" spans="2:24" x14ac:dyDescent="0.25">
      <c r="B343" s="91">
        <v>39849</v>
      </c>
      <c r="C343" s="89">
        <v>82.699996999999996</v>
      </c>
      <c r="D343" s="89">
        <v>85.290001000000004</v>
      </c>
      <c r="E343" s="89">
        <v>77.730002999999996</v>
      </c>
      <c r="F343" s="89">
        <v>84.57</v>
      </c>
      <c r="G343" s="89">
        <v>63.547694999999997</v>
      </c>
      <c r="H343" s="89">
        <v>417679400</v>
      </c>
      <c r="J343" s="89">
        <v>0</v>
      </c>
      <c r="K343" s="89">
        <f t="shared" si="61"/>
        <v>88</v>
      </c>
      <c r="L343" s="89">
        <f t="shared" si="62"/>
        <v>112.621376</v>
      </c>
      <c r="M343" s="89">
        <f>+SPY__2[[#This Row],[Adj Close]]</f>
        <v>63.547694999999997</v>
      </c>
      <c r="N343" s="89">
        <f t="shared" si="57"/>
        <v>5592.1971599999997</v>
      </c>
      <c r="O343" s="90">
        <f t="shared" si="58"/>
        <v>-4318.4839279999997</v>
      </c>
      <c r="P343" s="93">
        <f t="shared" si="59"/>
        <v>-0.43574037845177815</v>
      </c>
      <c r="Q343" s="96"/>
      <c r="R343" s="96"/>
      <c r="T343" s="90">
        <f t="shared" si="53"/>
        <v>95</v>
      </c>
      <c r="U343" s="89">
        <f t="shared" si="54"/>
        <v>103.31428490526316</v>
      </c>
      <c r="V343" s="89">
        <f t="shared" si="55"/>
        <v>63.547694999999997</v>
      </c>
      <c r="W343" s="90">
        <f t="shared" si="60"/>
        <v>6037.0310249999993</v>
      </c>
      <c r="X343" s="93">
        <f t="shared" si="56"/>
        <v>-0.38490892079181716</v>
      </c>
    </row>
    <row r="344" spans="2:24" x14ac:dyDescent="0.25">
      <c r="B344" s="91">
        <v>39850</v>
      </c>
      <c r="C344" s="89">
        <v>84.860000999999997</v>
      </c>
      <c r="D344" s="89">
        <v>87.339995999999999</v>
      </c>
      <c r="E344" s="89">
        <v>84.68</v>
      </c>
      <c r="F344" s="89">
        <v>86.980002999999996</v>
      </c>
      <c r="G344" s="89">
        <v>65.358581999999998</v>
      </c>
      <c r="H344" s="89">
        <v>366101700</v>
      </c>
      <c r="J344" s="89">
        <v>0</v>
      </c>
      <c r="K344" s="89">
        <f t="shared" si="61"/>
        <v>88</v>
      </c>
      <c r="L344" s="89">
        <f t="shared" si="62"/>
        <v>112.621376</v>
      </c>
      <c r="M344" s="89">
        <f>+SPY__2[[#This Row],[Adj Close]]</f>
        <v>65.358581999999998</v>
      </c>
      <c r="N344" s="89">
        <f t="shared" si="57"/>
        <v>5751.5552159999997</v>
      </c>
      <c r="O344" s="90">
        <f t="shared" si="58"/>
        <v>-4159.1258719999996</v>
      </c>
      <c r="P344" s="93">
        <f t="shared" si="59"/>
        <v>-0.41966095317464425</v>
      </c>
      <c r="Q344" s="96"/>
      <c r="R344" s="96"/>
      <c r="T344" s="90">
        <f t="shared" si="53"/>
        <v>95</v>
      </c>
      <c r="U344" s="89">
        <f t="shared" si="54"/>
        <v>103.31428490526316</v>
      </c>
      <c r="V344" s="89">
        <f t="shared" si="55"/>
        <v>65.358581999999998</v>
      </c>
      <c r="W344" s="90">
        <f t="shared" si="60"/>
        <v>6209.0652899999995</v>
      </c>
      <c r="X344" s="93">
        <f t="shared" si="56"/>
        <v>-0.36738097679394166</v>
      </c>
    </row>
    <row r="345" spans="2:24" x14ac:dyDescent="0.25">
      <c r="B345" s="91">
        <v>39853</v>
      </c>
      <c r="C345" s="89">
        <v>86.959998999999996</v>
      </c>
      <c r="D345" s="89">
        <v>87.739998</v>
      </c>
      <c r="E345" s="89">
        <v>86.32</v>
      </c>
      <c r="F345" s="89">
        <v>87.099997999999999</v>
      </c>
      <c r="G345" s="89">
        <v>65.448768999999999</v>
      </c>
      <c r="H345" s="89">
        <v>240075200</v>
      </c>
      <c r="J345" s="89">
        <v>0</v>
      </c>
      <c r="K345" s="89">
        <f t="shared" si="61"/>
        <v>88</v>
      </c>
      <c r="L345" s="89">
        <f t="shared" si="62"/>
        <v>112.621376</v>
      </c>
      <c r="M345" s="89">
        <f>+SPY__2[[#This Row],[Adj Close]]</f>
        <v>65.448768999999999</v>
      </c>
      <c r="N345" s="89">
        <f t="shared" si="57"/>
        <v>5759.4916720000001</v>
      </c>
      <c r="O345" s="90">
        <f t="shared" si="58"/>
        <v>-4151.1894160000002</v>
      </c>
      <c r="P345" s="93">
        <f t="shared" si="59"/>
        <v>-0.41886015493186657</v>
      </c>
      <c r="Q345" s="96"/>
      <c r="R345" s="96"/>
      <c r="T345" s="90">
        <f t="shared" si="53"/>
        <v>95</v>
      </c>
      <c r="U345" s="89">
        <f t="shared" si="54"/>
        <v>103.31428490526316</v>
      </c>
      <c r="V345" s="89">
        <f t="shared" si="55"/>
        <v>65.448768999999999</v>
      </c>
      <c r="W345" s="90">
        <f t="shared" si="60"/>
        <v>6217.6330550000002</v>
      </c>
      <c r="X345" s="93">
        <f t="shared" si="56"/>
        <v>-0.36650803845745994</v>
      </c>
    </row>
    <row r="346" spans="2:24" x14ac:dyDescent="0.25">
      <c r="B346" s="91">
        <v>39854</v>
      </c>
      <c r="C346" s="89">
        <v>86.269997000000004</v>
      </c>
      <c r="D346" s="89">
        <v>87.029999000000004</v>
      </c>
      <c r="E346" s="89">
        <v>82.449996999999996</v>
      </c>
      <c r="F346" s="89">
        <v>83.110000999999997</v>
      </c>
      <c r="G346" s="89">
        <v>62.450577000000003</v>
      </c>
      <c r="H346" s="89">
        <v>536212800</v>
      </c>
      <c r="J346" s="89">
        <v>0</v>
      </c>
      <c r="K346" s="89">
        <f t="shared" si="61"/>
        <v>88</v>
      </c>
      <c r="L346" s="89">
        <f t="shared" si="62"/>
        <v>112.621376</v>
      </c>
      <c r="M346" s="89">
        <f>+SPY__2[[#This Row],[Adj Close]]</f>
        <v>62.450577000000003</v>
      </c>
      <c r="N346" s="89">
        <f t="shared" si="57"/>
        <v>5495.6507760000004</v>
      </c>
      <c r="O346" s="90">
        <f t="shared" si="58"/>
        <v>-4415.0303119999999</v>
      </c>
      <c r="P346" s="93">
        <f t="shared" si="59"/>
        <v>-0.44548202820750471</v>
      </c>
      <c r="Q346" s="96"/>
      <c r="R346" s="96"/>
      <c r="T346" s="90">
        <f t="shared" si="53"/>
        <v>95</v>
      </c>
      <c r="U346" s="89">
        <f t="shared" si="54"/>
        <v>103.31428490526316</v>
      </c>
      <c r="V346" s="89">
        <f t="shared" si="55"/>
        <v>62.450577000000003</v>
      </c>
      <c r="W346" s="90">
        <f t="shared" si="60"/>
        <v>5932.8048150000004</v>
      </c>
      <c r="X346" s="93">
        <f t="shared" si="56"/>
        <v>-0.39552814930417657</v>
      </c>
    </row>
    <row r="347" spans="2:24" x14ac:dyDescent="0.25">
      <c r="B347" s="91">
        <v>39855</v>
      </c>
      <c r="C347" s="89">
        <v>83.449996999999996</v>
      </c>
      <c r="D347" s="89">
        <v>84.050003000000004</v>
      </c>
      <c r="E347" s="89">
        <v>82.400002000000001</v>
      </c>
      <c r="F347" s="89">
        <v>83.599997999999999</v>
      </c>
      <c r="G347" s="89">
        <v>62.818775000000002</v>
      </c>
      <c r="H347" s="89">
        <v>324442500</v>
      </c>
      <c r="J347" s="89">
        <v>0</v>
      </c>
      <c r="K347" s="89">
        <f t="shared" si="61"/>
        <v>88</v>
      </c>
      <c r="L347" s="89">
        <f t="shared" si="62"/>
        <v>112.621376</v>
      </c>
      <c r="M347" s="89">
        <f>+SPY__2[[#This Row],[Adj Close]]</f>
        <v>62.818775000000002</v>
      </c>
      <c r="N347" s="89">
        <f t="shared" si="57"/>
        <v>5528.0522000000001</v>
      </c>
      <c r="O347" s="90">
        <f t="shared" si="58"/>
        <v>-4382.6288879999993</v>
      </c>
      <c r="P347" s="93">
        <f t="shared" si="59"/>
        <v>-0.44221268438417938</v>
      </c>
      <c r="Q347" s="96"/>
      <c r="R347" s="96"/>
      <c r="T347" s="90">
        <f t="shared" si="53"/>
        <v>95</v>
      </c>
      <c r="U347" s="89">
        <f t="shared" si="54"/>
        <v>103.31428490526316</v>
      </c>
      <c r="V347" s="89">
        <f t="shared" si="55"/>
        <v>62.818775000000002</v>
      </c>
      <c r="W347" s="90">
        <f t="shared" si="60"/>
        <v>5967.783625</v>
      </c>
      <c r="X347" s="93">
        <f t="shared" si="56"/>
        <v>-0.39196428589131327</v>
      </c>
    </row>
    <row r="348" spans="2:24" x14ac:dyDescent="0.25">
      <c r="B348" s="91">
        <v>39856</v>
      </c>
      <c r="C348" s="89">
        <v>82.169998000000007</v>
      </c>
      <c r="D348" s="89">
        <v>83.82</v>
      </c>
      <c r="E348" s="89">
        <v>81.050003000000004</v>
      </c>
      <c r="F348" s="89">
        <v>83.660004000000001</v>
      </c>
      <c r="G348" s="89">
        <v>62.863875999999998</v>
      </c>
      <c r="H348" s="89">
        <v>469302200</v>
      </c>
      <c r="J348" s="89">
        <v>0</v>
      </c>
      <c r="K348" s="89">
        <f t="shared" si="61"/>
        <v>88</v>
      </c>
      <c r="L348" s="89">
        <f t="shared" si="62"/>
        <v>112.621376</v>
      </c>
      <c r="M348" s="89">
        <f>+SPY__2[[#This Row],[Adj Close]]</f>
        <v>62.863875999999998</v>
      </c>
      <c r="N348" s="89">
        <f t="shared" si="57"/>
        <v>5532.0210879999995</v>
      </c>
      <c r="O348" s="90">
        <f t="shared" si="58"/>
        <v>-4378.66</v>
      </c>
      <c r="P348" s="93">
        <f t="shared" si="59"/>
        <v>-0.44181221866797293</v>
      </c>
      <c r="Q348" s="96"/>
      <c r="R348" s="96"/>
      <c r="T348" s="90">
        <f t="shared" si="53"/>
        <v>95</v>
      </c>
      <c r="U348" s="89">
        <f t="shared" si="54"/>
        <v>103.31428490526316</v>
      </c>
      <c r="V348" s="89">
        <f t="shared" si="55"/>
        <v>62.863875999999998</v>
      </c>
      <c r="W348" s="90">
        <f t="shared" si="60"/>
        <v>5972.0682200000001</v>
      </c>
      <c r="X348" s="93">
        <f t="shared" si="56"/>
        <v>-0.39152774412904534</v>
      </c>
    </row>
    <row r="349" spans="2:24" x14ac:dyDescent="0.25">
      <c r="B349" s="91">
        <v>39857</v>
      </c>
      <c r="C349" s="89">
        <v>83.550003000000004</v>
      </c>
      <c r="D349" s="89">
        <v>84.239998</v>
      </c>
      <c r="E349" s="89">
        <v>82.739998</v>
      </c>
      <c r="F349" s="89">
        <v>82.760002</v>
      </c>
      <c r="G349" s="89">
        <v>62.187587999999998</v>
      </c>
      <c r="H349" s="89">
        <v>293998400</v>
      </c>
      <c r="J349" s="89">
        <v>0</v>
      </c>
      <c r="K349" s="89">
        <f t="shared" si="61"/>
        <v>88</v>
      </c>
      <c r="L349" s="89">
        <f t="shared" si="62"/>
        <v>112.621376</v>
      </c>
      <c r="M349" s="89">
        <f>+SPY__2[[#This Row],[Adj Close]]</f>
        <v>62.187587999999998</v>
      </c>
      <c r="N349" s="89">
        <f t="shared" si="57"/>
        <v>5472.5077439999995</v>
      </c>
      <c r="O349" s="90">
        <f t="shared" si="58"/>
        <v>-4438.1733439999998</v>
      </c>
      <c r="P349" s="93">
        <f t="shared" si="59"/>
        <v>-0.44781718880792221</v>
      </c>
      <c r="Q349" s="96"/>
      <c r="R349" s="96"/>
      <c r="T349" s="90">
        <f t="shared" si="53"/>
        <v>95</v>
      </c>
      <c r="U349" s="89">
        <f t="shared" si="54"/>
        <v>103.31428490526316</v>
      </c>
      <c r="V349" s="89">
        <f t="shared" si="55"/>
        <v>62.187587999999998</v>
      </c>
      <c r="W349" s="90">
        <f t="shared" si="60"/>
        <v>5907.8208599999998</v>
      </c>
      <c r="X349" s="93">
        <f t="shared" si="56"/>
        <v>-0.39807367338384436</v>
      </c>
    </row>
    <row r="350" spans="2:24" x14ac:dyDescent="0.25">
      <c r="B350" s="91">
        <v>39861</v>
      </c>
      <c r="C350" s="89">
        <v>80.160004000000001</v>
      </c>
      <c r="D350" s="89">
        <v>82.959998999999996</v>
      </c>
      <c r="E350" s="89">
        <v>79.169998000000007</v>
      </c>
      <c r="F350" s="89">
        <v>79.220000999999996</v>
      </c>
      <c r="G350" s="89">
        <v>59.527546000000001</v>
      </c>
      <c r="H350" s="89">
        <v>478910100</v>
      </c>
      <c r="J350" s="89">
        <v>0</v>
      </c>
      <c r="K350" s="89">
        <f t="shared" si="61"/>
        <v>88</v>
      </c>
      <c r="L350" s="89">
        <f t="shared" si="62"/>
        <v>112.621376</v>
      </c>
      <c r="M350" s="89">
        <f>+SPY__2[[#This Row],[Adj Close]]</f>
        <v>59.527546000000001</v>
      </c>
      <c r="N350" s="89">
        <f t="shared" si="57"/>
        <v>5238.4240479999999</v>
      </c>
      <c r="O350" s="90">
        <f t="shared" si="58"/>
        <v>-4672.2570399999995</v>
      </c>
      <c r="P350" s="93">
        <f t="shared" si="59"/>
        <v>-0.47143652373773159</v>
      </c>
      <c r="Q350" s="96"/>
      <c r="R350" s="96"/>
      <c r="T350" s="90">
        <f t="shared" si="53"/>
        <v>95</v>
      </c>
      <c r="U350" s="89">
        <f t="shared" si="54"/>
        <v>103.31428490526316</v>
      </c>
      <c r="V350" s="89">
        <f t="shared" si="55"/>
        <v>59.527546000000001</v>
      </c>
      <c r="W350" s="90">
        <f t="shared" si="60"/>
        <v>5655.1168699999998</v>
      </c>
      <c r="X350" s="93">
        <f t="shared" si="56"/>
        <v>-0.42382076152793979</v>
      </c>
    </row>
    <row r="351" spans="2:24" x14ac:dyDescent="0.25">
      <c r="B351" s="91">
        <v>39862</v>
      </c>
      <c r="C351" s="89">
        <v>79.790001000000004</v>
      </c>
      <c r="D351" s="89">
        <v>79.940002000000007</v>
      </c>
      <c r="E351" s="89">
        <v>78.279999000000004</v>
      </c>
      <c r="F351" s="89">
        <v>79.029999000000004</v>
      </c>
      <c r="G351" s="89">
        <v>59.384785000000001</v>
      </c>
      <c r="H351" s="89">
        <v>362964800</v>
      </c>
      <c r="J351" s="89">
        <v>0</v>
      </c>
      <c r="K351" s="89">
        <f t="shared" si="61"/>
        <v>88</v>
      </c>
      <c r="L351" s="89">
        <f t="shared" si="62"/>
        <v>112.621376</v>
      </c>
      <c r="M351" s="89">
        <f>+SPY__2[[#This Row],[Adj Close]]</f>
        <v>59.384785000000001</v>
      </c>
      <c r="N351" s="89">
        <f t="shared" si="57"/>
        <v>5225.8610799999997</v>
      </c>
      <c r="O351" s="90">
        <f t="shared" si="58"/>
        <v>-4684.8200079999997</v>
      </c>
      <c r="P351" s="93">
        <f t="shared" si="59"/>
        <v>-0.47270414277303807</v>
      </c>
      <c r="Q351" s="96"/>
      <c r="R351" s="96"/>
      <c r="T351" s="90">
        <f t="shared" si="53"/>
        <v>95</v>
      </c>
      <c r="U351" s="89">
        <f t="shared" si="54"/>
        <v>103.31428490526316</v>
      </c>
      <c r="V351" s="89">
        <f t="shared" si="55"/>
        <v>59.384785000000001</v>
      </c>
      <c r="W351" s="90">
        <f t="shared" si="60"/>
        <v>5641.5545750000001</v>
      </c>
      <c r="X351" s="93">
        <f t="shared" si="56"/>
        <v>-0.42520257431530895</v>
      </c>
    </row>
    <row r="352" spans="2:24" x14ac:dyDescent="0.25">
      <c r="B352" s="91">
        <v>39863</v>
      </c>
      <c r="C352" s="89">
        <v>79.839995999999999</v>
      </c>
      <c r="D352" s="89">
        <v>80.150002000000001</v>
      </c>
      <c r="E352" s="89">
        <v>78.019997000000004</v>
      </c>
      <c r="F352" s="89">
        <v>78.180000000000007</v>
      </c>
      <c r="G352" s="89">
        <v>58.746098000000003</v>
      </c>
      <c r="H352" s="89">
        <v>316867500</v>
      </c>
      <c r="J352" s="89">
        <v>0</v>
      </c>
      <c r="K352" s="89">
        <f t="shared" si="61"/>
        <v>88</v>
      </c>
      <c r="L352" s="89">
        <f t="shared" si="62"/>
        <v>112.621376</v>
      </c>
      <c r="M352" s="89">
        <f>+SPY__2[[#This Row],[Adj Close]]</f>
        <v>58.746098000000003</v>
      </c>
      <c r="N352" s="89">
        <f t="shared" si="57"/>
        <v>5169.6566240000002</v>
      </c>
      <c r="O352" s="90">
        <f t="shared" si="58"/>
        <v>-4741.0244639999992</v>
      </c>
      <c r="P352" s="93">
        <f t="shared" si="59"/>
        <v>-0.4783752420144467</v>
      </c>
      <c r="Q352" s="96"/>
      <c r="R352" s="96"/>
      <c r="T352" s="90">
        <f t="shared" si="53"/>
        <v>95</v>
      </c>
      <c r="U352" s="89">
        <f t="shared" si="54"/>
        <v>103.31428490526316</v>
      </c>
      <c r="V352" s="89">
        <f t="shared" si="55"/>
        <v>58.746098000000003</v>
      </c>
      <c r="W352" s="90">
        <f t="shared" si="60"/>
        <v>5580.8793100000003</v>
      </c>
      <c r="X352" s="93">
        <f t="shared" si="56"/>
        <v>-0.43138455583495705</v>
      </c>
    </row>
    <row r="353" spans="2:41" x14ac:dyDescent="0.25">
      <c r="B353" s="91">
        <v>39864</v>
      </c>
      <c r="C353" s="89">
        <v>76.730002999999996</v>
      </c>
      <c r="D353" s="89">
        <v>78.339995999999999</v>
      </c>
      <c r="E353" s="89">
        <v>75.769997000000004</v>
      </c>
      <c r="F353" s="89">
        <v>77.419998000000007</v>
      </c>
      <c r="G353" s="89">
        <v>58.174992000000003</v>
      </c>
      <c r="H353" s="89">
        <v>477176600</v>
      </c>
      <c r="J353" s="89">
        <v>0</v>
      </c>
      <c r="K353" s="89">
        <f t="shared" si="61"/>
        <v>88</v>
      </c>
      <c r="L353" s="89">
        <f t="shared" si="62"/>
        <v>112.621376</v>
      </c>
      <c r="M353" s="89">
        <f>+SPY__2[[#This Row],[Adj Close]]</f>
        <v>58.174992000000003</v>
      </c>
      <c r="N353" s="89">
        <f t="shared" si="57"/>
        <v>5119.3992960000005</v>
      </c>
      <c r="O353" s="90">
        <f t="shared" si="58"/>
        <v>-4791.2817919999998</v>
      </c>
      <c r="P353" s="93">
        <f t="shared" si="59"/>
        <v>-0.48344626867283169</v>
      </c>
      <c r="Q353" s="96"/>
      <c r="R353" s="96"/>
      <c r="T353" s="90">
        <f t="shared" si="53"/>
        <v>95</v>
      </c>
      <c r="U353" s="89">
        <f t="shared" si="54"/>
        <v>103.31428490526316</v>
      </c>
      <c r="V353" s="89">
        <f t="shared" si="55"/>
        <v>58.174992000000003</v>
      </c>
      <c r="W353" s="90">
        <f t="shared" si="60"/>
        <v>5526.6242400000001</v>
      </c>
      <c r="X353" s="93">
        <f t="shared" si="56"/>
        <v>-0.43691240709505819</v>
      </c>
    </row>
    <row r="354" spans="2:41" x14ac:dyDescent="0.25">
      <c r="B354" s="91">
        <v>39867</v>
      </c>
      <c r="C354" s="89">
        <v>78.269997000000004</v>
      </c>
      <c r="D354" s="89">
        <v>78.269997000000004</v>
      </c>
      <c r="E354" s="89">
        <v>74.589995999999999</v>
      </c>
      <c r="F354" s="89">
        <v>74.650002000000001</v>
      </c>
      <c r="G354" s="89">
        <v>56.093567</v>
      </c>
      <c r="H354" s="89">
        <v>379641400</v>
      </c>
      <c r="J354" s="89">
        <v>0</v>
      </c>
      <c r="K354" s="89">
        <f t="shared" si="61"/>
        <v>88</v>
      </c>
      <c r="L354" s="89">
        <f t="shared" si="62"/>
        <v>112.621376</v>
      </c>
      <c r="M354" s="89">
        <f>+SPY__2[[#This Row],[Adj Close]]</f>
        <v>56.093567</v>
      </c>
      <c r="N354" s="89">
        <f t="shared" si="57"/>
        <v>4936.2338959999997</v>
      </c>
      <c r="O354" s="90">
        <f t="shared" si="58"/>
        <v>-4974.4471919999996</v>
      </c>
      <c r="P354" s="93">
        <f t="shared" si="59"/>
        <v>-0.50192788445419101</v>
      </c>
      <c r="Q354" s="96"/>
      <c r="R354" s="96"/>
      <c r="T354" s="90">
        <f t="shared" si="53"/>
        <v>95</v>
      </c>
      <c r="U354" s="89">
        <f t="shared" si="54"/>
        <v>103.31428490526316</v>
      </c>
      <c r="V354" s="89">
        <f t="shared" si="55"/>
        <v>56.093567</v>
      </c>
      <c r="W354" s="90">
        <f t="shared" si="60"/>
        <v>5328.8888649999999</v>
      </c>
      <c r="X354" s="93">
        <f t="shared" si="56"/>
        <v>-0.45705894348069565</v>
      </c>
    </row>
    <row r="355" spans="2:41" x14ac:dyDescent="0.25">
      <c r="B355" s="91">
        <v>39868</v>
      </c>
      <c r="C355" s="89">
        <v>75.290001000000004</v>
      </c>
      <c r="D355" s="89">
        <v>77.949996999999996</v>
      </c>
      <c r="E355" s="89">
        <v>74.699996999999996</v>
      </c>
      <c r="F355" s="89">
        <v>77.480002999999996</v>
      </c>
      <c r="G355" s="89">
        <v>58.220103999999999</v>
      </c>
      <c r="H355" s="89">
        <v>426260900</v>
      </c>
      <c r="J355" s="89">
        <v>0</v>
      </c>
      <c r="K355" s="89">
        <f t="shared" si="61"/>
        <v>88</v>
      </c>
      <c r="L355" s="89">
        <f t="shared" si="62"/>
        <v>112.621376</v>
      </c>
      <c r="M355" s="89">
        <f>+SPY__2[[#This Row],[Adj Close]]</f>
        <v>58.220103999999999</v>
      </c>
      <c r="N355" s="89">
        <f t="shared" si="57"/>
        <v>5123.3691520000002</v>
      </c>
      <c r="O355" s="90">
        <f t="shared" si="58"/>
        <v>-4787.3119360000001</v>
      </c>
      <c r="P355" s="93">
        <f t="shared" si="59"/>
        <v>-0.48304570528422597</v>
      </c>
      <c r="Q355" s="96"/>
      <c r="R355" s="96"/>
      <c r="T355" s="90">
        <f t="shared" si="53"/>
        <v>95</v>
      </c>
      <c r="U355" s="89">
        <f t="shared" si="54"/>
        <v>103.31428490526316</v>
      </c>
      <c r="V355" s="89">
        <f t="shared" si="55"/>
        <v>58.220103999999999</v>
      </c>
      <c r="W355" s="90">
        <f t="shared" si="60"/>
        <v>5530.9098800000002</v>
      </c>
      <c r="X355" s="93">
        <f t="shared" si="56"/>
        <v>-0.43647575886155043</v>
      </c>
    </row>
    <row r="356" spans="2:41" x14ac:dyDescent="0.25">
      <c r="B356" s="91">
        <v>39869</v>
      </c>
      <c r="C356" s="89">
        <v>77.139999000000003</v>
      </c>
      <c r="D356" s="89">
        <v>78.419998000000007</v>
      </c>
      <c r="E356" s="89">
        <v>75.629997000000003</v>
      </c>
      <c r="F356" s="89">
        <v>76.870002999999997</v>
      </c>
      <c r="G356" s="89">
        <v>57.761702999999997</v>
      </c>
      <c r="H356" s="89">
        <v>461985800</v>
      </c>
      <c r="J356" s="89">
        <v>0</v>
      </c>
      <c r="K356" s="89">
        <f t="shared" si="61"/>
        <v>88</v>
      </c>
      <c r="L356" s="89">
        <f t="shared" si="62"/>
        <v>112.621376</v>
      </c>
      <c r="M356" s="89">
        <f>+SPY__2[[#This Row],[Adj Close]]</f>
        <v>57.761702999999997</v>
      </c>
      <c r="N356" s="89">
        <f t="shared" si="57"/>
        <v>5083.0298640000001</v>
      </c>
      <c r="O356" s="90">
        <f t="shared" si="58"/>
        <v>-4827.6512240000002</v>
      </c>
      <c r="P356" s="93">
        <f t="shared" si="59"/>
        <v>-0.48711598941927337</v>
      </c>
      <c r="Q356" s="96"/>
      <c r="R356" s="96"/>
      <c r="T356" s="90">
        <f t="shared" si="53"/>
        <v>95</v>
      </c>
      <c r="U356" s="89">
        <f t="shared" si="54"/>
        <v>103.31428490526316</v>
      </c>
      <c r="V356" s="89">
        <f t="shared" si="55"/>
        <v>57.761702999999997</v>
      </c>
      <c r="W356" s="90">
        <f t="shared" si="60"/>
        <v>5487.3617850000001</v>
      </c>
      <c r="X356" s="93">
        <f t="shared" si="56"/>
        <v>-0.44091271547815325</v>
      </c>
    </row>
    <row r="357" spans="2:41" x14ac:dyDescent="0.25">
      <c r="B357" s="91">
        <v>39870</v>
      </c>
      <c r="C357" s="89">
        <v>77.819999999999993</v>
      </c>
      <c r="D357" s="89">
        <v>79.669998000000007</v>
      </c>
      <c r="E357" s="89">
        <v>75.529999000000004</v>
      </c>
      <c r="F357" s="89">
        <v>75.620002999999997</v>
      </c>
      <c r="G357" s="89">
        <v>56.822474999999997</v>
      </c>
      <c r="H357" s="89">
        <v>363353900</v>
      </c>
      <c r="J357" s="89">
        <v>0</v>
      </c>
      <c r="K357" s="89">
        <f t="shared" si="61"/>
        <v>88</v>
      </c>
      <c r="L357" s="89">
        <f t="shared" si="62"/>
        <v>112.621376</v>
      </c>
      <c r="M357" s="89">
        <f>+SPY__2[[#This Row],[Adj Close]]</f>
        <v>56.822474999999997</v>
      </c>
      <c r="N357" s="89">
        <f t="shared" si="57"/>
        <v>5000.3778000000002</v>
      </c>
      <c r="O357" s="90">
        <f t="shared" si="58"/>
        <v>-4910.3032880000001</v>
      </c>
      <c r="P357" s="93">
        <f t="shared" si="59"/>
        <v>-0.49545568507349791</v>
      </c>
      <c r="Q357" s="96"/>
      <c r="R357" s="96"/>
      <c r="T357" s="90">
        <f t="shared" si="53"/>
        <v>95</v>
      </c>
      <c r="U357" s="89">
        <f t="shared" si="54"/>
        <v>103.31428490526316</v>
      </c>
      <c r="V357" s="89">
        <f t="shared" si="55"/>
        <v>56.822474999999997</v>
      </c>
      <c r="W357" s="90">
        <f t="shared" si="60"/>
        <v>5398.1351249999998</v>
      </c>
      <c r="X357" s="93">
        <f t="shared" si="56"/>
        <v>-0.45000369453164291</v>
      </c>
    </row>
    <row r="358" spans="2:41" x14ac:dyDescent="0.25">
      <c r="B358" s="91">
        <v>39871</v>
      </c>
      <c r="C358" s="89">
        <v>74.010002</v>
      </c>
      <c r="D358" s="89">
        <v>75.690002000000007</v>
      </c>
      <c r="E358" s="89">
        <v>73.809997999999993</v>
      </c>
      <c r="F358" s="89">
        <v>73.930000000000007</v>
      </c>
      <c r="G358" s="89">
        <v>55.552525000000003</v>
      </c>
      <c r="H358" s="89">
        <v>470510900</v>
      </c>
      <c r="J358" s="89">
        <v>0</v>
      </c>
      <c r="K358" s="89">
        <f t="shared" si="61"/>
        <v>88</v>
      </c>
      <c r="L358" s="89">
        <f t="shared" si="62"/>
        <v>112.621376</v>
      </c>
      <c r="M358" s="89">
        <f>+SPY__2[[#This Row],[Adj Close]]</f>
        <v>55.552525000000003</v>
      </c>
      <c r="N358" s="89">
        <f t="shared" si="57"/>
        <v>4888.6221999999998</v>
      </c>
      <c r="O358" s="90">
        <f t="shared" si="58"/>
        <v>-5022.0588879999996</v>
      </c>
      <c r="P358" s="93">
        <f t="shared" si="59"/>
        <v>-0.50673196356613504</v>
      </c>
      <c r="Q358" s="96"/>
      <c r="R358" s="96"/>
      <c r="T358" s="90">
        <f t="shared" si="53"/>
        <v>95</v>
      </c>
      <c r="U358" s="89">
        <f t="shared" si="54"/>
        <v>103.31428490526316</v>
      </c>
      <c r="V358" s="89">
        <f t="shared" si="55"/>
        <v>55.552525000000003</v>
      </c>
      <c r="W358" s="90">
        <f t="shared" si="60"/>
        <v>5277.4898750000002</v>
      </c>
      <c r="X358" s="93">
        <f t="shared" si="56"/>
        <v>-0.46229579916329677</v>
      </c>
    </row>
    <row r="359" spans="2:41" x14ac:dyDescent="0.25">
      <c r="B359" s="91">
        <v>39874</v>
      </c>
      <c r="C359" s="89">
        <v>72.519997000000004</v>
      </c>
      <c r="D359" s="89">
        <v>73.919998000000007</v>
      </c>
      <c r="E359" s="89">
        <v>70.370002999999997</v>
      </c>
      <c r="F359" s="89">
        <v>70.599997999999999</v>
      </c>
      <c r="G359" s="89">
        <v>53.050322999999999</v>
      </c>
      <c r="H359" s="89">
        <v>426452600</v>
      </c>
      <c r="J359" s="89">
        <v>0</v>
      </c>
      <c r="K359" s="89">
        <f t="shared" si="61"/>
        <v>88</v>
      </c>
      <c r="L359" s="89">
        <f t="shared" si="62"/>
        <v>112.621376</v>
      </c>
      <c r="M359" s="89">
        <f>+SPY__2[[#This Row],[Adj Close]]</f>
        <v>53.050322999999999</v>
      </c>
      <c r="N359" s="89">
        <f t="shared" si="57"/>
        <v>4668.4284239999997</v>
      </c>
      <c r="O359" s="90">
        <f t="shared" si="58"/>
        <v>-5242.2526639999996</v>
      </c>
      <c r="P359" s="93">
        <f t="shared" si="59"/>
        <v>-0.52894978835989359</v>
      </c>
      <c r="Q359" s="96"/>
      <c r="R359" s="96"/>
      <c r="T359" s="90">
        <f t="shared" si="53"/>
        <v>95</v>
      </c>
      <c r="U359" s="89">
        <f t="shared" si="54"/>
        <v>103.31428490526316</v>
      </c>
      <c r="V359" s="89">
        <f t="shared" si="55"/>
        <v>53.050322999999999</v>
      </c>
      <c r="W359" s="90">
        <f t="shared" si="60"/>
        <v>5039.7806849999997</v>
      </c>
      <c r="X359" s="93">
        <f t="shared" si="56"/>
        <v>-0.48651512180870315</v>
      </c>
    </row>
    <row r="360" spans="2:41" x14ac:dyDescent="0.25">
      <c r="B360" s="91">
        <v>39875</v>
      </c>
      <c r="C360" s="89">
        <v>71.610000999999997</v>
      </c>
      <c r="D360" s="89">
        <v>71.699996999999996</v>
      </c>
      <c r="E360" s="89">
        <v>69.639999000000003</v>
      </c>
      <c r="F360" s="89">
        <v>70.069999999999993</v>
      </c>
      <c r="G360" s="89">
        <v>52.652057999999997</v>
      </c>
      <c r="H360" s="89">
        <v>443761000</v>
      </c>
      <c r="J360" s="89">
        <v>0</v>
      </c>
      <c r="K360" s="89">
        <f t="shared" si="61"/>
        <v>88</v>
      </c>
      <c r="L360" s="89">
        <f t="shared" si="62"/>
        <v>112.621376</v>
      </c>
      <c r="M360" s="89">
        <f>+SPY__2[[#This Row],[Adj Close]]</f>
        <v>52.652057999999997</v>
      </c>
      <c r="N360" s="89">
        <f t="shared" si="57"/>
        <v>4633.3811040000001</v>
      </c>
      <c r="O360" s="90">
        <f t="shared" si="58"/>
        <v>-5277.2999840000002</v>
      </c>
      <c r="P360" s="93">
        <f t="shared" si="59"/>
        <v>-0.53248610636758698</v>
      </c>
      <c r="Q360" s="96"/>
      <c r="R360" s="96"/>
      <c r="T360" s="90">
        <f t="shared" si="53"/>
        <v>95</v>
      </c>
      <c r="U360" s="89">
        <f t="shared" si="54"/>
        <v>103.31428490526316</v>
      </c>
      <c r="V360" s="89">
        <f t="shared" si="55"/>
        <v>52.652057999999997</v>
      </c>
      <c r="W360" s="90">
        <f t="shared" si="60"/>
        <v>5001.9455099999996</v>
      </c>
      <c r="X360" s="93">
        <f t="shared" si="56"/>
        <v>-0.49037000983667722</v>
      </c>
    </row>
    <row r="361" spans="2:41" x14ac:dyDescent="0.25">
      <c r="B361" s="91">
        <v>39876</v>
      </c>
      <c r="C361" s="89">
        <v>71.230002999999996</v>
      </c>
      <c r="D361" s="89">
        <v>72.870002999999997</v>
      </c>
      <c r="E361" s="89">
        <v>70.069999999999993</v>
      </c>
      <c r="F361" s="89">
        <v>71.730002999999996</v>
      </c>
      <c r="G361" s="89">
        <v>53.899428999999998</v>
      </c>
      <c r="H361" s="89">
        <v>462753100</v>
      </c>
      <c r="J361" s="89">
        <v>0</v>
      </c>
      <c r="K361" s="89">
        <f t="shared" si="61"/>
        <v>88</v>
      </c>
      <c r="L361" s="89">
        <f t="shared" si="62"/>
        <v>112.621376</v>
      </c>
      <c r="M361" s="89">
        <f>+SPY__2[[#This Row],[Adj Close]]</f>
        <v>53.899428999999998</v>
      </c>
      <c r="N361" s="89">
        <f t="shared" si="57"/>
        <v>4743.1497519999994</v>
      </c>
      <c r="O361" s="90">
        <f t="shared" si="58"/>
        <v>-5167.531336</v>
      </c>
      <c r="P361" s="93">
        <f t="shared" si="59"/>
        <v>-0.52141031379336011</v>
      </c>
      <c r="Q361" s="96"/>
      <c r="R361" s="96"/>
      <c r="T361" s="90">
        <f t="shared" si="53"/>
        <v>95</v>
      </c>
      <c r="U361" s="89">
        <f t="shared" si="54"/>
        <v>103.31428490526316</v>
      </c>
      <c r="V361" s="89">
        <f t="shared" si="55"/>
        <v>53.899428999999998</v>
      </c>
      <c r="W361" s="90">
        <f t="shared" si="60"/>
        <v>5120.4457549999997</v>
      </c>
      <c r="X361" s="93">
        <f t="shared" si="56"/>
        <v>-0.47829645194346027</v>
      </c>
    </row>
    <row r="362" spans="2:41" x14ac:dyDescent="0.25">
      <c r="B362" s="91">
        <v>39877</v>
      </c>
      <c r="C362" s="89">
        <v>70.099997999999999</v>
      </c>
      <c r="D362" s="89">
        <v>71.730002999999996</v>
      </c>
      <c r="E362" s="89">
        <v>68.169998000000007</v>
      </c>
      <c r="F362" s="89">
        <v>68.800003000000004</v>
      </c>
      <c r="G362" s="89">
        <v>51.697749999999999</v>
      </c>
      <c r="H362" s="89">
        <v>485549400</v>
      </c>
      <c r="J362" s="89">
        <v>0</v>
      </c>
      <c r="K362" s="89">
        <f t="shared" si="61"/>
        <v>88</v>
      </c>
      <c r="L362" s="89">
        <f t="shared" si="62"/>
        <v>112.621376</v>
      </c>
      <c r="M362" s="89">
        <f>+SPY__2[[#This Row],[Adj Close]]</f>
        <v>51.697749999999999</v>
      </c>
      <c r="N362" s="89">
        <f t="shared" si="57"/>
        <v>4549.402</v>
      </c>
      <c r="O362" s="90">
        <f t="shared" si="58"/>
        <v>-5361.2790880000002</v>
      </c>
      <c r="P362" s="93">
        <f t="shared" si="59"/>
        <v>-0.54095970200186505</v>
      </c>
      <c r="Q362" s="96"/>
      <c r="R362" s="96"/>
      <c r="T362" s="90">
        <f t="shared" si="53"/>
        <v>95</v>
      </c>
      <c r="U362" s="89">
        <f t="shared" si="54"/>
        <v>103.31428490526316</v>
      </c>
      <c r="V362" s="89">
        <f t="shared" si="55"/>
        <v>51.697749999999999</v>
      </c>
      <c r="W362" s="90">
        <f t="shared" si="60"/>
        <v>4911.2862500000001</v>
      </c>
      <c r="X362" s="93">
        <f t="shared" si="56"/>
        <v>-0.49960695128069021</v>
      </c>
    </row>
    <row r="363" spans="2:41" x14ac:dyDescent="0.25">
      <c r="B363" s="91">
        <v>39878</v>
      </c>
      <c r="C363" s="89">
        <v>69.400002000000001</v>
      </c>
      <c r="D363" s="89">
        <v>70.449996999999996</v>
      </c>
      <c r="E363" s="89">
        <v>67.099997999999999</v>
      </c>
      <c r="F363" s="89">
        <v>68.919998000000007</v>
      </c>
      <c r="G363" s="89">
        <v>51.787917999999998</v>
      </c>
      <c r="H363" s="89">
        <v>490470000</v>
      </c>
      <c r="J363" s="89">
        <v>0</v>
      </c>
      <c r="K363" s="89">
        <f t="shared" si="61"/>
        <v>88</v>
      </c>
      <c r="L363" s="89">
        <f t="shared" si="62"/>
        <v>112.621376</v>
      </c>
      <c r="M363" s="89">
        <f>+SPY__2[[#This Row],[Adj Close]]</f>
        <v>51.787917999999998</v>
      </c>
      <c r="N363" s="89">
        <f t="shared" si="57"/>
        <v>4557.3367840000001</v>
      </c>
      <c r="O363" s="90">
        <f t="shared" si="58"/>
        <v>-5353.3443040000002</v>
      </c>
      <c r="P363" s="93">
        <f t="shared" si="59"/>
        <v>-0.54015907246595884</v>
      </c>
      <c r="Q363" s="96"/>
      <c r="R363" s="96"/>
      <c r="T363" s="90">
        <f t="shared" si="53"/>
        <v>95</v>
      </c>
      <c r="U363" s="89">
        <f t="shared" si="54"/>
        <v>103.31428490526316</v>
      </c>
      <c r="V363" s="89">
        <f t="shared" si="55"/>
        <v>51.787917999999998</v>
      </c>
      <c r="W363" s="90">
        <f t="shared" si="60"/>
        <v>4919.85221</v>
      </c>
      <c r="X363" s="93">
        <f t="shared" si="56"/>
        <v>-0.49873419684907716</v>
      </c>
      <c r="AA363" s="92" t="s">
        <v>2738</v>
      </c>
      <c r="AB363" s="92" t="s">
        <v>2737</v>
      </c>
      <c r="AC363" s="92" t="s">
        <v>2740</v>
      </c>
      <c r="AD363" s="92" t="s">
        <v>2741</v>
      </c>
      <c r="AE363" s="92" t="s">
        <v>2743</v>
      </c>
      <c r="AF363" s="92" t="s">
        <v>2742</v>
      </c>
      <c r="AG363" s="92" t="s">
        <v>2748</v>
      </c>
      <c r="AI363" s="97" t="s">
        <v>2738</v>
      </c>
      <c r="AJ363" s="97" t="s">
        <v>2744</v>
      </c>
      <c r="AK363" s="97" t="s">
        <v>2745</v>
      </c>
      <c r="AL363" s="97" t="s">
        <v>2739</v>
      </c>
      <c r="AM363" s="97" t="s">
        <v>2746</v>
      </c>
      <c r="AN363" s="97" t="s">
        <v>2747</v>
      </c>
      <c r="AO363" s="97" t="s">
        <v>2749</v>
      </c>
    </row>
    <row r="364" spans="2:41" x14ac:dyDescent="0.25">
      <c r="B364" s="91">
        <v>39881</v>
      </c>
      <c r="C364" s="89">
        <v>67.949996999999996</v>
      </c>
      <c r="D364" s="89">
        <v>70</v>
      </c>
      <c r="E364" s="89">
        <v>67.730002999999996</v>
      </c>
      <c r="F364" s="89">
        <v>68.110000999999997</v>
      </c>
      <c r="G364" s="89">
        <v>51.179276000000002</v>
      </c>
      <c r="H364" s="89">
        <v>379905300</v>
      </c>
      <c r="J364" s="89">
        <v>0</v>
      </c>
      <c r="K364" s="89">
        <f t="shared" si="61"/>
        <v>88</v>
      </c>
      <c r="L364" s="89">
        <f t="shared" si="62"/>
        <v>112.621376</v>
      </c>
      <c r="M364" s="89">
        <f>+SPY__2[[#This Row],[Adj Close]]</f>
        <v>51.179276000000002</v>
      </c>
      <c r="N364" s="89">
        <f t="shared" si="57"/>
        <v>4503.776288</v>
      </c>
      <c r="O364" s="90">
        <f t="shared" si="58"/>
        <v>-5406.9047999999993</v>
      </c>
      <c r="P364" s="93">
        <f t="shared" si="59"/>
        <v>-0.54556339286779798</v>
      </c>
      <c r="Q364" s="96"/>
      <c r="R364" s="96"/>
      <c r="T364" s="90">
        <f t="shared" si="53"/>
        <v>95</v>
      </c>
      <c r="U364" s="89">
        <f t="shared" si="54"/>
        <v>103.31428490526316</v>
      </c>
      <c r="V364" s="89">
        <f t="shared" si="55"/>
        <v>51.179276000000002</v>
      </c>
      <c r="W364" s="90">
        <f t="shared" si="60"/>
        <v>4862.0312199999998</v>
      </c>
      <c r="X364" s="93">
        <f t="shared" si="56"/>
        <v>-0.50462536669609404</v>
      </c>
      <c r="AA364" s="89">
        <v>-10000</v>
      </c>
      <c r="AB364" s="89">
        <f>-ROUNDDOWN(+AA364/V364,0)</f>
        <v>195</v>
      </c>
      <c r="AC364" s="89">
        <f>+V364</f>
        <v>51.179276000000002</v>
      </c>
      <c r="AD364" s="89">
        <f>+V364</f>
        <v>51.179276000000002</v>
      </c>
      <c r="AE364" s="89">
        <f>+AB364*AD364</f>
        <v>9979.9588199999998</v>
      </c>
      <c r="AF364" s="90">
        <f>+(AD364-AC364)*AB364</f>
        <v>0</v>
      </c>
      <c r="AG364" s="93">
        <f t="shared" ref="AG364" si="63">+AD364/AC364-1</f>
        <v>0</v>
      </c>
      <c r="AI364" s="90">
        <v>-2500</v>
      </c>
      <c r="AJ364" s="89">
        <f>-ROUNDDOWN(+AI364/AD364,0)</f>
        <v>48</v>
      </c>
      <c r="AK364" s="90">
        <f>+AJ364</f>
        <v>48</v>
      </c>
      <c r="AL364" s="89">
        <f>+AD364</f>
        <v>51.179276000000002</v>
      </c>
      <c r="AM364" s="89">
        <f>+AD364</f>
        <v>51.179276000000002</v>
      </c>
      <c r="AN364" s="90">
        <f>+AM364*AK364</f>
        <v>2456.6052479999998</v>
      </c>
      <c r="AO364" s="93">
        <f>+AN364/(AL364*AK364)-1</f>
        <v>0</v>
      </c>
    </row>
    <row r="365" spans="2:41" x14ac:dyDescent="0.25">
      <c r="B365" s="91">
        <v>39882</v>
      </c>
      <c r="C365" s="89">
        <v>69.510002</v>
      </c>
      <c r="D365" s="89">
        <v>72.370002999999997</v>
      </c>
      <c r="E365" s="89">
        <v>69.370002999999997</v>
      </c>
      <c r="F365" s="89">
        <v>72.169998000000007</v>
      </c>
      <c r="G365" s="89">
        <v>54.230044999999997</v>
      </c>
      <c r="H365" s="89">
        <v>406227900</v>
      </c>
      <c r="J365" s="89">
        <v>0</v>
      </c>
      <c r="K365" s="89">
        <f t="shared" si="61"/>
        <v>88</v>
      </c>
      <c r="L365" s="89">
        <f t="shared" si="62"/>
        <v>112.621376</v>
      </c>
      <c r="M365" s="89">
        <f>+SPY__2[[#This Row],[Adj Close]]</f>
        <v>54.230044999999997</v>
      </c>
      <c r="N365" s="89">
        <f t="shared" si="57"/>
        <v>4772.2439599999998</v>
      </c>
      <c r="O365" s="90">
        <f t="shared" si="58"/>
        <v>-5138.4371280000005</v>
      </c>
      <c r="P365" s="93">
        <f t="shared" si="59"/>
        <v>-0.51847467216170395</v>
      </c>
      <c r="Q365" s="96"/>
      <c r="R365" s="96"/>
      <c r="T365" s="90">
        <f t="shared" si="53"/>
        <v>95</v>
      </c>
      <c r="U365" s="89">
        <f t="shared" si="54"/>
        <v>103.31428490526316</v>
      </c>
      <c r="V365" s="89">
        <f t="shared" si="55"/>
        <v>54.230044999999997</v>
      </c>
      <c r="W365" s="90">
        <f t="shared" si="60"/>
        <v>5151.8542749999997</v>
      </c>
      <c r="X365" s="93">
        <f t="shared" si="56"/>
        <v>-0.4750963523608791</v>
      </c>
      <c r="AB365" s="89">
        <f>+AB364</f>
        <v>195</v>
      </c>
      <c r="AC365" s="89">
        <f>+AC364</f>
        <v>51.179276000000002</v>
      </c>
      <c r="AD365" s="89">
        <f>+V365</f>
        <v>54.230044999999997</v>
      </c>
      <c r="AE365" s="89">
        <f>+AB365*AD365</f>
        <v>10574.858774999999</v>
      </c>
      <c r="AF365" s="90">
        <f>+(AD365-AC365)*AB365</f>
        <v>594.89995499999907</v>
      </c>
      <c r="AG365" s="93">
        <f t="shared" ref="AG365:AG369" si="64">+AD365/AC365-1</f>
        <v>5.9609459891538874E-2</v>
      </c>
      <c r="AK365" s="90">
        <f>+AK364</f>
        <v>48</v>
      </c>
      <c r="AL365" s="89">
        <f>+AL364</f>
        <v>51.179276000000002</v>
      </c>
      <c r="AM365" s="89">
        <f t="shared" ref="AM365:AM428" si="65">+AD365</f>
        <v>54.230044999999997</v>
      </c>
      <c r="AN365" s="90">
        <f t="shared" ref="AN365:AN428" si="66">+AM365*AK365</f>
        <v>2603.04216</v>
      </c>
      <c r="AO365" s="93">
        <f t="shared" ref="AO365:AO428" si="67">+AN365/(AL365*AK365)-1</f>
        <v>5.9609459891538874E-2</v>
      </c>
    </row>
    <row r="366" spans="2:41" x14ac:dyDescent="0.25">
      <c r="B366" s="91">
        <v>39883</v>
      </c>
      <c r="C366" s="89">
        <v>73</v>
      </c>
      <c r="D366" s="89">
        <v>73.75</v>
      </c>
      <c r="E366" s="89">
        <v>71.830001999999993</v>
      </c>
      <c r="F366" s="89">
        <v>72.639999000000003</v>
      </c>
      <c r="G366" s="89">
        <v>54.583218000000002</v>
      </c>
      <c r="H366" s="89">
        <v>356648300</v>
      </c>
      <c r="J366" s="89">
        <v>0</v>
      </c>
      <c r="K366" s="89">
        <f t="shared" si="61"/>
        <v>88</v>
      </c>
      <c r="L366" s="89">
        <f t="shared" si="62"/>
        <v>112.621376</v>
      </c>
      <c r="M366" s="89">
        <f>+SPY__2[[#This Row],[Adj Close]]</f>
        <v>54.583218000000002</v>
      </c>
      <c r="N366" s="89">
        <f t="shared" si="57"/>
        <v>4803.3231839999999</v>
      </c>
      <c r="O366" s="90">
        <f t="shared" si="58"/>
        <v>-5107.3579039999995</v>
      </c>
      <c r="P366" s="93">
        <f t="shared" si="59"/>
        <v>-0.51533873995643598</v>
      </c>
      <c r="Q366" s="96"/>
      <c r="R366" s="96"/>
      <c r="T366" s="90">
        <f t="shared" si="53"/>
        <v>95</v>
      </c>
      <c r="U366" s="89">
        <f t="shared" si="54"/>
        <v>103.31428490526316</v>
      </c>
      <c r="V366" s="89">
        <f t="shared" si="55"/>
        <v>54.583218000000002</v>
      </c>
      <c r="W366" s="90">
        <f t="shared" si="60"/>
        <v>5185.40571</v>
      </c>
      <c r="X366" s="93">
        <f t="shared" si="56"/>
        <v>-0.47167791898234046</v>
      </c>
      <c r="AB366" s="89">
        <f t="shared" ref="AB366:AB429" si="68">+AB365</f>
        <v>195</v>
      </c>
      <c r="AC366" s="89">
        <f t="shared" ref="AC366:AC429" si="69">+AC365</f>
        <v>51.179276000000002</v>
      </c>
      <c r="AD366" s="89">
        <f t="shared" ref="AD366:AD429" si="70">+V366</f>
        <v>54.583218000000002</v>
      </c>
      <c r="AE366" s="89">
        <f t="shared" ref="AE366:AE429" si="71">+AB366*AD366</f>
        <v>10643.727510000001</v>
      </c>
      <c r="AF366" s="90">
        <f t="shared" ref="AF366:AF369" si="72">+(AD366-AC366)*AB366</f>
        <v>663.76869000000011</v>
      </c>
      <c r="AG366" s="93">
        <f t="shared" si="64"/>
        <v>6.6510163215282692E-2</v>
      </c>
      <c r="AK366" s="90">
        <f t="shared" ref="AK366:AK427" si="73">+AK365</f>
        <v>48</v>
      </c>
      <c r="AL366" s="89">
        <f t="shared" ref="AL366:AL427" si="74">+AL365</f>
        <v>51.179276000000002</v>
      </c>
      <c r="AM366" s="89">
        <f t="shared" si="65"/>
        <v>54.583218000000002</v>
      </c>
      <c r="AN366" s="90">
        <f t="shared" si="66"/>
        <v>2619.9944640000003</v>
      </c>
      <c r="AO366" s="93">
        <f t="shared" si="67"/>
        <v>6.6510163215282914E-2</v>
      </c>
    </row>
    <row r="367" spans="2:41" x14ac:dyDescent="0.25">
      <c r="B367" s="91">
        <v>39884</v>
      </c>
      <c r="C367" s="89">
        <v>72.620002999999997</v>
      </c>
      <c r="D367" s="89">
        <v>75.75</v>
      </c>
      <c r="E367" s="89">
        <v>71.970000999999996</v>
      </c>
      <c r="F367" s="89">
        <v>75.5</v>
      </c>
      <c r="G367" s="89">
        <v>56.732284999999997</v>
      </c>
      <c r="H367" s="89">
        <v>409702700</v>
      </c>
      <c r="J367" s="89">
        <v>0</v>
      </c>
      <c r="K367" s="89">
        <f t="shared" si="61"/>
        <v>88</v>
      </c>
      <c r="L367" s="89">
        <f t="shared" si="62"/>
        <v>112.621376</v>
      </c>
      <c r="M367" s="89">
        <f>+SPY__2[[#This Row],[Adj Close]]</f>
        <v>56.732284999999997</v>
      </c>
      <c r="N367" s="89">
        <f t="shared" si="57"/>
        <v>4992.4410799999996</v>
      </c>
      <c r="O367" s="90">
        <f t="shared" si="58"/>
        <v>-4918.2400079999998</v>
      </c>
      <c r="P367" s="93">
        <f t="shared" si="59"/>
        <v>-0.49625650995420267</v>
      </c>
      <c r="Q367" s="96"/>
      <c r="R367" s="96"/>
      <c r="T367" s="90">
        <f t="shared" si="53"/>
        <v>95</v>
      </c>
      <c r="U367" s="89">
        <f t="shared" si="54"/>
        <v>103.31428490526316</v>
      </c>
      <c r="V367" s="89">
        <f t="shared" si="55"/>
        <v>56.732284999999997</v>
      </c>
      <c r="W367" s="90">
        <f t="shared" si="60"/>
        <v>5389.5670749999999</v>
      </c>
      <c r="X367" s="93">
        <f t="shared" si="56"/>
        <v>-0.45087666190573539</v>
      </c>
      <c r="AB367" s="89">
        <f t="shared" si="68"/>
        <v>195</v>
      </c>
      <c r="AC367" s="89">
        <f t="shared" si="69"/>
        <v>51.179276000000002</v>
      </c>
      <c r="AD367" s="89">
        <f t="shared" si="70"/>
        <v>56.732284999999997</v>
      </c>
      <c r="AE367" s="89">
        <f t="shared" si="71"/>
        <v>11062.795575</v>
      </c>
      <c r="AF367" s="90">
        <f t="shared" si="72"/>
        <v>1082.8367549999991</v>
      </c>
      <c r="AG367" s="93">
        <f t="shared" si="64"/>
        <v>0.10850112455674443</v>
      </c>
      <c r="AK367" s="90">
        <f t="shared" si="73"/>
        <v>48</v>
      </c>
      <c r="AL367" s="89">
        <f t="shared" si="74"/>
        <v>51.179276000000002</v>
      </c>
      <c r="AM367" s="89">
        <f t="shared" si="65"/>
        <v>56.732284999999997</v>
      </c>
      <c r="AN367" s="90">
        <f t="shared" si="66"/>
        <v>2723.14968</v>
      </c>
      <c r="AO367" s="93">
        <f t="shared" si="67"/>
        <v>0.10850112455674443</v>
      </c>
    </row>
    <row r="368" spans="2:41" x14ac:dyDescent="0.25">
      <c r="B368" s="91">
        <v>39885</v>
      </c>
      <c r="C368" s="89">
        <v>76.010002</v>
      </c>
      <c r="D368" s="89">
        <v>76.980002999999996</v>
      </c>
      <c r="E368" s="89">
        <v>74.730002999999996</v>
      </c>
      <c r="F368" s="89">
        <v>76.089995999999999</v>
      </c>
      <c r="G368" s="89">
        <v>57.175609999999999</v>
      </c>
      <c r="H368" s="89">
        <v>337474700</v>
      </c>
      <c r="J368" s="89">
        <v>0</v>
      </c>
      <c r="K368" s="89">
        <f t="shared" si="61"/>
        <v>88</v>
      </c>
      <c r="L368" s="89">
        <f t="shared" si="62"/>
        <v>112.621376</v>
      </c>
      <c r="M368" s="89">
        <f>+SPY__2[[#This Row],[Adj Close]]</f>
        <v>57.175609999999999</v>
      </c>
      <c r="N368" s="89">
        <f t="shared" si="57"/>
        <v>5031.4536799999996</v>
      </c>
      <c r="O368" s="90">
        <f t="shared" si="58"/>
        <v>-4879.2274079999997</v>
      </c>
      <c r="P368" s="93">
        <f t="shared" si="59"/>
        <v>-0.49232009028197277</v>
      </c>
      <c r="Q368" s="96"/>
      <c r="R368" s="96"/>
      <c r="T368" s="90">
        <f t="shared" si="53"/>
        <v>95</v>
      </c>
      <c r="U368" s="89">
        <f t="shared" si="54"/>
        <v>103.31428490526316</v>
      </c>
      <c r="V368" s="89">
        <f t="shared" si="55"/>
        <v>57.175609999999999</v>
      </c>
      <c r="W368" s="90">
        <f t="shared" si="60"/>
        <v>5431.6829500000003</v>
      </c>
      <c r="X368" s="93">
        <f t="shared" si="56"/>
        <v>-0.4465856289628416</v>
      </c>
      <c r="AB368" s="89">
        <f t="shared" si="68"/>
        <v>195</v>
      </c>
      <c r="AC368" s="89">
        <f t="shared" si="69"/>
        <v>51.179276000000002</v>
      </c>
      <c r="AD368" s="89">
        <f t="shared" si="70"/>
        <v>57.175609999999999</v>
      </c>
      <c r="AE368" s="89">
        <f t="shared" si="71"/>
        <v>11149.24395</v>
      </c>
      <c r="AF368" s="90">
        <f t="shared" si="72"/>
        <v>1169.2851299999995</v>
      </c>
      <c r="AG368" s="93">
        <f t="shared" si="64"/>
        <v>0.11716332212280611</v>
      </c>
      <c r="AK368" s="90">
        <f t="shared" si="73"/>
        <v>48</v>
      </c>
      <c r="AL368" s="89">
        <f t="shared" si="74"/>
        <v>51.179276000000002</v>
      </c>
      <c r="AM368" s="89">
        <f t="shared" si="65"/>
        <v>57.175609999999999</v>
      </c>
      <c r="AN368" s="90">
        <f t="shared" si="66"/>
        <v>2744.4292799999998</v>
      </c>
      <c r="AO368" s="93">
        <f t="shared" si="67"/>
        <v>0.11716332212280611</v>
      </c>
    </row>
    <row r="369" spans="2:41" x14ac:dyDescent="0.25">
      <c r="B369" s="91">
        <v>39888</v>
      </c>
      <c r="C369" s="89">
        <v>76.959998999999996</v>
      </c>
      <c r="D369" s="89">
        <v>77.970000999999996</v>
      </c>
      <c r="E369" s="89">
        <v>75.809997999999993</v>
      </c>
      <c r="F369" s="89">
        <v>75.860000999999997</v>
      </c>
      <c r="G369" s="89">
        <v>57.002780999999999</v>
      </c>
      <c r="H369" s="89">
        <v>360644900</v>
      </c>
      <c r="J369" s="89">
        <v>0</v>
      </c>
      <c r="K369" s="89">
        <f t="shared" si="61"/>
        <v>88</v>
      </c>
      <c r="L369" s="89">
        <f t="shared" si="62"/>
        <v>112.621376</v>
      </c>
      <c r="M369" s="89">
        <f>+SPY__2[[#This Row],[Adj Close]]</f>
        <v>57.002780999999999</v>
      </c>
      <c r="N369" s="89">
        <f t="shared" si="57"/>
        <v>5016.2447279999997</v>
      </c>
      <c r="O369" s="90">
        <f t="shared" si="58"/>
        <v>-4894.4363599999997</v>
      </c>
      <c r="P369" s="93">
        <f t="shared" si="59"/>
        <v>-0.49385469238095614</v>
      </c>
      <c r="Q369" s="96"/>
      <c r="R369" s="96"/>
      <c r="T369" s="90">
        <f t="shared" si="53"/>
        <v>95</v>
      </c>
      <c r="U369" s="89">
        <f t="shared" si="54"/>
        <v>103.31428490526316</v>
      </c>
      <c r="V369" s="89">
        <f t="shared" si="55"/>
        <v>57.002780999999999</v>
      </c>
      <c r="W369" s="90">
        <f t="shared" si="60"/>
        <v>5415.2641949999997</v>
      </c>
      <c r="X369" s="93">
        <f t="shared" si="56"/>
        <v>-0.44825847604452529</v>
      </c>
      <c r="AB369" s="89">
        <f t="shared" si="68"/>
        <v>195</v>
      </c>
      <c r="AC369" s="89">
        <f t="shared" si="69"/>
        <v>51.179276000000002</v>
      </c>
      <c r="AD369" s="89">
        <f t="shared" si="70"/>
        <v>57.002780999999999</v>
      </c>
      <c r="AE369" s="89">
        <f t="shared" si="71"/>
        <v>11115.542294999999</v>
      </c>
      <c r="AF369" s="90">
        <f t="shared" si="72"/>
        <v>1135.5834749999995</v>
      </c>
      <c r="AG369" s="93">
        <f t="shared" si="64"/>
        <v>0.11378638885004944</v>
      </c>
      <c r="AK369" s="90">
        <f t="shared" si="73"/>
        <v>48</v>
      </c>
      <c r="AL369" s="89">
        <f t="shared" si="74"/>
        <v>51.179276000000002</v>
      </c>
      <c r="AM369" s="89">
        <f t="shared" si="65"/>
        <v>57.002780999999999</v>
      </c>
      <c r="AN369" s="90">
        <f t="shared" si="66"/>
        <v>2736.1334879999999</v>
      </c>
      <c r="AO369" s="93">
        <f t="shared" si="67"/>
        <v>0.11378638885004944</v>
      </c>
    </row>
    <row r="370" spans="2:41" x14ac:dyDescent="0.25">
      <c r="B370" s="91">
        <v>39889</v>
      </c>
      <c r="C370" s="89">
        <v>76.069999999999993</v>
      </c>
      <c r="D370" s="89">
        <v>78.360000999999997</v>
      </c>
      <c r="E370" s="89">
        <v>75.449996999999996</v>
      </c>
      <c r="F370" s="89">
        <v>78.180000000000007</v>
      </c>
      <c r="G370" s="89">
        <v>58.746098000000003</v>
      </c>
      <c r="H370" s="89">
        <v>356814300</v>
      </c>
      <c r="J370" s="89">
        <v>0</v>
      </c>
      <c r="K370" s="89">
        <f t="shared" si="61"/>
        <v>88</v>
      </c>
      <c r="L370" s="89">
        <f t="shared" si="62"/>
        <v>112.621376</v>
      </c>
      <c r="M370" s="89">
        <f>+SPY__2[[#This Row],[Adj Close]]</f>
        <v>58.746098000000003</v>
      </c>
      <c r="N370" s="89">
        <f t="shared" si="57"/>
        <v>5169.6566240000002</v>
      </c>
      <c r="O370" s="90">
        <f t="shared" si="58"/>
        <v>-4741.0244639999992</v>
      </c>
      <c r="P370" s="93">
        <f t="shared" si="59"/>
        <v>-0.4783752420144467</v>
      </c>
      <c r="Q370" s="96"/>
      <c r="R370" s="96"/>
      <c r="T370" s="90">
        <f t="shared" si="53"/>
        <v>95</v>
      </c>
      <c r="U370" s="89">
        <f t="shared" si="54"/>
        <v>103.31428490526316</v>
      </c>
      <c r="V370" s="89">
        <f t="shared" si="55"/>
        <v>58.746098000000003</v>
      </c>
      <c r="W370" s="90">
        <f t="shared" si="60"/>
        <v>5580.8793100000003</v>
      </c>
      <c r="X370" s="93">
        <f t="shared" si="56"/>
        <v>-0.43138455583495705</v>
      </c>
      <c r="AB370" s="89">
        <f t="shared" si="68"/>
        <v>195</v>
      </c>
      <c r="AC370" s="89">
        <f t="shared" si="69"/>
        <v>51.179276000000002</v>
      </c>
      <c r="AD370" s="89">
        <f t="shared" si="70"/>
        <v>58.746098000000003</v>
      </c>
      <c r="AE370" s="89">
        <f t="shared" si="71"/>
        <v>11455.48911</v>
      </c>
      <c r="AF370" s="90">
        <f t="shared" ref="AF370:AF433" si="75">+(AD370-AC370)*AB370</f>
        <v>1475.5302900000004</v>
      </c>
      <c r="AG370" s="93">
        <f t="shared" ref="AG370:AG433" si="76">+AD370/AC370-1</f>
        <v>0.14784933651660093</v>
      </c>
      <c r="AK370" s="90">
        <f t="shared" si="73"/>
        <v>48</v>
      </c>
      <c r="AL370" s="89">
        <f t="shared" si="74"/>
        <v>51.179276000000002</v>
      </c>
      <c r="AM370" s="89">
        <f t="shared" si="65"/>
        <v>58.746098000000003</v>
      </c>
      <c r="AN370" s="90">
        <f t="shared" si="66"/>
        <v>2819.8127039999999</v>
      </c>
      <c r="AO370" s="93">
        <f t="shared" si="67"/>
        <v>0.14784933651660093</v>
      </c>
    </row>
    <row r="371" spans="2:41" x14ac:dyDescent="0.25">
      <c r="B371" s="91">
        <v>39890</v>
      </c>
      <c r="C371" s="89">
        <v>77.809997999999993</v>
      </c>
      <c r="D371" s="89">
        <v>80.900002000000001</v>
      </c>
      <c r="E371" s="89">
        <v>77.069999999999993</v>
      </c>
      <c r="F371" s="89">
        <v>79.930000000000007</v>
      </c>
      <c r="G371" s="89">
        <v>60.061076999999997</v>
      </c>
      <c r="H371" s="89">
        <v>473273200</v>
      </c>
      <c r="J371" s="89">
        <v>0</v>
      </c>
      <c r="K371" s="89">
        <f t="shared" si="61"/>
        <v>88</v>
      </c>
      <c r="L371" s="89">
        <f t="shared" si="62"/>
        <v>112.621376</v>
      </c>
      <c r="M371" s="89">
        <f>+SPY__2[[#This Row],[Adj Close]]</f>
        <v>60.061076999999997</v>
      </c>
      <c r="N371" s="89">
        <f t="shared" si="57"/>
        <v>5285.3747759999997</v>
      </c>
      <c r="O371" s="90">
        <f t="shared" si="58"/>
        <v>-4625.3063119999997</v>
      </c>
      <c r="P371" s="93">
        <f t="shared" si="59"/>
        <v>-0.46669913711585265</v>
      </c>
      <c r="Q371" s="96"/>
      <c r="R371" s="96"/>
      <c r="T371" s="90">
        <f t="shared" si="53"/>
        <v>95</v>
      </c>
      <c r="U371" s="89">
        <f t="shared" si="54"/>
        <v>103.31428490526316</v>
      </c>
      <c r="V371" s="89">
        <f t="shared" si="55"/>
        <v>60.061076999999997</v>
      </c>
      <c r="W371" s="90">
        <f t="shared" si="60"/>
        <v>5705.8023149999999</v>
      </c>
      <c r="X371" s="93">
        <f t="shared" si="56"/>
        <v>-0.4186566063436955</v>
      </c>
      <c r="AB371" s="89">
        <f t="shared" si="68"/>
        <v>195</v>
      </c>
      <c r="AC371" s="89">
        <f t="shared" si="69"/>
        <v>51.179276000000002</v>
      </c>
      <c r="AD371" s="89">
        <f t="shared" si="70"/>
        <v>60.061076999999997</v>
      </c>
      <c r="AE371" s="89">
        <f t="shared" si="71"/>
        <v>11711.910014999999</v>
      </c>
      <c r="AF371" s="90">
        <f t="shared" si="75"/>
        <v>1731.9511949999992</v>
      </c>
      <c r="AG371" s="93">
        <f t="shared" si="76"/>
        <v>0.17354291998972382</v>
      </c>
      <c r="AK371" s="90">
        <f t="shared" si="73"/>
        <v>48</v>
      </c>
      <c r="AL371" s="89">
        <f t="shared" si="74"/>
        <v>51.179276000000002</v>
      </c>
      <c r="AM371" s="89">
        <f t="shared" si="65"/>
        <v>60.061076999999997</v>
      </c>
      <c r="AN371" s="90">
        <f t="shared" si="66"/>
        <v>2882.9316959999996</v>
      </c>
      <c r="AO371" s="93">
        <f t="shared" si="67"/>
        <v>0.17354291998972382</v>
      </c>
    </row>
    <row r="372" spans="2:41" x14ac:dyDescent="0.25">
      <c r="B372" s="91">
        <v>39891</v>
      </c>
      <c r="C372" s="89">
        <v>80.930000000000007</v>
      </c>
      <c r="D372" s="89">
        <v>81</v>
      </c>
      <c r="E372" s="89">
        <v>78.690002000000007</v>
      </c>
      <c r="F372" s="89">
        <v>78.940002000000007</v>
      </c>
      <c r="G372" s="89">
        <v>59.317191999999999</v>
      </c>
      <c r="H372" s="89">
        <v>428520400</v>
      </c>
      <c r="J372" s="89">
        <v>0</v>
      </c>
      <c r="K372" s="89">
        <f t="shared" si="61"/>
        <v>88</v>
      </c>
      <c r="L372" s="89">
        <f t="shared" si="62"/>
        <v>112.621376</v>
      </c>
      <c r="M372" s="89">
        <f>+SPY__2[[#This Row],[Adj Close]]</f>
        <v>59.317191999999999</v>
      </c>
      <c r="N372" s="89">
        <f t="shared" si="57"/>
        <v>5219.9128959999998</v>
      </c>
      <c r="O372" s="90">
        <f t="shared" si="58"/>
        <v>-4690.7681919999995</v>
      </c>
      <c r="P372" s="93">
        <f t="shared" si="59"/>
        <v>-0.47330432190776994</v>
      </c>
      <c r="Q372" s="96"/>
      <c r="R372" s="96"/>
      <c r="T372" s="90">
        <f t="shared" si="53"/>
        <v>95</v>
      </c>
      <c r="U372" s="89">
        <f t="shared" si="54"/>
        <v>103.31428490526316</v>
      </c>
      <c r="V372" s="89">
        <f t="shared" si="55"/>
        <v>59.317191999999999</v>
      </c>
      <c r="W372" s="90">
        <f t="shared" si="60"/>
        <v>5635.1332400000001</v>
      </c>
      <c r="X372" s="93">
        <f t="shared" si="56"/>
        <v>-0.4258568207252994</v>
      </c>
      <c r="AB372" s="89">
        <f t="shared" si="68"/>
        <v>195</v>
      </c>
      <c r="AC372" s="89">
        <f t="shared" si="69"/>
        <v>51.179276000000002</v>
      </c>
      <c r="AD372" s="89">
        <f t="shared" si="70"/>
        <v>59.317191999999999</v>
      </c>
      <c r="AE372" s="89">
        <f t="shared" si="71"/>
        <v>11566.852440000001</v>
      </c>
      <c r="AF372" s="90">
        <f t="shared" si="75"/>
        <v>1586.8936199999994</v>
      </c>
      <c r="AG372" s="93">
        <f t="shared" si="76"/>
        <v>0.15900803286080079</v>
      </c>
      <c r="AK372" s="90">
        <f t="shared" si="73"/>
        <v>48</v>
      </c>
      <c r="AL372" s="89">
        <f t="shared" si="74"/>
        <v>51.179276000000002</v>
      </c>
      <c r="AM372" s="89">
        <f t="shared" si="65"/>
        <v>59.317191999999999</v>
      </c>
      <c r="AN372" s="90">
        <f t="shared" si="66"/>
        <v>2847.2252159999998</v>
      </c>
      <c r="AO372" s="93">
        <f t="shared" si="67"/>
        <v>0.15900803286080101</v>
      </c>
    </row>
    <row r="373" spans="2:41" x14ac:dyDescent="0.25">
      <c r="B373" s="91">
        <v>39892</v>
      </c>
      <c r="C373" s="89">
        <v>78.760002</v>
      </c>
      <c r="D373" s="89">
        <v>78.910004000000001</v>
      </c>
      <c r="E373" s="89">
        <v>76.529999000000004</v>
      </c>
      <c r="F373" s="89">
        <v>76.709998999999996</v>
      </c>
      <c r="G373" s="89">
        <v>58.054057999999998</v>
      </c>
      <c r="H373" s="89">
        <v>371078200</v>
      </c>
      <c r="J373" s="89">
        <v>0</v>
      </c>
      <c r="K373" s="89">
        <f t="shared" si="61"/>
        <v>88</v>
      </c>
      <c r="L373" s="89">
        <f t="shared" si="62"/>
        <v>112.621376</v>
      </c>
      <c r="M373" s="89">
        <f>+SPY__2[[#This Row],[Adj Close]]</f>
        <v>58.054057999999998</v>
      </c>
      <c r="N373" s="89">
        <f t="shared" si="57"/>
        <v>5108.7571040000003</v>
      </c>
      <c r="O373" s="90">
        <f t="shared" si="58"/>
        <v>-4801.923984</v>
      </c>
      <c r="P373" s="93">
        <f t="shared" si="59"/>
        <v>-0.4845200790301124</v>
      </c>
      <c r="Q373" s="96"/>
      <c r="R373" s="96"/>
      <c r="T373" s="90">
        <f t="shared" si="53"/>
        <v>95</v>
      </c>
      <c r="U373" s="89">
        <f t="shared" si="54"/>
        <v>103.31428490526316</v>
      </c>
      <c r="V373" s="89">
        <f t="shared" si="55"/>
        <v>58.054057999999998</v>
      </c>
      <c r="W373" s="90">
        <f t="shared" si="60"/>
        <v>5515.1355100000001</v>
      </c>
      <c r="X373" s="93">
        <f t="shared" si="56"/>
        <v>-0.43808295190510926</v>
      </c>
      <c r="AB373" s="89">
        <f t="shared" si="68"/>
        <v>195</v>
      </c>
      <c r="AC373" s="89">
        <f t="shared" si="69"/>
        <v>51.179276000000002</v>
      </c>
      <c r="AD373" s="89">
        <f t="shared" si="70"/>
        <v>58.054057999999998</v>
      </c>
      <c r="AE373" s="89">
        <f t="shared" si="71"/>
        <v>11320.541309999999</v>
      </c>
      <c r="AF373" s="90">
        <f t="shared" si="75"/>
        <v>1340.5824899999993</v>
      </c>
      <c r="AG373" s="93">
        <f t="shared" si="76"/>
        <v>0.13432745707461735</v>
      </c>
      <c r="AK373" s="90">
        <f t="shared" si="73"/>
        <v>48</v>
      </c>
      <c r="AL373" s="89">
        <f t="shared" si="74"/>
        <v>51.179276000000002</v>
      </c>
      <c r="AM373" s="89">
        <f t="shared" si="65"/>
        <v>58.054057999999998</v>
      </c>
      <c r="AN373" s="90">
        <f t="shared" si="66"/>
        <v>2786.5947839999999</v>
      </c>
      <c r="AO373" s="93">
        <f t="shared" si="67"/>
        <v>0.13432745707461757</v>
      </c>
    </row>
    <row r="374" spans="2:41" x14ac:dyDescent="0.25">
      <c r="B374" s="91">
        <v>39895</v>
      </c>
      <c r="C374" s="89">
        <v>78.739998</v>
      </c>
      <c r="D374" s="89">
        <v>82.290001000000004</v>
      </c>
      <c r="E374" s="89">
        <v>78.309997999999993</v>
      </c>
      <c r="F374" s="89">
        <v>82.220000999999996</v>
      </c>
      <c r="G374" s="89">
        <v>62.224021999999998</v>
      </c>
      <c r="H374" s="89">
        <v>419933300</v>
      </c>
      <c r="J374" s="89">
        <v>0</v>
      </c>
      <c r="K374" s="89">
        <f t="shared" si="61"/>
        <v>88</v>
      </c>
      <c r="L374" s="89">
        <f t="shared" si="62"/>
        <v>112.621376</v>
      </c>
      <c r="M374" s="89">
        <f>+SPY__2[[#This Row],[Adj Close]]</f>
        <v>62.224021999999998</v>
      </c>
      <c r="N374" s="89">
        <f t="shared" si="57"/>
        <v>5475.7139360000001</v>
      </c>
      <c r="O374" s="90">
        <f t="shared" si="58"/>
        <v>-4434.9671520000002</v>
      </c>
      <c r="P374" s="93">
        <f t="shared" si="59"/>
        <v>-0.44749368006301038</v>
      </c>
      <c r="Q374" s="96"/>
      <c r="R374" s="96"/>
      <c r="T374" s="90">
        <f t="shared" si="53"/>
        <v>95</v>
      </c>
      <c r="U374" s="89">
        <f t="shared" si="54"/>
        <v>103.31428490526316</v>
      </c>
      <c r="V374" s="89">
        <f t="shared" si="55"/>
        <v>62.224021999999998</v>
      </c>
      <c r="W374" s="90">
        <f t="shared" si="60"/>
        <v>5911.2820899999997</v>
      </c>
      <c r="X374" s="93">
        <f t="shared" si="56"/>
        <v>-0.39772102127931286</v>
      </c>
      <c r="AB374" s="89">
        <f t="shared" si="68"/>
        <v>195</v>
      </c>
      <c r="AC374" s="89">
        <f t="shared" si="69"/>
        <v>51.179276000000002</v>
      </c>
      <c r="AD374" s="89">
        <f t="shared" si="70"/>
        <v>62.224021999999998</v>
      </c>
      <c r="AE374" s="89">
        <f t="shared" si="71"/>
        <v>12133.684289999999</v>
      </c>
      <c r="AF374" s="90">
        <f t="shared" si="75"/>
        <v>2153.7254699999994</v>
      </c>
      <c r="AG374" s="93">
        <f t="shared" si="76"/>
        <v>0.21580504577673199</v>
      </c>
      <c r="AK374" s="90">
        <f t="shared" si="73"/>
        <v>48</v>
      </c>
      <c r="AL374" s="89">
        <f t="shared" si="74"/>
        <v>51.179276000000002</v>
      </c>
      <c r="AM374" s="89">
        <f t="shared" si="65"/>
        <v>62.224021999999998</v>
      </c>
      <c r="AN374" s="90">
        <f t="shared" si="66"/>
        <v>2986.753056</v>
      </c>
      <c r="AO374" s="93">
        <f t="shared" si="67"/>
        <v>0.21580504577673199</v>
      </c>
    </row>
    <row r="375" spans="2:41" x14ac:dyDescent="0.25">
      <c r="B375" s="91">
        <v>39896</v>
      </c>
      <c r="C375" s="89">
        <v>81.239998</v>
      </c>
      <c r="D375" s="89">
        <v>82.360000999999997</v>
      </c>
      <c r="E375" s="89">
        <v>80.510002</v>
      </c>
      <c r="F375" s="89">
        <v>80.599997999999999</v>
      </c>
      <c r="G375" s="89">
        <v>60.997996999999998</v>
      </c>
      <c r="H375" s="89">
        <v>330271000</v>
      </c>
      <c r="J375" s="89">
        <v>0</v>
      </c>
      <c r="K375" s="89">
        <f t="shared" si="61"/>
        <v>88</v>
      </c>
      <c r="L375" s="89">
        <f t="shared" si="62"/>
        <v>112.621376</v>
      </c>
      <c r="M375" s="89">
        <f>+SPY__2[[#This Row],[Adj Close]]</f>
        <v>60.997996999999998</v>
      </c>
      <c r="N375" s="89">
        <f t="shared" si="57"/>
        <v>5367.8237360000003</v>
      </c>
      <c r="O375" s="90">
        <f t="shared" si="58"/>
        <v>-4542.857352</v>
      </c>
      <c r="P375" s="93">
        <f t="shared" si="59"/>
        <v>-0.45837993490685114</v>
      </c>
      <c r="Q375" s="96"/>
      <c r="R375" s="96"/>
      <c r="T375" s="90">
        <f t="shared" si="53"/>
        <v>95</v>
      </c>
      <c r="U375" s="89">
        <f t="shared" si="54"/>
        <v>103.31428490526316</v>
      </c>
      <c r="V375" s="89">
        <f t="shared" si="55"/>
        <v>60.997996999999998</v>
      </c>
      <c r="W375" s="90">
        <f t="shared" si="60"/>
        <v>5794.8097149999994</v>
      </c>
      <c r="X375" s="93">
        <f t="shared" si="56"/>
        <v>-0.40958796689215082</v>
      </c>
      <c r="AB375" s="89">
        <f t="shared" si="68"/>
        <v>195</v>
      </c>
      <c r="AC375" s="89">
        <f t="shared" si="69"/>
        <v>51.179276000000002</v>
      </c>
      <c r="AD375" s="89">
        <f t="shared" si="70"/>
        <v>60.997996999999998</v>
      </c>
      <c r="AE375" s="89">
        <f t="shared" si="71"/>
        <v>11894.609414999999</v>
      </c>
      <c r="AF375" s="90">
        <f t="shared" si="75"/>
        <v>1914.6505949999994</v>
      </c>
      <c r="AG375" s="93">
        <f t="shared" si="76"/>
        <v>0.19184954863370862</v>
      </c>
      <c r="AK375" s="90">
        <f t="shared" si="73"/>
        <v>48</v>
      </c>
      <c r="AL375" s="89">
        <f t="shared" si="74"/>
        <v>51.179276000000002</v>
      </c>
      <c r="AM375" s="89">
        <f t="shared" si="65"/>
        <v>60.997996999999998</v>
      </c>
      <c r="AN375" s="90">
        <f t="shared" si="66"/>
        <v>2927.9038559999999</v>
      </c>
      <c r="AO375" s="93">
        <f t="shared" si="67"/>
        <v>0.19184954863370862</v>
      </c>
    </row>
    <row r="376" spans="2:41" x14ac:dyDescent="0.25">
      <c r="B376" s="91">
        <v>39897</v>
      </c>
      <c r="C376" s="89">
        <v>81.230002999999996</v>
      </c>
      <c r="D376" s="89">
        <v>82.699996999999996</v>
      </c>
      <c r="E376" s="89">
        <v>79.059997999999993</v>
      </c>
      <c r="F376" s="89">
        <v>81.449996999999996</v>
      </c>
      <c r="G376" s="89">
        <v>61.641292999999997</v>
      </c>
      <c r="H376" s="89">
        <v>441775100</v>
      </c>
      <c r="J376" s="89">
        <v>0</v>
      </c>
      <c r="K376" s="89">
        <f t="shared" si="61"/>
        <v>88</v>
      </c>
      <c r="L376" s="89">
        <f t="shared" si="62"/>
        <v>112.621376</v>
      </c>
      <c r="M376" s="89">
        <f>+SPY__2[[#This Row],[Adj Close]]</f>
        <v>61.641292999999997</v>
      </c>
      <c r="N376" s="89">
        <f t="shared" si="57"/>
        <v>5424.4337839999998</v>
      </c>
      <c r="O376" s="90">
        <f t="shared" si="58"/>
        <v>-4486.2473040000004</v>
      </c>
      <c r="P376" s="93">
        <f t="shared" si="59"/>
        <v>-0.45266791093015946</v>
      </c>
      <c r="Q376" s="96"/>
      <c r="R376" s="96"/>
      <c r="T376" s="90">
        <f t="shared" si="53"/>
        <v>95</v>
      </c>
      <c r="U376" s="89">
        <f t="shared" si="54"/>
        <v>103.31428490526316</v>
      </c>
      <c r="V376" s="89">
        <f t="shared" si="55"/>
        <v>61.641292999999997</v>
      </c>
      <c r="W376" s="90">
        <f t="shared" si="60"/>
        <v>5855.9228349999994</v>
      </c>
      <c r="X376" s="93">
        <f t="shared" si="56"/>
        <v>-0.40336137392303828</v>
      </c>
      <c r="AB376" s="89">
        <f t="shared" si="68"/>
        <v>195</v>
      </c>
      <c r="AC376" s="89">
        <f t="shared" si="69"/>
        <v>51.179276000000002</v>
      </c>
      <c r="AD376" s="89">
        <f t="shared" si="70"/>
        <v>61.641292999999997</v>
      </c>
      <c r="AE376" s="89">
        <f t="shared" si="71"/>
        <v>12020.052135</v>
      </c>
      <c r="AF376" s="90">
        <f t="shared" si="75"/>
        <v>2040.0933149999992</v>
      </c>
      <c r="AG376" s="93">
        <f t="shared" si="76"/>
        <v>0.20441901132012874</v>
      </c>
      <c r="AK376" s="90">
        <f t="shared" si="73"/>
        <v>48</v>
      </c>
      <c r="AL376" s="89">
        <f t="shared" si="74"/>
        <v>51.179276000000002</v>
      </c>
      <c r="AM376" s="89">
        <f t="shared" si="65"/>
        <v>61.641292999999997</v>
      </c>
      <c r="AN376" s="90">
        <f t="shared" si="66"/>
        <v>2958.782064</v>
      </c>
      <c r="AO376" s="93">
        <f t="shared" si="67"/>
        <v>0.20441901132012896</v>
      </c>
    </row>
    <row r="377" spans="2:41" x14ac:dyDescent="0.25">
      <c r="B377" s="91">
        <v>39898</v>
      </c>
      <c r="C377" s="89">
        <v>82.25</v>
      </c>
      <c r="D377" s="89">
        <v>83.300003000000004</v>
      </c>
      <c r="E377" s="89">
        <v>81.319999999999993</v>
      </c>
      <c r="F377" s="89">
        <v>83.110000999999997</v>
      </c>
      <c r="G377" s="89">
        <v>62.897571999999997</v>
      </c>
      <c r="H377" s="89">
        <v>422025200</v>
      </c>
      <c r="J377" s="89">
        <v>0</v>
      </c>
      <c r="K377" s="89">
        <f t="shared" si="61"/>
        <v>88</v>
      </c>
      <c r="L377" s="89">
        <f t="shared" si="62"/>
        <v>112.621376</v>
      </c>
      <c r="M377" s="89">
        <f>+SPY__2[[#This Row],[Adj Close]]</f>
        <v>62.897571999999997</v>
      </c>
      <c r="N377" s="89">
        <f t="shared" si="57"/>
        <v>5534.9863359999999</v>
      </c>
      <c r="O377" s="90">
        <f t="shared" si="58"/>
        <v>-4375.6947520000003</v>
      </c>
      <c r="P377" s="93">
        <f t="shared" si="59"/>
        <v>-0.44151302147116367</v>
      </c>
      <c r="Q377" s="96"/>
      <c r="R377" s="96"/>
      <c r="T377" s="90">
        <f t="shared" si="53"/>
        <v>95</v>
      </c>
      <c r="U377" s="89">
        <f t="shared" si="54"/>
        <v>103.31428490526316</v>
      </c>
      <c r="V377" s="89">
        <f t="shared" si="55"/>
        <v>62.897571999999997</v>
      </c>
      <c r="W377" s="90">
        <f t="shared" si="60"/>
        <v>5975.2693399999998</v>
      </c>
      <c r="X377" s="93">
        <f t="shared" si="56"/>
        <v>-0.39120159368401342</v>
      </c>
      <c r="AB377" s="89">
        <f t="shared" si="68"/>
        <v>195</v>
      </c>
      <c r="AC377" s="89">
        <f t="shared" si="69"/>
        <v>51.179276000000002</v>
      </c>
      <c r="AD377" s="89">
        <f t="shared" si="70"/>
        <v>62.897571999999997</v>
      </c>
      <c r="AE377" s="89">
        <f t="shared" si="71"/>
        <v>12265.026539999999</v>
      </c>
      <c r="AF377" s="90">
        <f t="shared" si="75"/>
        <v>2285.0677199999991</v>
      </c>
      <c r="AG377" s="93">
        <f t="shared" si="76"/>
        <v>0.22896564617287662</v>
      </c>
      <c r="AK377" s="90">
        <f t="shared" si="73"/>
        <v>48</v>
      </c>
      <c r="AL377" s="89">
        <f t="shared" si="74"/>
        <v>51.179276000000002</v>
      </c>
      <c r="AM377" s="89">
        <f t="shared" si="65"/>
        <v>62.897571999999997</v>
      </c>
      <c r="AN377" s="90">
        <f t="shared" si="66"/>
        <v>3019.0834559999998</v>
      </c>
      <c r="AO377" s="93">
        <f t="shared" si="67"/>
        <v>0.22896564617287662</v>
      </c>
    </row>
    <row r="378" spans="2:41" x14ac:dyDescent="0.25">
      <c r="B378" s="91">
        <v>39899</v>
      </c>
      <c r="C378" s="89">
        <v>82.050003000000004</v>
      </c>
      <c r="D378" s="89">
        <v>82.529999000000004</v>
      </c>
      <c r="E378" s="89">
        <v>81.309997999999993</v>
      </c>
      <c r="F378" s="89">
        <v>81.610000999999997</v>
      </c>
      <c r="G378" s="89">
        <v>61.762383</v>
      </c>
      <c r="H378" s="89">
        <v>322332300</v>
      </c>
      <c r="J378" s="89">
        <v>0</v>
      </c>
      <c r="K378" s="89">
        <f t="shared" si="61"/>
        <v>88</v>
      </c>
      <c r="L378" s="89">
        <f t="shared" si="62"/>
        <v>112.621376</v>
      </c>
      <c r="M378" s="89">
        <f>+SPY__2[[#This Row],[Adj Close]]</f>
        <v>61.762383</v>
      </c>
      <c r="N378" s="89">
        <f t="shared" si="57"/>
        <v>5435.089704</v>
      </c>
      <c r="O378" s="90">
        <f t="shared" si="58"/>
        <v>-4475.5913839999994</v>
      </c>
      <c r="P378" s="93">
        <f t="shared" si="59"/>
        <v>-0.45159271540067136</v>
      </c>
      <c r="Q378" s="96"/>
      <c r="R378" s="96"/>
      <c r="T378" s="90">
        <f t="shared" si="53"/>
        <v>95</v>
      </c>
      <c r="U378" s="89">
        <f t="shared" si="54"/>
        <v>103.31428490526316</v>
      </c>
      <c r="V378" s="89">
        <f t="shared" si="55"/>
        <v>61.762383</v>
      </c>
      <c r="W378" s="90">
        <f t="shared" si="60"/>
        <v>5867.4263849999998</v>
      </c>
      <c r="X378" s="93">
        <f t="shared" si="56"/>
        <v>-0.40218931915722311</v>
      </c>
      <c r="AB378" s="89">
        <f t="shared" si="68"/>
        <v>195</v>
      </c>
      <c r="AC378" s="89">
        <f t="shared" si="69"/>
        <v>51.179276000000002</v>
      </c>
      <c r="AD378" s="89">
        <f t="shared" si="70"/>
        <v>61.762383</v>
      </c>
      <c r="AE378" s="89">
        <f t="shared" si="71"/>
        <v>12043.664685</v>
      </c>
      <c r="AF378" s="90">
        <f t="shared" si="75"/>
        <v>2063.7058649999994</v>
      </c>
      <c r="AG378" s="93">
        <f t="shared" si="76"/>
        <v>0.2067850080567768</v>
      </c>
      <c r="AK378" s="90">
        <f t="shared" si="73"/>
        <v>48</v>
      </c>
      <c r="AL378" s="89">
        <f t="shared" si="74"/>
        <v>51.179276000000002</v>
      </c>
      <c r="AM378" s="89">
        <f t="shared" si="65"/>
        <v>61.762383</v>
      </c>
      <c r="AN378" s="90">
        <f t="shared" si="66"/>
        <v>2964.594384</v>
      </c>
      <c r="AO378" s="93">
        <f t="shared" si="67"/>
        <v>0.2067850080567768</v>
      </c>
    </row>
    <row r="379" spans="2:41" x14ac:dyDescent="0.25">
      <c r="B379" s="91">
        <v>39902</v>
      </c>
      <c r="C379" s="89">
        <v>79.800003000000004</v>
      </c>
      <c r="D379" s="89">
        <v>79.870002999999997</v>
      </c>
      <c r="E379" s="89">
        <v>77.959998999999996</v>
      </c>
      <c r="F379" s="89">
        <v>78.790001000000004</v>
      </c>
      <c r="G379" s="89">
        <v>59.628222999999998</v>
      </c>
      <c r="H379" s="89">
        <v>324108500</v>
      </c>
      <c r="J379" s="89">
        <v>0</v>
      </c>
      <c r="K379" s="89">
        <f t="shared" si="61"/>
        <v>88</v>
      </c>
      <c r="L379" s="89">
        <f t="shared" si="62"/>
        <v>112.621376</v>
      </c>
      <c r="M379" s="89">
        <f>+SPY__2[[#This Row],[Adj Close]]</f>
        <v>59.628222999999998</v>
      </c>
      <c r="N379" s="89">
        <f t="shared" si="57"/>
        <v>5247.2836239999997</v>
      </c>
      <c r="O379" s="90">
        <f t="shared" si="58"/>
        <v>-4663.3974639999997</v>
      </c>
      <c r="P379" s="93">
        <f t="shared" si="59"/>
        <v>-0.47054258154331197</v>
      </c>
      <c r="Q379" s="96"/>
      <c r="R379" s="96"/>
      <c r="T379" s="90">
        <f t="shared" si="53"/>
        <v>95</v>
      </c>
      <c r="U379" s="89">
        <f t="shared" si="54"/>
        <v>103.31428490526316</v>
      </c>
      <c r="V379" s="89">
        <f t="shared" si="55"/>
        <v>59.628222999999998</v>
      </c>
      <c r="W379" s="90">
        <f t="shared" si="60"/>
        <v>5664.6811849999995</v>
      </c>
      <c r="X379" s="93">
        <f t="shared" si="56"/>
        <v>-0.42284628834553017</v>
      </c>
      <c r="AB379" s="89">
        <f t="shared" si="68"/>
        <v>195</v>
      </c>
      <c r="AC379" s="89">
        <f t="shared" si="69"/>
        <v>51.179276000000002</v>
      </c>
      <c r="AD379" s="89">
        <f t="shared" si="70"/>
        <v>59.628222999999998</v>
      </c>
      <c r="AE379" s="89">
        <f t="shared" si="71"/>
        <v>11627.503484999999</v>
      </c>
      <c r="AF379" s="90">
        <f t="shared" si="75"/>
        <v>1647.5446649999994</v>
      </c>
      <c r="AG379" s="93">
        <f t="shared" si="76"/>
        <v>0.16508531695524575</v>
      </c>
      <c r="AK379" s="90">
        <f t="shared" si="73"/>
        <v>48</v>
      </c>
      <c r="AL379" s="89">
        <f t="shared" si="74"/>
        <v>51.179276000000002</v>
      </c>
      <c r="AM379" s="89">
        <f t="shared" si="65"/>
        <v>59.628222999999998</v>
      </c>
      <c r="AN379" s="90">
        <f t="shared" si="66"/>
        <v>2862.154704</v>
      </c>
      <c r="AO379" s="93">
        <f t="shared" si="67"/>
        <v>0.16508531695524575</v>
      </c>
    </row>
    <row r="380" spans="2:41" x14ac:dyDescent="0.25">
      <c r="B380" s="91">
        <v>39903</v>
      </c>
      <c r="C380" s="89">
        <v>79.559997999999993</v>
      </c>
      <c r="D380" s="89">
        <v>81.080001999999993</v>
      </c>
      <c r="E380" s="89">
        <v>79.050003000000004</v>
      </c>
      <c r="F380" s="89">
        <v>79.519997000000004</v>
      </c>
      <c r="G380" s="89">
        <v>60.180664</v>
      </c>
      <c r="H380" s="89">
        <v>364238300</v>
      </c>
      <c r="J380" s="89">
        <v>0</v>
      </c>
      <c r="K380" s="89">
        <f t="shared" si="61"/>
        <v>88</v>
      </c>
      <c r="L380" s="89">
        <f t="shared" si="62"/>
        <v>112.621376</v>
      </c>
      <c r="M380" s="89">
        <f>+SPY__2[[#This Row],[Adj Close]]</f>
        <v>60.180664</v>
      </c>
      <c r="N380" s="89">
        <f t="shared" si="57"/>
        <v>5295.898432</v>
      </c>
      <c r="O380" s="90">
        <f t="shared" si="58"/>
        <v>-4614.7826559999994</v>
      </c>
      <c r="P380" s="93">
        <f t="shared" si="59"/>
        <v>-0.46563728718782482</v>
      </c>
      <c r="Q380" s="96"/>
      <c r="R380" s="96"/>
      <c r="T380" s="90">
        <f t="shared" si="53"/>
        <v>95</v>
      </c>
      <c r="U380" s="89">
        <f t="shared" si="54"/>
        <v>103.31428490526316</v>
      </c>
      <c r="V380" s="89">
        <f t="shared" si="55"/>
        <v>60.180664</v>
      </c>
      <c r="W380" s="90">
        <f t="shared" si="60"/>
        <v>5717.1630800000003</v>
      </c>
      <c r="X380" s="93">
        <f t="shared" si="56"/>
        <v>-0.41749909942091457</v>
      </c>
      <c r="AB380" s="89">
        <f t="shared" si="68"/>
        <v>195</v>
      </c>
      <c r="AC380" s="89">
        <f t="shared" si="69"/>
        <v>51.179276000000002</v>
      </c>
      <c r="AD380" s="89">
        <f t="shared" si="70"/>
        <v>60.180664</v>
      </c>
      <c r="AE380" s="89">
        <f t="shared" si="71"/>
        <v>11735.22948</v>
      </c>
      <c r="AF380" s="90">
        <f t="shared" si="75"/>
        <v>1755.2706599999997</v>
      </c>
      <c r="AG380" s="93">
        <f t="shared" si="76"/>
        <v>0.1758795493707257</v>
      </c>
      <c r="AK380" s="90">
        <f t="shared" si="73"/>
        <v>48</v>
      </c>
      <c r="AL380" s="89">
        <f t="shared" si="74"/>
        <v>51.179276000000002</v>
      </c>
      <c r="AM380" s="89">
        <f t="shared" si="65"/>
        <v>60.180664</v>
      </c>
      <c r="AN380" s="90">
        <f t="shared" si="66"/>
        <v>2888.6718719999999</v>
      </c>
      <c r="AO380" s="93">
        <f t="shared" si="67"/>
        <v>0.1758795493707257</v>
      </c>
    </row>
    <row r="381" spans="2:41" x14ac:dyDescent="0.25">
      <c r="B381" s="91">
        <v>39904</v>
      </c>
      <c r="C381" s="89">
        <v>78.529999000000004</v>
      </c>
      <c r="D381" s="89">
        <v>81.419998000000007</v>
      </c>
      <c r="E381" s="89">
        <v>78.330001999999993</v>
      </c>
      <c r="F381" s="89">
        <v>81.059997999999993</v>
      </c>
      <c r="G381" s="89">
        <v>61.346133999999999</v>
      </c>
      <c r="H381" s="89">
        <v>377018300</v>
      </c>
      <c r="J381" s="89">
        <v>0</v>
      </c>
      <c r="K381" s="89">
        <f t="shared" si="61"/>
        <v>88</v>
      </c>
      <c r="L381" s="89">
        <f t="shared" si="62"/>
        <v>112.621376</v>
      </c>
      <c r="M381" s="89">
        <f>+SPY__2[[#This Row],[Adj Close]]</f>
        <v>61.346133999999999</v>
      </c>
      <c r="N381" s="89">
        <f t="shared" si="57"/>
        <v>5398.4597919999997</v>
      </c>
      <c r="O381" s="90">
        <f t="shared" si="58"/>
        <v>-4512.2212959999997</v>
      </c>
      <c r="P381" s="93">
        <f t="shared" si="59"/>
        <v>-0.45528871890181843</v>
      </c>
      <c r="Q381" s="96"/>
      <c r="R381" s="96"/>
      <c r="T381" s="90">
        <f t="shared" si="53"/>
        <v>95</v>
      </c>
      <c r="U381" s="89">
        <f t="shared" si="54"/>
        <v>103.31428490526316</v>
      </c>
      <c r="V381" s="89">
        <f t="shared" si="55"/>
        <v>61.346133999999999</v>
      </c>
      <c r="W381" s="90">
        <f t="shared" si="60"/>
        <v>5827.8827300000003</v>
      </c>
      <c r="X381" s="93">
        <f t="shared" si="56"/>
        <v>-0.40621827798302035</v>
      </c>
      <c r="AB381" s="89">
        <f t="shared" si="68"/>
        <v>195</v>
      </c>
      <c r="AC381" s="89">
        <f t="shared" si="69"/>
        <v>51.179276000000002</v>
      </c>
      <c r="AD381" s="89">
        <f t="shared" si="70"/>
        <v>61.346133999999999</v>
      </c>
      <c r="AE381" s="89">
        <f t="shared" si="71"/>
        <v>11962.49613</v>
      </c>
      <c r="AF381" s="90">
        <f t="shared" si="75"/>
        <v>1982.5373099999995</v>
      </c>
      <c r="AG381" s="93">
        <f t="shared" si="76"/>
        <v>0.19865185275383723</v>
      </c>
      <c r="AK381" s="90">
        <f t="shared" si="73"/>
        <v>48</v>
      </c>
      <c r="AL381" s="89">
        <f t="shared" si="74"/>
        <v>51.179276000000002</v>
      </c>
      <c r="AM381" s="89">
        <f t="shared" si="65"/>
        <v>61.346133999999999</v>
      </c>
      <c r="AN381" s="90">
        <f t="shared" si="66"/>
        <v>2944.6144319999999</v>
      </c>
      <c r="AO381" s="93">
        <f t="shared" si="67"/>
        <v>0.19865185275383723</v>
      </c>
    </row>
    <row r="382" spans="2:41" x14ac:dyDescent="0.25">
      <c r="B382" s="91">
        <v>39905</v>
      </c>
      <c r="C382" s="89">
        <v>83.080001999999993</v>
      </c>
      <c r="D382" s="89">
        <v>84.610000999999997</v>
      </c>
      <c r="E382" s="89">
        <v>81.129997000000003</v>
      </c>
      <c r="F382" s="89">
        <v>83.43</v>
      </c>
      <c r="G382" s="89">
        <v>63.139766999999999</v>
      </c>
      <c r="H382" s="89">
        <v>476230700</v>
      </c>
      <c r="J382" s="89">
        <v>0</v>
      </c>
      <c r="K382" s="89">
        <f t="shared" si="61"/>
        <v>88</v>
      </c>
      <c r="L382" s="89">
        <f t="shared" si="62"/>
        <v>112.621376</v>
      </c>
      <c r="M382" s="89">
        <f>+SPY__2[[#This Row],[Adj Close]]</f>
        <v>63.139766999999999</v>
      </c>
      <c r="N382" s="89">
        <f t="shared" si="57"/>
        <v>5556.2994959999996</v>
      </c>
      <c r="O382" s="90">
        <f t="shared" si="58"/>
        <v>-4354.3815919999997</v>
      </c>
      <c r="P382" s="93">
        <f t="shared" si="59"/>
        <v>-0.43936249722255216</v>
      </c>
      <c r="Q382" s="96"/>
      <c r="R382" s="96"/>
      <c r="T382" s="90">
        <f t="shared" si="53"/>
        <v>95</v>
      </c>
      <c r="U382" s="89">
        <f t="shared" si="54"/>
        <v>103.31428490526316</v>
      </c>
      <c r="V382" s="89">
        <f t="shared" si="55"/>
        <v>63.139766999999999</v>
      </c>
      <c r="W382" s="90">
        <f t="shared" si="60"/>
        <v>5998.277865</v>
      </c>
      <c r="X382" s="93">
        <f t="shared" si="56"/>
        <v>-0.38885733896432884</v>
      </c>
      <c r="AB382" s="89">
        <f t="shared" si="68"/>
        <v>195</v>
      </c>
      <c r="AC382" s="89">
        <f t="shared" si="69"/>
        <v>51.179276000000002</v>
      </c>
      <c r="AD382" s="89">
        <f t="shared" si="70"/>
        <v>63.139766999999999</v>
      </c>
      <c r="AE382" s="89">
        <f t="shared" si="71"/>
        <v>12312.254564999999</v>
      </c>
      <c r="AF382" s="90">
        <f t="shared" si="75"/>
        <v>2332.2957449999994</v>
      </c>
      <c r="AG382" s="93">
        <f t="shared" si="76"/>
        <v>0.23369793273355399</v>
      </c>
      <c r="AK382" s="90">
        <f t="shared" si="73"/>
        <v>48</v>
      </c>
      <c r="AL382" s="89">
        <f t="shared" si="74"/>
        <v>51.179276000000002</v>
      </c>
      <c r="AM382" s="89">
        <f t="shared" si="65"/>
        <v>63.139766999999999</v>
      </c>
      <c r="AN382" s="90">
        <f t="shared" si="66"/>
        <v>3030.7088159999998</v>
      </c>
      <c r="AO382" s="93">
        <f t="shared" si="67"/>
        <v>0.23369793273355421</v>
      </c>
    </row>
    <row r="383" spans="2:41" x14ac:dyDescent="0.25">
      <c r="B383" s="91">
        <v>39906</v>
      </c>
      <c r="C383" s="89">
        <v>83.489998</v>
      </c>
      <c r="D383" s="89">
        <v>84.279999000000004</v>
      </c>
      <c r="E383" s="89">
        <v>82.669998000000007</v>
      </c>
      <c r="F383" s="89">
        <v>84.260002</v>
      </c>
      <c r="G383" s="89">
        <v>63.767918000000002</v>
      </c>
      <c r="H383" s="89">
        <v>284646300</v>
      </c>
      <c r="J383" s="89">
        <v>0</v>
      </c>
      <c r="K383" s="89">
        <f t="shared" si="61"/>
        <v>88</v>
      </c>
      <c r="L383" s="89">
        <f t="shared" si="62"/>
        <v>112.621376</v>
      </c>
      <c r="M383" s="89">
        <f>+SPY__2[[#This Row],[Adj Close]]</f>
        <v>63.767918000000002</v>
      </c>
      <c r="N383" s="89">
        <f t="shared" si="57"/>
        <v>5611.5767839999999</v>
      </c>
      <c r="O383" s="90">
        <f t="shared" si="58"/>
        <v>-4299.1043039999995</v>
      </c>
      <c r="P383" s="93">
        <f t="shared" si="59"/>
        <v>-0.43378495038100051</v>
      </c>
      <c r="Q383" s="96"/>
      <c r="R383" s="96"/>
      <c r="T383" s="90">
        <f t="shared" si="53"/>
        <v>95</v>
      </c>
      <c r="U383" s="89">
        <f t="shared" si="54"/>
        <v>103.31428490526316</v>
      </c>
      <c r="V383" s="89">
        <f t="shared" si="55"/>
        <v>63.767918000000002</v>
      </c>
      <c r="W383" s="90">
        <f t="shared" si="60"/>
        <v>6057.9522100000004</v>
      </c>
      <c r="X383" s="93">
        <f t="shared" si="56"/>
        <v>-0.3827773375339748</v>
      </c>
      <c r="AB383" s="89">
        <f t="shared" si="68"/>
        <v>195</v>
      </c>
      <c r="AC383" s="89">
        <f t="shared" si="69"/>
        <v>51.179276000000002</v>
      </c>
      <c r="AD383" s="89">
        <f t="shared" si="70"/>
        <v>63.767918000000002</v>
      </c>
      <c r="AE383" s="89">
        <f t="shared" si="71"/>
        <v>12434.74401</v>
      </c>
      <c r="AF383" s="90">
        <f t="shared" si="75"/>
        <v>2454.7851900000001</v>
      </c>
      <c r="AG383" s="93">
        <f t="shared" si="76"/>
        <v>0.24597147486025395</v>
      </c>
      <c r="AK383" s="90">
        <f t="shared" si="73"/>
        <v>48</v>
      </c>
      <c r="AL383" s="89">
        <f t="shared" si="74"/>
        <v>51.179276000000002</v>
      </c>
      <c r="AM383" s="89">
        <f t="shared" si="65"/>
        <v>63.767918000000002</v>
      </c>
      <c r="AN383" s="90">
        <f t="shared" si="66"/>
        <v>3060.860064</v>
      </c>
      <c r="AO383" s="93">
        <f t="shared" si="67"/>
        <v>0.24597147486025395</v>
      </c>
    </row>
    <row r="384" spans="2:41" x14ac:dyDescent="0.25">
      <c r="B384" s="91">
        <v>39909</v>
      </c>
      <c r="C384" s="89">
        <v>83.339995999999999</v>
      </c>
      <c r="D384" s="89">
        <v>84.279999000000004</v>
      </c>
      <c r="E384" s="89">
        <v>82.290001000000004</v>
      </c>
      <c r="F384" s="89">
        <v>83.599997999999999</v>
      </c>
      <c r="G384" s="89">
        <v>63.268397999999998</v>
      </c>
      <c r="H384" s="89">
        <v>264866600</v>
      </c>
      <c r="J384" s="89">
        <v>0</v>
      </c>
      <c r="K384" s="89">
        <f t="shared" si="61"/>
        <v>88</v>
      </c>
      <c r="L384" s="89">
        <f t="shared" si="62"/>
        <v>112.621376</v>
      </c>
      <c r="M384" s="89">
        <f>+SPY__2[[#This Row],[Adj Close]]</f>
        <v>63.268397999999998</v>
      </c>
      <c r="N384" s="89">
        <f t="shared" si="57"/>
        <v>5567.6190239999996</v>
      </c>
      <c r="O384" s="90">
        <f t="shared" si="58"/>
        <v>-4343.0620639999997</v>
      </c>
      <c r="P384" s="93">
        <f t="shared" si="59"/>
        <v>-0.43822034282372824</v>
      </c>
      <c r="Q384" s="96"/>
      <c r="R384" s="96"/>
      <c r="T384" s="90">
        <f t="shared" si="53"/>
        <v>95</v>
      </c>
      <c r="U384" s="89">
        <f t="shared" si="54"/>
        <v>103.31428490526316</v>
      </c>
      <c r="V384" s="89">
        <f t="shared" si="55"/>
        <v>63.268397999999998</v>
      </c>
      <c r="W384" s="90">
        <f t="shared" si="60"/>
        <v>6010.4978099999998</v>
      </c>
      <c r="X384" s="93">
        <f t="shared" si="56"/>
        <v>-0.38761229332404834</v>
      </c>
      <c r="AB384" s="89">
        <f t="shared" si="68"/>
        <v>195</v>
      </c>
      <c r="AC384" s="89">
        <f t="shared" si="69"/>
        <v>51.179276000000002</v>
      </c>
      <c r="AD384" s="89">
        <f t="shared" si="70"/>
        <v>63.268397999999998</v>
      </c>
      <c r="AE384" s="89">
        <f t="shared" si="71"/>
        <v>12337.337609999999</v>
      </c>
      <c r="AF384" s="90">
        <f t="shared" si="75"/>
        <v>2357.3787899999993</v>
      </c>
      <c r="AG384" s="93">
        <f t="shared" si="76"/>
        <v>0.23621127426656052</v>
      </c>
      <c r="AK384" s="90">
        <f t="shared" si="73"/>
        <v>48</v>
      </c>
      <c r="AL384" s="89">
        <f t="shared" si="74"/>
        <v>51.179276000000002</v>
      </c>
      <c r="AM384" s="89">
        <f t="shared" si="65"/>
        <v>63.268397999999998</v>
      </c>
      <c r="AN384" s="90">
        <f t="shared" si="66"/>
        <v>3036.883104</v>
      </c>
      <c r="AO384" s="93">
        <f t="shared" si="67"/>
        <v>0.23621127426656052</v>
      </c>
    </row>
    <row r="385" spans="2:41" x14ac:dyDescent="0.25">
      <c r="B385" s="91">
        <v>39910</v>
      </c>
      <c r="C385" s="89">
        <v>82.25</v>
      </c>
      <c r="D385" s="89">
        <v>82.650002000000001</v>
      </c>
      <c r="E385" s="89">
        <v>81.510002</v>
      </c>
      <c r="F385" s="89">
        <v>81.650002000000001</v>
      </c>
      <c r="G385" s="89">
        <v>61.792648</v>
      </c>
      <c r="H385" s="89">
        <v>258947800</v>
      </c>
      <c r="J385" s="89">
        <v>0</v>
      </c>
      <c r="K385" s="89">
        <f t="shared" si="61"/>
        <v>88</v>
      </c>
      <c r="L385" s="89">
        <f t="shared" si="62"/>
        <v>112.621376</v>
      </c>
      <c r="M385" s="89">
        <f>+SPY__2[[#This Row],[Adj Close]]</f>
        <v>61.792648</v>
      </c>
      <c r="N385" s="89">
        <f t="shared" si="57"/>
        <v>5437.7530239999996</v>
      </c>
      <c r="O385" s="90">
        <f t="shared" si="58"/>
        <v>-4472.9280639999997</v>
      </c>
      <c r="P385" s="93">
        <f t="shared" si="59"/>
        <v>-0.45132398311311694</v>
      </c>
      <c r="Q385" s="96"/>
      <c r="R385" s="96"/>
      <c r="T385" s="90">
        <f t="shared" si="53"/>
        <v>95</v>
      </c>
      <c r="U385" s="89">
        <f t="shared" si="54"/>
        <v>103.31428490526316</v>
      </c>
      <c r="V385" s="89">
        <f t="shared" si="55"/>
        <v>61.792648</v>
      </c>
      <c r="W385" s="90">
        <f t="shared" si="60"/>
        <v>5870.3015599999999</v>
      </c>
      <c r="X385" s="93">
        <f t="shared" si="56"/>
        <v>-0.40189637805979639</v>
      </c>
      <c r="AB385" s="89">
        <f t="shared" si="68"/>
        <v>195</v>
      </c>
      <c r="AC385" s="89">
        <f t="shared" si="69"/>
        <v>51.179276000000002</v>
      </c>
      <c r="AD385" s="89">
        <f t="shared" si="70"/>
        <v>61.792648</v>
      </c>
      <c r="AE385" s="89">
        <f t="shared" si="71"/>
        <v>12049.566360000001</v>
      </c>
      <c r="AF385" s="90">
        <f t="shared" si="75"/>
        <v>2069.6075399999995</v>
      </c>
      <c r="AG385" s="93">
        <f t="shared" si="76"/>
        <v>0.20737636069724785</v>
      </c>
      <c r="AK385" s="90">
        <f t="shared" si="73"/>
        <v>48</v>
      </c>
      <c r="AL385" s="89">
        <f t="shared" si="74"/>
        <v>51.179276000000002</v>
      </c>
      <c r="AM385" s="89">
        <f t="shared" si="65"/>
        <v>61.792648</v>
      </c>
      <c r="AN385" s="90">
        <f t="shared" si="66"/>
        <v>2966.0471040000002</v>
      </c>
      <c r="AO385" s="93">
        <f t="shared" si="67"/>
        <v>0.20737636069724807</v>
      </c>
    </row>
    <row r="386" spans="2:41" x14ac:dyDescent="0.25">
      <c r="B386" s="91">
        <v>39911</v>
      </c>
      <c r="C386" s="89">
        <v>82.059997999999993</v>
      </c>
      <c r="D386" s="89">
        <v>82.940002000000007</v>
      </c>
      <c r="E386" s="89">
        <v>81.540001000000004</v>
      </c>
      <c r="F386" s="89">
        <v>82.529999000000004</v>
      </c>
      <c r="G386" s="89">
        <v>62.458632999999999</v>
      </c>
      <c r="H386" s="89">
        <v>230402800</v>
      </c>
      <c r="J386" s="89">
        <v>0</v>
      </c>
      <c r="K386" s="89">
        <f t="shared" si="61"/>
        <v>88</v>
      </c>
      <c r="L386" s="89">
        <f t="shared" si="62"/>
        <v>112.621376</v>
      </c>
      <c r="M386" s="89">
        <f>+SPY__2[[#This Row],[Adj Close]]</f>
        <v>62.458632999999999</v>
      </c>
      <c r="N386" s="89">
        <f t="shared" si="57"/>
        <v>5496.3597039999995</v>
      </c>
      <c r="O386" s="90">
        <f t="shared" si="58"/>
        <v>-4414.3213839999999</v>
      </c>
      <c r="P386" s="93">
        <f t="shared" si="59"/>
        <v>-0.44541049649402265</v>
      </c>
      <c r="Q386" s="96"/>
      <c r="R386" s="96"/>
      <c r="T386" s="90">
        <f t="shared" ref="T386:T449" si="77">+T385</f>
        <v>95</v>
      </c>
      <c r="U386" s="89">
        <f t="shared" ref="U386:U449" si="78">+U385</f>
        <v>103.31428490526316</v>
      </c>
      <c r="V386" s="89">
        <f t="shared" si="55"/>
        <v>62.458632999999999</v>
      </c>
      <c r="W386" s="90">
        <f t="shared" si="60"/>
        <v>5933.5701349999999</v>
      </c>
      <c r="X386" s="93">
        <f t="shared" si="56"/>
        <v>-0.39545017363984913</v>
      </c>
      <c r="AB386" s="89">
        <f t="shared" si="68"/>
        <v>195</v>
      </c>
      <c r="AC386" s="89">
        <f t="shared" si="69"/>
        <v>51.179276000000002</v>
      </c>
      <c r="AD386" s="89">
        <f t="shared" si="70"/>
        <v>62.458632999999999</v>
      </c>
      <c r="AE386" s="89">
        <f t="shared" si="71"/>
        <v>12179.433434999999</v>
      </c>
      <c r="AF386" s="90">
        <f t="shared" si="75"/>
        <v>2199.4746149999996</v>
      </c>
      <c r="AG386" s="93">
        <f t="shared" si="76"/>
        <v>0.22038914735722326</v>
      </c>
      <c r="AK386" s="90">
        <f t="shared" si="73"/>
        <v>48</v>
      </c>
      <c r="AL386" s="89">
        <f t="shared" si="74"/>
        <v>51.179276000000002</v>
      </c>
      <c r="AM386" s="89">
        <f t="shared" si="65"/>
        <v>62.458632999999999</v>
      </c>
      <c r="AN386" s="90">
        <f t="shared" si="66"/>
        <v>2998.0143840000001</v>
      </c>
      <c r="AO386" s="93">
        <f t="shared" si="67"/>
        <v>0.22038914735722326</v>
      </c>
    </row>
    <row r="387" spans="2:41" x14ac:dyDescent="0.25">
      <c r="B387" s="91">
        <v>39912</v>
      </c>
      <c r="C387" s="89">
        <v>84.669998000000007</v>
      </c>
      <c r="D387" s="89">
        <v>85.82</v>
      </c>
      <c r="E387" s="89">
        <v>84.330001999999993</v>
      </c>
      <c r="F387" s="89">
        <v>85.809997999999993</v>
      </c>
      <c r="G387" s="89">
        <v>64.940917999999996</v>
      </c>
      <c r="H387" s="89">
        <v>269653500</v>
      </c>
      <c r="J387" s="89">
        <v>0</v>
      </c>
      <c r="K387" s="89">
        <f t="shared" si="61"/>
        <v>88</v>
      </c>
      <c r="L387" s="89">
        <f t="shared" si="62"/>
        <v>112.621376</v>
      </c>
      <c r="M387" s="89">
        <f>+SPY__2[[#This Row],[Adj Close]]</f>
        <v>64.940917999999996</v>
      </c>
      <c r="N387" s="89">
        <f t="shared" si="57"/>
        <v>5714.800784</v>
      </c>
      <c r="O387" s="90">
        <f t="shared" si="58"/>
        <v>-4195.8803040000003</v>
      </c>
      <c r="P387" s="93">
        <f t="shared" si="59"/>
        <v>-0.42336952089805757</v>
      </c>
      <c r="Q387" s="96"/>
      <c r="R387" s="96"/>
      <c r="T387" s="90">
        <f t="shared" si="77"/>
        <v>95</v>
      </c>
      <c r="U387" s="89">
        <f t="shared" si="78"/>
        <v>103.31428490526316</v>
      </c>
      <c r="V387" s="89">
        <f t="shared" ref="V387:V450" si="79">+M387</f>
        <v>64.940917999999996</v>
      </c>
      <c r="W387" s="90">
        <f t="shared" si="60"/>
        <v>6169.3872099999999</v>
      </c>
      <c r="X387" s="93">
        <f t="shared" ref="X387:X450" si="80">+W387/(U387*T387)-1</f>
        <v>-0.37142363169285508</v>
      </c>
      <c r="AB387" s="89">
        <f t="shared" si="68"/>
        <v>195</v>
      </c>
      <c r="AC387" s="89">
        <f t="shared" si="69"/>
        <v>51.179276000000002</v>
      </c>
      <c r="AD387" s="89">
        <f t="shared" si="70"/>
        <v>64.940917999999996</v>
      </c>
      <c r="AE387" s="89">
        <f t="shared" si="71"/>
        <v>12663.479009999999</v>
      </c>
      <c r="AF387" s="90">
        <f t="shared" si="75"/>
        <v>2683.5201899999988</v>
      </c>
      <c r="AG387" s="93">
        <f t="shared" si="76"/>
        <v>0.26889090810897742</v>
      </c>
      <c r="AK387" s="90">
        <f t="shared" si="73"/>
        <v>48</v>
      </c>
      <c r="AL387" s="89">
        <f t="shared" si="74"/>
        <v>51.179276000000002</v>
      </c>
      <c r="AM387" s="89">
        <f t="shared" si="65"/>
        <v>64.940917999999996</v>
      </c>
      <c r="AN387" s="90">
        <f t="shared" si="66"/>
        <v>3117.1640639999996</v>
      </c>
      <c r="AO387" s="93">
        <f t="shared" si="67"/>
        <v>0.26889090810897742</v>
      </c>
    </row>
    <row r="388" spans="2:41" x14ac:dyDescent="0.25">
      <c r="B388" s="91">
        <v>39916</v>
      </c>
      <c r="C388" s="89">
        <v>84.919998000000007</v>
      </c>
      <c r="D388" s="89">
        <v>86.540001000000004</v>
      </c>
      <c r="E388" s="89">
        <v>84.580001999999993</v>
      </c>
      <c r="F388" s="89">
        <v>85.830001999999993</v>
      </c>
      <c r="G388" s="89">
        <v>64.956078000000005</v>
      </c>
      <c r="H388" s="89">
        <v>224847500</v>
      </c>
      <c r="J388" s="89">
        <v>0</v>
      </c>
      <c r="K388" s="89">
        <f t="shared" si="61"/>
        <v>88</v>
      </c>
      <c r="L388" s="89">
        <f t="shared" si="62"/>
        <v>112.621376</v>
      </c>
      <c r="M388" s="89">
        <f>+SPY__2[[#This Row],[Adj Close]]</f>
        <v>64.956078000000005</v>
      </c>
      <c r="N388" s="89">
        <f t="shared" ref="N388:N451" si="81">+K388*M388</f>
        <v>5716.1348640000006</v>
      </c>
      <c r="O388" s="90">
        <f t="shared" ref="O388:O451" si="82">+(M388-L388)*K388</f>
        <v>-4194.5462239999997</v>
      </c>
      <c r="P388" s="93">
        <f t="shared" ref="P388:P451" si="83">+M388/L388-1</f>
        <v>-0.42323491057328222</v>
      </c>
      <c r="Q388" s="96"/>
      <c r="R388" s="96"/>
      <c r="T388" s="90">
        <f t="shared" si="77"/>
        <v>95</v>
      </c>
      <c r="U388" s="89">
        <f t="shared" si="78"/>
        <v>103.31428490526316</v>
      </c>
      <c r="V388" s="89">
        <f t="shared" si="79"/>
        <v>64.956078000000005</v>
      </c>
      <c r="W388" s="90">
        <f t="shared" ref="W388:W451" si="84">+V388*T388</f>
        <v>6170.8274100000008</v>
      </c>
      <c r="X388" s="93">
        <f t="shared" si="80"/>
        <v>-0.37127689496604221</v>
      </c>
      <c r="AB388" s="89">
        <f t="shared" si="68"/>
        <v>195</v>
      </c>
      <c r="AC388" s="89">
        <f t="shared" si="69"/>
        <v>51.179276000000002</v>
      </c>
      <c r="AD388" s="89">
        <f t="shared" si="70"/>
        <v>64.956078000000005</v>
      </c>
      <c r="AE388" s="89">
        <f t="shared" si="71"/>
        <v>12666.435210000001</v>
      </c>
      <c r="AF388" s="90">
        <f t="shared" si="75"/>
        <v>2686.4763900000007</v>
      </c>
      <c r="AG388" s="93">
        <f t="shared" si="76"/>
        <v>0.26918712175607951</v>
      </c>
      <c r="AK388" s="90">
        <f t="shared" si="73"/>
        <v>48</v>
      </c>
      <c r="AL388" s="89">
        <f t="shared" si="74"/>
        <v>51.179276000000002</v>
      </c>
      <c r="AM388" s="89">
        <f t="shared" si="65"/>
        <v>64.956078000000005</v>
      </c>
      <c r="AN388" s="90">
        <f t="shared" si="66"/>
        <v>3117.8917440000005</v>
      </c>
      <c r="AO388" s="93">
        <f t="shared" si="67"/>
        <v>0.26918712175607973</v>
      </c>
    </row>
    <row r="389" spans="2:41" x14ac:dyDescent="0.25">
      <c r="B389" s="91">
        <v>39917</v>
      </c>
      <c r="C389" s="89">
        <v>85.029999000000004</v>
      </c>
      <c r="D389" s="89">
        <v>85.760002</v>
      </c>
      <c r="E389" s="89">
        <v>84.080001999999993</v>
      </c>
      <c r="F389" s="89">
        <v>84.349997999999999</v>
      </c>
      <c r="G389" s="89">
        <v>63.836013999999999</v>
      </c>
      <c r="H389" s="89">
        <v>276598800</v>
      </c>
      <c r="J389" s="89">
        <v>0</v>
      </c>
      <c r="K389" s="89">
        <f t="shared" ref="K389:K452" si="85">+$K$3</f>
        <v>88</v>
      </c>
      <c r="L389" s="89">
        <f t="shared" ref="L389:L452" si="86">+$L$3</f>
        <v>112.621376</v>
      </c>
      <c r="M389" s="89">
        <f>+SPY__2[[#This Row],[Adj Close]]</f>
        <v>63.836013999999999</v>
      </c>
      <c r="N389" s="89">
        <f t="shared" si="81"/>
        <v>5617.5692319999998</v>
      </c>
      <c r="O389" s="90">
        <f t="shared" si="82"/>
        <v>-4293.1118559999995</v>
      </c>
      <c r="P389" s="93">
        <f t="shared" si="83"/>
        <v>-0.43318030495383042</v>
      </c>
      <c r="Q389" s="96"/>
      <c r="R389" s="96"/>
      <c r="T389" s="90">
        <f t="shared" si="77"/>
        <v>95</v>
      </c>
      <c r="U389" s="89">
        <f t="shared" si="78"/>
        <v>103.31428490526316</v>
      </c>
      <c r="V389" s="89">
        <f t="shared" si="79"/>
        <v>63.836013999999999</v>
      </c>
      <c r="W389" s="90">
        <f t="shared" si="84"/>
        <v>6064.4213300000001</v>
      </c>
      <c r="X389" s="93">
        <f t="shared" si="80"/>
        <v>-0.38211822248456573</v>
      </c>
      <c r="AB389" s="89">
        <f t="shared" si="68"/>
        <v>195</v>
      </c>
      <c r="AC389" s="89">
        <f t="shared" si="69"/>
        <v>51.179276000000002</v>
      </c>
      <c r="AD389" s="89">
        <f t="shared" si="70"/>
        <v>63.836013999999999</v>
      </c>
      <c r="AE389" s="89">
        <f t="shared" si="71"/>
        <v>12448.022730000001</v>
      </c>
      <c r="AF389" s="90">
        <f t="shared" si="75"/>
        <v>2468.0639099999994</v>
      </c>
      <c r="AG389" s="93">
        <f t="shared" si="76"/>
        <v>0.24730201341652425</v>
      </c>
      <c r="AK389" s="90">
        <f t="shared" si="73"/>
        <v>48</v>
      </c>
      <c r="AL389" s="89">
        <f t="shared" si="74"/>
        <v>51.179276000000002</v>
      </c>
      <c r="AM389" s="89">
        <f t="shared" si="65"/>
        <v>63.836013999999999</v>
      </c>
      <c r="AN389" s="90">
        <f t="shared" si="66"/>
        <v>3064.1286719999998</v>
      </c>
      <c r="AO389" s="93">
        <f t="shared" si="67"/>
        <v>0.24730201341652425</v>
      </c>
    </row>
    <row r="390" spans="2:41" x14ac:dyDescent="0.25">
      <c r="B390" s="91">
        <v>39918</v>
      </c>
      <c r="C390" s="89">
        <v>83.839995999999999</v>
      </c>
      <c r="D390" s="89">
        <v>85.419998000000007</v>
      </c>
      <c r="E390" s="89">
        <v>83.610000999999997</v>
      </c>
      <c r="F390" s="89">
        <v>85.25</v>
      </c>
      <c r="G390" s="89">
        <v>64.517112999999995</v>
      </c>
      <c r="H390" s="89">
        <v>250726100</v>
      </c>
      <c r="J390" s="89">
        <v>0</v>
      </c>
      <c r="K390" s="89">
        <f t="shared" si="85"/>
        <v>88</v>
      </c>
      <c r="L390" s="89">
        <f t="shared" si="86"/>
        <v>112.621376</v>
      </c>
      <c r="M390" s="89">
        <f>+SPY__2[[#This Row],[Adj Close]]</f>
        <v>64.517112999999995</v>
      </c>
      <c r="N390" s="89">
        <f t="shared" si="81"/>
        <v>5677.5059439999995</v>
      </c>
      <c r="O390" s="90">
        <f t="shared" si="82"/>
        <v>-4233.1751440000007</v>
      </c>
      <c r="P390" s="93">
        <f t="shared" si="83"/>
        <v>-0.4271326164581758</v>
      </c>
      <c r="Q390" s="96"/>
      <c r="R390" s="96"/>
      <c r="T390" s="90">
        <f t="shared" si="77"/>
        <v>95</v>
      </c>
      <c r="U390" s="89">
        <f t="shared" si="78"/>
        <v>103.31428490526316</v>
      </c>
      <c r="V390" s="89">
        <f t="shared" si="79"/>
        <v>64.517112999999995</v>
      </c>
      <c r="W390" s="90">
        <f t="shared" si="84"/>
        <v>6129.1257349999996</v>
      </c>
      <c r="X390" s="93">
        <f t="shared" si="80"/>
        <v>-0.37552572658117211</v>
      </c>
      <c r="AB390" s="89">
        <f t="shared" si="68"/>
        <v>195</v>
      </c>
      <c r="AC390" s="89">
        <f t="shared" si="69"/>
        <v>51.179276000000002</v>
      </c>
      <c r="AD390" s="89">
        <f t="shared" si="70"/>
        <v>64.517112999999995</v>
      </c>
      <c r="AE390" s="89">
        <f t="shared" si="71"/>
        <v>12580.837034999999</v>
      </c>
      <c r="AF390" s="90">
        <f t="shared" si="75"/>
        <v>2600.8782149999988</v>
      </c>
      <c r="AG390" s="93">
        <f t="shared" si="76"/>
        <v>0.26061011492229769</v>
      </c>
      <c r="AK390" s="90">
        <f t="shared" si="73"/>
        <v>48</v>
      </c>
      <c r="AL390" s="89">
        <f t="shared" si="74"/>
        <v>51.179276000000002</v>
      </c>
      <c r="AM390" s="89">
        <f t="shared" si="65"/>
        <v>64.517112999999995</v>
      </c>
      <c r="AN390" s="90">
        <f t="shared" si="66"/>
        <v>3096.8214239999998</v>
      </c>
      <c r="AO390" s="93">
        <f t="shared" si="67"/>
        <v>0.26061011492229791</v>
      </c>
    </row>
    <row r="391" spans="2:41" x14ac:dyDescent="0.25">
      <c r="B391" s="91">
        <v>39919</v>
      </c>
      <c r="C391" s="89">
        <v>85.93</v>
      </c>
      <c r="D391" s="89">
        <v>87.150002000000001</v>
      </c>
      <c r="E391" s="89">
        <v>84.769997000000004</v>
      </c>
      <c r="F391" s="89">
        <v>86.5</v>
      </c>
      <c r="G391" s="89">
        <v>65.463111999999995</v>
      </c>
      <c r="H391" s="89">
        <v>335202900</v>
      </c>
      <c r="J391" s="89">
        <v>0</v>
      </c>
      <c r="K391" s="89">
        <f t="shared" si="85"/>
        <v>88</v>
      </c>
      <c r="L391" s="89">
        <f t="shared" si="86"/>
        <v>112.621376</v>
      </c>
      <c r="M391" s="89">
        <f>+SPY__2[[#This Row],[Adj Close]]</f>
        <v>65.463111999999995</v>
      </c>
      <c r="N391" s="89">
        <f t="shared" si="81"/>
        <v>5760.7538559999994</v>
      </c>
      <c r="O391" s="90">
        <f t="shared" si="82"/>
        <v>-4149.927232</v>
      </c>
      <c r="P391" s="93">
        <f t="shared" si="83"/>
        <v>-0.41873279900256244</v>
      </c>
      <c r="Q391" s="96"/>
      <c r="R391" s="96"/>
      <c r="T391" s="90">
        <f t="shared" si="77"/>
        <v>95</v>
      </c>
      <c r="U391" s="89">
        <f t="shared" si="78"/>
        <v>103.31428490526316</v>
      </c>
      <c r="V391" s="89">
        <f t="shared" si="79"/>
        <v>65.463111999999995</v>
      </c>
      <c r="W391" s="90">
        <f t="shared" si="84"/>
        <v>6218.9956399999992</v>
      </c>
      <c r="X391" s="93">
        <f t="shared" si="80"/>
        <v>-0.36636920964000119</v>
      </c>
      <c r="AB391" s="89">
        <f t="shared" si="68"/>
        <v>195</v>
      </c>
      <c r="AC391" s="89">
        <f t="shared" si="69"/>
        <v>51.179276000000002</v>
      </c>
      <c r="AD391" s="89">
        <f t="shared" si="70"/>
        <v>65.463111999999995</v>
      </c>
      <c r="AE391" s="89">
        <f t="shared" si="71"/>
        <v>12765.306839999999</v>
      </c>
      <c r="AF391" s="90">
        <f t="shared" si="75"/>
        <v>2785.348019999999</v>
      </c>
      <c r="AG391" s="93">
        <f t="shared" si="76"/>
        <v>0.27909413958884444</v>
      </c>
      <c r="AK391" s="90">
        <f t="shared" si="73"/>
        <v>48</v>
      </c>
      <c r="AL391" s="89">
        <f t="shared" si="74"/>
        <v>51.179276000000002</v>
      </c>
      <c r="AM391" s="89">
        <f t="shared" si="65"/>
        <v>65.463111999999995</v>
      </c>
      <c r="AN391" s="90">
        <f t="shared" si="66"/>
        <v>3142.2293759999998</v>
      </c>
      <c r="AO391" s="93">
        <f t="shared" si="67"/>
        <v>0.27909413958884444</v>
      </c>
    </row>
    <row r="392" spans="2:41" x14ac:dyDescent="0.25">
      <c r="B392" s="91">
        <v>39920</v>
      </c>
      <c r="C392" s="89">
        <v>86.830001999999993</v>
      </c>
      <c r="D392" s="89">
        <v>87.650002000000001</v>
      </c>
      <c r="E392" s="89">
        <v>86.139999000000003</v>
      </c>
      <c r="F392" s="89">
        <v>87.080001999999993</v>
      </c>
      <c r="G392" s="89">
        <v>65.902077000000006</v>
      </c>
      <c r="H392" s="89">
        <v>262649000</v>
      </c>
      <c r="J392" s="89">
        <v>0</v>
      </c>
      <c r="K392" s="89">
        <f t="shared" si="85"/>
        <v>88</v>
      </c>
      <c r="L392" s="89">
        <f t="shared" si="86"/>
        <v>112.621376</v>
      </c>
      <c r="M392" s="89">
        <f>+SPY__2[[#This Row],[Adj Close]]</f>
        <v>65.902077000000006</v>
      </c>
      <c r="N392" s="89">
        <f t="shared" si="81"/>
        <v>5799.3827760000004</v>
      </c>
      <c r="O392" s="90">
        <f t="shared" si="82"/>
        <v>-4111.298311999999</v>
      </c>
      <c r="P392" s="93">
        <f t="shared" si="83"/>
        <v>-0.41483509311766886</v>
      </c>
      <c r="Q392" s="96"/>
      <c r="R392" s="96"/>
      <c r="T392" s="90">
        <f t="shared" si="77"/>
        <v>95</v>
      </c>
      <c r="U392" s="89">
        <f t="shared" si="78"/>
        <v>103.31428490526316</v>
      </c>
      <c r="V392" s="89">
        <f t="shared" si="79"/>
        <v>65.902077000000006</v>
      </c>
      <c r="W392" s="90">
        <f t="shared" si="84"/>
        <v>6260.6973150000003</v>
      </c>
      <c r="X392" s="93">
        <f t="shared" si="80"/>
        <v>-0.3621203780248714</v>
      </c>
      <c r="AB392" s="89">
        <f t="shared" si="68"/>
        <v>195</v>
      </c>
      <c r="AC392" s="89">
        <f t="shared" si="69"/>
        <v>51.179276000000002</v>
      </c>
      <c r="AD392" s="89">
        <f t="shared" si="70"/>
        <v>65.902077000000006</v>
      </c>
      <c r="AE392" s="89">
        <f t="shared" si="71"/>
        <v>12850.905015</v>
      </c>
      <c r="AF392" s="90">
        <f t="shared" si="75"/>
        <v>2870.9461950000009</v>
      </c>
      <c r="AG392" s="93">
        <f t="shared" si="76"/>
        <v>0.28767114642262626</v>
      </c>
      <c r="AK392" s="90">
        <f t="shared" si="73"/>
        <v>48</v>
      </c>
      <c r="AL392" s="89">
        <f t="shared" si="74"/>
        <v>51.179276000000002</v>
      </c>
      <c r="AM392" s="89">
        <f t="shared" si="65"/>
        <v>65.902077000000006</v>
      </c>
      <c r="AN392" s="90">
        <f t="shared" si="66"/>
        <v>3163.299696</v>
      </c>
      <c r="AO392" s="93">
        <f t="shared" si="67"/>
        <v>0.28767114642262626</v>
      </c>
    </row>
    <row r="393" spans="2:41" x14ac:dyDescent="0.25">
      <c r="B393" s="91">
        <v>39923</v>
      </c>
      <c r="C393" s="89">
        <v>85.540001000000004</v>
      </c>
      <c r="D393" s="89">
        <v>87.050003000000004</v>
      </c>
      <c r="E393" s="89">
        <v>83.339995999999999</v>
      </c>
      <c r="F393" s="89">
        <v>83.43</v>
      </c>
      <c r="G393" s="89">
        <v>63.139766999999999</v>
      </c>
      <c r="H393" s="89">
        <v>293690100</v>
      </c>
      <c r="J393" s="89">
        <v>0</v>
      </c>
      <c r="K393" s="89">
        <f t="shared" si="85"/>
        <v>88</v>
      </c>
      <c r="L393" s="89">
        <f t="shared" si="86"/>
        <v>112.621376</v>
      </c>
      <c r="M393" s="89">
        <f>+SPY__2[[#This Row],[Adj Close]]</f>
        <v>63.139766999999999</v>
      </c>
      <c r="N393" s="89">
        <f t="shared" si="81"/>
        <v>5556.2994959999996</v>
      </c>
      <c r="O393" s="90">
        <f t="shared" si="82"/>
        <v>-4354.3815919999997</v>
      </c>
      <c r="P393" s="93">
        <f t="shared" si="83"/>
        <v>-0.43936249722255216</v>
      </c>
      <c r="Q393" s="96"/>
      <c r="R393" s="96"/>
      <c r="T393" s="90">
        <f t="shared" si="77"/>
        <v>95</v>
      </c>
      <c r="U393" s="89">
        <f t="shared" si="78"/>
        <v>103.31428490526316</v>
      </c>
      <c r="V393" s="89">
        <f t="shared" si="79"/>
        <v>63.139766999999999</v>
      </c>
      <c r="W393" s="90">
        <f t="shared" si="84"/>
        <v>5998.277865</v>
      </c>
      <c r="X393" s="93">
        <f t="shared" si="80"/>
        <v>-0.38885733896432884</v>
      </c>
      <c r="AB393" s="89">
        <f t="shared" si="68"/>
        <v>195</v>
      </c>
      <c r="AC393" s="89">
        <f t="shared" si="69"/>
        <v>51.179276000000002</v>
      </c>
      <c r="AD393" s="89">
        <f t="shared" si="70"/>
        <v>63.139766999999999</v>
      </c>
      <c r="AE393" s="89">
        <f t="shared" si="71"/>
        <v>12312.254564999999</v>
      </c>
      <c r="AF393" s="90">
        <f t="shared" si="75"/>
        <v>2332.2957449999994</v>
      </c>
      <c r="AG393" s="93">
        <f t="shared" si="76"/>
        <v>0.23369793273355399</v>
      </c>
      <c r="AK393" s="90">
        <f t="shared" si="73"/>
        <v>48</v>
      </c>
      <c r="AL393" s="89">
        <f t="shared" si="74"/>
        <v>51.179276000000002</v>
      </c>
      <c r="AM393" s="89">
        <f t="shared" si="65"/>
        <v>63.139766999999999</v>
      </c>
      <c r="AN393" s="90">
        <f t="shared" si="66"/>
        <v>3030.7088159999998</v>
      </c>
      <c r="AO393" s="93">
        <f t="shared" si="67"/>
        <v>0.23369793273355421</v>
      </c>
    </row>
    <row r="394" spans="2:41" x14ac:dyDescent="0.25">
      <c r="B394" s="91">
        <v>39924</v>
      </c>
      <c r="C394" s="89">
        <v>82.82</v>
      </c>
      <c r="D394" s="89">
        <v>85.129997000000003</v>
      </c>
      <c r="E394" s="89">
        <v>82.75</v>
      </c>
      <c r="F394" s="89">
        <v>85.059997999999993</v>
      </c>
      <c r="G394" s="89">
        <v>64.373322000000002</v>
      </c>
      <c r="H394" s="89">
        <v>114090900</v>
      </c>
      <c r="J394" s="89">
        <v>0</v>
      </c>
      <c r="K394" s="89">
        <f t="shared" si="85"/>
        <v>88</v>
      </c>
      <c r="L394" s="89">
        <f t="shared" si="86"/>
        <v>112.621376</v>
      </c>
      <c r="M394" s="89">
        <f>+SPY__2[[#This Row],[Adj Close]]</f>
        <v>64.373322000000002</v>
      </c>
      <c r="N394" s="89">
        <f t="shared" si="81"/>
        <v>5664.8523359999999</v>
      </c>
      <c r="O394" s="90">
        <f t="shared" si="82"/>
        <v>-4245.8287519999994</v>
      </c>
      <c r="P394" s="93">
        <f t="shared" si="83"/>
        <v>-0.42840938118177496</v>
      </c>
      <c r="Q394" s="96"/>
      <c r="R394" s="96"/>
      <c r="T394" s="90">
        <f t="shared" si="77"/>
        <v>95</v>
      </c>
      <c r="U394" s="89">
        <f t="shared" si="78"/>
        <v>103.31428490526316</v>
      </c>
      <c r="V394" s="89">
        <f t="shared" si="79"/>
        <v>64.373322000000002</v>
      </c>
      <c r="W394" s="90">
        <f t="shared" si="84"/>
        <v>6115.4655899999998</v>
      </c>
      <c r="X394" s="93">
        <f t="shared" si="80"/>
        <v>-0.37691750894826537</v>
      </c>
      <c r="AB394" s="89">
        <f t="shared" si="68"/>
        <v>195</v>
      </c>
      <c r="AC394" s="89">
        <f t="shared" si="69"/>
        <v>51.179276000000002</v>
      </c>
      <c r="AD394" s="89">
        <f t="shared" si="70"/>
        <v>64.373322000000002</v>
      </c>
      <c r="AE394" s="89">
        <f t="shared" si="71"/>
        <v>12552.797790000001</v>
      </c>
      <c r="AF394" s="90">
        <f t="shared" si="75"/>
        <v>2572.8389700000002</v>
      </c>
      <c r="AG394" s="93">
        <f t="shared" si="76"/>
        <v>0.25780055974218929</v>
      </c>
      <c r="AK394" s="90">
        <f t="shared" si="73"/>
        <v>48</v>
      </c>
      <c r="AL394" s="89">
        <f t="shared" si="74"/>
        <v>51.179276000000002</v>
      </c>
      <c r="AM394" s="89">
        <f t="shared" si="65"/>
        <v>64.373322000000002</v>
      </c>
      <c r="AN394" s="90">
        <f t="shared" si="66"/>
        <v>3089.9194560000001</v>
      </c>
      <c r="AO394" s="93">
        <f t="shared" si="67"/>
        <v>0.25780055974218952</v>
      </c>
    </row>
    <row r="395" spans="2:41" x14ac:dyDescent="0.25">
      <c r="B395" s="91">
        <v>39925</v>
      </c>
      <c r="C395" s="89">
        <v>84.290001000000004</v>
      </c>
      <c r="D395" s="89">
        <v>86.339995999999999</v>
      </c>
      <c r="E395" s="89">
        <v>84.07</v>
      </c>
      <c r="F395" s="89">
        <v>84.540001000000004</v>
      </c>
      <c r="G395" s="89">
        <v>63.979790000000001</v>
      </c>
      <c r="H395" s="89">
        <v>340395200</v>
      </c>
      <c r="J395" s="89">
        <v>0</v>
      </c>
      <c r="K395" s="89">
        <f t="shared" si="85"/>
        <v>88</v>
      </c>
      <c r="L395" s="89">
        <f t="shared" si="86"/>
        <v>112.621376</v>
      </c>
      <c r="M395" s="89">
        <f>+SPY__2[[#This Row],[Adj Close]]</f>
        <v>63.979790000000001</v>
      </c>
      <c r="N395" s="89">
        <f t="shared" si="81"/>
        <v>5630.2215200000001</v>
      </c>
      <c r="O395" s="90">
        <f t="shared" si="82"/>
        <v>-4280.4595679999993</v>
      </c>
      <c r="P395" s="93">
        <f t="shared" si="83"/>
        <v>-0.43190367341986657</v>
      </c>
      <c r="Q395" s="96"/>
      <c r="R395" s="96"/>
      <c r="T395" s="90">
        <f t="shared" si="77"/>
        <v>95</v>
      </c>
      <c r="U395" s="89">
        <f t="shared" si="78"/>
        <v>103.31428490526316</v>
      </c>
      <c r="V395" s="89">
        <f t="shared" si="79"/>
        <v>63.979790000000001</v>
      </c>
      <c r="W395" s="90">
        <f t="shared" si="84"/>
        <v>6078.0800500000005</v>
      </c>
      <c r="X395" s="93">
        <f t="shared" si="80"/>
        <v>-0.38072658530552661</v>
      </c>
      <c r="AB395" s="89">
        <f t="shared" si="68"/>
        <v>195</v>
      </c>
      <c r="AC395" s="89">
        <f t="shared" si="69"/>
        <v>51.179276000000002</v>
      </c>
      <c r="AD395" s="89">
        <f t="shared" si="70"/>
        <v>63.979790000000001</v>
      </c>
      <c r="AE395" s="89">
        <f t="shared" si="71"/>
        <v>12476.05905</v>
      </c>
      <c r="AF395" s="90">
        <f t="shared" si="75"/>
        <v>2496.10023</v>
      </c>
      <c r="AG395" s="93">
        <f t="shared" si="76"/>
        <v>0.25011127550925094</v>
      </c>
      <c r="AK395" s="90">
        <f t="shared" si="73"/>
        <v>48</v>
      </c>
      <c r="AL395" s="89">
        <f t="shared" si="74"/>
        <v>51.179276000000002</v>
      </c>
      <c r="AM395" s="89">
        <f t="shared" si="65"/>
        <v>63.979790000000001</v>
      </c>
      <c r="AN395" s="90">
        <f t="shared" si="66"/>
        <v>3071.0299199999999</v>
      </c>
      <c r="AO395" s="93">
        <f t="shared" si="67"/>
        <v>0.25011127550925116</v>
      </c>
    </row>
    <row r="396" spans="2:41" x14ac:dyDescent="0.25">
      <c r="B396" s="91">
        <v>39926</v>
      </c>
      <c r="C396" s="89">
        <v>84.709998999999996</v>
      </c>
      <c r="D396" s="89">
        <v>85.419998000000007</v>
      </c>
      <c r="E396" s="89">
        <v>83.629997000000003</v>
      </c>
      <c r="F396" s="89">
        <v>85.370002999999997</v>
      </c>
      <c r="G396" s="89">
        <v>64.607940999999997</v>
      </c>
      <c r="H396" s="89">
        <v>324903700</v>
      </c>
      <c r="J396" s="89">
        <v>0</v>
      </c>
      <c r="K396" s="89">
        <f t="shared" si="85"/>
        <v>88</v>
      </c>
      <c r="L396" s="89">
        <f t="shared" si="86"/>
        <v>112.621376</v>
      </c>
      <c r="M396" s="89">
        <f>+SPY__2[[#This Row],[Adj Close]]</f>
        <v>64.607940999999997</v>
      </c>
      <c r="N396" s="89">
        <f t="shared" si="81"/>
        <v>5685.4988079999994</v>
      </c>
      <c r="O396" s="90">
        <f t="shared" si="82"/>
        <v>-4225.18228</v>
      </c>
      <c r="P396" s="93">
        <f t="shared" si="83"/>
        <v>-0.42632612657831492</v>
      </c>
      <c r="Q396" s="96"/>
      <c r="R396" s="96"/>
      <c r="T396" s="90">
        <f t="shared" si="77"/>
        <v>95</v>
      </c>
      <c r="U396" s="89">
        <f t="shared" si="78"/>
        <v>103.31428490526316</v>
      </c>
      <c r="V396" s="89">
        <f t="shared" si="79"/>
        <v>64.607940999999997</v>
      </c>
      <c r="W396" s="90">
        <f t="shared" si="84"/>
        <v>6137.7543949999999</v>
      </c>
      <c r="X396" s="93">
        <f t="shared" si="80"/>
        <v>-0.37464658387517269</v>
      </c>
      <c r="AB396" s="89">
        <f t="shared" si="68"/>
        <v>195</v>
      </c>
      <c r="AC396" s="89">
        <f t="shared" si="69"/>
        <v>51.179276000000002</v>
      </c>
      <c r="AD396" s="89">
        <f t="shared" si="70"/>
        <v>64.607940999999997</v>
      </c>
      <c r="AE396" s="89">
        <f t="shared" si="71"/>
        <v>12598.548494999999</v>
      </c>
      <c r="AF396" s="90">
        <f t="shared" si="75"/>
        <v>2618.5896749999993</v>
      </c>
      <c r="AG396" s="93">
        <f t="shared" si="76"/>
        <v>0.2623848176359509</v>
      </c>
      <c r="AK396" s="90">
        <f t="shared" si="73"/>
        <v>48</v>
      </c>
      <c r="AL396" s="89">
        <f t="shared" si="74"/>
        <v>51.179276000000002</v>
      </c>
      <c r="AM396" s="89">
        <f t="shared" si="65"/>
        <v>64.607940999999997</v>
      </c>
      <c r="AN396" s="90">
        <f t="shared" si="66"/>
        <v>3101.1811680000001</v>
      </c>
      <c r="AO396" s="93">
        <f t="shared" si="67"/>
        <v>0.26238481763595112</v>
      </c>
    </row>
    <row r="397" spans="2:41" x14ac:dyDescent="0.25">
      <c r="B397" s="91">
        <v>39927</v>
      </c>
      <c r="C397" s="89">
        <v>86.029999000000004</v>
      </c>
      <c r="D397" s="89">
        <v>87.309997999999993</v>
      </c>
      <c r="E397" s="89">
        <v>85.690002000000007</v>
      </c>
      <c r="F397" s="89">
        <v>86.660004000000001</v>
      </c>
      <c r="G397" s="89">
        <v>65.584213000000005</v>
      </c>
      <c r="H397" s="89">
        <v>287703000</v>
      </c>
      <c r="J397" s="89">
        <v>0</v>
      </c>
      <c r="K397" s="89">
        <f t="shared" si="85"/>
        <v>88</v>
      </c>
      <c r="L397" s="89">
        <f t="shared" si="86"/>
        <v>112.621376</v>
      </c>
      <c r="M397" s="89">
        <f>+SPY__2[[#This Row],[Adj Close]]</f>
        <v>65.584213000000005</v>
      </c>
      <c r="N397" s="89">
        <f t="shared" si="81"/>
        <v>5771.4107440000007</v>
      </c>
      <c r="O397" s="90">
        <f t="shared" si="82"/>
        <v>-4139.2703439999996</v>
      </c>
      <c r="P397" s="93">
        <f t="shared" si="83"/>
        <v>-0.41765750580067496</v>
      </c>
      <c r="Q397" s="96"/>
      <c r="R397" s="96"/>
      <c r="T397" s="90">
        <f t="shared" si="77"/>
        <v>95</v>
      </c>
      <c r="U397" s="89">
        <f t="shared" si="78"/>
        <v>103.31428490526316</v>
      </c>
      <c r="V397" s="89">
        <f t="shared" si="79"/>
        <v>65.584213000000005</v>
      </c>
      <c r="W397" s="90">
        <f t="shared" si="84"/>
        <v>6230.5002350000004</v>
      </c>
      <c r="X397" s="93">
        <f t="shared" si="80"/>
        <v>-0.36519704840294609</v>
      </c>
      <c r="AB397" s="89">
        <f t="shared" si="68"/>
        <v>195</v>
      </c>
      <c r="AC397" s="89">
        <f t="shared" si="69"/>
        <v>51.179276000000002</v>
      </c>
      <c r="AD397" s="89">
        <f t="shared" si="70"/>
        <v>65.584213000000005</v>
      </c>
      <c r="AE397" s="89">
        <f t="shared" si="71"/>
        <v>12788.921535000001</v>
      </c>
      <c r="AF397" s="90">
        <f t="shared" si="75"/>
        <v>2808.9627150000006</v>
      </c>
      <c r="AG397" s="93">
        <f t="shared" si="76"/>
        <v>0.28146035125623903</v>
      </c>
      <c r="AK397" s="90">
        <f t="shared" si="73"/>
        <v>48</v>
      </c>
      <c r="AL397" s="89">
        <f t="shared" si="74"/>
        <v>51.179276000000002</v>
      </c>
      <c r="AM397" s="89">
        <f t="shared" si="65"/>
        <v>65.584213000000005</v>
      </c>
      <c r="AN397" s="90">
        <f t="shared" si="66"/>
        <v>3148.0422240000003</v>
      </c>
      <c r="AO397" s="93">
        <f t="shared" si="67"/>
        <v>0.28146035125623903</v>
      </c>
    </row>
    <row r="398" spans="2:41" x14ac:dyDescent="0.25">
      <c r="B398" s="91">
        <v>39930</v>
      </c>
      <c r="C398" s="89">
        <v>85.68</v>
      </c>
      <c r="D398" s="89">
        <v>87.010002</v>
      </c>
      <c r="E398" s="89">
        <v>85.540001000000004</v>
      </c>
      <c r="F398" s="89">
        <v>85.839995999999999</v>
      </c>
      <c r="G398" s="89">
        <v>64.963668999999996</v>
      </c>
      <c r="H398" s="89">
        <v>289581600</v>
      </c>
      <c r="J398" s="89">
        <v>0</v>
      </c>
      <c r="K398" s="89">
        <f t="shared" si="85"/>
        <v>88</v>
      </c>
      <c r="L398" s="89">
        <f t="shared" si="86"/>
        <v>112.621376</v>
      </c>
      <c r="M398" s="89">
        <f>+SPY__2[[#This Row],[Adj Close]]</f>
        <v>64.963668999999996</v>
      </c>
      <c r="N398" s="89">
        <f t="shared" si="81"/>
        <v>5716.8028719999993</v>
      </c>
      <c r="O398" s="90">
        <f t="shared" si="82"/>
        <v>-4193.8782160000001</v>
      </c>
      <c r="P398" s="93">
        <f t="shared" si="83"/>
        <v>-0.42316750773849543</v>
      </c>
      <c r="Q398" s="96"/>
      <c r="R398" s="96"/>
      <c r="T398" s="90">
        <f t="shared" si="77"/>
        <v>95</v>
      </c>
      <c r="U398" s="89">
        <f t="shared" si="78"/>
        <v>103.31428490526316</v>
      </c>
      <c r="V398" s="89">
        <f t="shared" si="79"/>
        <v>64.963668999999996</v>
      </c>
      <c r="W398" s="90">
        <f t="shared" si="84"/>
        <v>6171.5485549999994</v>
      </c>
      <c r="X398" s="93">
        <f t="shared" si="80"/>
        <v>-0.37120342013139618</v>
      </c>
      <c r="AB398" s="89">
        <f t="shared" si="68"/>
        <v>195</v>
      </c>
      <c r="AC398" s="89">
        <f t="shared" si="69"/>
        <v>51.179276000000002</v>
      </c>
      <c r="AD398" s="89">
        <f t="shared" si="70"/>
        <v>64.963668999999996</v>
      </c>
      <c r="AE398" s="89">
        <f t="shared" si="71"/>
        <v>12667.915454999998</v>
      </c>
      <c r="AF398" s="90">
        <f t="shared" si="75"/>
        <v>2687.9566349999991</v>
      </c>
      <c r="AG398" s="93">
        <f t="shared" si="76"/>
        <v>0.26933544351037697</v>
      </c>
      <c r="AK398" s="90">
        <f t="shared" si="73"/>
        <v>48</v>
      </c>
      <c r="AL398" s="89">
        <f t="shared" si="74"/>
        <v>51.179276000000002</v>
      </c>
      <c r="AM398" s="89">
        <f t="shared" si="65"/>
        <v>64.963668999999996</v>
      </c>
      <c r="AN398" s="90">
        <f t="shared" si="66"/>
        <v>3118.256112</v>
      </c>
      <c r="AO398" s="93">
        <f t="shared" si="67"/>
        <v>0.26933544351037719</v>
      </c>
    </row>
    <row r="399" spans="2:41" x14ac:dyDescent="0.25">
      <c r="B399" s="91">
        <v>39931</v>
      </c>
      <c r="C399" s="89">
        <v>84.970000999999996</v>
      </c>
      <c r="D399" s="89">
        <v>86.589995999999999</v>
      </c>
      <c r="E399" s="89">
        <v>84.760002</v>
      </c>
      <c r="F399" s="89">
        <v>85.57</v>
      </c>
      <c r="G399" s="89">
        <v>64.759285000000006</v>
      </c>
      <c r="H399" s="89">
        <v>247926300</v>
      </c>
      <c r="J399" s="89">
        <v>0</v>
      </c>
      <c r="K399" s="89">
        <f t="shared" si="85"/>
        <v>88</v>
      </c>
      <c r="L399" s="89">
        <f t="shared" si="86"/>
        <v>112.621376</v>
      </c>
      <c r="M399" s="89">
        <f>+SPY__2[[#This Row],[Adj Close]]</f>
        <v>64.759285000000006</v>
      </c>
      <c r="N399" s="89">
        <f t="shared" si="81"/>
        <v>5698.8170800000007</v>
      </c>
      <c r="O399" s="90">
        <f t="shared" si="82"/>
        <v>-4211.8640079999996</v>
      </c>
      <c r="P399" s="93">
        <f t="shared" si="83"/>
        <v>-0.42498229643367169</v>
      </c>
      <c r="Q399" s="96"/>
      <c r="R399" s="96"/>
      <c r="T399" s="90">
        <f t="shared" si="77"/>
        <v>95</v>
      </c>
      <c r="U399" s="89">
        <f t="shared" si="78"/>
        <v>103.31428490526316</v>
      </c>
      <c r="V399" s="89">
        <f t="shared" si="79"/>
        <v>64.759285000000006</v>
      </c>
      <c r="W399" s="90">
        <f t="shared" si="84"/>
        <v>6152.1320750000004</v>
      </c>
      <c r="X399" s="93">
        <f t="shared" si="80"/>
        <v>-0.37318169448317062</v>
      </c>
      <c r="AB399" s="89">
        <f t="shared" si="68"/>
        <v>195</v>
      </c>
      <c r="AC399" s="89">
        <f t="shared" si="69"/>
        <v>51.179276000000002</v>
      </c>
      <c r="AD399" s="89">
        <f t="shared" si="70"/>
        <v>64.759285000000006</v>
      </c>
      <c r="AE399" s="89">
        <f t="shared" si="71"/>
        <v>12628.060575000001</v>
      </c>
      <c r="AF399" s="90">
        <f t="shared" si="75"/>
        <v>2648.1017550000006</v>
      </c>
      <c r="AG399" s="93">
        <f t="shared" si="76"/>
        <v>0.26534195208232347</v>
      </c>
      <c r="AK399" s="90">
        <f t="shared" si="73"/>
        <v>48</v>
      </c>
      <c r="AL399" s="89">
        <f t="shared" si="74"/>
        <v>51.179276000000002</v>
      </c>
      <c r="AM399" s="89">
        <f t="shared" si="65"/>
        <v>64.759285000000006</v>
      </c>
      <c r="AN399" s="90">
        <f t="shared" si="66"/>
        <v>3108.4456800000003</v>
      </c>
      <c r="AO399" s="93">
        <f t="shared" si="67"/>
        <v>0.26534195208232347</v>
      </c>
    </row>
    <row r="400" spans="2:41" x14ac:dyDescent="0.25">
      <c r="B400" s="91">
        <v>39932</v>
      </c>
      <c r="C400" s="89">
        <v>86.519997000000004</v>
      </c>
      <c r="D400" s="89">
        <v>88.360000999999997</v>
      </c>
      <c r="E400" s="89">
        <v>86.300003000000004</v>
      </c>
      <c r="F400" s="89">
        <v>87.389999000000003</v>
      </c>
      <c r="G400" s="89">
        <v>66.136673000000002</v>
      </c>
      <c r="H400" s="89">
        <v>311505700</v>
      </c>
      <c r="J400" s="89">
        <v>0</v>
      </c>
      <c r="K400" s="89">
        <f t="shared" si="85"/>
        <v>88</v>
      </c>
      <c r="L400" s="89">
        <f t="shared" si="86"/>
        <v>112.621376</v>
      </c>
      <c r="M400" s="89">
        <f>+SPY__2[[#This Row],[Adj Close]]</f>
        <v>66.136673000000002</v>
      </c>
      <c r="N400" s="89">
        <f t="shared" si="81"/>
        <v>5820.0272240000004</v>
      </c>
      <c r="O400" s="90">
        <f t="shared" si="82"/>
        <v>-4090.6538639999999</v>
      </c>
      <c r="P400" s="93">
        <f t="shared" si="83"/>
        <v>-0.41275204273831634</v>
      </c>
      <c r="Q400" s="96"/>
      <c r="R400" s="96"/>
      <c r="T400" s="90">
        <f t="shared" si="77"/>
        <v>95</v>
      </c>
      <c r="U400" s="89">
        <f t="shared" si="78"/>
        <v>103.31428490526316</v>
      </c>
      <c r="V400" s="89">
        <f t="shared" si="79"/>
        <v>66.136673000000002</v>
      </c>
      <c r="W400" s="90">
        <f t="shared" si="84"/>
        <v>6282.9839350000002</v>
      </c>
      <c r="X400" s="93">
        <f t="shared" si="80"/>
        <v>-0.35984967557346192</v>
      </c>
      <c r="AB400" s="89">
        <f t="shared" si="68"/>
        <v>195</v>
      </c>
      <c r="AC400" s="89">
        <f t="shared" si="69"/>
        <v>51.179276000000002</v>
      </c>
      <c r="AD400" s="89">
        <f t="shared" si="70"/>
        <v>66.136673000000002</v>
      </c>
      <c r="AE400" s="89">
        <f t="shared" si="71"/>
        <v>12896.651235000001</v>
      </c>
      <c r="AF400" s="90">
        <f t="shared" si="75"/>
        <v>2916.692415</v>
      </c>
      <c r="AG400" s="93">
        <f t="shared" si="76"/>
        <v>0.29225495491573583</v>
      </c>
      <c r="AK400" s="90">
        <f t="shared" si="73"/>
        <v>48</v>
      </c>
      <c r="AL400" s="89">
        <f t="shared" si="74"/>
        <v>51.179276000000002</v>
      </c>
      <c r="AM400" s="89">
        <f t="shared" si="65"/>
        <v>66.136673000000002</v>
      </c>
      <c r="AN400" s="90">
        <f t="shared" si="66"/>
        <v>3174.5603040000001</v>
      </c>
      <c r="AO400" s="93">
        <f t="shared" si="67"/>
        <v>0.29225495491573583</v>
      </c>
    </row>
    <row r="401" spans="2:41" x14ac:dyDescent="0.25">
      <c r="B401" s="91">
        <v>39933</v>
      </c>
      <c r="C401" s="89">
        <v>88.550003000000004</v>
      </c>
      <c r="D401" s="89">
        <v>89.019997000000004</v>
      </c>
      <c r="E401" s="89">
        <v>86.919998000000007</v>
      </c>
      <c r="F401" s="89">
        <v>87.419998000000007</v>
      </c>
      <c r="G401" s="89">
        <v>66.159392999999994</v>
      </c>
      <c r="H401" s="89">
        <v>301419800</v>
      </c>
      <c r="J401" s="89">
        <v>0</v>
      </c>
      <c r="K401" s="89">
        <f t="shared" si="85"/>
        <v>88</v>
      </c>
      <c r="L401" s="89">
        <f t="shared" si="86"/>
        <v>112.621376</v>
      </c>
      <c r="M401" s="89">
        <f>+SPY__2[[#This Row],[Adj Close]]</f>
        <v>66.159392999999994</v>
      </c>
      <c r="N401" s="89">
        <f t="shared" si="81"/>
        <v>5822.0265839999993</v>
      </c>
      <c r="O401" s="90">
        <f t="shared" si="82"/>
        <v>-4088.6545040000001</v>
      </c>
      <c r="P401" s="93">
        <f t="shared" si="83"/>
        <v>-0.4125503048373339</v>
      </c>
      <c r="Q401" s="96"/>
      <c r="R401" s="96"/>
      <c r="T401" s="90">
        <f t="shared" si="77"/>
        <v>95</v>
      </c>
      <c r="U401" s="89">
        <f t="shared" si="78"/>
        <v>103.31428490526316</v>
      </c>
      <c r="V401" s="89">
        <f t="shared" si="79"/>
        <v>66.159392999999994</v>
      </c>
      <c r="W401" s="90">
        <f t="shared" si="84"/>
        <v>6285.1423349999995</v>
      </c>
      <c r="X401" s="93">
        <f t="shared" si="80"/>
        <v>-0.35962976406731517</v>
      </c>
      <c r="AB401" s="89">
        <f t="shared" si="68"/>
        <v>195</v>
      </c>
      <c r="AC401" s="89">
        <f t="shared" si="69"/>
        <v>51.179276000000002</v>
      </c>
      <c r="AD401" s="89">
        <f t="shared" si="70"/>
        <v>66.159392999999994</v>
      </c>
      <c r="AE401" s="89">
        <f t="shared" si="71"/>
        <v>12901.081634999999</v>
      </c>
      <c r="AF401" s="90">
        <f t="shared" si="75"/>
        <v>2921.1228149999988</v>
      </c>
      <c r="AG401" s="93">
        <f t="shared" si="76"/>
        <v>0.29269888460321303</v>
      </c>
      <c r="AK401" s="90">
        <f t="shared" si="73"/>
        <v>48</v>
      </c>
      <c r="AL401" s="89">
        <f t="shared" si="74"/>
        <v>51.179276000000002</v>
      </c>
      <c r="AM401" s="89">
        <f t="shared" si="65"/>
        <v>66.159392999999994</v>
      </c>
      <c r="AN401" s="90">
        <f t="shared" si="66"/>
        <v>3175.6508639999997</v>
      </c>
      <c r="AO401" s="93">
        <f t="shared" si="67"/>
        <v>0.29269888460321325</v>
      </c>
    </row>
    <row r="402" spans="2:41" x14ac:dyDescent="0.25">
      <c r="B402" s="91">
        <v>39934</v>
      </c>
      <c r="C402" s="89">
        <v>87.440002000000007</v>
      </c>
      <c r="D402" s="89">
        <v>88.209998999999996</v>
      </c>
      <c r="E402" s="89">
        <v>86.720000999999996</v>
      </c>
      <c r="F402" s="89">
        <v>87.889999000000003</v>
      </c>
      <c r="G402" s="89">
        <v>66.515083000000004</v>
      </c>
      <c r="H402" s="89">
        <v>236110300</v>
      </c>
      <c r="J402" s="89">
        <v>0</v>
      </c>
      <c r="K402" s="89">
        <f t="shared" si="85"/>
        <v>88</v>
      </c>
      <c r="L402" s="89">
        <f t="shared" si="86"/>
        <v>112.621376</v>
      </c>
      <c r="M402" s="89">
        <f>+SPY__2[[#This Row],[Adj Close]]</f>
        <v>66.515083000000004</v>
      </c>
      <c r="N402" s="89">
        <f t="shared" si="81"/>
        <v>5853.3273040000004</v>
      </c>
      <c r="O402" s="90">
        <f t="shared" si="82"/>
        <v>-4057.3537839999995</v>
      </c>
      <c r="P402" s="93">
        <f t="shared" si="83"/>
        <v>-0.40939202341125713</v>
      </c>
      <c r="Q402" s="96"/>
      <c r="R402" s="96"/>
      <c r="T402" s="90">
        <f t="shared" si="77"/>
        <v>95</v>
      </c>
      <c r="U402" s="89">
        <f t="shared" si="78"/>
        <v>103.31428490526316</v>
      </c>
      <c r="V402" s="89">
        <f t="shared" si="79"/>
        <v>66.515083000000004</v>
      </c>
      <c r="W402" s="90">
        <f t="shared" si="84"/>
        <v>6318.9328850000002</v>
      </c>
      <c r="X402" s="93">
        <f t="shared" si="80"/>
        <v>-0.35618696813327588</v>
      </c>
      <c r="AB402" s="89">
        <f t="shared" si="68"/>
        <v>195</v>
      </c>
      <c r="AC402" s="89">
        <f t="shared" si="69"/>
        <v>51.179276000000002</v>
      </c>
      <c r="AD402" s="89">
        <f t="shared" si="70"/>
        <v>66.515083000000004</v>
      </c>
      <c r="AE402" s="89">
        <f t="shared" si="71"/>
        <v>12970.441185000001</v>
      </c>
      <c r="AF402" s="90">
        <f t="shared" si="75"/>
        <v>2990.4823650000003</v>
      </c>
      <c r="AG402" s="93">
        <f t="shared" si="76"/>
        <v>0.29964876798960582</v>
      </c>
      <c r="AK402" s="90">
        <f t="shared" si="73"/>
        <v>48</v>
      </c>
      <c r="AL402" s="89">
        <f t="shared" si="74"/>
        <v>51.179276000000002</v>
      </c>
      <c r="AM402" s="89">
        <f t="shared" si="65"/>
        <v>66.515083000000004</v>
      </c>
      <c r="AN402" s="90">
        <f t="shared" si="66"/>
        <v>3192.7239840000002</v>
      </c>
      <c r="AO402" s="93">
        <f t="shared" si="67"/>
        <v>0.29964876798960605</v>
      </c>
    </row>
    <row r="403" spans="2:41" x14ac:dyDescent="0.25">
      <c r="B403" s="91">
        <v>39937</v>
      </c>
      <c r="C403" s="89">
        <v>88.550003000000004</v>
      </c>
      <c r="D403" s="89">
        <v>90.940002000000007</v>
      </c>
      <c r="E403" s="89">
        <v>88.379997000000003</v>
      </c>
      <c r="F403" s="89">
        <v>90.879997000000003</v>
      </c>
      <c r="G403" s="89">
        <v>68.777907999999996</v>
      </c>
      <c r="H403" s="89">
        <v>287120000</v>
      </c>
      <c r="J403" s="89">
        <v>0</v>
      </c>
      <c r="K403" s="89">
        <f t="shared" si="85"/>
        <v>88</v>
      </c>
      <c r="L403" s="89">
        <f t="shared" si="86"/>
        <v>112.621376</v>
      </c>
      <c r="M403" s="89">
        <f>+SPY__2[[#This Row],[Adj Close]]</f>
        <v>68.777907999999996</v>
      </c>
      <c r="N403" s="89">
        <f t="shared" si="81"/>
        <v>6052.4559039999995</v>
      </c>
      <c r="O403" s="90">
        <f t="shared" si="82"/>
        <v>-3858.2251839999999</v>
      </c>
      <c r="P403" s="93">
        <f t="shared" si="83"/>
        <v>-0.38929970097328592</v>
      </c>
      <c r="Q403" s="96"/>
      <c r="R403" s="96"/>
      <c r="T403" s="90">
        <f t="shared" si="77"/>
        <v>95</v>
      </c>
      <c r="U403" s="89">
        <f t="shared" si="78"/>
        <v>103.31428490526316</v>
      </c>
      <c r="V403" s="89">
        <f t="shared" si="79"/>
        <v>68.777907999999996</v>
      </c>
      <c r="W403" s="90">
        <f t="shared" si="84"/>
        <v>6533.9012599999996</v>
      </c>
      <c r="X403" s="93">
        <f t="shared" si="80"/>
        <v>-0.33428462421176541</v>
      </c>
      <c r="AB403" s="89">
        <f t="shared" si="68"/>
        <v>195</v>
      </c>
      <c r="AC403" s="89">
        <f t="shared" si="69"/>
        <v>51.179276000000002</v>
      </c>
      <c r="AD403" s="89">
        <f t="shared" si="70"/>
        <v>68.777907999999996</v>
      </c>
      <c r="AE403" s="89">
        <f t="shared" si="71"/>
        <v>13411.692059999999</v>
      </c>
      <c r="AF403" s="90">
        <f t="shared" si="75"/>
        <v>3431.7332399999991</v>
      </c>
      <c r="AG403" s="93">
        <f t="shared" si="76"/>
        <v>0.34386246495554174</v>
      </c>
      <c r="AK403" s="90">
        <f t="shared" si="73"/>
        <v>48</v>
      </c>
      <c r="AL403" s="89">
        <f t="shared" si="74"/>
        <v>51.179276000000002</v>
      </c>
      <c r="AM403" s="89">
        <f t="shared" si="65"/>
        <v>68.777907999999996</v>
      </c>
      <c r="AN403" s="90">
        <f t="shared" si="66"/>
        <v>3301.3395839999998</v>
      </c>
      <c r="AO403" s="93">
        <f t="shared" si="67"/>
        <v>0.34386246495554174</v>
      </c>
    </row>
    <row r="404" spans="2:41" x14ac:dyDescent="0.25">
      <c r="B404" s="91">
        <v>39938</v>
      </c>
      <c r="C404" s="89">
        <v>90.57</v>
      </c>
      <c r="D404" s="89">
        <v>90.93</v>
      </c>
      <c r="E404" s="89">
        <v>89.839995999999999</v>
      </c>
      <c r="F404" s="89">
        <v>90.57</v>
      </c>
      <c r="G404" s="89">
        <v>68.543296999999995</v>
      </c>
      <c r="H404" s="89">
        <v>243036300</v>
      </c>
      <c r="J404" s="89">
        <v>0</v>
      </c>
      <c r="K404" s="89">
        <f t="shared" si="85"/>
        <v>88</v>
      </c>
      <c r="L404" s="89">
        <f t="shared" si="86"/>
        <v>112.621376</v>
      </c>
      <c r="M404" s="89">
        <f>+SPY__2[[#This Row],[Adj Close]]</f>
        <v>68.543296999999995</v>
      </c>
      <c r="N404" s="89">
        <f t="shared" si="81"/>
        <v>6031.8101360000001</v>
      </c>
      <c r="O404" s="90">
        <f t="shared" si="82"/>
        <v>-3878.8709520000002</v>
      </c>
      <c r="P404" s="93">
        <f t="shared" si="83"/>
        <v>-0.39138288454227377</v>
      </c>
      <c r="Q404" s="96"/>
      <c r="R404" s="96"/>
      <c r="T404" s="90">
        <f t="shared" si="77"/>
        <v>95</v>
      </c>
      <c r="U404" s="89">
        <f t="shared" si="78"/>
        <v>103.31428490526316</v>
      </c>
      <c r="V404" s="89">
        <f t="shared" si="79"/>
        <v>68.543296999999995</v>
      </c>
      <c r="W404" s="90">
        <f t="shared" si="84"/>
        <v>6511.6132149999994</v>
      </c>
      <c r="X404" s="93">
        <f t="shared" si="80"/>
        <v>-0.33655547185122914</v>
      </c>
      <c r="AB404" s="89">
        <f t="shared" si="68"/>
        <v>195</v>
      </c>
      <c r="AC404" s="89">
        <f t="shared" si="69"/>
        <v>51.179276000000002</v>
      </c>
      <c r="AD404" s="89">
        <f t="shared" si="70"/>
        <v>68.543296999999995</v>
      </c>
      <c r="AE404" s="89">
        <f t="shared" si="71"/>
        <v>13365.942915</v>
      </c>
      <c r="AF404" s="90">
        <f t="shared" si="75"/>
        <v>3385.9840949999989</v>
      </c>
      <c r="AG404" s="93">
        <f t="shared" si="76"/>
        <v>0.33927836337505024</v>
      </c>
      <c r="AK404" s="90">
        <f t="shared" si="73"/>
        <v>48</v>
      </c>
      <c r="AL404" s="89">
        <f t="shared" si="74"/>
        <v>51.179276000000002</v>
      </c>
      <c r="AM404" s="89">
        <f t="shared" si="65"/>
        <v>68.543296999999995</v>
      </c>
      <c r="AN404" s="90">
        <f t="shared" si="66"/>
        <v>3290.0782559999998</v>
      </c>
      <c r="AO404" s="93">
        <f t="shared" si="67"/>
        <v>0.33927836337505046</v>
      </c>
    </row>
    <row r="405" spans="2:41" x14ac:dyDescent="0.25">
      <c r="B405" s="91">
        <v>39939</v>
      </c>
      <c r="C405" s="89">
        <v>91.68</v>
      </c>
      <c r="D405" s="89">
        <v>92.199996999999996</v>
      </c>
      <c r="E405" s="89">
        <v>90.610000999999997</v>
      </c>
      <c r="F405" s="89">
        <v>92.139999000000003</v>
      </c>
      <c r="G405" s="89">
        <v>69.731476000000001</v>
      </c>
      <c r="H405" s="89">
        <v>291941000</v>
      </c>
      <c r="J405" s="89">
        <v>0</v>
      </c>
      <c r="K405" s="89">
        <f t="shared" si="85"/>
        <v>88</v>
      </c>
      <c r="L405" s="89">
        <f t="shared" si="86"/>
        <v>112.621376</v>
      </c>
      <c r="M405" s="89">
        <f>+SPY__2[[#This Row],[Adj Close]]</f>
        <v>69.731476000000001</v>
      </c>
      <c r="N405" s="89">
        <f t="shared" si="81"/>
        <v>6136.3698880000002</v>
      </c>
      <c r="O405" s="90">
        <f t="shared" si="82"/>
        <v>-3774.3111999999996</v>
      </c>
      <c r="P405" s="93">
        <f t="shared" si="83"/>
        <v>-0.38083267602768411</v>
      </c>
      <c r="Q405" s="96"/>
      <c r="R405" s="96"/>
      <c r="T405" s="90">
        <f t="shared" si="77"/>
        <v>95</v>
      </c>
      <c r="U405" s="89">
        <f t="shared" si="78"/>
        <v>103.31428490526316</v>
      </c>
      <c r="V405" s="89">
        <f t="shared" si="79"/>
        <v>69.731476000000001</v>
      </c>
      <c r="W405" s="90">
        <f t="shared" si="84"/>
        <v>6624.4902199999997</v>
      </c>
      <c r="X405" s="93">
        <f t="shared" si="80"/>
        <v>-0.32505484537842788</v>
      </c>
      <c r="AB405" s="89">
        <f t="shared" si="68"/>
        <v>195</v>
      </c>
      <c r="AC405" s="89">
        <f t="shared" si="69"/>
        <v>51.179276000000002</v>
      </c>
      <c r="AD405" s="89">
        <f t="shared" si="70"/>
        <v>69.731476000000001</v>
      </c>
      <c r="AE405" s="89">
        <f t="shared" si="71"/>
        <v>13597.63782</v>
      </c>
      <c r="AF405" s="90">
        <f t="shared" si="75"/>
        <v>3617.6789999999996</v>
      </c>
      <c r="AG405" s="93">
        <f t="shared" si="76"/>
        <v>0.36249438151489288</v>
      </c>
      <c r="AK405" s="90">
        <f t="shared" si="73"/>
        <v>48</v>
      </c>
      <c r="AL405" s="89">
        <f t="shared" si="74"/>
        <v>51.179276000000002</v>
      </c>
      <c r="AM405" s="89">
        <f t="shared" si="65"/>
        <v>69.731476000000001</v>
      </c>
      <c r="AN405" s="90">
        <f t="shared" si="66"/>
        <v>3347.1108480000003</v>
      </c>
      <c r="AO405" s="93">
        <f t="shared" si="67"/>
        <v>0.3624943815148931</v>
      </c>
    </row>
    <row r="406" spans="2:41" x14ac:dyDescent="0.25">
      <c r="B406" s="91">
        <v>39940</v>
      </c>
      <c r="C406" s="89">
        <v>93.010002</v>
      </c>
      <c r="D406" s="89">
        <v>93.150002000000001</v>
      </c>
      <c r="E406" s="89">
        <v>90.279999000000004</v>
      </c>
      <c r="F406" s="89">
        <v>90.860000999999997</v>
      </c>
      <c r="G406" s="89">
        <v>68.762764000000004</v>
      </c>
      <c r="H406" s="89">
        <v>317728000</v>
      </c>
      <c r="J406" s="89">
        <v>0</v>
      </c>
      <c r="K406" s="89">
        <f t="shared" si="85"/>
        <v>88</v>
      </c>
      <c r="L406" s="89">
        <f t="shared" si="86"/>
        <v>112.621376</v>
      </c>
      <c r="M406" s="89">
        <f>+SPY__2[[#This Row],[Adj Close]]</f>
        <v>68.762764000000004</v>
      </c>
      <c r="N406" s="89">
        <f t="shared" si="81"/>
        <v>6051.1232319999999</v>
      </c>
      <c r="O406" s="90">
        <f t="shared" si="82"/>
        <v>-3859.5578559999994</v>
      </c>
      <c r="P406" s="93">
        <f t="shared" si="83"/>
        <v>-0.38943416922911678</v>
      </c>
      <c r="Q406" s="96"/>
      <c r="R406" s="96"/>
      <c r="T406" s="90">
        <f t="shared" si="77"/>
        <v>95</v>
      </c>
      <c r="U406" s="89">
        <f t="shared" si="78"/>
        <v>103.31428490526316</v>
      </c>
      <c r="V406" s="89">
        <f t="shared" si="79"/>
        <v>68.762764000000004</v>
      </c>
      <c r="W406" s="90">
        <f t="shared" si="84"/>
        <v>6532.4625800000003</v>
      </c>
      <c r="X406" s="93">
        <f t="shared" si="80"/>
        <v>-0.33443120607132026</v>
      </c>
      <c r="AB406" s="89">
        <f t="shared" si="68"/>
        <v>195</v>
      </c>
      <c r="AC406" s="89">
        <f t="shared" si="69"/>
        <v>51.179276000000002</v>
      </c>
      <c r="AD406" s="89">
        <f t="shared" si="70"/>
        <v>68.762764000000004</v>
      </c>
      <c r="AE406" s="89">
        <f t="shared" si="71"/>
        <v>13408.73898</v>
      </c>
      <c r="AF406" s="90">
        <f t="shared" si="75"/>
        <v>3428.7801600000007</v>
      </c>
      <c r="AG406" s="93">
        <f t="shared" si="76"/>
        <v>0.34356656393498031</v>
      </c>
      <c r="AK406" s="90">
        <f t="shared" si="73"/>
        <v>48</v>
      </c>
      <c r="AL406" s="89">
        <f t="shared" si="74"/>
        <v>51.179276000000002</v>
      </c>
      <c r="AM406" s="89">
        <f t="shared" si="65"/>
        <v>68.762764000000004</v>
      </c>
      <c r="AN406" s="90">
        <f t="shared" si="66"/>
        <v>3300.6126720000002</v>
      </c>
      <c r="AO406" s="93">
        <f t="shared" si="67"/>
        <v>0.34356656393498031</v>
      </c>
    </row>
    <row r="407" spans="2:41" x14ac:dyDescent="0.25">
      <c r="B407" s="91">
        <v>39941</v>
      </c>
      <c r="C407" s="89">
        <v>92.029999000000004</v>
      </c>
      <c r="D407" s="89">
        <v>93.220000999999996</v>
      </c>
      <c r="E407" s="89">
        <v>91.440002000000007</v>
      </c>
      <c r="F407" s="89">
        <v>92.980002999999996</v>
      </c>
      <c r="G407" s="89">
        <v>70.367171999999997</v>
      </c>
      <c r="H407" s="89">
        <v>299081700</v>
      </c>
      <c r="J407" s="89">
        <v>0</v>
      </c>
      <c r="K407" s="89">
        <f t="shared" si="85"/>
        <v>88</v>
      </c>
      <c r="L407" s="89">
        <f t="shared" si="86"/>
        <v>112.621376</v>
      </c>
      <c r="M407" s="89">
        <f>+SPY__2[[#This Row],[Adj Close]]</f>
        <v>70.367171999999997</v>
      </c>
      <c r="N407" s="89">
        <f t="shared" si="81"/>
        <v>6192.3111359999994</v>
      </c>
      <c r="O407" s="90">
        <f t="shared" si="82"/>
        <v>-3718.369952</v>
      </c>
      <c r="P407" s="93">
        <f t="shared" si="83"/>
        <v>-0.37518813479956059</v>
      </c>
      <c r="Q407" s="96"/>
      <c r="R407" s="96"/>
      <c r="T407" s="90">
        <f t="shared" si="77"/>
        <v>95</v>
      </c>
      <c r="U407" s="89">
        <f t="shared" si="78"/>
        <v>103.31428490526316</v>
      </c>
      <c r="V407" s="89">
        <f t="shared" si="79"/>
        <v>70.367171999999997</v>
      </c>
      <c r="W407" s="90">
        <f t="shared" si="84"/>
        <v>6684.8813399999999</v>
      </c>
      <c r="X407" s="93">
        <f t="shared" si="80"/>
        <v>-0.3189018143567941</v>
      </c>
      <c r="AB407" s="89">
        <f t="shared" si="68"/>
        <v>195</v>
      </c>
      <c r="AC407" s="89">
        <f t="shared" si="69"/>
        <v>51.179276000000002</v>
      </c>
      <c r="AD407" s="89">
        <f t="shared" si="70"/>
        <v>70.367171999999997</v>
      </c>
      <c r="AE407" s="89">
        <f t="shared" si="71"/>
        <v>13721.598539999999</v>
      </c>
      <c r="AF407" s="90">
        <f t="shared" si="75"/>
        <v>3741.6397199999992</v>
      </c>
      <c r="AG407" s="93">
        <f t="shared" si="76"/>
        <v>0.37491534659458625</v>
      </c>
      <c r="AK407" s="90">
        <f t="shared" si="73"/>
        <v>48</v>
      </c>
      <c r="AL407" s="89">
        <f t="shared" si="74"/>
        <v>51.179276000000002</v>
      </c>
      <c r="AM407" s="89">
        <f t="shared" si="65"/>
        <v>70.367171999999997</v>
      </c>
      <c r="AN407" s="90">
        <f t="shared" si="66"/>
        <v>3377.6242560000001</v>
      </c>
      <c r="AO407" s="93">
        <f t="shared" si="67"/>
        <v>0.37491534659458647</v>
      </c>
    </row>
    <row r="408" spans="2:41" x14ac:dyDescent="0.25">
      <c r="B408" s="91">
        <v>39944</v>
      </c>
      <c r="C408" s="89">
        <v>91.699996999999996</v>
      </c>
      <c r="D408" s="89">
        <v>92.110000999999997</v>
      </c>
      <c r="E408" s="89">
        <v>91.040001000000004</v>
      </c>
      <c r="F408" s="89">
        <v>91.239998</v>
      </c>
      <c r="G408" s="89">
        <v>69.050353999999999</v>
      </c>
      <c r="H408" s="89">
        <v>247923600</v>
      </c>
      <c r="J408" s="89">
        <v>0</v>
      </c>
      <c r="K408" s="89">
        <f t="shared" si="85"/>
        <v>88</v>
      </c>
      <c r="L408" s="89">
        <f t="shared" si="86"/>
        <v>112.621376</v>
      </c>
      <c r="M408" s="89">
        <f>+SPY__2[[#This Row],[Adj Close]]</f>
        <v>69.050353999999999</v>
      </c>
      <c r="N408" s="89">
        <f t="shared" si="81"/>
        <v>6076.4311520000001</v>
      </c>
      <c r="O408" s="90">
        <f t="shared" si="82"/>
        <v>-3834.2499360000002</v>
      </c>
      <c r="P408" s="93">
        <f t="shared" si="83"/>
        <v>-0.38688056874744636</v>
      </c>
      <c r="Q408" s="96"/>
      <c r="R408" s="96"/>
      <c r="T408" s="90">
        <f t="shared" si="77"/>
        <v>95</v>
      </c>
      <c r="U408" s="89">
        <f t="shared" si="78"/>
        <v>103.31428490526316</v>
      </c>
      <c r="V408" s="89">
        <f t="shared" si="79"/>
        <v>69.050353999999999</v>
      </c>
      <c r="W408" s="90">
        <f t="shared" si="84"/>
        <v>6559.7836299999999</v>
      </c>
      <c r="X408" s="93">
        <f t="shared" si="80"/>
        <v>-0.33164756390350481</v>
      </c>
      <c r="AB408" s="89">
        <f t="shared" si="68"/>
        <v>195</v>
      </c>
      <c r="AC408" s="89">
        <f t="shared" si="69"/>
        <v>51.179276000000002</v>
      </c>
      <c r="AD408" s="89">
        <f t="shared" si="70"/>
        <v>69.050353999999999</v>
      </c>
      <c r="AE408" s="89">
        <f t="shared" si="71"/>
        <v>13464.819030000001</v>
      </c>
      <c r="AF408" s="90">
        <f t="shared" si="75"/>
        <v>3484.8602099999994</v>
      </c>
      <c r="AG408" s="93">
        <f t="shared" si="76"/>
        <v>0.34918583060846742</v>
      </c>
      <c r="AK408" s="90">
        <f t="shared" si="73"/>
        <v>48</v>
      </c>
      <c r="AL408" s="89">
        <f t="shared" si="74"/>
        <v>51.179276000000002</v>
      </c>
      <c r="AM408" s="89">
        <f t="shared" si="65"/>
        <v>69.050353999999999</v>
      </c>
      <c r="AN408" s="90">
        <f t="shared" si="66"/>
        <v>3314.4169919999999</v>
      </c>
      <c r="AO408" s="93">
        <f t="shared" si="67"/>
        <v>0.34918583060846742</v>
      </c>
    </row>
    <row r="409" spans="2:41" x14ac:dyDescent="0.25">
      <c r="B409" s="91">
        <v>39945</v>
      </c>
      <c r="C409" s="89">
        <v>91.629997000000003</v>
      </c>
      <c r="D409" s="89">
        <v>91.830001999999993</v>
      </c>
      <c r="E409" s="89">
        <v>89.849997999999999</v>
      </c>
      <c r="F409" s="89">
        <v>90.970000999999996</v>
      </c>
      <c r="G409" s="89">
        <v>68.846007999999998</v>
      </c>
      <c r="H409" s="89">
        <v>282431300</v>
      </c>
      <c r="J409" s="89">
        <v>0</v>
      </c>
      <c r="K409" s="89">
        <f t="shared" si="85"/>
        <v>88</v>
      </c>
      <c r="L409" s="89">
        <f t="shared" si="86"/>
        <v>112.621376</v>
      </c>
      <c r="M409" s="89">
        <f>+SPY__2[[#This Row],[Adj Close]]</f>
        <v>68.846007999999998</v>
      </c>
      <c r="N409" s="89">
        <f t="shared" si="81"/>
        <v>6058.4487039999995</v>
      </c>
      <c r="O409" s="90">
        <f t="shared" si="82"/>
        <v>-3852.2323839999999</v>
      </c>
      <c r="P409" s="93">
        <f t="shared" si="83"/>
        <v>-0.38869502002887979</v>
      </c>
      <c r="Q409" s="96"/>
      <c r="R409" s="96"/>
      <c r="T409" s="90">
        <f t="shared" si="77"/>
        <v>95</v>
      </c>
      <c r="U409" s="89">
        <f t="shared" si="78"/>
        <v>103.31428490526316</v>
      </c>
      <c r="V409" s="89">
        <f t="shared" si="79"/>
        <v>68.846007999999998</v>
      </c>
      <c r="W409" s="90">
        <f t="shared" si="84"/>
        <v>6540.3707599999998</v>
      </c>
      <c r="X409" s="93">
        <f t="shared" si="80"/>
        <v>-0.33362547044554181</v>
      </c>
      <c r="AB409" s="89">
        <f t="shared" si="68"/>
        <v>195</v>
      </c>
      <c r="AC409" s="89">
        <f t="shared" si="69"/>
        <v>51.179276000000002</v>
      </c>
      <c r="AD409" s="89">
        <f t="shared" si="70"/>
        <v>68.846007999999998</v>
      </c>
      <c r="AE409" s="89">
        <f t="shared" si="71"/>
        <v>13424.97156</v>
      </c>
      <c r="AF409" s="90">
        <f t="shared" si="75"/>
        <v>3445.0127399999992</v>
      </c>
      <c r="AG409" s="93">
        <f t="shared" si="76"/>
        <v>0.3451930816684472</v>
      </c>
      <c r="AK409" s="90">
        <f t="shared" si="73"/>
        <v>48</v>
      </c>
      <c r="AL409" s="89">
        <f t="shared" si="74"/>
        <v>51.179276000000002</v>
      </c>
      <c r="AM409" s="89">
        <f t="shared" si="65"/>
        <v>68.846007999999998</v>
      </c>
      <c r="AN409" s="90">
        <f t="shared" si="66"/>
        <v>3304.6083840000001</v>
      </c>
      <c r="AO409" s="93">
        <f t="shared" si="67"/>
        <v>0.34519308166844742</v>
      </c>
    </row>
    <row r="410" spans="2:41" x14ac:dyDescent="0.25">
      <c r="B410" s="91">
        <v>39946</v>
      </c>
      <c r="C410" s="89">
        <v>89.739998</v>
      </c>
      <c r="D410" s="89">
        <v>90.010002</v>
      </c>
      <c r="E410" s="89">
        <v>88.5</v>
      </c>
      <c r="F410" s="89">
        <v>88.68</v>
      </c>
      <c r="G410" s="89">
        <v>67.112953000000005</v>
      </c>
      <c r="H410" s="89">
        <v>269619100</v>
      </c>
      <c r="J410" s="89">
        <v>0</v>
      </c>
      <c r="K410" s="89">
        <f t="shared" si="85"/>
        <v>88</v>
      </c>
      <c r="L410" s="89">
        <f t="shared" si="86"/>
        <v>112.621376</v>
      </c>
      <c r="M410" s="89">
        <f>+SPY__2[[#This Row],[Adj Close]]</f>
        <v>67.112953000000005</v>
      </c>
      <c r="N410" s="89">
        <f t="shared" si="81"/>
        <v>5905.9398639999999</v>
      </c>
      <c r="O410" s="90">
        <f t="shared" si="82"/>
        <v>-4004.7412239999994</v>
      </c>
      <c r="P410" s="93">
        <f t="shared" si="83"/>
        <v>-0.40408335092620418</v>
      </c>
      <c r="Q410" s="96"/>
      <c r="R410" s="96"/>
      <c r="T410" s="90">
        <f t="shared" si="77"/>
        <v>95</v>
      </c>
      <c r="U410" s="89">
        <f t="shared" si="78"/>
        <v>103.31428490526316</v>
      </c>
      <c r="V410" s="89">
        <f t="shared" si="79"/>
        <v>67.112953000000005</v>
      </c>
      <c r="W410" s="90">
        <f t="shared" si="84"/>
        <v>6375.7305350000006</v>
      </c>
      <c r="X410" s="93">
        <f t="shared" si="80"/>
        <v>-0.35040006266760637</v>
      </c>
      <c r="AB410" s="89">
        <f t="shared" si="68"/>
        <v>195</v>
      </c>
      <c r="AC410" s="89">
        <f t="shared" si="69"/>
        <v>51.179276000000002</v>
      </c>
      <c r="AD410" s="89">
        <f t="shared" si="70"/>
        <v>67.112953000000005</v>
      </c>
      <c r="AE410" s="89">
        <f t="shared" si="71"/>
        <v>13087.025835</v>
      </c>
      <c r="AF410" s="90">
        <f t="shared" si="75"/>
        <v>3107.0670150000005</v>
      </c>
      <c r="AG410" s="93">
        <f t="shared" si="76"/>
        <v>0.31133064484929407</v>
      </c>
      <c r="AK410" s="90">
        <f t="shared" si="73"/>
        <v>48</v>
      </c>
      <c r="AL410" s="89">
        <f t="shared" si="74"/>
        <v>51.179276000000002</v>
      </c>
      <c r="AM410" s="89">
        <f t="shared" si="65"/>
        <v>67.112953000000005</v>
      </c>
      <c r="AN410" s="90">
        <f t="shared" si="66"/>
        <v>3221.4217440000002</v>
      </c>
      <c r="AO410" s="93">
        <f t="shared" si="67"/>
        <v>0.31133064484929429</v>
      </c>
    </row>
    <row r="411" spans="2:41" x14ac:dyDescent="0.25">
      <c r="B411" s="91">
        <v>39947</v>
      </c>
      <c r="C411" s="89">
        <v>88.720000999999996</v>
      </c>
      <c r="D411" s="89">
        <v>90.120002999999997</v>
      </c>
      <c r="E411" s="89">
        <v>88.5</v>
      </c>
      <c r="F411" s="89">
        <v>89.440002000000007</v>
      </c>
      <c r="G411" s="89">
        <v>67.688109999999995</v>
      </c>
      <c r="H411" s="89">
        <v>260098700</v>
      </c>
      <c r="J411" s="89">
        <v>0</v>
      </c>
      <c r="K411" s="89">
        <f t="shared" si="85"/>
        <v>88</v>
      </c>
      <c r="L411" s="89">
        <f t="shared" si="86"/>
        <v>112.621376</v>
      </c>
      <c r="M411" s="89">
        <f>+SPY__2[[#This Row],[Adj Close]]</f>
        <v>67.688109999999995</v>
      </c>
      <c r="N411" s="89">
        <f t="shared" si="81"/>
        <v>5956.5536799999991</v>
      </c>
      <c r="O411" s="90">
        <f t="shared" si="82"/>
        <v>-3954.1274080000003</v>
      </c>
      <c r="P411" s="93">
        <f t="shared" si="83"/>
        <v>-0.39897635418697075</v>
      </c>
      <c r="Q411" s="96"/>
      <c r="R411" s="96"/>
      <c r="T411" s="90">
        <f t="shared" si="77"/>
        <v>95</v>
      </c>
      <c r="U411" s="89">
        <f t="shared" si="78"/>
        <v>103.31428490526316</v>
      </c>
      <c r="V411" s="89">
        <f t="shared" si="79"/>
        <v>67.688109999999995</v>
      </c>
      <c r="W411" s="90">
        <f t="shared" si="84"/>
        <v>6430.3704499999994</v>
      </c>
      <c r="X411" s="93">
        <f t="shared" si="80"/>
        <v>-0.34483300095365865</v>
      </c>
      <c r="AB411" s="89">
        <f t="shared" si="68"/>
        <v>195</v>
      </c>
      <c r="AC411" s="89">
        <f t="shared" si="69"/>
        <v>51.179276000000002</v>
      </c>
      <c r="AD411" s="89">
        <f t="shared" si="70"/>
        <v>67.688109999999995</v>
      </c>
      <c r="AE411" s="89">
        <f t="shared" si="71"/>
        <v>13199.181449999998</v>
      </c>
      <c r="AF411" s="90">
        <f t="shared" si="75"/>
        <v>3219.2226299999988</v>
      </c>
      <c r="AG411" s="93">
        <f t="shared" si="76"/>
        <v>0.32256872879561627</v>
      </c>
      <c r="AK411" s="90">
        <f t="shared" si="73"/>
        <v>48</v>
      </c>
      <c r="AL411" s="89">
        <f t="shared" si="74"/>
        <v>51.179276000000002</v>
      </c>
      <c r="AM411" s="89">
        <f t="shared" si="65"/>
        <v>67.688109999999995</v>
      </c>
      <c r="AN411" s="90">
        <f t="shared" si="66"/>
        <v>3249.0292799999997</v>
      </c>
      <c r="AO411" s="93">
        <f t="shared" si="67"/>
        <v>0.32256872879561649</v>
      </c>
    </row>
    <row r="412" spans="2:41" x14ac:dyDescent="0.25">
      <c r="B412" s="91">
        <v>39948</v>
      </c>
      <c r="C412" s="89">
        <v>89.370002999999997</v>
      </c>
      <c r="D412" s="89">
        <v>90</v>
      </c>
      <c r="E412" s="89">
        <v>88.150002000000001</v>
      </c>
      <c r="F412" s="89">
        <v>88.709998999999996</v>
      </c>
      <c r="G412" s="89">
        <v>67.135658000000006</v>
      </c>
      <c r="H412" s="89">
        <v>271502700</v>
      </c>
      <c r="J412" s="89">
        <v>0</v>
      </c>
      <c r="K412" s="89">
        <f t="shared" si="85"/>
        <v>88</v>
      </c>
      <c r="L412" s="89">
        <f t="shared" si="86"/>
        <v>112.621376</v>
      </c>
      <c r="M412" s="89">
        <f>+SPY__2[[#This Row],[Adj Close]]</f>
        <v>67.135658000000006</v>
      </c>
      <c r="N412" s="89">
        <f t="shared" si="81"/>
        <v>5907.9379040000003</v>
      </c>
      <c r="O412" s="90">
        <f t="shared" si="82"/>
        <v>-4002.743183999999</v>
      </c>
      <c r="P412" s="93">
        <f t="shared" si="83"/>
        <v>-0.40388174621485706</v>
      </c>
      <c r="Q412" s="96"/>
      <c r="R412" s="96"/>
      <c r="T412" s="90">
        <f t="shared" si="77"/>
        <v>95</v>
      </c>
      <c r="U412" s="89">
        <f t="shared" si="78"/>
        <v>103.31428490526316</v>
      </c>
      <c r="V412" s="89">
        <f t="shared" si="79"/>
        <v>67.135658000000006</v>
      </c>
      <c r="W412" s="90">
        <f t="shared" si="84"/>
        <v>6377.8875100000005</v>
      </c>
      <c r="X412" s="93">
        <f t="shared" si="80"/>
        <v>-0.35018029634951386</v>
      </c>
      <c r="AB412" s="89">
        <f t="shared" si="68"/>
        <v>195</v>
      </c>
      <c r="AC412" s="89">
        <f t="shared" si="69"/>
        <v>51.179276000000002</v>
      </c>
      <c r="AD412" s="89">
        <f t="shared" si="70"/>
        <v>67.135658000000006</v>
      </c>
      <c r="AE412" s="89">
        <f t="shared" si="71"/>
        <v>13091.453310000001</v>
      </c>
      <c r="AF412" s="90">
        <f t="shared" si="75"/>
        <v>3111.494490000001</v>
      </c>
      <c r="AG412" s="93">
        <f t="shared" si="76"/>
        <v>0.31177428144938979</v>
      </c>
      <c r="AK412" s="90">
        <f t="shared" si="73"/>
        <v>48</v>
      </c>
      <c r="AL412" s="89">
        <f t="shared" si="74"/>
        <v>51.179276000000002</v>
      </c>
      <c r="AM412" s="89">
        <f t="shared" si="65"/>
        <v>67.135658000000006</v>
      </c>
      <c r="AN412" s="90">
        <f t="shared" si="66"/>
        <v>3222.5115840000003</v>
      </c>
      <c r="AO412" s="93">
        <f t="shared" si="67"/>
        <v>0.31177428144939001</v>
      </c>
    </row>
    <row r="413" spans="2:41" x14ac:dyDescent="0.25">
      <c r="B413" s="91">
        <v>39951</v>
      </c>
      <c r="C413" s="89">
        <v>89.550003000000004</v>
      </c>
      <c r="D413" s="89">
        <v>91.339995999999999</v>
      </c>
      <c r="E413" s="89">
        <v>88.57</v>
      </c>
      <c r="F413" s="89">
        <v>91.230002999999996</v>
      </c>
      <c r="G413" s="89">
        <v>69.042786000000007</v>
      </c>
      <c r="H413" s="89">
        <v>241447400</v>
      </c>
      <c r="J413" s="89">
        <v>0</v>
      </c>
      <c r="K413" s="89">
        <f t="shared" si="85"/>
        <v>88</v>
      </c>
      <c r="L413" s="89">
        <f t="shared" si="86"/>
        <v>112.621376</v>
      </c>
      <c r="M413" s="89">
        <f>+SPY__2[[#This Row],[Adj Close]]</f>
        <v>69.042786000000007</v>
      </c>
      <c r="N413" s="89">
        <f t="shared" si="81"/>
        <v>6075.7651680000008</v>
      </c>
      <c r="O413" s="90">
        <f t="shared" si="82"/>
        <v>-3834.9159199999995</v>
      </c>
      <c r="P413" s="93">
        <f t="shared" si="83"/>
        <v>-0.38694776735812564</v>
      </c>
      <c r="Q413" s="96"/>
      <c r="R413" s="96"/>
      <c r="T413" s="90">
        <f t="shared" si="77"/>
        <v>95</v>
      </c>
      <c r="U413" s="89">
        <f t="shared" si="78"/>
        <v>103.31428490526316</v>
      </c>
      <c r="V413" s="89">
        <f t="shared" si="79"/>
        <v>69.042786000000007</v>
      </c>
      <c r="W413" s="90">
        <f t="shared" si="84"/>
        <v>6559.0646700000007</v>
      </c>
      <c r="X413" s="93">
        <f t="shared" si="80"/>
        <v>-0.33172081611646764</v>
      </c>
      <c r="AB413" s="89">
        <f t="shared" si="68"/>
        <v>195</v>
      </c>
      <c r="AC413" s="89">
        <f t="shared" si="69"/>
        <v>51.179276000000002</v>
      </c>
      <c r="AD413" s="89">
        <f t="shared" si="70"/>
        <v>69.042786000000007</v>
      </c>
      <c r="AE413" s="89">
        <f t="shared" si="71"/>
        <v>13463.343270000001</v>
      </c>
      <c r="AF413" s="90">
        <f t="shared" si="75"/>
        <v>3483.3844500000009</v>
      </c>
      <c r="AG413" s="93">
        <f t="shared" si="76"/>
        <v>0.34903795825482176</v>
      </c>
      <c r="AK413" s="90">
        <f t="shared" si="73"/>
        <v>48</v>
      </c>
      <c r="AL413" s="89">
        <f t="shared" si="74"/>
        <v>51.179276000000002</v>
      </c>
      <c r="AM413" s="89">
        <f t="shared" si="65"/>
        <v>69.042786000000007</v>
      </c>
      <c r="AN413" s="90">
        <f t="shared" si="66"/>
        <v>3314.0537280000003</v>
      </c>
      <c r="AO413" s="93">
        <f t="shared" si="67"/>
        <v>0.34903795825482198</v>
      </c>
    </row>
    <row r="414" spans="2:41" x14ac:dyDescent="0.25">
      <c r="B414" s="91">
        <v>39952</v>
      </c>
      <c r="C414" s="89">
        <v>91.18</v>
      </c>
      <c r="D414" s="89">
        <v>91.970000999999996</v>
      </c>
      <c r="E414" s="89">
        <v>90.809997999999993</v>
      </c>
      <c r="F414" s="89">
        <v>91.120002999999997</v>
      </c>
      <c r="G414" s="89">
        <v>68.959564</v>
      </c>
      <c r="H414" s="89">
        <v>206102200</v>
      </c>
      <c r="J414" s="89">
        <v>0</v>
      </c>
      <c r="K414" s="89">
        <f t="shared" si="85"/>
        <v>88</v>
      </c>
      <c r="L414" s="89">
        <f t="shared" si="86"/>
        <v>112.621376</v>
      </c>
      <c r="M414" s="89">
        <f>+SPY__2[[#This Row],[Adj Close]]</f>
        <v>68.959564</v>
      </c>
      <c r="N414" s="89">
        <f t="shared" si="81"/>
        <v>6068.441632</v>
      </c>
      <c r="O414" s="90">
        <f t="shared" si="82"/>
        <v>-3842.2394559999998</v>
      </c>
      <c r="P414" s="93">
        <f t="shared" si="83"/>
        <v>-0.38768672121356429</v>
      </c>
      <c r="Q414" s="96"/>
      <c r="R414" s="96"/>
      <c r="T414" s="90">
        <f t="shared" si="77"/>
        <v>95</v>
      </c>
      <c r="U414" s="89">
        <f t="shared" si="78"/>
        <v>103.31428490526316</v>
      </c>
      <c r="V414" s="89">
        <f t="shared" si="79"/>
        <v>68.959564</v>
      </c>
      <c r="W414" s="90">
        <f t="shared" si="84"/>
        <v>6551.1585800000003</v>
      </c>
      <c r="X414" s="93">
        <f t="shared" si="80"/>
        <v>-0.33252633879976667</v>
      </c>
      <c r="AB414" s="89">
        <f t="shared" si="68"/>
        <v>195</v>
      </c>
      <c r="AC414" s="89">
        <f t="shared" si="69"/>
        <v>51.179276000000002</v>
      </c>
      <c r="AD414" s="89">
        <f t="shared" si="70"/>
        <v>68.959564</v>
      </c>
      <c r="AE414" s="89">
        <f t="shared" si="71"/>
        <v>13447.11498</v>
      </c>
      <c r="AF414" s="90">
        <f t="shared" si="75"/>
        <v>3467.1561599999995</v>
      </c>
      <c r="AG414" s="93">
        <f t="shared" si="76"/>
        <v>0.34741187038284793</v>
      </c>
      <c r="AK414" s="90">
        <f t="shared" si="73"/>
        <v>48</v>
      </c>
      <c r="AL414" s="89">
        <f t="shared" si="74"/>
        <v>51.179276000000002</v>
      </c>
      <c r="AM414" s="89">
        <f t="shared" si="65"/>
        <v>68.959564</v>
      </c>
      <c r="AN414" s="90">
        <f t="shared" si="66"/>
        <v>3310.059072</v>
      </c>
      <c r="AO414" s="93">
        <f t="shared" si="67"/>
        <v>0.34741187038284793</v>
      </c>
    </row>
    <row r="415" spans="2:41" x14ac:dyDescent="0.25">
      <c r="B415" s="91">
        <v>39953</v>
      </c>
      <c r="C415" s="89">
        <v>91.949996999999996</v>
      </c>
      <c r="D415" s="89">
        <v>92.800003000000004</v>
      </c>
      <c r="E415" s="89">
        <v>90.410004000000001</v>
      </c>
      <c r="F415" s="89">
        <v>90.510002</v>
      </c>
      <c r="G415" s="89">
        <v>68.497887000000006</v>
      </c>
      <c r="H415" s="89">
        <v>285722200</v>
      </c>
      <c r="J415" s="89">
        <v>0</v>
      </c>
      <c r="K415" s="89">
        <f t="shared" si="85"/>
        <v>88</v>
      </c>
      <c r="L415" s="89">
        <f t="shared" si="86"/>
        <v>112.621376</v>
      </c>
      <c r="M415" s="89">
        <f>+SPY__2[[#This Row],[Adj Close]]</f>
        <v>68.497887000000006</v>
      </c>
      <c r="N415" s="89">
        <f t="shared" si="81"/>
        <v>6027.8140560000002</v>
      </c>
      <c r="O415" s="90">
        <f t="shared" si="82"/>
        <v>-3882.8670319999992</v>
      </c>
      <c r="P415" s="93">
        <f t="shared" si="83"/>
        <v>-0.391786093964968</v>
      </c>
      <c r="Q415" s="96"/>
      <c r="R415" s="96"/>
      <c r="T415" s="90">
        <f t="shared" si="77"/>
        <v>95</v>
      </c>
      <c r="U415" s="89">
        <f t="shared" si="78"/>
        <v>103.31428490526316</v>
      </c>
      <c r="V415" s="89">
        <f t="shared" si="79"/>
        <v>68.497887000000006</v>
      </c>
      <c r="W415" s="90">
        <f t="shared" si="84"/>
        <v>6507.2992650000006</v>
      </c>
      <c r="X415" s="93">
        <f t="shared" si="80"/>
        <v>-0.33699500448741426</v>
      </c>
      <c r="AB415" s="89">
        <f t="shared" si="68"/>
        <v>195</v>
      </c>
      <c r="AC415" s="89">
        <f t="shared" si="69"/>
        <v>51.179276000000002</v>
      </c>
      <c r="AD415" s="89">
        <f t="shared" si="70"/>
        <v>68.497887000000006</v>
      </c>
      <c r="AE415" s="89">
        <f t="shared" si="71"/>
        <v>13357.087965000001</v>
      </c>
      <c r="AF415" s="90">
        <f t="shared" si="75"/>
        <v>3377.1291450000008</v>
      </c>
      <c r="AG415" s="93">
        <f t="shared" si="76"/>
        <v>0.33839109017485902</v>
      </c>
      <c r="AK415" s="90">
        <f t="shared" si="73"/>
        <v>48</v>
      </c>
      <c r="AL415" s="89">
        <f t="shared" si="74"/>
        <v>51.179276000000002</v>
      </c>
      <c r="AM415" s="89">
        <f t="shared" si="65"/>
        <v>68.497887000000006</v>
      </c>
      <c r="AN415" s="90">
        <f t="shared" si="66"/>
        <v>3287.8985760000005</v>
      </c>
      <c r="AO415" s="93">
        <f t="shared" si="67"/>
        <v>0.33839109017485924</v>
      </c>
    </row>
    <row r="416" spans="2:41" x14ac:dyDescent="0.25">
      <c r="B416" s="91">
        <v>39954</v>
      </c>
      <c r="C416" s="89">
        <v>89.459998999999996</v>
      </c>
      <c r="D416" s="89">
        <v>89.800003000000004</v>
      </c>
      <c r="E416" s="89">
        <v>88.260002</v>
      </c>
      <c r="F416" s="89">
        <v>89.209998999999996</v>
      </c>
      <c r="G416" s="89">
        <v>67.514060999999998</v>
      </c>
      <c r="H416" s="89">
        <v>258988400</v>
      </c>
      <c r="J416" s="89">
        <v>0</v>
      </c>
      <c r="K416" s="89">
        <f t="shared" si="85"/>
        <v>88</v>
      </c>
      <c r="L416" s="89">
        <f t="shared" si="86"/>
        <v>112.621376</v>
      </c>
      <c r="M416" s="89">
        <f>+SPY__2[[#This Row],[Adj Close]]</f>
        <v>67.514060999999998</v>
      </c>
      <c r="N416" s="89">
        <f t="shared" si="81"/>
        <v>5941.2373680000001</v>
      </c>
      <c r="O416" s="90">
        <f t="shared" si="82"/>
        <v>-3969.4437200000002</v>
      </c>
      <c r="P416" s="93">
        <f t="shared" si="83"/>
        <v>-0.4005217890429611</v>
      </c>
      <c r="Q416" s="96"/>
      <c r="R416" s="96"/>
      <c r="T416" s="90">
        <f t="shared" si="77"/>
        <v>95</v>
      </c>
      <c r="U416" s="89">
        <f t="shared" si="78"/>
        <v>103.31428490526316</v>
      </c>
      <c r="V416" s="89">
        <f t="shared" si="79"/>
        <v>67.514060999999998</v>
      </c>
      <c r="W416" s="90">
        <f t="shared" si="84"/>
        <v>6413.835795</v>
      </c>
      <c r="X416" s="93">
        <f t="shared" si="80"/>
        <v>-0.34651765666375323</v>
      </c>
      <c r="AB416" s="89">
        <f t="shared" si="68"/>
        <v>195</v>
      </c>
      <c r="AC416" s="89">
        <f t="shared" si="69"/>
        <v>51.179276000000002</v>
      </c>
      <c r="AD416" s="89">
        <f t="shared" si="70"/>
        <v>67.514060999999998</v>
      </c>
      <c r="AE416" s="89">
        <f t="shared" si="71"/>
        <v>13165.241894999999</v>
      </c>
      <c r="AF416" s="90">
        <f t="shared" si="75"/>
        <v>3185.2830749999994</v>
      </c>
      <c r="AG416" s="93">
        <f t="shared" si="76"/>
        <v>0.31916795774914819</v>
      </c>
      <c r="AK416" s="90">
        <f t="shared" si="73"/>
        <v>48</v>
      </c>
      <c r="AL416" s="89">
        <f t="shared" si="74"/>
        <v>51.179276000000002</v>
      </c>
      <c r="AM416" s="89">
        <f t="shared" si="65"/>
        <v>67.514060999999998</v>
      </c>
      <c r="AN416" s="90">
        <f t="shared" si="66"/>
        <v>3240.6749279999999</v>
      </c>
      <c r="AO416" s="93">
        <f t="shared" si="67"/>
        <v>0.31916795774914841</v>
      </c>
    </row>
    <row r="417" spans="2:41" x14ac:dyDescent="0.25">
      <c r="B417" s="91">
        <v>39955</v>
      </c>
      <c r="C417" s="89">
        <v>89.459998999999996</v>
      </c>
      <c r="D417" s="89">
        <v>90</v>
      </c>
      <c r="E417" s="89">
        <v>88.68</v>
      </c>
      <c r="F417" s="89">
        <v>89.019997000000004</v>
      </c>
      <c r="G417" s="89">
        <v>67.370247000000006</v>
      </c>
      <c r="H417" s="89">
        <v>166811900</v>
      </c>
      <c r="J417" s="89">
        <v>0</v>
      </c>
      <c r="K417" s="89">
        <f t="shared" si="85"/>
        <v>88</v>
      </c>
      <c r="L417" s="89">
        <f t="shared" si="86"/>
        <v>112.621376</v>
      </c>
      <c r="M417" s="89">
        <f>+SPY__2[[#This Row],[Adj Close]]</f>
        <v>67.370247000000006</v>
      </c>
      <c r="N417" s="89">
        <f t="shared" si="81"/>
        <v>5928.5817360000001</v>
      </c>
      <c r="O417" s="90">
        <f t="shared" si="82"/>
        <v>-3982.0993519999993</v>
      </c>
      <c r="P417" s="93">
        <f t="shared" si="83"/>
        <v>-0.40179875799066767</v>
      </c>
      <c r="Q417" s="96"/>
      <c r="R417" s="96"/>
      <c r="T417" s="90">
        <f t="shared" si="77"/>
        <v>95</v>
      </c>
      <c r="U417" s="89">
        <f t="shared" si="78"/>
        <v>103.31428490526316</v>
      </c>
      <c r="V417" s="89">
        <f t="shared" si="79"/>
        <v>67.370247000000006</v>
      </c>
      <c r="W417" s="90">
        <f t="shared" si="84"/>
        <v>6400.1734650000008</v>
      </c>
      <c r="X417" s="93">
        <f t="shared" si="80"/>
        <v>-0.34790966165252957</v>
      </c>
      <c r="AB417" s="89">
        <f t="shared" si="68"/>
        <v>195</v>
      </c>
      <c r="AC417" s="89">
        <f t="shared" si="69"/>
        <v>51.179276000000002</v>
      </c>
      <c r="AD417" s="89">
        <f t="shared" si="70"/>
        <v>67.370247000000006</v>
      </c>
      <c r="AE417" s="89">
        <f t="shared" si="71"/>
        <v>13137.198165000002</v>
      </c>
      <c r="AF417" s="90">
        <f t="shared" si="75"/>
        <v>3157.2393450000009</v>
      </c>
      <c r="AG417" s="93">
        <f t="shared" si="76"/>
        <v>0.316357953168388</v>
      </c>
      <c r="AK417" s="90">
        <f t="shared" si="73"/>
        <v>48</v>
      </c>
      <c r="AL417" s="89">
        <f t="shared" si="74"/>
        <v>51.179276000000002</v>
      </c>
      <c r="AM417" s="89">
        <f t="shared" si="65"/>
        <v>67.370247000000006</v>
      </c>
      <c r="AN417" s="90">
        <f t="shared" si="66"/>
        <v>3233.7718560000003</v>
      </c>
      <c r="AO417" s="93">
        <f t="shared" si="67"/>
        <v>0.31635795316838822</v>
      </c>
    </row>
    <row r="418" spans="2:41" x14ac:dyDescent="0.25">
      <c r="B418" s="91">
        <v>39959</v>
      </c>
      <c r="C418" s="89">
        <v>88.360000999999997</v>
      </c>
      <c r="D418" s="89">
        <v>91.559997999999993</v>
      </c>
      <c r="E418" s="89">
        <v>88.32</v>
      </c>
      <c r="F418" s="89">
        <v>91.300003000000004</v>
      </c>
      <c r="G418" s="89">
        <v>69.095787000000001</v>
      </c>
      <c r="H418" s="89">
        <v>236318500</v>
      </c>
      <c r="J418" s="89">
        <v>0</v>
      </c>
      <c r="K418" s="89">
        <f t="shared" si="85"/>
        <v>88</v>
      </c>
      <c r="L418" s="89">
        <f t="shared" si="86"/>
        <v>112.621376</v>
      </c>
      <c r="M418" s="89">
        <f>+SPY__2[[#This Row],[Adj Close]]</f>
        <v>69.095787000000001</v>
      </c>
      <c r="N418" s="89">
        <f t="shared" si="81"/>
        <v>6080.4292560000004</v>
      </c>
      <c r="O418" s="90">
        <f t="shared" si="82"/>
        <v>-3830.2518319999999</v>
      </c>
      <c r="P418" s="93">
        <f t="shared" si="83"/>
        <v>-0.38647715510064451</v>
      </c>
      <c r="Q418" s="96"/>
      <c r="R418" s="96"/>
      <c r="T418" s="90">
        <f t="shared" si="77"/>
        <v>95</v>
      </c>
      <c r="U418" s="89">
        <f t="shared" si="78"/>
        <v>103.31428490526316</v>
      </c>
      <c r="V418" s="89">
        <f t="shared" si="79"/>
        <v>69.095787000000001</v>
      </c>
      <c r="W418" s="90">
        <f t="shared" si="84"/>
        <v>6564.0997649999999</v>
      </c>
      <c r="X418" s="93">
        <f t="shared" si="80"/>
        <v>-0.33120780864563637</v>
      </c>
      <c r="AB418" s="89">
        <f t="shared" si="68"/>
        <v>195</v>
      </c>
      <c r="AC418" s="89">
        <f t="shared" si="69"/>
        <v>51.179276000000002</v>
      </c>
      <c r="AD418" s="89">
        <f t="shared" si="70"/>
        <v>69.095787000000001</v>
      </c>
      <c r="AE418" s="89">
        <f t="shared" si="71"/>
        <v>13473.678465000001</v>
      </c>
      <c r="AF418" s="90">
        <f t="shared" si="75"/>
        <v>3493.7196450000001</v>
      </c>
      <c r="AG418" s="93">
        <f t="shared" si="76"/>
        <v>0.35007355320931066</v>
      </c>
      <c r="AK418" s="90">
        <f t="shared" si="73"/>
        <v>48</v>
      </c>
      <c r="AL418" s="89">
        <f t="shared" si="74"/>
        <v>51.179276000000002</v>
      </c>
      <c r="AM418" s="89">
        <f t="shared" si="65"/>
        <v>69.095787000000001</v>
      </c>
      <c r="AN418" s="90">
        <f t="shared" si="66"/>
        <v>3316.5977760000001</v>
      </c>
      <c r="AO418" s="93">
        <f t="shared" si="67"/>
        <v>0.35007355320931088</v>
      </c>
    </row>
    <row r="419" spans="2:41" x14ac:dyDescent="0.25">
      <c r="B419" s="91">
        <v>39960</v>
      </c>
      <c r="C419" s="89">
        <v>91.440002000000007</v>
      </c>
      <c r="D419" s="89">
        <v>91.75</v>
      </c>
      <c r="E419" s="89">
        <v>89.529999000000004</v>
      </c>
      <c r="F419" s="89">
        <v>89.669998000000007</v>
      </c>
      <c r="G419" s="89">
        <v>67.862189999999998</v>
      </c>
      <c r="H419" s="89">
        <v>246015800</v>
      </c>
      <c r="J419" s="89">
        <v>0</v>
      </c>
      <c r="K419" s="89">
        <f t="shared" si="85"/>
        <v>88</v>
      </c>
      <c r="L419" s="89">
        <f t="shared" si="86"/>
        <v>112.621376</v>
      </c>
      <c r="M419" s="89">
        <f>+SPY__2[[#This Row],[Adj Close]]</f>
        <v>67.862189999999998</v>
      </c>
      <c r="N419" s="89">
        <f t="shared" si="81"/>
        <v>5971.8727199999994</v>
      </c>
      <c r="O419" s="90">
        <f t="shared" si="82"/>
        <v>-3938.808368</v>
      </c>
      <c r="P419" s="93">
        <f t="shared" si="83"/>
        <v>-0.39743064407240059</v>
      </c>
      <c r="Q419" s="96"/>
      <c r="R419" s="96"/>
      <c r="T419" s="90">
        <f t="shared" si="77"/>
        <v>95</v>
      </c>
      <c r="U419" s="89">
        <f t="shared" si="78"/>
        <v>103.31428490526316</v>
      </c>
      <c r="V419" s="89">
        <f t="shared" si="79"/>
        <v>67.862189999999998</v>
      </c>
      <c r="W419" s="90">
        <f t="shared" si="84"/>
        <v>6446.90805</v>
      </c>
      <c r="X419" s="93">
        <f t="shared" si="80"/>
        <v>-0.34314804518825182</v>
      </c>
      <c r="AB419" s="89">
        <f t="shared" si="68"/>
        <v>195</v>
      </c>
      <c r="AC419" s="89">
        <f t="shared" si="69"/>
        <v>51.179276000000002</v>
      </c>
      <c r="AD419" s="89">
        <f t="shared" si="70"/>
        <v>67.862189999999998</v>
      </c>
      <c r="AE419" s="89">
        <f t="shared" si="71"/>
        <v>13233.127049999999</v>
      </c>
      <c r="AF419" s="90">
        <f t="shared" si="75"/>
        <v>3253.1682299999993</v>
      </c>
      <c r="AG419" s="93">
        <f t="shared" si="76"/>
        <v>0.3259701055560067</v>
      </c>
      <c r="AK419" s="90">
        <f t="shared" si="73"/>
        <v>48</v>
      </c>
      <c r="AL419" s="89">
        <f t="shared" si="74"/>
        <v>51.179276000000002</v>
      </c>
      <c r="AM419" s="89">
        <f t="shared" si="65"/>
        <v>67.862189999999998</v>
      </c>
      <c r="AN419" s="90">
        <f t="shared" si="66"/>
        <v>3257.3851199999999</v>
      </c>
      <c r="AO419" s="93">
        <f t="shared" si="67"/>
        <v>0.3259701055560067</v>
      </c>
    </row>
    <row r="420" spans="2:41" x14ac:dyDescent="0.25">
      <c r="B420" s="91">
        <v>39961</v>
      </c>
      <c r="C420" s="89">
        <v>90.459998999999996</v>
      </c>
      <c r="D420" s="89">
        <v>91.339995999999999</v>
      </c>
      <c r="E420" s="89">
        <v>89.099997999999999</v>
      </c>
      <c r="F420" s="89">
        <v>90.919998000000007</v>
      </c>
      <c r="G420" s="89">
        <v>68.808166999999997</v>
      </c>
      <c r="H420" s="89">
        <v>289095000</v>
      </c>
      <c r="J420" s="89">
        <v>0</v>
      </c>
      <c r="K420" s="89">
        <f t="shared" si="85"/>
        <v>88</v>
      </c>
      <c r="L420" s="89">
        <f t="shared" si="86"/>
        <v>112.621376</v>
      </c>
      <c r="M420" s="89">
        <f>+SPY__2[[#This Row],[Adj Close]]</f>
        <v>68.808166999999997</v>
      </c>
      <c r="N420" s="89">
        <f t="shared" si="81"/>
        <v>6055.1186959999995</v>
      </c>
      <c r="O420" s="90">
        <f t="shared" si="82"/>
        <v>-3855.5623919999998</v>
      </c>
      <c r="P420" s="93">
        <f t="shared" si="83"/>
        <v>-0.38903102196158568</v>
      </c>
      <c r="Q420" s="96"/>
      <c r="R420" s="96"/>
      <c r="T420" s="90">
        <f t="shared" si="77"/>
        <v>95</v>
      </c>
      <c r="U420" s="89">
        <f t="shared" si="78"/>
        <v>103.31428490526316</v>
      </c>
      <c r="V420" s="89">
        <f t="shared" si="79"/>
        <v>68.808166999999997</v>
      </c>
      <c r="W420" s="90">
        <f t="shared" si="84"/>
        <v>6536.7758649999996</v>
      </c>
      <c r="X420" s="93">
        <f t="shared" si="80"/>
        <v>-0.33399174118956043</v>
      </c>
      <c r="AB420" s="89">
        <f t="shared" si="68"/>
        <v>195</v>
      </c>
      <c r="AC420" s="89">
        <f t="shared" si="69"/>
        <v>51.179276000000002</v>
      </c>
      <c r="AD420" s="89">
        <f t="shared" si="70"/>
        <v>68.808166999999997</v>
      </c>
      <c r="AE420" s="89">
        <f t="shared" si="71"/>
        <v>13417.592564999999</v>
      </c>
      <c r="AF420" s="90">
        <f t="shared" si="75"/>
        <v>3437.6337449999992</v>
      </c>
      <c r="AG420" s="93">
        <f t="shared" si="76"/>
        <v>0.34445370036106016</v>
      </c>
      <c r="AK420" s="90">
        <f t="shared" si="73"/>
        <v>48</v>
      </c>
      <c r="AL420" s="89">
        <f t="shared" si="74"/>
        <v>51.179276000000002</v>
      </c>
      <c r="AM420" s="89">
        <f t="shared" si="65"/>
        <v>68.808166999999997</v>
      </c>
      <c r="AN420" s="90">
        <f t="shared" si="66"/>
        <v>3302.7920159999999</v>
      </c>
      <c r="AO420" s="93">
        <f t="shared" si="67"/>
        <v>0.34445370036106016</v>
      </c>
    </row>
    <row r="421" spans="2:41" x14ac:dyDescent="0.25">
      <c r="B421" s="91">
        <v>39962</v>
      </c>
      <c r="C421" s="89">
        <v>91.419998000000007</v>
      </c>
      <c r="D421" s="89">
        <v>93.699996999999996</v>
      </c>
      <c r="E421" s="89">
        <v>90.68</v>
      </c>
      <c r="F421" s="89">
        <v>92.529999000000004</v>
      </c>
      <c r="G421" s="89">
        <v>70.026618999999997</v>
      </c>
      <c r="H421" s="89">
        <v>258641500</v>
      </c>
      <c r="J421" s="89">
        <v>0</v>
      </c>
      <c r="K421" s="89">
        <f t="shared" si="85"/>
        <v>88</v>
      </c>
      <c r="L421" s="89">
        <f t="shared" si="86"/>
        <v>112.621376</v>
      </c>
      <c r="M421" s="89">
        <f>+SPY__2[[#This Row],[Adj Close]]</f>
        <v>70.026618999999997</v>
      </c>
      <c r="N421" s="89">
        <f t="shared" si="81"/>
        <v>6162.3424719999994</v>
      </c>
      <c r="O421" s="90">
        <f t="shared" si="82"/>
        <v>-3748.338616</v>
      </c>
      <c r="P421" s="93">
        <f t="shared" si="83"/>
        <v>-0.37821201012496952</v>
      </c>
      <c r="Q421" s="96"/>
      <c r="R421" s="96"/>
      <c r="T421" s="90">
        <f t="shared" si="77"/>
        <v>95</v>
      </c>
      <c r="U421" s="89">
        <f t="shared" si="78"/>
        <v>103.31428490526316</v>
      </c>
      <c r="V421" s="89">
        <f t="shared" si="79"/>
        <v>70.026618999999997</v>
      </c>
      <c r="W421" s="90">
        <f t="shared" si="84"/>
        <v>6652.5288049999999</v>
      </c>
      <c r="X421" s="93">
        <f t="shared" si="80"/>
        <v>-0.32219809618570361</v>
      </c>
      <c r="AB421" s="89">
        <f t="shared" si="68"/>
        <v>195</v>
      </c>
      <c r="AC421" s="89">
        <f t="shared" si="69"/>
        <v>51.179276000000002</v>
      </c>
      <c r="AD421" s="89">
        <f t="shared" si="70"/>
        <v>70.026618999999997</v>
      </c>
      <c r="AE421" s="89">
        <f t="shared" si="71"/>
        <v>13655.190704999999</v>
      </c>
      <c r="AF421" s="90">
        <f t="shared" si="75"/>
        <v>3675.2318849999992</v>
      </c>
      <c r="AG421" s="93">
        <f t="shared" si="76"/>
        <v>0.36826122745464374</v>
      </c>
      <c r="AK421" s="90">
        <f t="shared" si="73"/>
        <v>48</v>
      </c>
      <c r="AL421" s="89">
        <f t="shared" si="74"/>
        <v>51.179276000000002</v>
      </c>
      <c r="AM421" s="89">
        <f t="shared" si="65"/>
        <v>70.026618999999997</v>
      </c>
      <c r="AN421" s="90">
        <f t="shared" si="66"/>
        <v>3361.2777120000001</v>
      </c>
      <c r="AO421" s="93">
        <f t="shared" si="67"/>
        <v>0.36826122745464396</v>
      </c>
    </row>
    <row r="422" spans="2:41" x14ac:dyDescent="0.25">
      <c r="B422" s="91">
        <v>39965</v>
      </c>
      <c r="C422" s="89">
        <v>93.669998000000007</v>
      </c>
      <c r="D422" s="89">
        <v>95.169998000000007</v>
      </c>
      <c r="E422" s="89">
        <v>93.43</v>
      </c>
      <c r="F422" s="89">
        <v>94.769997000000004</v>
      </c>
      <c r="G422" s="89">
        <v>71.72184</v>
      </c>
      <c r="H422" s="89">
        <v>276246800</v>
      </c>
      <c r="J422" s="89">
        <v>0</v>
      </c>
      <c r="K422" s="89">
        <f t="shared" si="85"/>
        <v>88</v>
      </c>
      <c r="L422" s="89">
        <f t="shared" si="86"/>
        <v>112.621376</v>
      </c>
      <c r="M422" s="89">
        <f>+SPY__2[[#This Row],[Adj Close]]</f>
        <v>71.72184</v>
      </c>
      <c r="N422" s="89">
        <f t="shared" si="81"/>
        <v>6311.5219200000001</v>
      </c>
      <c r="O422" s="90">
        <f t="shared" si="82"/>
        <v>-3599.1591679999997</v>
      </c>
      <c r="P422" s="93">
        <f t="shared" si="83"/>
        <v>-0.36315961900518778</v>
      </c>
      <c r="Q422" s="96"/>
      <c r="R422" s="96"/>
      <c r="T422" s="90">
        <f t="shared" si="77"/>
        <v>95</v>
      </c>
      <c r="U422" s="89">
        <f t="shared" si="78"/>
        <v>103.31428490526316</v>
      </c>
      <c r="V422" s="89">
        <f t="shared" si="79"/>
        <v>71.72184</v>
      </c>
      <c r="W422" s="90">
        <f t="shared" si="84"/>
        <v>6813.5748000000003</v>
      </c>
      <c r="X422" s="93">
        <f t="shared" si="80"/>
        <v>-0.30578970695323215</v>
      </c>
      <c r="AB422" s="89">
        <f t="shared" si="68"/>
        <v>195</v>
      </c>
      <c r="AC422" s="89">
        <f t="shared" si="69"/>
        <v>51.179276000000002</v>
      </c>
      <c r="AD422" s="89">
        <f t="shared" si="70"/>
        <v>71.72184</v>
      </c>
      <c r="AE422" s="89">
        <f t="shared" si="71"/>
        <v>13985.7588</v>
      </c>
      <c r="AF422" s="90">
        <f t="shared" si="75"/>
        <v>4005.7999799999998</v>
      </c>
      <c r="AG422" s="93">
        <f t="shared" si="76"/>
        <v>0.40138441974052141</v>
      </c>
      <c r="AK422" s="90">
        <f t="shared" si="73"/>
        <v>48</v>
      </c>
      <c r="AL422" s="89">
        <f t="shared" si="74"/>
        <v>51.179276000000002</v>
      </c>
      <c r="AM422" s="89">
        <f t="shared" si="65"/>
        <v>71.72184</v>
      </c>
      <c r="AN422" s="90">
        <f t="shared" si="66"/>
        <v>3442.6483200000002</v>
      </c>
      <c r="AO422" s="93">
        <f t="shared" si="67"/>
        <v>0.40138441974052164</v>
      </c>
    </row>
    <row r="423" spans="2:41" x14ac:dyDescent="0.25">
      <c r="B423" s="91">
        <v>39966</v>
      </c>
      <c r="C423" s="89">
        <v>94.400002000000001</v>
      </c>
      <c r="D423" s="89">
        <v>95.370002999999997</v>
      </c>
      <c r="E423" s="89">
        <v>94.230002999999996</v>
      </c>
      <c r="F423" s="89">
        <v>94.849997999999999</v>
      </c>
      <c r="G423" s="89">
        <v>71.782393999999996</v>
      </c>
      <c r="H423" s="89">
        <v>230874500</v>
      </c>
      <c r="J423" s="89">
        <v>0</v>
      </c>
      <c r="K423" s="89">
        <f t="shared" si="85"/>
        <v>88</v>
      </c>
      <c r="L423" s="89">
        <f t="shared" si="86"/>
        <v>112.621376</v>
      </c>
      <c r="M423" s="89">
        <f>+SPY__2[[#This Row],[Adj Close]]</f>
        <v>71.782393999999996</v>
      </c>
      <c r="N423" s="89">
        <f t="shared" si="81"/>
        <v>6316.8506719999996</v>
      </c>
      <c r="O423" s="90">
        <f t="shared" si="82"/>
        <v>-3593.8304160000002</v>
      </c>
      <c r="P423" s="93">
        <f t="shared" si="83"/>
        <v>-0.36262194132666259</v>
      </c>
      <c r="Q423" s="96"/>
      <c r="R423" s="96"/>
      <c r="T423" s="90">
        <f t="shared" si="77"/>
        <v>95</v>
      </c>
      <c r="U423" s="89">
        <f t="shared" si="78"/>
        <v>103.31428490526316</v>
      </c>
      <c r="V423" s="89">
        <f t="shared" si="79"/>
        <v>71.782393999999996</v>
      </c>
      <c r="W423" s="90">
        <f t="shared" si="84"/>
        <v>6819.3274299999994</v>
      </c>
      <c r="X423" s="93">
        <f t="shared" si="80"/>
        <v>-0.30520359245749218</v>
      </c>
      <c r="AB423" s="89">
        <f t="shared" si="68"/>
        <v>195</v>
      </c>
      <c r="AC423" s="89">
        <f t="shared" si="69"/>
        <v>51.179276000000002</v>
      </c>
      <c r="AD423" s="89">
        <f t="shared" si="70"/>
        <v>71.782393999999996</v>
      </c>
      <c r="AE423" s="89">
        <f t="shared" si="71"/>
        <v>13997.56683</v>
      </c>
      <c r="AF423" s="90">
        <f t="shared" si="75"/>
        <v>4017.608009999999</v>
      </c>
      <c r="AG423" s="93">
        <f t="shared" si="76"/>
        <v>0.40256759396127428</v>
      </c>
      <c r="AK423" s="90">
        <f t="shared" si="73"/>
        <v>48</v>
      </c>
      <c r="AL423" s="89">
        <f t="shared" si="74"/>
        <v>51.179276000000002</v>
      </c>
      <c r="AM423" s="89">
        <f t="shared" si="65"/>
        <v>71.782393999999996</v>
      </c>
      <c r="AN423" s="90">
        <f t="shared" si="66"/>
        <v>3445.5549119999996</v>
      </c>
      <c r="AO423" s="93">
        <f t="shared" si="67"/>
        <v>0.40256759396127451</v>
      </c>
    </row>
    <row r="424" spans="2:41" x14ac:dyDescent="0.25">
      <c r="B424" s="91">
        <v>39967</v>
      </c>
      <c r="C424" s="89">
        <v>94.040001000000004</v>
      </c>
      <c r="D424" s="89">
        <v>94.129997000000003</v>
      </c>
      <c r="E424" s="89">
        <v>92.760002</v>
      </c>
      <c r="F424" s="89">
        <v>93.650002000000001</v>
      </c>
      <c r="G424" s="89">
        <v>70.874251999999998</v>
      </c>
      <c r="H424" s="89">
        <v>235310500</v>
      </c>
      <c r="J424" s="89">
        <v>0</v>
      </c>
      <c r="K424" s="89">
        <f t="shared" si="85"/>
        <v>88</v>
      </c>
      <c r="L424" s="89">
        <f t="shared" si="86"/>
        <v>112.621376</v>
      </c>
      <c r="M424" s="89">
        <f>+SPY__2[[#This Row],[Adj Close]]</f>
        <v>70.874251999999998</v>
      </c>
      <c r="N424" s="89">
        <f t="shared" si="81"/>
        <v>6236.9341759999998</v>
      </c>
      <c r="O424" s="90">
        <f t="shared" si="82"/>
        <v>-3673.7469120000001</v>
      </c>
      <c r="P424" s="93">
        <f t="shared" si="83"/>
        <v>-0.37068561478062567</v>
      </c>
      <c r="Q424" s="96"/>
      <c r="R424" s="96"/>
      <c r="T424" s="90">
        <f t="shared" si="77"/>
        <v>95</v>
      </c>
      <c r="U424" s="89">
        <f t="shared" si="78"/>
        <v>103.31428490526316</v>
      </c>
      <c r="V424" s="89">
        <f t="shared" si="79"/>
        <v>70.874251999999998</v>
      </c>
      <c r="W424" s="90">
        <f t="shared" si="84"/>
        <v>6733.0539399999998</v>
      </c>
      <c r="X424" s="93">
        <f t="shared" si="80"/>
        <v>-0.31399368378738657</v>
      </c>
      <c r="AB424" s="89">
        <f t="shared" si="68"/>
        <v>195</v>
      </c>
      <c r="AC424" s="89">
        <f t="shared" si="69"/>
        <v>51.179276000000002</v>
      </c>
      <c r="AD424" s="89">
        <f t="shared" si="70"/>
        <v>70.874251999999998</v>
      </c>
      <c r="AE424" s="89">
        <f t="shared" si="71"/>
        <v>13820.479139999999</v>
      </c>
      <c r="AF424" s="90">
        <f t="shared" si="75"/>
        <v>3840.5203199999996</v>
      </c>
      <c r="AG424" s="93">
        <f t="shared" si="76"/>
        <v>0.38482326322865523</v>
      </c>
      <c r="AK424" s="90">
        <f t="shared" si="73"/>
        <v>48</v>
      </c>
      <c r="AL424" s="89">
        <f t="shared" si="74"/>
        <v>51.179276000000002</v>
      </c>
      <c r="AM424" s="89">
        <f t="shared" si="65"/>
        <v>70.874251999999998</v>
      </c>
      <c r="AN424" s="90">
        <f t="shared" si="66"/>
        <v>3401.9640959999997</v>
      </c>
      <c r="AO424" s="93">
        <f t="shared" si="67"/>
        <v>0.38482326322865523</v>
      </c>
    </row>
    <row r="425" spans="2:41" x14ac:dyDescent="0.25">
      <c r="B425" s="91">
        <v>39968</v>
      </c>
      <c r="C425" s="89">
        <v>94</v>
      </c>
      <c r="D425" s="89">
        <v>94.669998000000007</v>
      </c>
      <c r="E425" s="89">
        <v>93.300003000000004</v>
      </c>
      <c r="F425" s="89">
        <v>94.529999000000004</v>
      </c>
      <c r="G425" s="89">
        <v>71.540183999999996</v>
      </c>
      <c r="H425" s="89">
        <v>210102300</v>
      </c>
      <c r="J425" s="89">
        <v>0</v>
      </c>
      <c r="K425" s="89">
        <f t="shared" si="85"/>
        <v>88</v>
      </c>
      <c r="L425" s="89">
        <f t="shared" si="86"/>
        <v>112.621376</v>
      </c>
      <c r="M425" s="89">
        <f>+SPY__2[[#This Row],[Adj Close]]</f>
        <v>71.540183999999996</v>
      </c>
      <c r="N425" s="89">
        <f t="shared" si="81"/>
        <v>6295.5361919999996</v>
      </c>
      <c r="O425" s="90">
        <f t="shared" si="82"/>
        <v>-3615.1448960000002</v>
      </c>
      <c r="P425" s="93">
        <f t="shared" si="83"/>
        <v>-0.36477259876490942</v>
      </c>
      <c r="Q425" s="96"/>
      <c r="R425" s="96"/>
      <c r="T425" s="90">
        <f t="shared" si="77"/>
        <v>95</v>
      </c>
      <c r="U425" s="89">
        <f t="shared" si="78"/>
        <v>103.31428490526316</v>
      </c>
      <c r="V425" s="89">
        <f t="shared" si="79"/>
        <v>71.540183999999996</v>
      </c>
      <c r="W425" s="90">
        <f t="shared" si="84"/>
        <v>6796.3174799999997</v>
      </c>
      <c r="X425" s="93">
        <f t="shared" si="80"/>
        <v>-0.30754799236523089</v>
      </c>
      <c r="AB425" s="89">
        <f t="shared" si="68"/>
        <v>195</v>
      </c>
      <c r="AC425" s="89">
        <f t="shared" si="69"/>
        <v>51.179276000000002</v>
      </c>
      <c r="AD425" s="89">
        <f t="shared" si="70"/>
        <v>71.540183999999996</v>
      </c>
      <c r="AE425" s="89">
        <f t="shared" si="71"/>
        <v>13950.335879999999</v>
      </c>
      <c r="AF425" s="90">
        <f t="shared" si="75"/>
        <v>3970.3770599999989</v>
      </c>
      <c r="AG425" s="93">
        <f t="shared" si="76"/>
        <v>0.39783501431321522</v>
      </c>
      <c r="AK425" s="90">
        <f t="shared" si="73"/>
        <v>48</v>
      </c>
      <c r="AL425" s="89">
        <f t="shared" si="74"/>
        <v>51.179276000000002</v>
      </c>
      <c r="AM425" s="89">
        <f t="shared" si="65"/>
        <v>71.540183999999996</v>
      </c>
      <c r="AN425" s="90">
        <f t="shared" si="66"/>
        <v>3433.9288319999996</v>
      </c>
      <c r="AO425" s="93">
        <f t="shared" si="67"/>
        <v>0.39783501431321522</v>
      </c>
    </row>
    <row r="426" spans="2:41" x14ac:dyDescent="0.25">
      <c r="B426" s="91">
        <v>39969</v>
      </c>
      <c r="C426" s="89">
        <v>95.489998</v>
      </c>
      <c r="D426" s="89">
        <v>95.669998000000007</v>
      </c>
      <c r="E426" s="89">
        <v>93.800003000000004</v>
      </c>
      <c r="F426" s="89">
        <v>94.550003000000004</v>
      </c>
      <c r="G426" s="89">
        <v>71.555351000000002</v>
      </c>
      <c r="H426" s="89">
        <v>284257900</v>
      </c>
      <c r="J426" s="89">
        <v>0</v>
      </c>
      <c r="K426" s="89">
        <f t="shared" si="85"/>
        <v>88</v>
      </c>
      <c r="L426" s="89">
        <f t="shared" si="86"/>
        <v>112.621376</v>
      </c>
      <c r="M426" s="89">
        <f>+SPY__2[[#This Row],[Adj Close]]</f>
        <v>71.555351000000002</v>
      </c>
      <c r="N426" s="89">
        <f t="shared" si="81"/>
        <v>6296.8708880000004</v>
      </c>
      <c r="O426" s="90">
        <f t="shared" si="82"/>
        <v>-3613.8101999999999</v>
      </c>
      <c r="P426" s="93">
        <f t="shared" si="83"/>
        <v>-0.36463792628497094</v>
      </c>
      <c r="Q426" s="96"/>
      <c r="R426" s="96"/>
      <c r="T426" s="90">
        <f t="shared" si="77"/>
        <v>95</v>
      </c>
      <c r="U426" s="89">
        <f t="shared" si="78"/>
        <v>103.31428490526316</v>
      </c>
      <c r="V426" s="89">
        <f t="shared" si="79"/>
        <v>71.555351000000002</v>
      </c>
      <c r="W426" s="90">
        <f t="shared" si="84"/>
        <v>6797.7583450000002</v>
      </c>
      <c r="X426" s="93">
        <f t="shared" si="80"/>
        <v>-0.30740118788399273</v>
      </c>
      <c r="AB426" s="89">
        <f t="shared" si="68"/>
        <v>195</v>
      </c>
      <c r="AC426" s="89">
        <f t="shared" si="69"/>
        <v>51.179276000000002</v>
      </c>
      <c r="AD426" s="89">
        <f t="shared" si="70"/>
        <v>71.555351000000002</v>
      </c>
      <c r="AE426" s="89">
        <f t="shared" si="71"/>
        <v>13953.293445000001</v>
      </c>
      <c r="AF426" s="90">
        <f t="shared" si="75"/>
        <v>3973.334625</v>
      </c>
      <c r="AG426" s="93">
        <f t="shared" si="76"/>
        <v>0.39813136473442889</v>
      </c>
      <c r="AK426" s="90">
        <f t="shared" si="73"/>
        <v>48</v>
      </c>
      <c r="AL426" s="89">
        <f t="shared" si="74"/>
        <v>51.179276000000002</v>
      </c>
      <c r="AM426" s="89">
        <f t="shared" si="65"/>
        <v>71.555351000000002</v>
      </c>
      <c r="AN426" s="90">
        <f t="shared" si="66"/>
        <v>3434.6568480000001</v>
      </c>
      <c r="AO426" s="93">
        <f t="shared" si="67"/>
        <v>0.39813136473442889</v>
      </c>
    </row>
    <row r="427" spans="2:41" x14ac:dyDescent="0.25">
      <c r="B427" s="91">
        <v>39972</v>
      </c>
      <c r="C427" s="89">
        <v>93.839995999999999</v>
      </c>
      <c r="D427" s="89">
        <v>95.099997999999999</v>
      </c>
      <c r="E427" s="89">
        <v>93.040001000000004</v>
      </c>
      <c r="F427" s="89">
        <v>94.160004000000001</v>
      </c>
      <c r="G427" s="89">
        <v>71.260222999999996</v>
      </c>
      <c r="H427" s="89">
        <v>238565100</v>
      </c>
      <c r="J427" s="89">
        <v>0</v>
      </c>
      <c r="K427" s="89">
        <f t="shared" si="85"/>
        <v>88</v>
      </c>
      <c r="L427" s="89">
        <f t="shared" si="86"/>
        <v>112.621376</v>
      </c>
      <c r="M427" s="89">
        <f>+SPY__2[[#This Row],[Adj Close]]</f>
        <v>71.260222999999996</v>
      </c>
      <c r="N427" s="89">
        <f t="shared" si="81"/>
        <v>6270.8996239999997</v>
      </c>
      <c r="O427" s="90">
        <f t="shared" si="82"/>
        <v>-3639.7814640000001</v>
      </c>
      <c r="P427" s="93">
        <f t="shared" si="83"/>
        <v>-0.36725845899805032</v>
      </c>
      <c r="Q427" s="96"/>
      <c r="R427" s="96"/>
      <c r="T427" s="90">
        <f t="shared" si="77"/>
        <v>95</v>
      </c>
      <c r="U427" s="89">
        <f t="shared" si="78"/>
        <v>103.31428490526316</v>
      </c>
      <c r="V427" s="89">
        <f t="shared" si="79"/>
        <v>71.260222999999996</v>
      </c>
      <c r="W427" s="90">
        <f t="shared" si="84"/>
        <v>6769.7211849999994</v>
      </c>
      <c r="X427" s="93">
        <f t="shared" si="80"/>
        <v>-0.31025779188866298</v>
      </c>
      <c r="AB427" s="89">
        <f t="shared" si="68"/>
        <v>195</v>
      </c>
      <c r="AC427" s="89">
        <f t="shared" si="69"/>
        <v>51.179276000000002</v>
      </c>
      <c r="AD427" s="89">
        <f t="shared" si="70"/>
        <v>71.260222999999996</v>
      </c>
      <c r="AE427" s="89">
        <f t="shared" si="71"/>
        <v>13895.743484999999</v>
      </c>
      <c r="AF427" s="90">
        <f t="shared" si="75"/>
        <v>3915.7846649999988</v>
      </c>
      <c r="AG427" s="93">
        <f t="shared" si="76"/>
        <v>0.39236481188205929</v>
      </c>
      <c r="AK427" s="90">
        <f t="shared" si="73"/>
        <v>48</v>
      </c>
      <c r="AL427" s="89">
        <f t="shared" si="74"/>
        <v>51.179276000000002</v>
      </c>
      <c r="AM427" s="89">
        <f t="shared" si="65"/>
        <v>71.260222999999996</v>
      </c>
      <c r="AN427" s="90">
        <f t="shared" si="66"/>
        <v>3420.4907039999998</v>
      </c>
      <c r="AO427" s="93">
        <f t="shared" si="67"/>
        <v>0.39236481188205952</v>
      </c>
    </row>
    <row r="428" spans="2:41" x14ac:dyDescent="0.25">
      <c r="B428" s="91">
        <v>39973</v>
      </c>
      <c r="C428" s="89">
        <v>94.690002000000007</v>
      </c>
      <c r="D428" s="89">
        <v>95.139999000000003</v>
      </c>
      <c r="E428" s="89">
        <v>94.019997000000004</v>
      </c>
      <c r="F428" s="89">
        <v>94.639999000000003</v>
      </c>
      <c r="G428" s="89">
        <v>71.623451000000003</v>
      </c>
      <c r="H428" s="89">
        <v>225125500</v>
      </c>
      <c r="J428" s="89">
        <v>0</v>
      </c>
      <c r="K428" s="89">
        <f t="shared" si="85"/>
        <v>88</v>
      </c>
      <c r="L428" s="89">
        <f t="shared" si="86"/>
        <v>112.621376</v>
      </c>
      <c r="M428" s="89">
        <f>+SPY__2[[#This Row],[Adj Close]]</f>
        <v>71.623451000000003</v>
      </c>
      <c r="N428" s="89">
        <f t="shared" si="81"/>
        <v>6302.8636880000004</v>
      </c>
      <c r="O428" s="90">
        <f t="shared" si="82"/>
        <v>-3607.8173999999995</v>
      </c>
      <c r="P428" s="93">
        <f t="shared" si="83"/>
        <v>-0.3640332453405648</v>
      </c>
      <c r="Q428" s="96"/>
      <c r="R428" s="96"/>
      <c r="T428" s="90">
        <f t="shared" si="77"/>
        <v>95</v>
      </c>
      <c r="U428" s="89">
        <f t="shared" si="78"/>
        <v>103.31428490526316</v>
      </c>
      <c r="V428" s="89">
        <f t="shared" si="79"/>
        <v>71.623451000000003</v>
      </c>
      <c r="W428" s="90">
        <f t="shared" si="84"/>
        <v>6804.2278450000003</v>
      </c>
      <c r="X428" s="93">
        <f t="shared" si="80"/>
        <v>-0.30674203411776924</v>
      </c>
      <c r="AB428" s="89">
        <f t="shared" si="68"/>
        <v>195</v>
      </c>
      <c r="AC428" s="89">
        <f t="shared" si="69"/>
        <v>51.179276000000002</v>
      </c>
      <c r="AD428" s="89">
        <f t="shared" si="70"/>
        <v>71.623451000000003</v>
      </c>
      <c r="AE428" s="89">
        <f t="shared" si="71"/>
        <v>13966.572945</v>
      </c>
      <c r="AF428" s="90">
        <f t="shared" si="75"/>
        <v>3986.6141250000001</v>
      </c>
      <c r="AG428" s="93">
        <f t="shared" si="76"/>
        <v>0.39946198144733436</v>
      </c>
      <c r="AI428" s="90">
        <v>-2500</v>
      </c>
      <c r="AJ428" s="89">
        <f>+-ROUNDDOWN(AI428/AD428,0)</f>
        <v>34</v>
      </c>
      <c r="AK428" s="90">
        <f>+AK427+AJ428</f>
        <v>82</v>
      </c>
      <c r="AL428" s="89">
        <f>+(AJ364*AL364+AJ428*AD428)/AK428</f>
        <v>59.656129048780492</v>
      </c>
      <c r="AM428" s="89">
        <f t="shared" si="65"/>
        <v>71.623451000000003</v>
      </c>
      <c r="AN428" s="90">
        <f t="shared" si="66"/>
        <v>5873.1229819999999</v>
      </c>
      <c r="AO428" s="93">
        <f t="shared" si="67"/>
        <v>0.20060507012504769</v>
      </c>
    </row>
    <row r="429" spans="2:41" x14ac:dyDescent="0.25">
      <c r="B429" s="91">
        <v>39974</v>
      </c>
      <c r="C429" s="89">
        <v>95.480002999999996</v>
      </c>
      <c r="D429" s="89">
        <v>95.489998</v>
      </c>
      <c r="E429" s="89">
        <v>93.190002000000007</v>
      </c>
      <c r="F429" s="89">
        <v>94.400002000000001</v>
      </c>
      <c r="G429" s="89">
        <v>71.441863999999995</v>
      </c>
      <c r="H429" s="89">
        <v>296100400</v>
      </c>
      <c r="J429" s="89">
        <v>0</v>
      </c>
      <c r="K429" s="89">
        <f t="shared" si="85"/>
        <v>88</v>
      </c>
      <c r="L429" s="89">
        <f t="shared" si="86"/>
        <v>112.621376</v>
      </c>
      <c r="M429" s="89">
        <f>+SPY__2[[#This Row],[Adj Close]]</f>
        <v>71.441863999999995</v>
      </c>
      <c r="N429" s="89">
        <f t="shared" si="81"/>
        <v>6286.8840319999999</v>
      </c>
      <c r="O429" s="90">
        <f t="shared" si="82"/>
        <v>-3623.7970560000003</v>
      </c>
      <c r="P429" s="93">
        <f t="shared" si="83"/>
        <v>-0.36564561242796401</v>
      </c>
      <c r="Q429" s="96"/>
      <c r="R429" s="96"/>
      <c r="T429" s="90">
        <f t="shared" si="77"/>
        <v>95</v>
      </c>
      <c r="U429" s="89">
        <f t="shared" si="78"/>
        <v>103.31428490526316</v>
      </c>
      <c r="V429" s="89">
        <f t="shared" si="79"/>
        <v>71.441863999999995</v>
      </c>
      <c r="W429" s="90">
        <f t="shared" si="84"/>
        <v>6786.9770799999997</v>
      </c>
      <c r="X429" s="93">
        <f t="shared" si="80"/>
        <v>-0.30849965166471849</v>
      </c>
      <c r="AB429" s="89">
        <f t="shared" si="68"/>
        <v>195</v>
      </c>
      <c r="AC429" s="89">
        <f t="shared" si="69"/>
        <v>51.179276000000002</v>
      </c>
      <c r="AD429" s="89">
        <f t="shared" si="70"/>
        <v>71.441863999999995</v>
      </c>
      <c r="AE429" s="89">
        <f t="shared" si="71"/>
        <v>13931.163479999999</v>
      </c>
      <c r="AF429" s="90">
        <f t="shared" si="75"/>
        <v>3951.204659999999</v>
      </c>
      <c r="AG429" s="93">
        <f t="shared" si="76"/>
        <v>0.39591392422198379</v>
      </c>
      <c r="AK429" s="90">
        <f>+AK428</f>
        <v>82</v>
      </c>
      <c r="AL429" s="89">
        <f>+AL428</f>
        <v>59.656129048780492</v>
      </c>
      <c r="AM429" s="89">
        <f t="shared" ref="AM429:AM492" si="87">+AD429</f>
        <v>71.441863999999995</v>
      </c>
      <c r="AN429" s="90">
        <f t="shared" ref="AN429:AN492" si="88">+AM429*AK429</f>
        <v>5858.2328479999996</v>
      </c>
      <c r="AO429" s="93">
        <f t="shared" ref="AO429:AO492" si="89">+AN429/(AL429*AK429)-1</f>
        <v>0.1975611750065509</v>
      </c>
    </row>
    <row r="430" spans="2:41" x14ac:dyDescent="0.25">
      <c r="B430" s="91">
        <v>39975</v>
      </c>
      <c r="C430" s="89">
        <v>94.580001999999993</v>
      </c>
      <c r="D430" s="89">
        <v>96.110000999999997</v>
      </c>
      <c r="E430" s="89">
        <v>94.559997999999993</v>
      </c>
      <c r="F430" s="89">
        <v>94.82</v>
      </c>
      <c r="G430" s="89">
        <v>71.759720000000002</v>
      </c>
      <c r="H430" s="89">
        <v>275414200</v>
      </c>
      <c r="J430" s="89">
        <v>0</v>
      </c>
      <c r="K430" s="89">
        <f t="shared" si="85"/>
        <v>88</v>
      </c>
      <c r="L430" s="89">
        <f t="shared" si="86"/>
        <v>112.621376</v>
      </c>
      <c r="M430" s="89">
        <f>+SPY__2[[#This Row],[Adj Close]]</f>
        <v>71.759720000000002</v>
      </c>
      <c r="N430" s="89">
        <f t="shared" si="81"/>
        <v>6314.8553600000005</v>
      </c>
      <c r="O430" s="90">
        <f t="shared" si="82"/>
        <v>-3595.8257279999998</v>
      </c>
      <c r="P430" s="93">
        <f t="shared" si="83"/>
        <v>-0.36282327077943</v>
      </c>
      <c r="Q430" s="96"/>
      <c r="R430" s="96"/>
      <c r="T430" s="90">
        <f t="shared" si="77"/>
        <v>95</v>
      </c>
      <c r="U430" s="89">
        <f t="shared" si="78"/>
        <v>103.31428490526316</v>
      </c>
      <c r="V430" s="89">
        <f t="shared" si="79"/>
        <v>71.759720000000002</v>
      </c>
      <c r="W430" s="90">
        <f t="shared" si="84"/>
        <v>6817.1734000000006</v>
      </c>
      <c r="X430" s="93">
        <f t="shared" si="80"/>
        <v>-0.30542305872027253</v>
      </c>
      <c r="AB430" s="89">
        <f t="shared" ref="AB430:AB493" si="90">+AB429</f>
        <v>195</v>
      </c>
      <c r="AC430" s="89">
        <f t="shared" ref="AC430:AC493" si="91">+AC429</f>
        <v>51.179276000000002</v>
      </c>
      <c r="AD430" s="89">
        <f t="shared" ref="AD430:AD493" si="92">+V430</f>
        <v>71.759720000000002</v>
      </c>
      <c r="AE430" s="89">
        <f t="shared" ref="AE430:AE493" si="93">+AB430*AD430</f>
        <v>13993.145399999999</v>
      </c>
      <c r="AF430" s="90">
        <f t="shared" si="75"/>
        <v>4013.18658</v>
      </c>
      <c r="AG430" s="93">
        <f t="shared" si="76"/>
        <v>0.40212456307510092</v>
      </c>
      <c r="AK430" s="90">
        <f t="shared" ref="AK430:AK491" si="94">+AK429</f>
        <v>82</v>
      </c>
      <c r="AL430" s="89">
        <f t="shared" ref="AL430:AL491" si="95">+AL429</f>
        <v>59.656129048780492</v>
      </c>
      <c r="AM430" s="89">
        <f t="shared" si="87"/>
        <v>71.759720000000002</v>
      </c>
      <c r="AN430" s="90">
        <f t="shared" si="88"/>
        <v>5884.2970400000004</v>
      </c>
      <c r="AO430" s="93">
        <f t="shared" si="89"/>
        <v>0.20288931152945699</v>
      </c>
    </row>
    <row r="431" spans="2:41" x14ac:dyDescent="0.25">
      <c r="B431" s="91">
        <v>39976</v>
      </c>
      <c r="C431" s="89">
        <v>94.400002000000001</v>
      </c>
      <c r="D431" s="89">
        <v>95.139999000000003</v>
      </c>
      <c r="E431" s="89">
        <v>94</v>
      </c>
      <c r="F431" s="89">
        <v>95.080001999999993</v>
      </c>
      <c r="G431" s="89">
        <v>71.956458999999995</v>
      </c>
      <c r="H431" s="89">
        <v>184361800</v>
      </c>
      <c r="J431" s="89">
        <v>0</v>
      </c>
      <c r="K431" s="89">
        <f t="shared" si="85"/>
        <v>88</v>
      </c>
      <c r="L431" s="89">
        <f t="shared" si="86"/>
        <v>112.621376</v>
      </c>
      <c r="M431" s="89">
        <f>+SPY__2[[#This Row],[Adj Close]]</f>
        <v>71.956458999999995</v>
      </c>
      <c r="N431" s="89">
        <f t="shared" si="81"/>
        <v>6332.1683919999996</v>
      </c>
      <c r="O431" s="90">
        <f t="shared" si="82"/>
        <v>-3578.5126960000002</v>
      </c>
      <c r="P431" s="93">
        <f t="shared" si="83"/>
        <v>-0.36107636440172786</v>
      </c>
      <c r="Q431" s="96"/>
      <c r="R431" s="96"/>
      <c r="T431" s="90">
        <f t="shared" si="77"/>
        <v>95</v>
      </c>
      <c r="U431" s="89">
        <f t="shared" si="78"/>
        <v>103.31428490526316</v>
      </c>
      <c r="V431" s="89">
        <f t="shared" si="79"/>
        <v>71.956458999999995</v>
      </c>
      <c r="W431" s="90">
        <f t="shared" si="84"/>
        <v>6835.8636049999996</v>
      </c>
      <c r="X431" s="93">
        <f t="shared" si="80"/>
        <v>-0.30351878188013959</v>
      </c>
      <c r="AB431" s="89">
        <f t="shared" si="90"/>
        <v>195</v>
      </c>
      <c r="AC431" s="89">
        <f t="shared" si="91"/>
        <v>51.179276000000002</v>
      </c>
      <c r="AD431" s="89">
        <f t="shared" si="92"/>
        <v>71.956458999999995</v>
      </c>
      <c r="AE431" s="89">
        <f t="shared" si="93"/>
        <v>14031.509504999998</v>
      </c>
      <c r="AF431" s="90">
        <f t="shared" si="75"/>
        <v>4051.5506849999988</v>
      </c>
      <c r="AG431" s="93">
        <f t="shared" si="76"/>
        <v>0.40596867763428302</v>
      </c>
      <c r="AK431" s="90">
        <f t="shared" si="94"/>
        <v>82</v>
      </c>
      <c r="AL431" s="89">
        <f t="shared" si="95"/>
        <v>59.656129048780492</v>
      </c>
      <c r="AM431" s="89">
        <f t="shared" si="87"/>
        <v>71.956458999999995</v>
      </c>
      <c r="AN431" s="90">
        <f t="shared" si="88"/>
        <v>5900.4296379999996</v>
      </c>
      <c r="AO431" s="93">
        <f t="shared" si="89"/>
        <v>0.20618719563855037</v>
      </c>
    </row>
    <row r="432" spans="2:41" x14ac:dyDescent="0.25">
      <c r="B432" s="91">
        <v>39979</v>
      </c>
      <c r="C432" s="89">
        <v>93.959998999999996</v>
      </c>
      <c r="D432" s="89">
        <v>94.019997000000004</v>
      </c>
      <c r="E432" s="89">
        <v>92.400002000000001</v>
      </c>
      <c r="F432" s="89">
        <v>92.900002000000001</v>
      </c>
      <c r="G432" s="89">
        <v>70.306640999999999</v>
      </c>
      <c r="H432" s="89">
        <v>224190500</v>
      </c>
      <c r="J432" s="89">
        <v>0</v>
      </c>
      <c r="K432" s="89">
        <f t="shared" si="85"/>
        <v>88</v>
      </c>
      <c r="L432" s="89">
        <f t="shared" si="86"/>
        <v>112.621376</v>
      </c>
      <c r="M432" s="89">
        <f>+SPY__2[[#This Row],[Adj Close]]</f>
        <v>70.306640999999999</v>
      </c>
      <c r="N432" s="89">
        <f t="shared" si="81"/>
        <v>6186.9844080000003</v>
      </c>
      <c r="O432" s="90">
        <f t="shared" si="82"/>
        <v>-3723.69668</v>
      </c>
      <c r="P432" s="93">
        <f t="shared" si="83"/>
        <v>-0.37572560825397838</v>
      </c>
      <c r="Q432" s="96"/>
      <c r="R432" s="96"/>
      <c r="T432" s="90">
        <f t="shared" si="77"/>
        <v>95</v>
      </c>
      <c r="U432" s="89">
        <f t="shared" si="78"/>
        <v>103.31428490526316</v>
      </c>
      <c r="V432" s="89">
        <f t="shared" si="79"/>
        <v>70.306640999999999</v>
      </c>
      <c r="W432" s="90">
        <f t="shared" si="84"/>
        <v>6679.1308950000002</v>
      </c>
      <c r="X432" s="93">
        <f t="shared" si="80"/>
        <v>-0.31948770623085099</v>
      </c>
      <c r="AB432" s="89">
        <f t="shared" si="90"/>
        <v>195</v>
      </c>
      <c r="AC432" s="89">
        <f t="shared" si="91"/>
        <v>51.179276000000002</v>
      </c>
      <c r="AD432" s="89">
        <f t="shared" si="92"/>
        <v>70.306640999999999</v>
      </c>
      <c r="AE432" s="89">
        <f t="shared" si="93"/>
        <v>13709.794995</v>
      </c>
      <c r="AF432" s="90">
        <f t="shared" si="75"/>
        <v>3729.8361749999995</v>
      </c>
      <c r="AG432" s="93">
        <f t="shared" si="76"/>
        <v>0.37373262177448541</v>
      </c>
      <c r="AK432" s="90">
        <f t="shared" si="94"/>
        <v>82</v>
      </c>
      <c r="AL432" s="89">
        <f t="shared" si="95"/>
        <v>59.656129048780492</v>
      </c>
      <c r="AM432" s="89">
        <f t="shared" si="87"/>
        <v>70.306640999999999</v>
      </c>
      <c r="AN432" s="90">
        <f t="shared" si="88"/>
        <v>5765.1445619999995</v>
      </c>
      <c r="AO432" s="93">
        <f t="shared" si="89"/>
        <v>0.1785317304532219</v>
      </c>
    </row>
    <row r="433" spans="2:41" x14ac:dyDescent="0.25">
      <c r="B433" s="91">
        <v>39980</v>
      </c>
      <c r="C433" s="89">
        <v>93.230002999999996</v>
      </c>
      <c r="D433" s="89">
        <v>93.290001000000004</v>
      </c>
      <c r="E433" s="89">
        <v>91.580001999999993</v>
      </c>
      <c r="F433" s="89">
        <v>91.639999000000003</v>
      </c>
      <c r="G433" s="89">
        <v>69.353035000000006</v>
      </c>
      <c r="H433" s="89">
        <v>227319000</v>
      </c>
      <c r="J433" s="89">
        <v>0</v>
      </c>
      <c r="K433" s="89">
        <f t="shared" si="85"/>
        <v>88</v>
      </c>
      <c r="L433" s="89">
        <f t="shared" si="86"/>
        <v>112.621376</v>
      </c>
      <c r="M433" s="89">
        <f>+SPY__2[[#This Row],[Adj Close]]</f>
        <v>69.353035000000006</v>
      </c>
      <c r="N433" s="89">
        <f t="shared" si="81"/>
        <v>6103.0670800000007</v>
      </c>
      <c r="O433" s="90">
        <f t="shared" si="82"/>
        <v>-3807.6140079999996</v>
      </c>
      <c r="P433" s="93">
        <f t="shared" si="83"/>
        <v>-0.38419297061332291</v>
      </c>
      <c r="Q433" s="96"/>
      <c r="R433" s="96"/>
      <c r="T433" s="90">
        <f t="shared" si="77"/>
        <v>95</v>
      </c>
      <c r="U433" s="89">
        <f t="shared" si="78"/>
        <v>103.31428490526316</v>
      </c>
      <c r="V433" s="89">
        <f t="shared" si="79"/>
        <v>69.353035000000006</v>
      </c>
      <c r="W433" s="90">
        <f t="shared" si="84"/>
        <v>6588.5383250000004</v>
      </c>
      <c r="X433" s="93">
        <f t="shared" si="80"/>
        <v>-0.32871785287392585</v>
      </c>
      <c r="AB433" s="89">
        <f t="shared" si="90"/>
        <v>195</v>
      </c>
      <c r="AC433" s="89">
        <f t="shared" si="91"/>
        <v>51.179276000000002</v>
      </c>
      <c r="AD433" s="89">
        <f t="shared" si="92"/>
        <v>69.353035000000006</v>
      </c>
      <c r="AE433" s="89">
        <f t="shared" si="93"/>
        <v>13523.841825000001</v>
      </c>
      <c r="AF433" s="90">
        <f t="shared" si="75"/>
        <v>3543.8830050000006</v>
      </c>
      <c r="AG433" s="93">
        <f t="shared" si="76"/>
        <v>0.35509996272710076</v>
      </c>
      <c r="AK433" s="90">
        <f t="shared" si="94"/>
        <v>82</v>
      </c>
      <c r="AL433" s="89">
        <f t="shared" si="95"/>
        <v>59.656129048780492</v>
      </c>
      <c r="AM433" s="89">
        <f t="shared" si="87"/>
        <v>69.353035000000006</v>
      </c>
      <c r="AN433" s="90">
        <f t="shared" si="88"/>
        <v>5686.9488700000002</v>
      </c>
      <c r="AO433" s="93">
        <f t="shared" si="89"/>
        <v>0.1625466839004992</v>
      </c>
    </row>
    <row r="434" spans="2:41" x14ac:dyDescent="0.25">
      <c r="B434" s="91">
        <v>39981</v>
      </c>
      <c r="C434" s="89">
        <v>91.599997999999999</v>
      </c>
      <c r="D434" s="89">
        <v>92.330001999999993</v>
      </c>
      <c r="E434" s="89">
        <v>90.830001999999993</v>
      </c>
      <c r="F434" s="89">
        <v>91.550003000000004</v>
      </c>
      <c r="G434" s="89">
        <v>69.284981000000002</v>
      </c>
      <c r="H434" s="89">
        <v>223445200</v>
      </c>
      <c r="J434" s="89">
        <v>0</v>
      </c>
      <c r="K434" s="89">
        <f t="shared" si="85"/>
        <v>88</v>
      </c>
      <c r="L434" s="89">
        <f t="shared" si="86"/>
        <v>112.621376</v>
      </c>
      <c r="M434" s="89">
        <f>+SPY__2[[#This Row],[Adj Close]]</f>
        <v>69.284981000000002</v>
      </c>
      <c r="N434" s="89">
        <f t="shared" si="81"/>
        <v>6097.0783280000005</v>
      </c>
      <c r="O434" s="90">
        <f t="shared" si="82"/>
        <v>-3813.6027599999998</v>
      </c>
      <c r="P434" s="93">
        <f t="shared" si="83"/>
        <v>-0.38479724310951413</v>
      </c>
      <c r="Q434" s="96"/>
      <c r="R434" s="96"/>
      <c r="T434" s="90">
        <f t="shared" si="77"/>
        <v>95</v>
      </c>
      <c r="U434" s="89">
        <f t="shared" si="78"/>
        <v>103.31428490526316</v>
      </c>
      <c r="V434" s="89">
        <f t="shared" si="79"/>
        <v>69.284981000000002</v>
      </c>
      <c r="W434" s="90">
        <f t="shared" si="84"/>
        <v>6582.0731949999999</v>
      </c>
      <c r="X434" s="93">
        <f t="shared" si="80"/>
        <v>-0.32937656139678317</v>
      </c>
      <c r="AB434" s="89">
        <f t="shared" si="90"/>
        <v>195</v>
      </c>
      <c r="AC434" s="89">
        <f t="shared" si="91"/>
        <v>51.179276000000002</v>
      </c>
      <c r="AD434" s="89">
        <f t="shared" si="92"/>
        <v>69.284981000000002</v>
      </c>
      <c r="AE434" s="89">
        <f t="shared" si="93"/>
        <v>13510.571295</v>
      </c>
      <c r="AF434" s="90">
        <f t="shared" ref="AF434:AF497" si="96">+(AD434-AC434)*AB434</f>
        <v>3530.6124749999999</v>
      </c>
      <c r="AG434" s="93">
        <f t="shared" ref="AG434:AG497" si="97">+AD434/AC434-1</f>
        <v>0.35377024481549912</v>
      </c>
      <c r="AK434" s="90">
        <f t="shared" si="94"/>
        <v>82</v>
      </c>
      <c r="AL434" s="89">
        <f t="shared" si="95"/>
        <v>59.656129048780492</v>
      </c>
      <c r="AM434" s="89">
        <f t="shared" si="87"/>
        <v>69.284981000000002</v>
      </c>
      <c r="AN434" s="90">
        <f t="shared" si="88"/>
        <v>5681.368442</v>
      </c>
      <c r="AO434" s="93">
        <f t="shared" si="89"/>
        <v>0.16140591259862092</v>
      </c>
    </row>
    <row r="435" spans="2:41" x14ac:dyDescent="0.25">
      <c r="B435" s="91">
        <v>39982</v>
      </c>
      <c r="C435" s="89">
        <v>91.690002000000007</v>
      </c>
      <c r="D435" s="89">
        <v>92.669998000000007</v>
      </c>
      <c r="E435" s="89">
        <v>91.25</v>
      </c>
      <c r="F435" s="89">
        <v>92.220000999999996</v>
      </c>
      <c r="G435" s="89">
        <v>69.792052999999996</v>
      </c>
      <c r="H435" s="89">
        <v>211725100</v>
      </c>
      <c r="J435" s="89">
        <v>0</v>
      </c>
      <c r="K435" s="89">
        <f t="shared" si="85"/>
        <v>88</v>
      </c>
      <c r="L435" s="89">
        <f t="shared" si="86"/>
        <v>112.621376</v>
      </c>
      <c r="M435" s="89">
        <f>+SPY__2[[#This Row],[Adj Close]]</f>
        <v>69.792052999999996</v>
      </c>
      <c r="N435" s="89">
        <f t="shared" si="81"/>
        <v>6141.700664</v>
      </c>
      <c r="O435" s="90">
        <f t="shared" si="82"/>
        <v>-3768.9804240000003</v>
      </c>
      <c r="P435" s="93">
        <f t="shared" si="83"/>
        <v>-0.38029479412505141</v>
      </c>
      <c r="Q435" s="96"/>
      <c r="R435" s="96"/>
      <c r="T435" s="90">
        <f t="shared" si="77"/>
        <v>95</v>
      </c>
      <c r="U435" s="89">
        <f t="shared" si="78"/>
        <v>103.31428490526316</v>
      </c>
      <c r="V435" s="89">
        <f t="shared" si="79"/>
        <v>69.792052999999996</v>
      </c>
      <c r="W435" s="90">
        <f t="shared" si="84"/>
        <v>6630.2450349999999</v>
      </c>
      <c r="X435" s="93">
        <f t="shared" si="80"/>
        <v>-0.3244685082610046</v>
      </c>
      <c r="AB435" s="89">
        <f t="shared" si="90"/>
        <v>195</v>
      </c>
      <c r="AC435" s="89">
        <f t="shared" si="91"/>
        <v>51.179276000000002</v>
      </c>
      <c r="AD435" s="89">
        <f t="shared" si="92"/>
        <v>69.792052999999996</v>
      </c>
      <c r="AE435" s="89">
        <f t="shared" si="93"/>
        <v>13609.450335</v>
      </c>
      <c r="AF435" s="90">
        <f t="shared" si="96"/>
        <v>3629.4915149999988</v>
      </c>
      <c r="AG435" s="93">
        <f t="shared" si="97"/>
        <v>0.36367800513629756</v>
      </c>
      <c r="AK435" s="90">
        <f t="shared" si="94"/>
        <v>82</v>
      </c>
      <c r="AL435" s="89">
        <f t="shared" si="95"/>
        <v>59.656129048780492</v>
      </c>
      <c r="AM435" s="89">
        <f t="shared" si="87"/>
        <v>69.792052999999996</v>
      </c>
      <c r="AN435" s="90">
        <f t="shared" si="88"/>
        <v>5722.9483459999992</v>
      </c>
      <c r="AO435" s="93">
        <f t="shared" si="89"/>
        <v>0.16990582716038127</v>
      </c>
    </row>
    <row r="436" spans="2:41" x14ac:dyDescent="0.25">
      <c r="B436" s="91">
        <v>39983</v>
      </c>
      <c r="C436" s="89">
        <v>92.580001999999993</v>
      </c>
      <c r="D436" s="89">
        <v>92.699996999999996</v>
      </c>
      <c r="E436" s="89">
        <v>91.519997000000004</v>
      </c>
      <c r="F436" s="89">
        <v>92.040001000000004</v>
      </c>
      <c r="G436" s="89">
        <v>70.049248000000006</v>
      </c>
      <c r="H436" s="89">
        <v>215655600</v>
      </c>
      <c r="J436" s="89">
        <v>0</v>
      </c>
      <c r="K436" s="89">
        <f t="shared" si="85"/>
        <v>88</v>
      </c>
      <c r="L436" s="89">
        <f t="shared" si="86"/>
        <v>112.621376</v>
      </c>
      <c r="M436" s="89">
        <f>+SPY__2[[#This Row],[Adj Close]]</f>
        <v>70.049248000000006</v>
      </c>
      <c r="N436" s="89">
        <f t="shared" si="81"/>
        <v>6164.3338240000003</v>
      </c>
      <c r="O436" s="90">
        <f t="shared" si="82"/>
        <v>-3746.3472639999991</v>
      </c>
      <c r="P436" s="93">
        <f t="shared" si="83"/>
        <v>-0.37801108024110797</v>
      </c>
      <c r="Q436" s="96"/>
      <c r="R436" s="96"/>
      <c r="T436" s="90">
        <f t="shared" si="77"/>
        <v>95</v>
      </c>
      <c r="U436" s="89">
        <f t="shared" si="78"/>
        <v>103.31428490526316</v>
      </c>
      <c r="V436" s="89">
        <f t="shared" si="79"/>
        <v>70.049248000000006</v>
      </c>
      <c r="W436" s="90">
        <f t="shared" si="84"/>
        <v>6654.6785600000003</v>
      </c>
      <c r="X436" s="93">
        <f t="shared" si="80"/>
        <v>-0.32197906548708577</v>
      </c>
      <c r="AB436" s="89">
        <f t="shared" si="90"/>
        <v>195</v>
      </c>
      <c r="AC436" s="89">
        <f t="shared" si="91"/>
        <v>51.179276000000002</v>
      </c>
      <c r="AD436" s="89">
        <f t="shared" si="92"/>
        <v>70.049248000000006</v>
      </c>
      <c r="AE436" s="89">
        <f t="shared" si="93"/>
        <v>13659.603360000001</v>
      </c>
      <c r="AF436" s="90">
        <f t="shared" si="96"/>
        <v>3679.6445400000007</v>
      </c>
      <c r="AG436" s="93">
        <f t="shared" si="97"/>
        <v>0.36870337907867246</v>
      </c>
      <c r="AK436" s="90">
        <f t="shared" si="94"/>
        <v>82</v>
      </c>
      <c r="AL436" s="89">
        <f t="shared" si="95"/>
        <v>59.656129048780492</v>
      </c>
      <c r="AM436" s="89">
        <f t="shared" si="87"/>
        <v>70.049248000000006</v>
      </c>
      <c r="AN436" s="90">
        <f t="shared" si="88"/>
        <v>5744.0383360000005</v>
      </c>
      <c r="AO436" s="93">
        <f t="shared" si="89"/>
        <v>0.17421711929584172</v>
      </c>
    </row>
    <row r="437" spans="2:41" x14ac:dyDescent="0.25">
      <c r="B437" s="91">
        <v>39986</v>
      </c>
      <c r="C437" s="89">
        <v>91.139999000000003</v>
      </c>
      <c r="D437" s="89">
        <v>91.190002000000007</v>
      </c>
      <c r="E437" s="89">
        <v>89.25</v>
      </c>
      <c r="F437" s="89">
        <v>89.279999000000004</v>
      </c>
      <c r="G437" s="89">
        <v>67.948700000000002</v>
      </c>
      <c r="H437" s="89">
        <v>251913600</v>
      </c>
      <c r="J437" s="89">
        <v>0</v>
      </c>
      <c r="K437" s="89">
        <f t="shared" si="85"/>
        <v>88</v>
      </c>
      <c r="L437" s="89">
        <f t="shared" si="86"/>
        <v>112.621376</v>
      </c>
      <c r="M437" s="89">
        <f>+SPY__2[[#This Row],[Adj Close]]</f>
        <v>67.948700000000002</v>
      </c>
      <c r="N437" s="89">
        <f t="shared" si="81"/>
        <v>5979.4856</v>
      </c>
      <c r="O437" s="90">
        <f t="shared" si="82"/>
        <v>-3931.1954879999994</v>
      </c>
      <c r="P437" s="93">
        <f t="shared" si="83"/>
        <v>-0.39666249504889728</v>
      </c>
      <c r="Q437" s="96"/>
      <c r="R437" s="96"/>
      <c r="T437" s="90">
        <f t="shared" si="77"/>
        <v>95</v>
      </c>
      <c r="U437" s="89">
        <f t="shared" si="78"/>
        <v>103.31428490526316</v>
      </c>
      <c r="V437" s="89">
        <f t="shared" si="79"/>
        <v>67.948700000000002</v>
      </c>
      <c r="W437" s="90">
        <f t="shared" si="84"/>
        <v>6455.1265000000003</v>
      </c>
      <c r="X437" s="93">
        <f t="shared" si="80"/>
        <v>-0.34231069728346464</v>
      </c>
      <c r="AB437" s="89">
        <f t="shared" si="90"/>
        <v>195</v>
      </c>
      <c r="AC437" s="89">
        <f t="shared" si="91"/>
        <v>51.179276000000002</v>
      </c>
      <c r="AD437" s="89">
        <f t="shared" si="92"/>
        <v>67.948700000000002</v>
      </c>
      <c r="AE437" s="89">
        <f t="shared" si="93"/>
        <v>13249.996500000001</v>
      </c>
      <c r="AF437" s="90">
        <f t="shared" si="96"/>
        <v>3270.0376800000004</v>
      </c>
      <c r="AG437" s="93">
        <f t="shared" si="97"/>
        <v>0.32766043818204849</v>
      </c>
      <c r="AK437" s="90">
        <f t="shared" si="94"/>
        <v>82</v>
      </c>
      <c r="AL437" s="89">
        <f t="shared" si="95"/>
        <v>59.656129048780492</v>
      </c>
      <c r="AM437" s="89">
        <f t="shared" si="87"/>
        <v>67.948700000000002</v>
      </c>
      <c r="AN437" s="90">
        <f t="shared" si="88"/>
        <v>5571.7934000000005</v>
      </c>
      <c r="AO437" s="93">
        <f t="shared" si="89"/>
        <v>0.13900618567521739</v>
      </c>
    </row>
    <row r="438" spans="2:41" x14ac:dyDescent="0.25">
      <c r="B438" s="91">
        <v>39987</v>
      </c>
      <c r="C438" s="89">
        <v>89.470000999999996</v>
      </c>
      <c r="D438" s="89">
        <v>89.879997000000003</v>
      </c>
      <c r="E438" s="89">
        <v>88.849997999999999</v>
      </c>
      <c r="F438" s="89">
        <v>89.349997999999999</v>
      </c>
      <c r="G438" s="89">
        <v>68.001953</v>
      </c>
      <c r="H438" s="89">
        <v>188309800</v>
      </c>
      <c r="J438" s="89">
        <v>0</v>
      </c>
      <c r="K438" s="89">
        <f t="shared" si="85"/>
        <v>88</v>
      </c>
      <c r="L438" s="89">
        <f t="shared" si="86"/>
        <v>112.621376</v>
      </c>
      <c r="M438" s="89">
        <f>+SPY__2[[#This Row],[Adj Close]]</f>
        <v>68.001953</v>
      </c>
      <c r="N438" s="89">
        <f t="shared" si="81"/>
        <v>5984.1718639999999</v>
      </c>
      <c r="O438" s="90">
        <f t="shared" si="82"/>
        <v>-3926.5092239999999</v>
      </c>
      <c r="P438" s="93">
        <f t="shared" si="83"/>
        <v>-0.39618964520554245</v>
      </c>
      <c r="Q438" s="96"/>
      <c r="R438" s="96"/>
      <c r="T438" s="90">
        <f t="shared" si="77"/>
        <v>95</v>
      </c>
      <c r="U438" s="89">
        <f t="shared" si="78"/>
        <v>103.31428490526316</v>
      </c>
      <c r="V438" s="89">
        <f t="shared" si="79"/>
        <v>68.001953</v>
      </c>
      <c r="W438" s="90">
        <f t="shared" si="84"/>
        <v>6460.1855349999996</v>
      </c>
      <c r="X438" s="93">
        <f t="shared" si="80"/>
        <v>-0.34179525065332217</v>
      </c>
      <c r="AB438" s="89">
        <f t="shared" si="90"/>
        <v>195</v>
      </c>
      <c r="AC438" s="89">
        <f t="shared" si="91"/>
        <v>51.179276000000002</v>
      </c>
      <c r="AD438" s="89">
        <f t="shared" si="92"/>
        <v>68.001953</v>
      </c>
      <c r="AE438" s="89">
        <f t="shared" si="93"/>
        <v>13260.380835</v>
      </c>
      <c r="AF438" s="90">
        <f t="shared" si="96"/>
        <v>3280.4220149999996</v>
      </c>
      <c r="AG438" s="93">
        <f t="shared" si="97"/>
        <v>0.32870095700455004</v>
      </c>
      <c r="AK438" s="90">
        <f t="shared" si="94"/>
        <v>82</v>
      </c>
      <c r="AL438" s="89">
        <f t="shared" si="95"/>
        <v>59.656129048780492</v>
      </c>
      <c r="AM438" s="89">
        <f t="shared" si="87"/>
        <v>68.001953</v>
      </c>
      <c r="AN438" s="90">
        <f t="shared" si="88"/>
        <v>5576.1601460000002</v>
      </c>
      <c r="AO438" s="93">
        <f t="shared" si="89"/>
        <v>0.1398988517071762</v>
      </c>
    </row>
    <row r="439" spans="2:41" x14ac:dyDescent="0.25">
      <c r="B439" s="91">
        <v>39988</v>
      </c>
      <c r="C439" s="89">
        <v>90.160004000000001</v>
      </c>
      <c r="D439" s="89">
        <v>91.080001999999993</v>
      </c>
      <c r="E439" s="89">
        <v>89.599997999999999</v>
      </c>
      <c r="F439" s="89">
        <v>90.120002999999997</v>
      </c>
      <c r="G439" s="89">
        <v>68.58802</v>
      </c>
      <c r="H439" s="89">
        <v>211577700</v>
      </c>
      <c r="J439" s="89">
        <v>0</v>
      </c>
      <c r="K439" s="89">
        <f t="shared" si="85"/>
        <v>88</v>
      </c>
      <c r="L439" s="89">
        <f t="shared" si="86"/>
        <v>112.621376</v>
      </c>
      <c r="M439" s="89">
        <f>+SPY__2[[#This Row],[Adj Close]]</f>
        <v>68.58802</v>
      </c>
      <c r="N439" s="89">
        <f t="shared" si="81"/>
        <v>6035.7457599999998</v>
      </c>
      <c r="O439" s="90">
        <f t="shared" si="82"/>
        <v>-3874.9353279999996</v>
      </c>
      <c r="P439" s="93">
        <f t="shared" si="83"/>
        <v>-0.39098577520487765</v>
      </c>
      <c r="Q439" s="96"/>
      <c r="R439" s="96"/>
      <c r="T439" s="90">
        <f t="shared" si="77"/>
        <v>95</v>
      </c>
      <c r="U439" s="89">
        <f t="shared" si="78"/>
        <v>103.31428490526316</v>
      </c>
      <c r="V439" s="89">
        <f t="shared" si="79"/>
        <v>68.58802</v>
      </c>
      <c r="W439" s="90">
        <f t="shared" si="84"/>
        <v>6515.8618999999999</v>
      </c>
      <c r="X439" s="93">
        <f t="shared" si="80"/>
        <v>-0.33612258882792789</v>
      </c>
      <c r="AB439" s="89">
        <f t="shared" si="90"/>
        <v>195</v>
      </c>
      <c r="AC439" s="89">
        <f t="shared" si="91"/>
        <v>51.179276000000002</v>
      </c>
      <c r="AD439" s="89">
        <f t="shared" si="92"/>
        <v>68.58802</v>
      </c>
      <c r="AE439" s="89">
        <f t="shared" si="93"/>
        <v>13374.6639</v>
      </c>
      <c r="AF439" s="90">
        <f t="shared" si="96"/>
        <v>3394.7050799999997</v>
      </c>
      <c r="AG439" s="93">
        <f t="shared" si="97"/>
        <v>0.34015221317316002</v>
      </c>
      <c r="AK439" s="90">
        <f t="shared" si="94"/>
        <v>82</v>
      </c>
      <c r="AL439" s="89">
        <f t="shared" si="95"/>
        <v>59.656129048780492</v>
      </c>
      <c r="AM439" s="89">
        <f t="shared" si="87"/>
        <v>68.58802</v>
      </c>
      <c r="AN439" s="90">
        <f t="shared" si="88"/>
        <v>5624.2176399999998</v>
      </c>
      <c r="AO439" s="93">
        <f t="shared" si="89"/>
        <v>0.14972293867602349</v>
      </c>
    </row>
    <row r="440" spans="2:41" x14ac:dyDescent="0.25">
      <c r="B440" s="91">
        <v>39989</v>
      </c>
      <c r="C440" s="89">
        <v>89.669998000000007</v>
      </c>
      <c r="D440" s="89">
        <v>92.169998000000007</v>
      </c>
      <c r="E440" s="89">
        <v>89.57</v>
      </c>
      <c r="F440" s="89">
        <v>92.080001999999993</v>
      </c>
      <c r="G440" s="89">
        <v>70.079689000000002</v>
      </c>
      <c r="H440" s="89">
        <v>279411000</v>
      </c>
      <c r="J440" s="89">
        <v>0</v>
      </c>
      <c r="K440" s="89">
        <f t="shared" si="85"/>
        <v>88</v>
      </c>
      <c r="L440" s="89">
        <f t="shared" si="86"/>
        <v>112.621376</v>
      </c>
      <c r="M440" s="89">
        <f>+SPY__2[[#This Row],[Adj Close]]</f>
        <v>70.079689000000002</v>
      </c>
      <c r="N440" s="89">
        <f t="shared" si="81"/>
        <v>6167.0126319999999</v>
      </c>
      <c r="O440" s="90">
        <f t="shared" si="82"/>
        <v>-3743.6684559999994</v>
      </c>
      <c r="P440" s="93">
        <f t="shared" si="83"/>
        <v>-0.37774078519516574</v>
      </c>
      <c r="Q440" s="96"/>
      <c r="R440" s="96"/>
      <c r="T440" s="90">
        <f t="shared" si="77"/>
        <v>95</v>
      </c>
      <c r="U440" s="89">
        <f t="shared" si="78"/>
        <v>103.31428490526316</v>
      </c>
      <c r="V440" s="89">
        <f t="shared" si="79"/>
        <v>70.079689000000002</v>
      </c>
      <c r="W440" s="90">
        <f t="shared" si="84"/>
        <v>6657.570455</v>
      </c>
      <c r="X440" s="93">
        <f t="shared" si="80"/>
        <v>-0.32168442084982274</v>
      </c>
      <c r="AB440" s="89">
        <f t="shared" si="90"/>
        <v>195</v>
      </c>
      <c r="AC440" s="89">
        <f t="shared" si="91"/>
        <v>51.179276000000002</v>
      </c>
      <c r="AD440" s="89">
        <f t="shared" si="92"/>
        <v>70.079689000000002</v>
      </c>
      <c r="AE440" s="89">
        <f t="shared" si="93"/>
        <v>13665.539355000001</v>
      </c>
      <c r="AF440" s="90">
        <f t="shared" si="96"/>
        <v>3685.5805350000001</v>
      </c>
      <c r="AG440" s="93">
        <f t="shared" si="97"/>
        <v>0.36929817061108872</v>
      </c>
      <c r="AK440" s="90">
        <f t="shared" si="94"/>
        <v>82</v>
      </c>
      <c r="AL440" s="89">
        <f t="shared" si="95"/>
        <v>59.656129048780492</v>
      </c>
      <c r="AM440" s="89">
        <f t="shared" si="87"/>
        <v>70.079689000000002</v>
      </c>
      <c r="AN440" s="90">
        <f t="shared" si="88"/>
        <v>5746.534498</v>
      </c>
      <c r="AO440" s="93">
        <f t="shared" si="89"/>
        <v>0.17472739377199997</v>
      </c>
    </row>
    <row r="441" spans="2:41" x14ac:dyDescent="0.25">
      <c r="B441" s="91">
        <v>39990</v>
      </c>
      <c r="C441" s="89">
        <v>91.769997000000004</v>
      </c>
      <c r="D441" s="89">
        <v>92.239998</v>
      </c>
      <c r="E441" s="89">
        <v>91.269997000000004</v>
      </c>
      <c r="F441" s="89">
        <v>91.839995999999999</v>
      </c>
      <c r="G441" s="89">
        <v>69.897041000000002</v>
      </c>
      <c r="H441" s="89">
        <v>167579000</v>
      </c>
      <c r="J441" s="89">
        <v>0</v>
      </c>
      <c r="K441" s="89">
        <f t="shared" si="85"/>
        <v>88</v>
      </c>
      <c r="L441" s="89">
        <f t="shared" si="86"/>
        <v>112.621376</v>
      </c>
      <c r="M441" s="89">
        <f>+SPY__2[[#This Row],[Adj Close]]</f>
        <v>69.897041000000002</v>
      </c>
      <c r="N441" s="89">
        <f t="shared" si="81"/>
        <v>6150.9396080000006</v>
      </c>
      <c r="O441" s="90">
        <f t="shared" si="82"/>
        <v>-3759.7414799999997</v>
      </c>
      <c r="P441" s="93">
        <f t="shared" si="83"/>
        <v>-0.37936257322943734</v>
      </c>
      <c r="Q441" s="96"/>
      <c r="R441" s="96"/>
      <c r="T441" s="90">
        <f t="shared" si="77"/>
        <v>95</v>
      </c>
      <c r="U441" s="89">
        <f t="shared" si="78"/>
        <v>103.31428490526316</v>
      </c>
      <c r="V441" s="89">
        <f t="shared" si="79"/>
        <v>69.897041000000002</v>
      </c>
      <c r="W441" s="90">
        <f t="shared" si="84"/>
        <v>6640.218895</v>
      </c>
      <c r="X441" s="93">
        <f t="shared" si="80"/>
        <v>-0.32345230803180813</v>
      </c>
      <c r="AB441" s="89">
        <f t="shared" si="90"/>
        <v>195</v>
      </c>
      <c r="AC441" s="89">
        <f t="shared" si="91"/>
        <v>51.179276000000002</v>
      </c>
      <c r="AD441" s="89">
        <f t="shared" si="92"/>
        <v>69.897041000000002</v>
      </c>
      <c r="AE441" s="89">
        <f t="shared" si="93"/>
        <v>13629.922995000001</v>
      </c>
      <c r="AF441" s="90">
        <f t="shared" si="96"/>
        <v>3649.9641750000001</v>
      </c>
      <c r="AG441" s="93">
        <f t="shared" si="97"/>
        <v>0.36572938233827301</v>
      </c>
      <c r="AK441" s="90">
        <f t="shared" si="94"/>
        <v>82</v>
      </c>
      <c r="AL441" s="89">
        <f t="shared" si="95"/>
        <v>59.656129048780492</v>
      </c>
      <c r="AM441" s="89">
        <f t="shared" si="87"/>
        <v>69.897041000000002</v>
      </c>
      <c r="AN441" s="90">
        <f t="shared" si="88"/>
        <v>5731.5573620000005</v>
      </c>
      <c r="AO441" s="93">
        <f t="shared" si="89"/>
        <v>0.17166571338957604</v>
      </c>
    </row>
    <row r="442" spans="2:41" x14ac:dyDescent="0.25">
      <c r="B442" s="91">
        <v>39993</v>
      </c>
      <c r="C442" s="89">
        <v>92.110000999999997</v>
      </c>
      <c r="D442" s="89">
        <v>92.82</v>
      </c>
      <c r="E442" s="89">
        <v>91.599997999999999</v>
      </c>
      <c r="F442" s="89">
        <v>92.699996999999996</v>
      </c>
      <c r="G442" s="89">
        <v>70.551581999999996</v>
      </c>
      <c r="H442" s="89">
        <v>168481300</v>
      </c>
      <c r="J442" s="89">
        <v>0</v>
      </c>
      <c r="K442" s="89">
        <f t="shared" si="85"/>
        <v>88</v>
      </c>
      <c r="L442" s="89">
        <f t="shared" si="86"/>
        <v>112.621376</v>
      </c>
      <c r="M442" s="89">
        <f>+SPY__2[[#This Row],[Adj Close]]</f>
        <v>70.551581999999996</v>
      </c>
      <c r="N442" s="89">
        <f t="shared" si="81"/>
        <v>6208.5392159999992</v>
      </c>
      <c r="O442" s="90">
        <f t="shared" si="82"/>
        <v>-3702.1418720000001</v>
      </c>
      <c r="P442" s="93">
        <f t="shared" si="83"/>
        <v>-0.37355070142279212</v>
      </c>
      <c r="Q442" s="96"/>
      <c r="R442" s="96"/>
      <c r="T442" s="90">
        <f t="shared" si="77"/>
        <v>95</v>
      </c>
      <c r="U442" s="89">
        <f t="shared" si="78"/>
        <v>103.31428490526316</v>
      </c>
      <c r="V442" s="89">
        <f t="shared" si="79"/>
        <v>70.551581999999996</v>
      </c>
      <c r="W442" s="90">
        <f t="shared" si="84"/>
        <v>6702.4002899999996</v>
      </c>
      <c r="X442" s="93">
        <f t="shared" si="80"/>
        <v>-0.31711687241803799</v>
      </c>
      <c r="AB442" s="89">
        <f t="shared" si="90"/>
        <v>195</v>
      </c>
      <c r="AC442" s="89">
        <f t="shared" si="91"/>
        <v>51.179276000000002</v>
      </c>
      <c r="AD442" s="89">
        <f t="shared" si="92"/>
        <v>70.551581999999996</v>
      </c>
      <c r="AE442" s="89">
        <f t="shared" si="93"/>
        <v>13757.558489999999</v>
      </c>
      <c r="AF442" s="90">
        <f t="shared" si="96"/>
        <v>3777.5996699999992</v>
      </c>
      <c r="AG442" s="93">
        <f t="shared" si="97"/>
        <v>0.37851856286517216</v>
      </c>
      <c r="AK442" s="90">
        <f t="shared" si="94"/>
        <v>82</v>
      </c>
      <c r="AL442" s="89">
        <f t="shared" si="95"/>
        <v>59.656129048780492</v>
      </c>
      <c r="AM442" s="89">
        <f t="shared" si="87"/>
        <v>70.551581999999996</v>
      </c>
      <c r="AN442" s="90">
        <f t="shared" si="88"/>
        <v>5785.2297239999998</v>
      </c>
      <c r="AO442" s="93">
        <f t="shared" si="89"/>
        <v>0.18263761200982986</v>
      </c>
    </row>
    <row r="443" spans="2:41" x14ac:dyDescent="0.25">
      <c r="B443" s="91">
        <v>39994</v>
      </c>
      <c r="C443" s="89">
        <v>92.720000999999996</v>
      </c>
      <c r="D443" s="89">
        <v>93.059997999999993</v>
      </c>
      <c r="E443" s="89">
        <v>91.269997000000004</v>
      </c>
      <c r="F443" s="89">
        <v>91.949996999999996</v>
      </c>
      <c r="G443" s="89">
        <v>69.980743000000004</v>
      </c>
      <c r="H443" s="89">
        <v>228888200</v>
      </c>
      <c r="J443" s="89">
        <v>0</v>
      </c>
      <c r="K443" s="89">
        <f t="shared" si="85"/>
        <v>88</v>
      </c>
      <c r="L443" s="89">
        <f t="shared" si="86"/>
        <v>112.621376</v>
      </c>
      <c r="M443" s="89">
        <f>+SPY__2[[#This Row],[Adj Close]]</f>
        <v>69.980743000000004</v>
      </c>
      <c r="N443" s="89">
        <f t="shared" si="81"/>
        <v>6158.3053840000002</v>
      </c>
      <c r="O443" s="90">
        <f t="shared" si="82"/>
        <v>-3752.3757039999996</v>
      </c>
      <c r="P443" s="93">
        <f t="shared" si="83"/>
        <v>-0.37861935730566809</v>
      </c>
      <c r="Q443" s="96"/>
      <c r="R443" s="96"/>
      <c r="T443" s="90">
        <f t="shared" si="77"/>
        <v>95</v>
      </c>
      <c r="U443" s="89">
        <f t="shared" si="78"/>
        <v>103.31428490526316</v>
      </c>
      <c r="V443" s="89">
        <f t="shared" si="79"/>
        <v>69.980743000000004</v>
      </c>
      <c r="W443" s="90">
        <f t="shared" si="84"/>
        <v>6648.1705850000008</v>
      </c>
      <c r="X443" s="93">
        <f t="shared" si="80"/>
        <v>-0.32264213933077357</v>
      </c>
      <c r="AB443" s="89">
        <f t="shared" si="90"/>
        <v>195</v>
      </c>
      <c r="AC443" s="89">
        <f t="shared" si="91"/>
        <v>51.179276000000002</v>
      </c>
      <c r="AD443" s="89">
        <f t="shared" si="92"/>
        <v>69.980743000000004</v>
      </c>
      <c r="AE443" s="89">
        <f t="shared" si="93"/>
        <v>13646.244885</v>
      </c>
      <c r="AF443" s="90">
        <f t="shared" si="96"/>
        <v>3666.2860650000002</v>
      </c>
      <c r="AG443" s="93">
        <f t="shared" si="97"/>
        <v>0.36736484900646116</v>
      </c>
      <c r="AK443" s="90">
        <f t="shared" si="94"/>
        <v>82</v>
      </c>
      <c r="AL443" s="89">
        <f t="shared" si="95"/>
        <v>59.656129048780492</v>
      </c>
      <c r="AM443" s="89">
        <f t="shared" si="87"/>
        <v>69.980743000000004</v>
      </c>
      <c r="AN443" s="90">
        <f t="shared" si="88"/>
        <v>5738.4209260000007</v>
      </c>
      <c r="AO443" s="93">
        <f t="shared" si="89"/>
        <v>0.17306878799958914</v>
      </c>
    </row>
    <row r="444" spans="2:41" x14ac:dyDescent="0.25">
      <c r="B444" s="91">
        <v>39995</v>
      </c>
      <c r="C444" s="89">
        <v>92.339995999999999</v>
      </c>
      <c r="D444" s="89">
        <v>93.230002999999996</v>
      </c>
      <c r="E444" s="89">
        <v>92.209998999999996</v>
      </c>
      <c r="F444" s="89">
        <v>92.330001999999993</v>
      </c>
      <c r="G444" s="89">
        <v>70.269958000000003</v>
      </c>
      <c r="H444" s="89">
        <v>173041100</v>
      </c>
      <c r="J444" s="89">
        <v>0</v>
      </c>
      <c r="K444" s="89">
        <f t="shared" si="85"/>
        <v>88</v>
      </c>
      <c r="L444" s="89">
        <f t="shared" si="86"/>
        <v>112.621376</v>
      </c>
      <c r="M444" s="89">
        <f>+SPY__2[[#This Row],[Adj Close]]</f>
        <v>70.269958000000003</v>
      </c>
      <c r="N444" s="89">
        <f t="shared" si="81"/>
        <v>6183.7563040000005</v>
      </c>
      <c r="O444" s="90">
        <f t="shared" si="82"/>
        <v>-3726.9247839999998</v>
      </c>
      <c r="P444" s="93">
        <f t="shared" si="83"/>
        <v>-0.3760513279468366</v>
      </c>
      <c r="Q444" s="96"/>
      <c r="R444" s="96"/>
      <c r="T444" s="90">
        <f t="shared" si="77"/>
        <v>95</v>
      </c>
      <c r="U444" s="89">
        <f t="shared" si="78"/>
        <v>103.31428490526316</v>
      </c>
      <c r="V444" s="89">
        <f t="shared" si="79"/>
        <v>70.269958000000003</v>
      </c>
      <c r="W444" s="90">
        <f t="shared" si="84"/>
        <v>6675.6460100000004</v>
      </c>
      <c r="X444" s="93">
        <f t="shared" si="80"/>
        <v>-0.3198427684570827</v>
      </c>
      <c r="AB444" s="89">
        <f t="shared" si="90"/>
        <v>195</v>
      </c>
      <c r="AC444" s="89">
        <f t="shared" si="91"/>
        <v>51.179276000000002</v>
      </c>
      <c r="AD444" s="89">
        <f t="shared" si="92"/>
        <v>70.269958000000003</v>
      </c>
      <c r="AE444" s="89">
        <f t="shared" si="93"/>
        <v>13702.641810000001</v>
      </c>
      <c r="AF444" s="90">
        <f t="shared" si="96"/>
        <v>3722.6829900000002</v>
      </c>
      <c r="AG444" s="93">
        <f t="shared" si="97"/>
        <v>0.3730158668129655</v>
      </c>
      <c r="AK444" s="90">
        <f t="shared" si="94"/>
        <v>82</v>
      </c>
      <c r="AL444" s="89">
        <f t="shared" si="95"/>
        <v>59.656129048780492</v>
      </c>
      <c r="AM444" s="89">
        <f t="shared" si="87"/>
        <v>70.269958000000003</v>
      </c>
      <c r="AN444" s="90">
        <f t="shared" si="88"/>
        <v>5762.1365560000004</v>
      </c>
      <c r="AO444" s="93">
        <f t="shared" si="89"/>
        <v>0.1779168229728858</v>
      </c>
    </row>
    <row r="445" spans="2:41" x14ac:dyDescent="0.25">
      <c r="B445" s="91">
        <v>39996</v>
      </c>
      <c r="C445" s="89">
        <v>91.129997000000003</v>
      </c>
      <c r="D445" s="89">
        <v>92.360000999999997</v>
      </c>
      <c r="E445" s="89">
        <v>89.760002</v>
      </c>
      <c r="F445" s="89">
        <v>89.809997999999993</v>
      </c>
      <c r="G445" s="89">
        <v>68.352051000000003</v>
      </c>
      <c r="H445" s="89">
        <v>212309900</v>
      </c>
      <c r="J445" s="89">
        <v>0</v>
      </c>
      <c r="K445" s="89">
        <f t="shared" si="85"/>
        <v>88</v>
      </c>
      <c r="L445" s="89">
        <f t="shared" si="86"/>
        <v>112.621376</v>
      </c>
      <c r="M445" s="89">
        <f>+SPY__2[[#This Row],[Adj Close]]</f>
        <v>68.352051000000003</v>
      </c>
      <c r="N445" s="89">
        <f t="shared" si="81"/>
        <v>6014.9804880000002</v>
      </c>
      <c r="O445" s="90">
        <f t="shared" si="82"/>
        <v>-3895.7005999999997</v>
      </c>
      <c r="P445" s="93">
        <f t="shared" si="83"/>
        <v>-0.39308101687551744</v>
      </c>
      <c r="Q445" s="96"/>
      <c r="R445" s="96"/>
      <c r="T445" s="90">
        <f t="shared" si="77"/>
        <v>95</v>
      </c>
      <c r="U445" s="89">
        <f t="shared" si="78"/>
        <v>103.31428490526316</v>
      </c>
      <c r="V445" s="89">
        <f t="shared" si="79"/>
        <v>68.352051000000003</v>
      </c>
      <c r="W445" s="90">
        <f t="shared" si="84"/>
        <v>6493.444845</v>
      </c>
      <c r="X445" s="93">
        <f t="shared" si="80"/>
        <v>-0.33840658082590158</v>
      </c>
      <c r="AB445" s="89">
        <f t="shared" si="90"/>
        <v>195</v>
      </c>
      <c r="AC445" s="89">
        <f t="shared" si="91"/>
        <v>51.179276000000002</v>
      </c>
      <c r="AD445" s="89">
        <f t="shared" si="92"/>
        <v>68.352051000000003</v>
      </c>
      <c r="AE445" s="89">
        <f t="shared" si="93"/>
        <v>13328.649945000001</v>
      </c>
      <c r="AF445" s="90">
        <f t="shared" si="96"/>
        <v>3348.6911250000003</v>
      </c>
      <c r="AG445" s="93">
        <f t="shared" si="97"/>
        <v>0.33554157741504587</v>
      </c>
      <c r="AK445" s="90">
        <f t="shared" si="94"/>
        <v>82</v>
      </c>
      <c r="AL445" s="89">
        <f t="shared" si="95"/>
        <v>59.656129048780492</v>
      </c>
      <c r="AM445" s="89">
        <f t="shared" si="87"/>
        <v>68.352051000000003</v>
      </c>
      <c r="AN445" s="90">
        <f t="shared" si="88"/>
        <v>5604.8681820000002</v>
      </c>
      <c r="AO445" s="93">
        <f t="shared" si="89"/>
        <v>0.1457674523955268</v>
      </c>
    </row>
    <row r="446" spans="2:41" x14ac:dyDescent="0.25">
      <c r="B446" s="91">
        <v>40000</v>
      </c>
      <c r="C446" s="89">
        <v>88.940002000000007</v>
      </c>
      <c r="D446" s="89">
        <v>89.93</v>
      </c>
      <c r="E446" s="89">
        <v>88.660004000000001</v>
      </c>
      <c r="F446" s="89">
        <v>89.800003000000004</v>
      </c>
      <c r="G446" s="89">
        <v>68.344452000000004</v>
      </c>
      <c r="H446" s="89">
        <v>174499600</v>
      </c>
      <c r="J446" s="89">
        <v>0</v>
      </c>
      <c r="K446" s="89">
        <f t="shared" si="85"/>
        <v>88</v>
      </c>
      <c r="L446" s="89">
        <f t="shared" si="86"/>
        <v>112.621376</v>
      </c>
      <c r="M446" s="89">
        <f>+SPY__2[[#This Row],[Adj Close]]</f>
        <v>68.344452000000004</v>
      </c>
      <c r="N446" s="89">
        <f t="shared" si="81"/>
        <v>6014.3117760000005</v>
      </c>
      <c r="O446" s="90">
        <f t="shared" si="82"/>
        <v>-3896.3693119999994</v>
      </c>
      <c r="P446" s="93">
        <f t="shared" si="83"/>
        <v>-0.39314849074477654</v>
      </c>
      <c r="Q446" s="96"/>
      <c r="R446" s="96"/>
      <c r="T446" s="90">
        <f t="shared" si="77"/>
        <v>95</v>
      </c>
      <c r="U446" s="89">
        <f t="shared" si="78"/>
        <v>103.31428490526316</v>
      </c>
      <c r="V446" s="89">
        <f t="shared" si="79"/>
        <v>68.344452000000004</v>
      </c>
      <c r="W446" s="90">
        <f t="shared" si="84"/>
        <v>6492.7229400000006</v>
      </c>
      <c r="X446" s="93">
        <f t="shared" si="80"/>
        <v>-0.33848013309417657</v>
      </c>
      <c r="AB446" s="89">
        <f t="shared" si="90"/>
        <v>195</v>
      </c>
      <c r="AC446" s="89">
        <f t="shared" si="91"/>
        <v>51.179276000000002</v>
      </c>
      <c r="AD446" s="89">
        <f t="shared" si="92"/>
        <v>68.344452000000004</v>
      </c>
      <c r="AE446" s="89">
        <f t="shared" si="93"/>
        <v>13327.168140000002</v>
      </c>
      <c r="AF446" s="90">
        <f t="shared" si="96"/>
        <v>3347.2093200000004</v>
      </c>
      <c r="AG446" s="93">
        <f t="shared" si="97"/>
        <v>0.33539309934747807</v>
      </c>
      <c r="AK446" s="90">
        <f t="shared" si="94"/>
        <v>82</v>
      </c>
      <c r="AL446" s="89">
        <f t="shared" si="95"/>
        <v>59.656129048780492</v>
      </c>
      <c r="AM446" s="89">
        <f t="shared" si="87"/>
        <v>68.344452000000004</v>
      </c>
      <c r="AN446" s="90">
        <f t="shared" si="88"/>
        <v>5604.2450640000006</v>
      </c>
      <c r="AO446" s="93">
        <f t="shared" si="89"/>
        <v>0.14564007235727816</v>
      </c>
    </row>
    <row r="447" spans="2:41" x14ac:dyDescent="0.25">
      <c r="B447" s="91">
        <v>40001</v>
      </c>
      <c r="C447" s="89">
        <v>89.709998999999996</v>
      </c>
      <c r="D447" s="89">
        <v>89.82</v>
      </c>
      <c r="E447" s="89">
        <v>88</v>
      </c>
      <c r="F447" s="89">
        <v>88.059997999999993</v>
      </c>
      <c r="G447" s="89">
        <v>67.020179999999996</v>
      </c>
      <c r="H447" s="89">
        <v>197088900</v>
      </c>
      <c r="J447" s="89">
        <v>0</v>
      </c>
      <c r="K447" s="89">
        <f t="shared" si="85"/>
        <v>88</v>
      </c>
      <c r="L447" s="89">
        <f t="shared" si="86"/>
        <v>112.621376</v>
      </c>
      <c r="M447" s="89">
        <f>+SPY__2[[#This Row],[Adj Close]]</f>
        <v>67.020179999999996</v>
      </c>
      <c r="N447" s="89">
        <f t="shared" si="81"/>
        <v>5897.7758399999993</v>
      </c>
      <c r="O447" s="90">
        <f t="shared" si="82"/>
        <v>-4012.905248</v>
      </c>
      <c r="P447" s="93">
        <f t="shared" si="83"/>
        <v>-0.40490711106211308</v>
      </c>
      <c r="Q447" s="96"/>
      <c r="R447" s="96"/>
      <c r="T447" s="90">
        <f t="shared" si="77"/>
        <v>95</v>
      </c>
      <c r="U447" s="89">
        <f t="shared" si="78"/>
        <v>103.31428490526316</v>
      </c>
      <c r="V447" s="89">
        <f t="shared" si="79"/>
        <v>67.020179999999996</v>
      </c>
      <c r="W447" s="90">
        <f t="shared" si="84"/>
        <v>6366.9170999999997</v>
      </c>
      <c r="X447" s="93">
        <f t="shared" si="80"/>
        <v>-0.35129803142463822</v>
      </c>
      <c r="AB447" s="89">
        <f t="shared" si="90"/>
        <v>195</v>
      </c>
      <c r="AC447" s="89">
        <f t="shared" si="91"/>
        <v>51.179276000000002</v>
      </c>
      <c r="AD447" s="89">
        <f t="shared" si="92"/>
        <v>67.020179999999996</v>
      </c>
      <c r="AE447" s="89">
        <f t="shared" si="93"/>
        <v>13068.935099999999</v>
      </c>
      <c r="AF447" s="90">
        <f t="shared" si="96"/>
        <v>3088.976279999999</v>
      </c>
      <c r="AG447" s="93">
        <f t="shared" si="97"/>
        <v>0.30951793847181408</v>
      </c>
      <c r="AK447" s="90">
        <f t="shared" si="94"/>
        <v>82</v>
      </c>
      <c r="AL447" s="89">
        <f t="shared" si="95"/>
        <v>59.656129048780492</v>
      </c>
      <c r="AM447" s="89">
        <f t="shared" si="87"/>
        <v>67.020179999999996</v>
      </c>
      <c r="AN447" s="90">
        <f t="shared" si="88"/>
        <v>5495.6547599999994</v>
      </c>
      <c r="AO447" s="93">
        <f t="shared" si="89"/>
        <v>0.12344164914216882</v>
      </c>
    </row>
    <row r="448" spans="2:41" x14ac:dyDescent="0.25">
      <c r="B448" s="91">
        <v>40002</v>
      </c>
      <c r="C448" s="89">
        <v>88.589995999999999</v>
      </c>
      <c r="D448" s="89">
        <v>88.800003000000004</v>
      </c>
      <c r="E448" s="89">
        <v>87</v>
      </c>
      <c r="F448" s="89">
        <v>88</v>
      </c>
      <c r="G448" s="89">
        <v>66.974525</v>
      </c>
      <c r="H448" s="89">
        <v>248050500</v>
      </c>
      <c r="J448" s="89">
        <v>0</v>
      </c>
      <c r="K448" s="89">
        <f t="shared" si="85"/>
        <v>88</v>
      </c>
      <c r="L448" s="89">
        <f t="shared" si="86"/>
        <v>112.621376</v>
      </c>
      <c r="M448" s="89">
        <f>+SPY__2[[#This Row],[Adj Close]]</f>
        <v>66.974525</v>
      </c>
      <c r="N448" s="89">
        <f t="shared" si="81"/>
        <v>5893.7582000000002</v>
      </c>
      <c r="O448" s="90">
        <f t="shared" si="82"/>
        <v>-4016.9228880000001</v>
      </c>
      <c r="P448" s="93">
        <f t="shared" si="83"/>
        <v>-0.40531249591551788</v>
      </c>
      <c r="Q448" s="96"/>
      <c r="R448" s="96"/>
      <c r="T448" s="90">
        <f t="shared" si="77"/>
        <v>95</v>
      </c>
      <c r="U448" s="89">
        <f t="shared" si="78"/>
        <v>103.31428490526316</v>
      </c>
      <c r="V448" s="89">
        <f t="shared" si="79"/>
        <v>66.974525</v>
      </c>
      <c r="W448" s="90">
        <f t="shared" si="84"/>
        <v>6362.5798750000004</v>
      </c>
      <c r="X448" s="93">
        <f t="shared" si="80"/>
        <v>-0.35173993546570925</v>
      </c>
      <c r="AB448" s="89">
        <f t="shared" si="90"/>
        <v>195</v>
      </c>
      <c r="AC448" s="89">
        <f t="shared" si="91"/>
        <v>51.179276000000002</v>
      </c>
      <c r="AD448" s="89">
        <f t="shared" si="92"/>
        <v>66.974525</v>
      </c>
      <c r="AE448" s="89">
        <f t="shared" si="93"/>
        <v>13060.032375000001</v>
      </c>
      <c r="AF448" s="90">
        <f t="shared" si="96"/>
        <v>3080.0735549999995</v>
      </c>
      <c r="AG448" s="93">
        <f t="shared" si="97"/>
        <v>0.3086258781777218</v>
      </c>
      <c r="AK448" s="90">
        <f t="shared" si="94"/>
        <v>82</v>
      </c>
      <c r="AL448" s="89">
        <f t="shared" si="95"/>
        <v>59.656129048780492</v>
      </c>
      <c r="AM448" s="89">
        <f t="shared" si="87"/>
        <v>66.974525</v>
      </c>
      <c r="AN448" s="90">
        <f t="shared" si="88"/>
        <v>5491.9110499999997</v>
      </c>
      <c r="AO448" s="93">
        <f t="shared" si="89"/>
        <v>0.12267634638572167</v>
      </c>
    </row>
    <row r="449" spans="2:41" x14ac:dyDescent="0.25">
      <c r="B449" s="91">
        <v>40003</v>
      </c>
      <c r="C449" s="89">
        <v>88.610000999999997</v>
      </c>
      <c r="D449" s="89">
        <v>88.900002000000001</v>
      </c>
      <c r="E449" s="89">
        <v>87.910004000000001</v>
      </c>
      <c r="F449" s="89">
        <v>88.169998000000007</v>
      </c>
      <c r="G449" s="89">
        <v>67.103904999999997</v>
      </c>
      <c r="H449" s="89">
        <v>163777600</v>
      </c>
      <c r="J449" s="89">
        <v>0</v>
      </c>
      <c r="K449" s="89">
        <f t="shared" si="85"/>
        <v>88</v>
      </c>
      <c r="L449" s="89">
        <f t="shared" si="86"/>
        <v>112.621376</v>
      </c>
      <c r="M449" s="89">
        <f>+SPY__2[[#This Row],[Adj Close]]</f>
        <v>67.103904999999997</v>
      </c>
      <c r="N449" s="89">
        <f t="shared" si="81"/>
        <v>5905.1436400000002</v>
      </c>
      <c r="O449" s="90">
        <f t="shared" si="82"/>
        <v>-4005.537448</v>
      </c>
      <c r="P449" s="93">
        <f t="shared" si="83"/>
        <v>-0.40416369091423643</v>
      </c>
      <c r="Q449" s="96"/>
      <c r="R449" s="96"/>
      <c r="T449" s="90">
        <f t="shared" si="77"/>
        <v>95</v>
      </c>
      <c r="U449" s="89">
        <f t="shared" si="78"/>
        <v>103.31428490526316</v>
      </c>
      <c r="V449" s="89">
        <f t="shared" si="79"/>
        <v>67.103904999999997</v>
      </c>
      <c r="W449" s="90">
        <f t="shared" si="84"/>
        <v>6374.8709749999998</v>
      </c>
      <c r="X449" s="93">
        <f t="shared" si="80"/>
        <v>-0.35048764010192057</v>
      </c>
      <c r="AB449" s="89">
        <f t="shared" si="90"/>
        <v>195</v>
      </c>
      <c r="AC449" s="89">
        <f t="shared" si="91"/>
        <v>51.179276000000002</v>
      </c>
      <c r="AD449" s="89">
        <f t="shared" si="92"/>
        <v>67.103904999999997</v>
      </c>
      <c r="AE449" s="89">
        <f t="shared" si="93"/>
        <v>13085.261474999999</v>
      </c>
      <c r="AF449" s="90">
        <f t="shared" si="96"/>
        <v>3105.302654999999</v>
      </c>
      <c r="AG449" s="93">
        <f t="shared" si="97"/>
        <v>0.31115385454065425</v>
      </c>
      <c r="AK449" s="90">
        <f t="shared" si="94"/>
        <v>82</v>
      </c>
      <c r="AL449" s="89">
        <f t="shared" si="95"/>
        <v>59.656129048780492</v>
      </c>
      <c r="AM449" s="89">
        <f t="shared" si="87"/>
        <v>67.103904999999997</v>
      </c>
      <c r="AN449" s="90">
        <f t="shared" si="88"/>
        <v>5502.5202099999997</v>
      </c>
      <c r="AO449" s="93">
        <f t="shared" si="89"/>
        <v>0.12484510929513215</v>
      </c>
    </row>
    <row r="450" spans="2:41" x14ac:dyDescent="0.25">
      <c r="B450" s="91">
        <v>40004</v>
      </c>
      <c r="C450" s="89">
        <v>87.699996999999996</v>
      </c>
      <c r="D450" s="89">
        <v>88.489998</v>
      </c>
      <c r="E450" s="89">
        <v>87.349997999999999</v>
      </c>
      <c r="F450" s="89">
        <v>87.959998999999996</v>
      </c>
      <c r="G450" s="89">
        <v>66.944098999999994</v>
      </c>
      <c r="H450" s="89">
        <v>173520300</v>
      </c>
      <c r="J450" s="89">
        <v>0</v>
      </c>
      <c r="K450" s="89">
        <f t="shared" si="85"/>
        <v>88</v>
      </c>
      <c r="L450" s="89">
        <f t="shared" si="86"/>
        <v>112.621376</v>
      </c>
      <c r="M450" s="89">
        <f>+SPY__2[[#This Row],[Adj Close]]</f>
        <v>66.944098999999994</v>
      </c>
      <c r="N450" s="89">
        <f t="shared" si="81"/>
        <v>5891.080711999999</v>
      </c>
      <c r="O450" s="90">
        <f t="shared" si="82"/>
        <v>-4019.6003760000003</v>
      </c>
      <c r="P450" s="93">
        <f t="shared" si="83"/>
        <v>-0.40558265777182478</v>
      </c>
      <c r="Q450" s="96"/>
      <c r="R450" s="96"/>
      <c r="T450" s="90">
        <f t="shared" ref="T450:T513" si="98">+T449</f>
        <v>95</v>
      </c>
      <c r="U450" s="89">
        <f t="shared" ref="U450:U513" si="99">+U449</f>
        <v>103.31428490526316</v>
      </c>
      <c r="V450" s="89">
        <f t="shared" si="79"/>
        <v>66.944098999999994</v>
      </c>
      <c r="W450" s="90">
        <f t="shared" si="84"/>
        <v>6359.6894049999992</v>
      </c>
      <c r="X450" s="93">
        <f t="shared" si="80"/>
        <v>-0.35203443491491815</v>
      </c>
      <c r="AB450" s="89">
        <f t="shared" si="90"/>
        <v>195</v>
      </c>
      <c r="AC450" s="89">
        <f t="shared" si="91"/>
        <v>51.179276000000002</v>
      </c>
      <c r="AD450" s="89">
        <f t="shared" si="92"/>
        <v>66.944098999999994</v>
      </c>
      <c r="AE450" s="89">
        <f t="shared" si="93"/>
        <v>13054.099305</v>
      </c>
      <c r="AF450" s="90">
        <f t="shared" si="96"/>
        <v>3074.1404849999985</v>
      </c>
      <c r="AG450" s="93">
        <f t="shared" si="97"/>
        <v>0.30803137973268702</v>
      </c>
      <c r="AK450" s="90">
        <f t="shared" si="94"/>
        <v>82</v>
      </c>
      <c r="AL450" s="89">
        <f t="shared" si="95"/>
        <v>59.656129048780492</v>
      </c>
      <c r="AM450" s="89">
        <f t="shared" si="87"/>
        <v>66.944098999999994</v>
      </c>
      <c r="AN450" s="90">
        <f t="shared" si="88"/>
        <v>5489.4161179999992</v>
      </c>
      <c r="AO450" s="93">
        <f t="shared" si="89"/>
        <v>0.12216632335061783</v>
      </c>
    </row>
    <row r="451" spans="2:41" x14ac:dyDescent="0.25">
      <c r="B451" s="91">
        <v>40007</v>
      </c>
      <c r="C451" s="89">
        <v>88.309997999999993</v>
      </c>
      <c r="D451" s="89">
        <v>90.169998000000007</v>
      </c>
      <c r="E451" s="89">
        <v>87.589995999999999</v>
      </c>
      <c r="F451" s="89">
        <v>90.099997999999999</v>
      </c>
      <c r="G451" s="89">
        <v>68.572768999999994</v>
      </c>
      <c r="H451" s="89">
        <v>217413500</v>
      </c>
      <c r="J451" s="89">
        <v>0</v>
      </c>
      <c r="K451" s="89">
        <f t="shared" si="85"/>
        <v>88</v>
      </c>
      <c r="L451" s="89">
        <f t="shared" si="86"/>
        <v>112.621376</v>
      </c>
      <c r="M451" s="89">
        <f>+SPY__2[[#This Row],[Adj Close]]</f>
        <v>68.572768999999994</v>
      </c>
      <c r="N451" s="89">
        <f t="shared" si="81"/>
        <v>6034.4036719999995</v>
      </c>
      <c r="O451" s="90">
        <f t="shared" si="82"/>
        <v>-3876.2774160000004</v>
      </c>
      <c r="P451" s="93">
        <f t="shared" si="83"/>
        <v>-0.39112119354677399</v>
      </c>
      <c r="Q451" s="96"/>
      <c r="R451" s="96"/>
      <c r="T451" s="90">
        <f t="shared" si="98"/>
        <v>95</v>
      </c>
      <c r="U451" s="89">
        <f t="shared" si="99"/>
        <v>103.31428490526316</v>
      </c>
      <c r="V451" s="89">
        <f t="shared" ref="V451:V514" si="100">+M451</f>
        <v>68.572768999999994</v>
      </c>
      <c r="W451" s="90">
        <f t="shared" si="84"/>
        <v>6514.4130549999991</v>
      </c>
      <c r="X451" s="93">
        <f t="shared" ref="X451:X514" si="101">+W451/(U451*T451)-1</f>
        <v>-0.33627020636226979</v>
      </c>
      <c r="AB451" s="89">
        <f t="shared" si="90"/>
        <v>195</v>
      </c>
      <c r="AC451" s="89">
        <f t="shared" si="91"/>
        <v>51.179276000000002</v>
      </c>
      <c r="AD451" s="89">
        <f t="shared" si="92"/>
        <v>68.572768999999994</v>
      </c>
      <c r="AE451" s="89">
        <f t="shared" si="93"/>
        <v>13371.689954999998</v>
      </c>
      <c r="AF451" s="90">
        <f t="shared" si="96"/>
        <v>3391.7311349999986</v>
      </c>
      <c r="AG451" s="93">
        <f t="shared" si="97"/>
        <v>0.33985422146260902</v>
      </c>
      <c r="AK451" s="90">
        <f t="shared" si="94"/>
        <v>82</v>
      </c>
      <c r="AL451" s="89">
        <f t="shared" si="95"/>
        <v>59.656129048780492</v>
      </c>
      <c r="AM451" s="89">
        <f t="shared" si="87"/>
        <v>68.572768999999994</v>
      </c>
      <c r="AN451" s="90">
        <f t="shared" si="88"/>
        <v>5622.9670579999993</v>
      </c>
      <c r="AO451" s="93">
        <f t="shared" si="89"/>
        <v>0.14946729017446669</v>
      </c>
    </row>
    <row r="452" spans="2:41" x14ac:dyDescent="0.25">
      <c r="B452" s="91">
        <v>40008</v>
      </c>
      <c r="C452" s="89">
        <v>90.379997000000003</v>
      </c>
      <c r="D452" s="89">
        <v>90.690002000000007</v>
      </c>
      <c r="E452" s="89">
        <v>89.730002999999996</v>
      </c>
      <c r="F452" s="89">
        <v>90.610000999999997</v>
      </c>
      <c r="G452" s="89">
        <v>68.960907000000006</v>
      </c>
      <c r="H452" s="89">
        <v>181487400</v>
      </c>
      <c r="J452" s="89">
        <v>0</v>
      </c>
      <c r="K452" s="89">
        <f t="shared" si="85"/>
        <v>88</v>
      </c>
      <c r="L452" s="89">
        <f t="shared" si="86"/>
        <v>112.621376</v>
      </c>
      <c r="M452" s="89">
        <f>+SPY__2[[#This Row],[Adj Close]]</f>
        <v>68.960907000000006</v>
      </c>
      <c r="N452" s="89">
        <f t="shared" ref="N452:N515" si="102">+K452*M452</f>
        <v>6068.5598160000009</v>
      </c>
      <c r="O452" s="90">
        <f t="shared" ref="O452:O515" si="103">+(M452-L452)*K452</f>
        <v>-3842.1212719999994</v>
      </c>
      <c r="P452" s="93">
        <f t="shared" ref="P452:P515" si="104">+M452/L452-1</f>
        <v>-0.38767479630154755</v>
      </c>
      <c r="Q452" s="96"/>
      <c r="R452" s="96"/>
      <c r="T452" s="90">
        <f t="shared" si="98"/>
        <v>95</v>
      </c>
      <c r="U452" s="89">
        <f t="shared" si="99"/>
        <v>103.31428490526316</v>
      </c>
      <c r="V452" s="89">
        <f t="shared" si="100"/>
        <v>68.960907000000006</v>
      </c>
      <c r="W452" s="90">
        <f t="shared" ref="W452:W515" si="105">+V452*T452</f>
        <v>6551.2861650000004</v>
      </c>
      <c r="X452" s="93">
        <f t="shared" si="101"/>
        <v>-0.33251333962931084</v>
      </c>
      <c r="AB452" s="89">
        <f t="shared" si="90"/>
        <v>195</v>
      </c>
      <c r="AC452" s="89">
        <f t="shared" si="91"/>
        <v>51.179276000000002</v>
      </c>
      <c r="AD452" s="89">
        <f t="shared" si="92"/>
        <v>68.960907000000006</v>
      </c>
      <c r="AE452" s="89">
        <f t="shared" si="93"/>
        <v>13447.376865000002</v>
      </c>
      <c r="AF452" s="90">
        <f t="shared" si="96"/>
        <v>3467.4180450000008</v>
      </c>
      <c r="AG452" s="93">
        <f t="shared" si="97"/>
        <v>0.34743811147308934</v>
      </c>
      <c r="AK452" s="90">
        <f t="shared" si="94"/>
        <v>82</v>
      </c>
      <c r="AL452" s="89">
        <f t="shared" si="95"/>
        <v>59.656129048780492</v>
      </c>
      <c r="AM452" s="89">
        <f t="shared" si="87"/>
        <v>68.960907000000006</v>
      </c>
      <c r="AN452" s="90">
        <f t="shared" si="88"/>
        <v>5654.7943740000001</v>
      </c>
      <c r="AO452" s="93">
        <f t="shared" si="89"/>
        <v>0.15597354537722419</v>
      </c>
    </row>
    <row r="453" spans="2:41" x14ac:dyDescent="0.25">
      <c r="B453" s="91">
        <v>40009</v>
      </c>
      <c r="C453" s="89">
        <v>91.809997999999993</v>
      </c>
      <c r="D453" s="89">
        <v>93.510002</v>
      </c>
      <c r="E453" s="89">
        <v>90.68</v>
      </c>
      <c r="F453" s="89">
        <v>93.260002</v>
      </c>
      <c r="G453" s="89">
        <v>70.977790999999996</v>
      </c>
      <c r="H453" s="89">
        <v>220877900</v>
      </c>
      <c r="J453" s="89">
        <v>0</v>
      </c>
      <c r="K453" s="89">
        <f t="shared" ref="K453:K516" si="106">+$K$3</f>
        <v>88</v>
      </c>
      <c r="L453" s="89">
        <f t="shared" ref="L453:L516" si="107">+$L$3</f>
        <v>112.621376</v>
      </c>
      <c r="M453" s="89">
        <f>+SPY__2[[#This Row],[Adj Close]]</f>
        <v>70.977790999999996</v>
      </c>
      <c r="N453" s="89">
        <f t="shared" si="102"/>
        <v>6246.0456079999994</v>
      </c>
      <c r="O453" s="90">
        <f t="shared" si="103"/>
        <v>-3664.6354799999999</v>
      </c>
      <c r="P453" s="93">
        <f t="shared" si="104"/>
        <v>-0.36976626000378476</v>
      </c>
      <c r="Q453" s="96"/>
      <c r="R453" s="96"/>
      <c r="T453" s="90">
        <f t="shared" si="98"/>
        <v>95</v>
      </c>
      <c r="U453" s="89">
        <f t="shared" si="99"/>
        <v>103.31428490526316</v>
      </c>
      <c r="V453" s="89">
        <f t="shared" si="100"/>
        <v>70.977790999999996</v>
      </c>
      <c r="W453" s="90">
        <f t="shared" si="105"/>
        <v>6742.8901449999994</v>
      </c>
      <c r="X453" s="93">
        <f t="shared" si="101"/>
        <v>-0.31299150872422909</v>
      </c>
      <c r="AB453" s="89">
        <f t="shared" si="90"/>
        <v>195</v>
      </c>
      <c r="AC453" s="89">
        <f t="shared" si="91"/>
        <v>51.179276000000002</v>
      </c>
      <c r="AD453" s="89">
        <f t="shared" si="92"/>
        <v>70.977790999999996</v>
      </c>
      <c r="AE453" s="89">
        <f t="shared" si="93"/>
        <v>13840.669244999999</v>
      </c>
      <c r="AF453" s="90">
        <f t="shared" si="96"/>
        <v>3860.7104249999988</v>
      </c>
      <c r="AG453" s="93">
        <f t="shared" si="97"/>
        <v>0.38684632818955844</v>
      </c>
      <c r="AK453" s="90">
        <f t="shared" si="94"/>
        <v>82</v>
      </c>
      <c r="AL453" s="89">
        <f t="shared" si="95"/>
        <v>59.656129048780492</v>
      </c>
      <c r="AM453" s="89">
        <f t="shared" si="87"/>
        <v>70.977790999999996</v>
      </c>
      <c r="AN453" s="90">
        <f t="shared" si="88"/>
        <v>5820.1788619999998</v>
      </c>
      <c r="AO453" s="93">
        <f t="shared" si="89"/>
        <v>0.18978204137184029</v>
      </c>
    </row>
    <row r="454" spans="2:41" x14ac:dyDescent="0.25">
      <c r="B454" s="91">
        <v>40010</v>
      </c>
      <c r="C454" s="89">
        <v>93</v>
      </c>
      <c r="D454" s="89">
        <v>94.510002</v>
      </c>
      <c r="E454" s="89">
        <v>92.82</v>
      </c>
      <c r="F454" s="89">
        <v>93.110000999999997</v>
      </c>
      <c r="G454" s="89">
        <v>70.863617000000005</v>
      </c>
      <c r="H454" s="89">
        <v>231174500</v>
      </c>
      <c r="J454" s="89">
        <v>0</v>
      </c>
      <c r="K454" s="89">
        <f t="shared" si="106"/>
        <v>88</v>
      </c>
      <c r="L454" s="89">
        <f t="shared" si="107"/>
        <v>112.621376</v>
      </c>
      <c r="M454" s="89">
        <f>+SPY__2[[#This Row],[Adj Close]]</f>
        <v>70.863617000000005</v>
      </c>
      <c r="N454" s="89">
        <f t="shared" si="102"/>
        <v>6235.9982960000007</v>
      </c>
      <c r="O454" s="90">
        <f t="shared" si="103"/>
        <v>-3674.6827919999996</v>
      </c>
      <c r="P454" s="93">
        <f t="shared" si="104"/>
        <v>-0.37078004623207583</v>
      </c>
      <c r="Q454" s="96"/>
      <c r="R454" s="96"/>
      <c r="T454" s="90">
        <f t="shared" si="98"/>
        <v>95</v>
      </c>
      <c r="U454" s="89">
        <f t="shared" si="99"/>
        <v>103.31428490526316</v>
      </c>
      <c r="V454" s="89">
        <f t="shared" si="100"/>
        <v>70.863617000000005</v>
      </c>
      <c r="W454" s="90">
        <f t="shared" si="105"/>
        <v>6732.0436150000005</v>
      </c>
      <c r="X454" s="93">
        <f t="shared" si="101"/>
        <v>-0.31409662211783862</v>
      </c>
      <c r="AB454" s="89">
        <f t="shared" si="90"/>
        <v>195</v>
      </c>
      <c r="AC454" s="89">
        <f t="shared" si="91"/>
        <v>51.179276000000002</v>
      </c>
      <c r="AD454" s="89">
        <f t="shared" si="92"/>
        <v>70.863617000000005</v>
      </c>
      <c r="AE454" s="89">
        <f t="shared" si="93"/>
        <v>13818.405315000002</v>
      </c>
      <c r="AF454" s="90">
        <f t="shared" si="96"/>
        <v>3838.4464950000006</v>
      </c>
      <c r="AG454" s="93">
        <f t="shared" si="97"/>
        <v>0.3846154642750319</v>
      </c>
      <c r="AK454" s="90">
        <f t="shared" si="94"/>
        <v>82</v>
      </c>
      <c r="AL454" s="89">
        <f t="shared" si="95"/>
        <v>59.656129048780492</v>
      </c>
      <c r="AM454" s="89">
        <f t="shared" si="87"/>
        <v>70.863617000000005</v>
      </c>
      <c r="AN454" s="90">
        <f t="shared" si="88"/>
        <v>5810.8165940000008</v>
      </c>
      <c r="AO454" s="93">
        <f t="shared" si="89"/>
        <v>0.18786817264082312</v>
      </c>
    </row>
    <row r="455" spans="2:41" x14ac:dyDescent="0.25">
      <c r="B455" s="91">
        <v>40011</v>
      </c>
      <c r="C455" s="89">
        <v>94.059997999999993</v>
      </c>
      <c r="D455" s="89">
        <v>94.32</v>
      </c>
      <c r="E455" s="89">
        <v>93.540001000000004</v>
      </c>
      <c r="F455" s="89">
        <v>94.129997000000003</v>
      </c>
      <c r="G455" s="89">
        <v>71.639908000000005</v>
      </c>
      <c r="H455" s="89">
        <v>138561700</v>
      </c>
      <c r="J455" s="89">
        <v>0</v>
      </c>
      <c r="K455" s="89">
        <f t="shared" si="106"/>
        <v>88</v>
      </c>
      <c r="L455" s="89">
        <f t="shared" si="107"/>
        <v>112.621376</v>
      </c>
      <c r="M455" s="89">
        <f>+SPY__2[[#This Row],[Adj Close]]</f>
        <v>71.639908000000005</v>
      </c>
      <c r="N455" s="89">
        <f t="shared" si="102"/>
        <v>6304.3119040000001</v>
      </c>
      <c r="O455" s="90">
        <f t="shared" si="103"/>
        <v>-3606.3691839999992</v>
      </c>
      <c r="P455" s="93">
        <f t="shared" si="104"/>
        <v>-0.36388711855198774</v>
      </c>
      <c r="Q455" s="96"/>
      <c r="R455" s="96"/>
      <c r="T455" s="90">
        <f t="shared" si="98"/>
        <v>95</v>
      </c>
      <c r="U455" s="89">
        <f t="shared" si="99"/>
        <v>103.31428490526316</v>
      </c>
      <c r="V455" s="89">
        <f t="shared" si="100"/>
        <v>71.639908000000005</v>
      </c>
      <c r="W455" s="90">
        <f t="shared" si="105"/>
        <v>6805.7912600000009</v>
      </c>
      <c r="X455" s="93">
        <f t="shared" si="101"/>
        <v>-0.30658274346386694</v>
      </c>
      <c r="AB455" s="89">
        <f t="shared" si="90"/>
        <v>195</v>
      </c>
      <c r="AC455" s="89">
        <f t="shared" si="91"/>
        <v>51.179276000000002</v>
      </c>
      <c r="AD455" s="89">
        <f t="shared" si="92"/>
        <v>71.639908000000005</v>
      </c>
      <c r="AE455" s="89">
        <f t="shared" si="93"/>
        <v>13969.782060000001</v>
      </c>
      <c r="AF455" s="90">
        <f t="shared" si="96"/>
        <v>3989.8232400000006</v>
      </c>
      <c r="AG455" s="93">
        <f t="shared" si="97"/>
        <v>0.3997835373833738</v>
      </c>
      <c r="AK455" s="90">
        <f t="shared" si="94"/>
        <v>82</v>
      </c>
      <c r="AL455" s="89">
        <f t="shared" si="95"/>
        <v>59.656129048780492</v>
      </c>
      <c r="AM455" s="89">
        <f t="shared" si="87"/>
        <v>71.639908000000005</v>
      </c>
      <c r="AN455" s="90">
        <f t="shared" si="88"/>
        <v>5874.4724560000004</v>
      </c>
      <c r="AO455" s="93">
        <f t="shared" si="89"/>
        <v>0.20088093448739253</v>
      </c>
    </row>
    <row r="456" spans="2:41" x14ac:dyDescent="0.25">
      <c r="B456" s="91">
        <v>40014</v>
      </c>
      <c r="C456" s="89">
        <v>94.68</v>
      </c>
      <c r="D456" s="89">
        <v>95.290001000000004</v>
      </c>
      <c r="E456" s="89">
        <v>94.190002000000007</v>
      </c>
      <c r="F456" s="89">
        <v>95.129997000000003</v>
      </c>
      <c r="G456" s="89">
        <v>72.401000999999994</v>
      </c>
      <c r="H456" s="89">
        <v>164179400</v>
      </c>
      <c r="J456" s="89">
        <v>0</v>
      </c>
      <c r="K456" s="89">
        <f t="shared" si="106"/>
        <v>88</v>
      </c>
      <c r="L456" s="89">
        <f t="shared" si="107"/>
        <v>112.621376</v>
      </c>
      <c r="M456" s="89">
        <f>+SPY__2[[#This Row],[Adj Close]]</f>
        <v>72.401000999999994</v>
      </c>
      <c r="N456" s="89">
        <f t="shared" si="102"/>
        <v>6371.2880879999993</v>
      </c>
      <c r="O456" s="90">
        <f t="shared" si="103"/>
        <v>-3539.3930000000005</v>
      </c>
      <c r="P456" s="93">
        <f t="shared" si="104"/>
        <v>-0.35712913861041806</v>
      </c>
      <c r="Q456" s="96"/>
      <c r="R456" s="96"/>
      <c r="T456" s="90">
        <f t="shared" si="98"/>
        <v>95</v>
      </c>
      <c r="U456" s="89">
        <f t="shared" si="99"/>
        <v>103.31428490526316</v>
      </c>
      <c r="V456" s="89">
        <f t="shared" si="100"/>
        <v>72.401000999999994</v>
      </c>
      <c r="W456" s="90">
        <f t="shared" si="105"/>
        <v>6878.0950949999997</v>
      </c>
      <c r="X456" s="93">
        <f t="shared" si="101"/>
        <v>-0.29921596934644556</v>
      </c>
      <c r="AB456" s="89">
        <f t="shared" si="90"/>
        <v>195</v>
      </c>
      <c r="AC456" s="89">
        <f t="shared" si="91"/>
        <v>51.179276000000002</v>
      </c>
      <c r="AD456" s="89">
        <f t="shared" si="92"/>
        <v>72.401000999999994</v>
      </c>
      <c r="AE456" s="89">
        <f t="shared" si="93"/>
        <v>14118.195194999998</v>
      </c>
      <c r="AF456" s="90">
        <f t="shared" si="96"/>
        <v>4138.2363749999986</v>
      </c>
      <c r="AG456" s="93">
        <f t="shared" si="97"/>
        <v>0.41465465435657967</v>
      </c>
      <c r="AK456" s="90">
        <f t="shared" si="94"/>
        <v>82</v>
      </c>
      <c r="AL456" s="89">
        <f t="shared" si="95"/>
        <v>59.656129048780492</v>
      </c>
      <c r="AM456" s="89">
        <f t="shared" si="87"/>
        <v>72.401000999999994</v>
      </c>
      <c r="AN456" s="90">
        <f t="shared" si="88"/>
        <v>5936.8820819999992</v>
      </c>
      <c r="AO456" s="93">
        <f t="shared" si="89"/>
        <v>0.21363893625746466</v>
      </c>
    </row>
    <row r="457" spans="2:41" x14ac:dyDescent="0.25">
      <c r="B457" s="91">
        <v>40015</v>
      </c>
      <c r="C457" s="89">
        <v>95.870002999999997</v>
      </c>
      <c r="D457" s="89">
        <v>95.900002000000001</v>
      </c>
      <c r="E457" s="89">
        <v>94.419998000000007</v>
      </c>
      <c r="F457" s="89">
        <v>95.57</v>
      </c>
      <c r="G457" s="89">
        <v>72.735855000000001</v>
      </c>
      <c r="H457" s="89">
        <v>217718300</v>
      </c>
      <c r="J457" s="89">
        <v>0</v>
      </c>
      <c r="K457" s="89">
        <f t="shared" si="106"/>
        <v>88</v>
      </c>
      <c r="L457" s="89">
        <f t="shared" si="107"/>
        <v>112.621376</v>
      </c>
      <c r="M457" s="89">
        <f>+SPY__2[[#This Row],[Adj Close]]</f>
        <v>72.735855000000001</v>
      </c>
      <c r="N457" s="89">
        <f t="shared" si="102"/>
        <v>6400.7552400000004</v>
      </c>
      <c r="O457" s="90">
        <f t="shared" si="103"/>
        <v>-3509.9258479999999</v>
      </c>
      <c r="P457" s="93">
        <f t="shared" si="104"/>
        <v>-0.35415586646712605</v>
      </c>
      <c r="Q457" s="96"/>
      <c r="R457" s="96"/>
      <c r="T457" s="90">
        <f t="shared" si="98"/>
        <v>95</v>
      </c>
      <c r="U457" s="89">
        <f t="shared" si="99"/>
        <v>103.31428490526316</v>
      </c>
      <c r="V457" s="89">
        <f t="shared" si="100"/>
        <v>72.735855000000001</v>
      </c>
      <c r="W457" s="90">
        <f t="shared" si="105"/>
        <v>6909.9062249999997</v>
      </c>
      <c r="X457" s="93">
        <f t="shared" si="101"/>
        <v>-0.29597484929894147</v>
      </c>
      <c r="AB457" s="89">
        <f t="shared" si="90"/>
        <v>195</v>
      </c>
      <c r="AC457" s="89">
        <f t="shared" si="91"/>
        <v>51.179276000000002</v>
      </c>
      <c r="AD457" s="89">
        <f t="shared" si="92"/>
        <v>72.735855000000001</v>
      </c>
      <c r="AE457" s="89">
        <f t="shared" si="93"/>
        <v>14183.491725</v>
      </c>
      <c r="AF457" s="90">
        <f t="shared" si="96"/>
        <v>4203.532905</v>
      </c>
      <c r="AG457" s="93">
        <f t="shared" si="97"/>
        <v>0.42119741983063608</v>
      </c>
      <c r="AK457" s="90">
        <f t="shared" si="94"/>
        <v>82</v>
      </c>
      <c r="AL457" s="89">
        <f t="shared" si="95"/>
        <v>59.656129048780492</v>
      </c>
      <c r="AM457" s="89">
        <f t="shared" si="87"/>
        <v>72.735855000000001</v>
      </c>
      <c r="AN457" s="90">
        <f t="shared" si="88"/>
        <v>5964.3401100000001</v>
      </c>
      <c r="AO457" s="93">
        <f t="shared" si="89"/>
        <v>0.2192520057834173</v>
      </c>
    </row>
    <row r="458" spans="2:41" x14ac:dyDescent="0.25">
      <c r="B458" s="91">
        <v>40016</v>
      </c>
      <c r="C458" s="89">
        <v>94.959998999999996</v>
      </c>
      <c r="D458" s="89">
        <v>96.129997000000003</v>
      </c>
      <c r="E458" s="89">
        <v>94.889999000000003</v>
      </c>
      <c r="F458" s="89">
        <v>95.550003000000004</v>
      </c>
      <c r="G458" s="89">
        <v>72.720626999999993</v>
      </c>
      <c r="H458" s="89">
        <v>196068100</v>
      </c>
      <c r="J458" s="89">
        <v>0</v>
      </c>
      <c r="K458" s="89">
        <f t="shared" si="106"/>
        <v>88</v>
      </c>
      <c r="L458" s="89">
        <f t="shared" si="107"/>
        <v>112.621376</v>
      </c>
      <c r="M458" s="89">
        <f>+SPY__2[[#This Row],[Adj Close]]</f>
        <v>72.720626999999993</v>
      </c>
      <c r="N458" s="89">
        <f t="shared" si="102"/>
        <v>6399.4151759999995</v>
      </c>
      <c r="O458" s="90">
        <f t="shared" si="103"/>
        <v>-3511.2659120000003</v>
      </c>
      <c r="P458" s="93">
        <f t="shared" si="104"/>
        <v>-0.35429108058491499</v>
      </c>
      <c r="Q458" s="96"/>
      <c r="R458" s="96"/>
      <c r="T458" s="90">
        <f t="shared" si="98"/>
        <v>95</v>
      </c>
      <c r="U458" s="89">
        <f t="shared" si="99"/>
        <v>103.31428490526316</v>
      </c>
      <c r="V458" s="89">
        <f t="shared" si="100"/>
        <v>72.720626999999993</v>
      </c>
      <c r="W458" s="90">
        <f t="shared" si="105"/>
        <v>6908.4595649999992</v>
      </c>
      <c r="X458" s="93">
        <f t="shared" si="101"/>
        <v>-0.29612224421160016</v>
      </c>
      <c r="AB458" s="89">
        <f t="shared" si="90"/>
        <v>195</v>
      </c>
      <c r="AC458" s="89">
        <f t="shared" si="91"/>
        <v>51.179276000000002</v>
      </c>
      <c r="AD458" s="89">
        <f t="shared" si="92"/>
        <v>72.720626999999993</v>
      </c>
      <c r="AE458" s="89">
        <f t="shared" si="93"/>
        <v>14180.522264999998</v>
      </c>
      <c r="AF458" s="90">
        <f t="shared" si="96"/>
        <v>4200.563444999998</v>
      </c>
      <c r="AG458" s="93">
        <f t="shared" si="97"/>
        <v>0.42089987752073688</v>
      </c>
      <c r="AK458" s="90">
        <f t="shared" si="94"/>
        <v>82</v>
      </c>
      <c r="AL458" s="89">
        <f t="shared" si="95"/>
        <v>59.656129048780492</v>
      </c>
      <c r="AM458" s="89">
        <f t="shared" si="87"/>
        <v>72.720626999999993</v>
      </c>
      <c r="AN458" s="90">
        <f t="shared" si="88"/>
        <v>5963.0914139999995</v>
      </c>
      <c r="AO458" s="93">
        <f t="shared" si="89"/>
        <v>0.21899674282481074</v>
      </c>
    </row>
    <row r="459" spans="2:41" x14ac:dyDescent="0.25">
      <c r="B459" s="91">
        <v>40017</v>
      </c>
      <c r="C459" s="89">
        <v>95.610000999999997</v>
      </c>
      <c r="D459" s="89">
        <v>98.080001999999993</v>
      </c>
      <c r="E459" s="89">
        <v>95.529999000000004</v>
      </c>
      <c r="F459" s="89">
        <v>97.660004000000001</v>
      </c>
      <c r="G459" s="89">
        <v>74.326485000000005</v>
      </c>
      <c r="H459" s="89">
        <v>258795500</v>
      </c>
      <c r="J459" s="89">
        <v>0</v>
      </c>
      <c r="K459" s="89">
        <f t="shared" si="106"/>
        <v>88</v>
      </c>
      <c r="L459" s="89">
        <f t="shared" si="107"/>
        <v>112.621376</v>
      </c>
      <c r="M459" s="89">
        <f>+SPY__2[[#This Row],[Adj Close]]</f>
        <v>74.326485000000005</v>
      </c>
      <c r="N459" s="89">
        <f t="shared" si="102"/>
        <v>6540.7306800000006</v>
      </c>
      <c r="O459" s="90">
        <f t="shared" si="103"/>
        <v>-3369.9504079999992</v>
      </c>
      <c r="P459" s="93">
        <f t="shared" si="104"/>
        <v>-0.34003217115727646</v>
      </c>
      <c r="Q459" s="96"/>
      <c r="R459" s="96"/>
      <c r="T459" s="90">
        <f t="shared" si="98"/>
        <v>95</v>
      </c>
      <c r="U459" s="89">
        <f t="shared" si="99"/>
        <v>103.31428490526316</v>
      </c>
      <c r="V459" s="89">
        <f t="shared" si="100"/>
        <v>74.326485000000005</v>
      </c>
      <c r="W459" s="90">
        <f t="shared" si="105"/>
        <v>7061.0160750000005</v>
      </c>
      <c r="X459" s="93">
        <f t="shared" si="101"/>
        <v>-0.28057881765183112</v>
      </c>
      <c r="AB459" s="89">
        <f t="shared" si="90"/>
        <v>195</v>
      </c>
      <c r="AC459" s="89">
        <f t="shared" si="91"/>
        <v>51.179276000000002</v>
      </c>
      <c r="AD459" s="89">
        <f t="shared" si="92"/>
        <v>74.326485000000005</v>
      </c>
      <c r="AE459" s="89">
        <f t="shared" si="93"/>
        <v>14493.664575000001</v>
      </c>
      <c r="AF459" s="90">
        <f t="shared" si="96"/>
        <v>4513.7057550000009</v>
      </c>
      <c r="AG459" s="93">
        <f t="shared" si="97"/>
        <v>0.45227699196057403</v>
      </c>
      <c r="AK459" s="90">
        <f t="shared" si="94"/>
        <v>82</v>
      </c>
      <c r="AL459" s="89">
        <f t="shared" si="95"/>
        <v>59.656129048780492</v>
      </c>
      <c r="AM459" s="89">
        <f t="shared" si="87"/>
        <v>74.326485000000005</v>
      </c>
      <c r="AN459" s="90">
        <f t="shared" si="88"/>
        <v>6094.7717700000003</v>
      </c>
      <c r="AO459" s="93">
        <f t="shared" si="89"/>
        <v>0.24591531809285927</v>
      </c>
    </row>
    <row r="460" spans="2:41" x14ac:dyDescent="0.25">
      <c r="B460" s="91">
        <v>40018</v>
      </c>
      <c r="C460" s="89">
        <v>97.199996999999996</v>
      </c>
      <c r="D460" s="89">
        <v>98.139999000000003</v>
      </c>
      <c r="E460" s="89">
        <v>96.690002000000007</v>
      </c>
      <c r="F460" s="89">
        <v>98.059997999999993</v>
      </c>
      <c r="G460" s="89">
        <v>74.630913000000007</v>
      </c>
      <c r="H460" s="89">
        <v>154003100</v>
      </c>
      <c r="J460" s="89">
        <v>0</v>
      </c>
      <c r="K460" s="89">
        <f t="shared" si="106"/>
        <v>88</v>
      </c>
      <c r="L460" s="89">
        <f t="shared" si="107"/>
        <v>112.621376</v>
      </c>
      <c r="M460" s="89">
        <f>+SPY__2[[#This Row],[Adj Close]]</f>
        <v>74.630913000000007</v>
      </c>
      <c r="N460" s="89">
        <f t="shared" si="102"/>
        <v>6567.5203440000005</v>
      </c>
      <c r="O460" s="90">
        <f t="shared" si="103"/>
        <v>-3343.1607439999993</v>
      </c>
      <c r="P460" s="93">
        <f t="shared" si="104"/>
        <v>-0.33732906087029157</v>
      </c>
      <c r="Q460" s="96"/>
      <c r="R460" s="96"/>
      <c r="T460" s="90">
        <f t="shared" si="98"/>
        <v>95</v>
      </c>
      <c r="U460" s="89">
        <f t="shared" si="99"/>
        <v>103.31428490526316</v>
      </c>
      <c r="V460" s="89">
        <f t="shared" si="100"/>
        <v>74.630913000000007</v>
      </c>
      <c r="W460" s="90">
        <f t="shared" si="105"/>
        <v>7089.9367350000002</v>
      </c>
      <c r="X460" s="93">
        <f t="shared" si="101"/>
        <v>-0.27763219705353581</v>
      </c>
      <c r="AB460" s="89">
        <f t="shared" si="90"/>
        <v>195</v>
      </c>
      <c r="AC460" s="89">
        <f t="shared" si="91"/>
        <v>51.179276000000002</v>
      </c>
      <c r="AD460" s="89">
        <f t="shared" si="92"/>
        <v>74.630913000000007</v>
      </c>
      <c r="AE460" s="89">
        <f t="shared" si="93"/>
        <v>14553.028035000001</v>
      </c>
      <c r="AF460" s="90">
        <f t="shared" si="96"/>
        <v>4573.0692150000013</v>
      </c>
      <c r="AG460" s="93">
        <f t="shared" si="97"/>
        <v>0.45822525898959587</v>
      </c>
      <c r="AK460" s="90">
        <f t="shared" si="94"/>
        <v>82</v>
      </c>
      <c r="AL460" s="89">
        <f t="shared" si="95"/>
        <v>59.656129048780492</v>
      </c>
      <c r="AM460" s="89">
        <f t="shared" si="87"/>
        <v>74.630913000000007</v>
      </c>
      <c r="AN460" s="90">
        <f t="shared" si="88"/>
        <v>6119.7348660000007</v>
      </c>
      <c r="AO460" s="93">
        <f t="shared" si="89"/>
        <v>0.25101836458370808</v>
      </c>
    </row>
    <row r="461" spans="2:41" x14ac:dyDescent="0.25">
      <c r="B461" s="91">
        <v>40021</v>
      </c>
      <c r="C461" s="89">
        <v>97.879997000000003</v>
      </c>
      <c r="D461" s="89">
        <v>98.400002000000001</v>
      </c>
      <c r="E461" s="89">
        <v>97.339995999999999</v>
      </c>
      <c r="F461" s="89">
        <v>98.349997999999999</v>
      </c>
      <c r="G461" s="89">
        <v>74.851639000000006</v>
      </c>
      <c r="H461" s="89">
        <v>159259400</v>
      </c>
      <c r="J461" s="89">
        <v>0</v>
      </c>
      <c r="K461" s="89">
        <f t="shared" si="106"/>
        <v>88</v>
      </c>
      <c r="L461" s="89">
        <f t="shared" si="107"/>
        <v>112.621376</v>
      </c>
      <c r="M461" s="89">
        <f>+SPY__2[[#This Row],[Adj Close]]</f>
        <v>74.851639000000006</v>
      </c>
      <c r="N461" s="89">
        <f t="shared" si="102"/>
        <v>6586.9442320000007</v>
      </c>
      <c r="O461" s="90">
        <f t="shared" si="103"/>
        <v>-3323.7368559999995</v>
      </c>
      <c r="P461" s="93">
        <f t="shared" si="104"/>
        <v>-0.33536916650707582</v>
      </c>
      <c r="Q461" s="96"/>
      <c r="R461" s="96"/>
      <c r="T461" s="90">
        <f t="shared" si="98"/>
        <v>95</v>
      </c>
      <c r="U461" s="89">
        <f t="shared" si="99"/>
        <v>103.31428490526316</v>
      </c>
      <c r="V461" s="89">
        <f t="shared" si="100"/>
        <v>74.851639000000006</v>
      </c>
      <c r="W461" s="90">
        <f t="shared" si="105"/>
        <v>7110.9057050000001</v>
      </c>
      <c r="X461" s="93">
        <f t="shared" si="101"/>
        <v>-0.27549574515627495</v>
      </c>
      <c r="AB461" s="89">
        <f t="shared" si="90"/>
        <v>195</v>
      </c>
      <c r="AC461" s="89">
        <f t="shared" si="91"/>
        <v>51.179276000000002</v>
      </c>
      <c r="AD461" s="89">
        <f t="shared" si="92"/>
        <v>74.851639000000006</v>
      </c>
      <c r="AE461" s="89">
        <f t="shared" si="93"/>
        <v>14596.069605000001</v>
      </c>
      <c r="AF461" s="90">
        <f t="shared" si="96"/>
        <v>4616.1107850000008</v>
      </c>
      <c r="AG461" s="93">
        <f t="shared" si="97"/>
        <v>0.46253805935042935</v>
      </c>
      <c r="AK461" s="90">
        <f t="shared" si="94"/>
        <v>82</v>
      </c>
      <c r="AL461" s="89">
        <f t="shared" si="95"/>
        <v>59.656129048780492</v>
      </c>
      <c r="AM461" s="89">
        <f t="shared" si="87"/>
        <v>74.851639000000006</v>
      </c>
      <c r="AN461" s="90">
        <f t="shared" si="88"/>
        <v>6137.8343980000009</v>
      </c>
      <c r="AO461" s="93">
        <f t="shared" si="89"/>
        <v>0.25471833646454378</v>
      </c>
    </row>
    <row r="462" spans="2:41" x14ac:dyDescent="0.25">
      <c r="B462" s="91">
        <v>40022</v>
      </c>
      <c r="C462" s="89">
        <v>97.660004000000001</v>
      </c>
      <c r="D462" s="89">
        <v>98.370002999999997</v>
      </c>
      <c r="E462" s="89">
        <v>97.059997999999993</v>
      </c>
      <c r="F462" s="89">
        <v>97.889999000000003</v>
      </c>
      <c r="G462" s="89">
        <v>74.501548999999997</v>
      </c>
      <c r="H462" s="89">
        <v>186685200</v>
      </c>
      <c r="J462" s="89">
        <v>0</v>
      </c>
      <c r="K462" s="89">
        <f t="shared" si="106"/>
        <v>88</v>
      </c>
      <c r="L462" s="89">
        <f t="shared" si="107"/>
        <v>112.621376</v>
      </c>
      <c r="M462" s="89">
        <f>+SPY__2[[#This Row],[Adj Close]]</f>
        <v>74.501548999999997</v>
      </c>
      <c r="N462" s="89">
        <f t="shared" si="102"/>
        <v>6556.1363119999996</v>
      </c>
      <c r="O462" s="90">
        <f t="shared" si="103"/>
        <v>-3354.5447760000002</v>
      </c>
      <c r="P462" s="93">
        <f t="shared" si="104"/>
        <v>-0.33847772380262875</v>
      </c>
      <c r="Q462" s="96"/>
      <c r="R462" s="96"/>
      <c r="T462" s="90">
        <f t="shared" si="98"/>
        <v>95</v>
      </c>
      <c r="U462" s="89">
        <f t="shared" si="99"/>
        <v>103.31428490526316</v>
      </c>
      <c r="V462" s="89">
        <f t="shared" si="100"/>
        <v>74.501548999999997</v>
      </c>
      <c r="W462" s="90">
        <f t="shared" si="105"/>
        <v>7077.6471549999997</v>
      </c>
      <c r="X462" s="93">
        <f t="shared" si="101"/>
        <v>-0.27888433755006659</v>
      </c>
      <c r="AB462" s="89">
        <f t="shared" si="90"/>
        <v>195</v>
      </c>
      <c r="AC462" s="89">
        <f t="shared" si="91"/>
        <v>51.179276000000002</v>
      </c>
      <c r="AD462" s="89">
        <f t="shared" si="92"/>
        <v>74.501548999999997</v>
      </c>
      <c r="AE462" s="89">
        <f t="shared" si="93"/>
        <v>14527.802055</v>
      </c>
      <c r="AF462" s="90">
        <f t="shared" si="96"/>
        <v>4547.8432349999994</v>
      </c>
      <c r="AG462" s="93">
        <f t="shared" si="97"/>
        <v>0.45569759525320364</v>
      </c>
      <c r="AK462" s="90">
        <f t="shared" si="94"/>
        <v>82</v>
      </c>
      <c r="AL462" s="89">
        <f t="shared" si="95"/>
        <v>59.656129048780492</v>
      </c>
      <c r="AM462" s="89">
        <f t="shared" si="87"/>
        <v>74.501548999999997</v>
      </c>
      <c r="AN462" s="90">
        <f t="shared" si="88"/>
        <v>6109.1270180000001</v>
      </c>
      <c r="AO462" s="93">
        <f t="shared" si="89"/>
        <v>0.24884986987808899</v>
      </c>
    </row>
    <row r="463" spans="2:41" x14ac:dyDescent="0.25">
      <c r="B463" s="91">
        <v>40023</v>
      </c>
      <c r="C463" s="89">
        <v>97.440002000000007</v>
      </c>
      <c r="D463" s="89">
        <v>98.089995999999999</v>
      </c>
      <c r="E463" s="89">
        <v>96.980002999999996</v>
      </c>
      <c r="F463" s="89">
        <v>97.650002000000001</v>
      </c>
      <c r="G463" s="89">
        <v>74.318893000000003</v>
      </c>
      <c r="H463" s="89">
        <v>194399300</v>
      </c>
      <c r="J463" s="89">
        <v>0</v>
      </c>
      <c r="K463" s="89">
        <f t="shared" si="106"/>
        <v>88</v>
      </c>
      <c r="L463" s="89">
        <f t="shared" si="107"/>
        <v>112.621376</v>
      </c>
      <c r="M463" s="89">
        <f>+SPY__2[[#This Row],[Adj Close]]</f>
        <v>74.318893000000003</v>
      </c>
      <c r="N463" s="89">
        <f t="shared" si="102"/>
        <v>6540.0625840000002</v>
      </c>
      <c r="O463" s="90">
        <f t="shared" si="103"/>
        <v>-3370.6185039999996</v>
      </c>
      <c r="P463" s="93">
        <f t="shared" si="104"/>
        <v>-0.34009958287137243</v>
      </c>
      <c r="Q463" s="96"/>
      <c r="R463" s="96"/>
      <c r="T463" s="90">
        <f t="shared" si="98"/>
        <v>95</v>
      </c>
      <c r="U463" s="89">
        <f t="shared" si="99"/>
        <v>103.31428490526316</v>
      </c>
      <c r="V463" s="89">
        <f t="shared" si="100"/>
        <v>74.318893000000003</v>
      </c>
      <c r="W463" s="90">
        <f t="shared" si="105"/>
        <v>7060.2948350000006</v>
      </c>
      <c r="X463" s="93">
        <f t="shared" si="101"/>
        <v>-0.28065230216568082</v>
      </c>
      <c r="AB463" s="89">
        <f t="shared" si="90"/>
        <v>195</v>
      </c>
      <c r="AC463" s="89">
        <f t="shared" si="91"/>
        <v>51.179276000000002</v>
      </c>
      <c r="AD463" s="89">
        <f t="shared" si="92"/>
        <v>74.318893000000003</v>
      </c>
      <c r="AE463" s="89">
        <f t="shared" si="93"/>
        <v>14492.184135000001</v>
      </c>
      <c r="AF463" s="90">
        <f t="shared" si="96"/>
        <v>4512.2253150000006</v>
      </c>
      <c r="AG463" s="93">
        <f t="shared" si="97"/>
        <v>0.4521286506671176</v>
      </c>
      <c r="AK463" s="90">
        <f t="shared" si="94"/>
        <v>82</v>
      </c>
      <c r="AL463" s="89">
        <f t="shared" si="95"/>
        <v>59.656129048780492</v>
      </c>
      <c r="AM463" s="89">
        <f t="shared" si="87"/>
        <v>74.318893000000003</v>
      </c>
      <c r="AN463" s="90">
        <f t="shared" si="88"/>
        <v>6094.1492260000005</v>
      </c>
      <c r="AO463" s="93">
        <f t="shared" si="89"/>
        <v>0.24578805539376947</v>
      </c>
    </row>
    <row r="464" spans="2:41" x14ac:dyDescent="0.25">
      <c r="B464" s="91">
        <v>40024</v>
      </c>
      <c r="C464" s="89">
        <v>98.830001999999993</v>
      </c>
      <c r="D464" s="89">
        <v>99.830001999999993</v>
      </c>
      <c r="E464" s="89">
        <v>98.599997999999999</v>
      </c>
      <c r="F464" s="89">
        <v>98.669998000000007</v>
      </c>
      <c r="G464" s="89">
        <v>75.095177000000007</v>
      </c>
      <c r="H464" s="89">
        <v>225575400</v>
      </c>
      <c r="J464" s="89">
        <v>0</v>
      </c>
      <c r="K464" s="89">
        <f t="shared" si="106"/>
        <v>88</v>
      </c>
      <c r="L464" s="89">
        <f t="shared" si="107"/>
        <v>112.621376</v>
      </c>
      <c r="M464" s="89">
        <f>+SPY__2[[#This Row],[Adj Close]]</f>
        <v>75.095177000000007</v>
      </c>
      <c r="N464" s="89">
        <f t="shared" si="102"/>
        <v>6608.3755760000004</v>
      </c>
      <c r="O464" s="90">
        <f t="shared" si="103"/>
        <v>-3302.305511999999</v>
      </c>
      <c r="P464" s="93">
        <f t="shared" si="104"/>
        <v>-0.33320671734644758</v>
      </c>
      <c r="Q464" s="96"/>
      <c r="R464" s="96"/>
      <c r="T464" s="90">
        <f t="shared" si="98"/>
        <v>95</v>
      </c>
      <c r="U464" s="89">
        <f t="shared" si="99"/>
        <v>103.31428490526316</v>
      </c>
      <c r="V464" s="89">
        <f t="shared" si="100"/>
        <v>75.095177000000007</v>
      </c>
      <c r="W464" s="90">
        <f t="shared" si="105"/>
        <v>7134.0418150000005</v>
      </c>
      <c r="X464" s="93">
        <f t="shared" si="101"/>
        <v>-0.27313849126613454</v>
      </c>
      <c r="AB464" s="89">
        <f t="shared" si="90"/>
        <v>195</v>
      </c>
      <c r="AC464" s="89">
        <f t="shared" si="91"/>
        <v>51.179276000000002</v>
      </c>
      <c r="AD464" s="89">
        <f t="shared" si="92"/>
        <v>75.095177000000007</v>
      </c>
      <c r="AE464" s="89">
        <f t="shared" si="93"/>
        <v>14643.559515000001</v>
      </c>
      <c r="AF464" s="90">
        <f t="shared" si="96"/>
        <v>4663.600695000001</v>
      </c>
      <c r="AG464" s="93">
        <f t="shared" si="97"/>
        <v>0.46729658700134813</v>
      </c>
      <c r="AK464" s="90">
        <f t="shared" si="94"/>
        <v>82</v>
      </c>
      <c r="AL464" s="89">
        <f t="shared" si="95"/>
        <v>59.656129048780492</v>
      </c>
      <c r="AM464" s="89">
        <f t="shared" si="87"/>
        <v>75.095177000000007</v>
      </c>
      <c r="AN464" s="90">
        <f t="shared" si="88"/>
        <v>6157.8045140000004</v>
      </c>
      <c r="AO464" s="93">
        <f t="shared" si="89"/>
        <v>0.25880069990118004</v>
      </c>
    </row>
    <row r="465" spans="2:41" x14ac:dyDescent="0.25">
      <c r="B465" s="91">
        <v>40025</v>
      </c>
      <c r="C465" s="89">
        <v>98.650002000000001</v>
      </c>
      <c r="D465" s="89">
        <v>99.470000999999996</v>
      </c>
      <c r="E465" s="89">
        <v>98.379997000000003</v>
      </c>
      <c r="F465" s="89">
        <v>98.809997999999993</v>
      </c>
      <c r="G465" s="89">
        <v>75.201751999999999</v>
      </c>
      <c r="H465" s="89">
        <v>207358000</v>
      </c>
      <c r="J465" s="89">
        <v>0</v>
      </c>
      <c r="K465" s="89">
        <f t="shared" si="106"/>
        <v>88</v>
      </c>
      <c r="L465" s="89">
        <f t="shared" si="107"/>
        <v>112.621376</v>
      </c>
      <c r="M465" s="89">
        <f>+SPY__2[[#This Row],[Adj Close]]</f>
        <v>75.201751999999999</v>
      </c>
      <c r="N465" s="89">
        <f t="shared" si="102"/>
        <v>6617.7541760000004</v>
      </c>
      <c r="O465" s="90">
        <f t="shared" si="103"/>
        <v>-3292.9269119999999</v>
      </c>
      <c r="P465" s="93">
        <f t="shared" si="104"/>
        <v>-0.33226040498741549</v>
      </c>
      <c r="Q465" s="96"/>
      <c r="R465" s="96"/>
      <c r="T465" s="90">
        <f t="shared" si="98"/>
        <v>95</v>
      </c>
      <c r="U465" s="89">
        <f t="shared" si="99"/>
        <v>103.31428490526316</v>
      </c>
      <c r="V465" s="89">
        <f t="shared" si="100"/>
        <v>75.201751999999999</v>
      </c>
      <c r="W465" s="90">
        <f t="shared" si="105"/>
        <v>7144.16644</v>
      </c>
      <c r="X465" s="93">
        <f t="shared" si="101"/>
        <v>-0.27210693014080012</v>
      </c>
      <c r="AB465" s="89">
        <f t="shared" si="90"/>
        <v>195</v>
      </c>
      <c r="AC465" s="89">
        <f t="shared" si="91"/>
        <v>51.179276000000002</v>
      </c>
      <c r="AD465" s="89">
        <f t="shared" si="92"/>
        <v>75.201751999999999</v>
      </c>
      <c r="AE465" s="89">
        <f t="shared" si="93"/>
        <v>14664.341640000001</v>
      </c>
      <c r="AF465" s="90">
        <f t="shared" si="96"/>
        <v>4684.3828199999998</v>
      </c>
      <c r="AG465" s="93">
        <f t="shared" si="97"/>
        <v>0.46937897284830665</v>
      </c>
      <c r="AK465" s="90">
        <f t="shared" si="94"/>
        <v>82</v>
      </c>
      <c r="AL465" s="89">
        <f t="shared" si="95"/>
        <v>59.656129048780492</v>
      </c>
      <c r="AM465" s="89">
        <f t="shared" si="87"/>
        <v>75.201751999999999</v>
      </c>
      <c r="AN465" s="90">
        <f t="shared" si="88"/>
        <v>6166.5436639999998</v>
      </c>
      <c r="AO465" s="93">
        <f t="shared" si="89"/>
        <v>0.2605871885939488</v>
      </c>
    </row>
    <row r="466" spans="2:41" x14ac:dyDescent="0.25">
      <c r="B466" s="91">
        <v>40028</v>
      </c>
      <c r="C466" s="89">
        <v>99.849997999999999</v>
      </c>
      <c r="D466" s="89">
        <v>100.529999</v>
      </c>
      <c r="E466" s="89">
        <v>99.309997999999993</v>
      </c>
      <c r="F466" s="89">
        <v>100.44000200000001</v>
      </c>
      <c r="G466" s="89">
        <v>76.442299000000006</v>
      </c>
      <c r="H466" s="89">
        <v>175776900</v>
      </c>
      <c r="J466" s="89">
        <v>0</v>
      </c>
      <c r="K466" s="89">
        <f t="shared" si="106"/>
        <v>88</v>
      </c>
      <c r="L466" s="89">
        <f t="shared" si="107"/>
        <v>112.621376</v>
      </c>
      <c r="M466" s="89">
        <f>+SPY__2[[#This Row],[Adj Close]]</f>
        <v>76.442299000000006</v>
      </c>
      <c r="N466" s="89">
        <f t="shared" si="102"/>
        <v>6726.9223120000006</v>
      </c>
      <c r="O466" s="90">
        <f t="shared" si="103"/>
        <v>-3183.7587759999992</v>
      </c>
      <c r="P466" s="93">
        <f t="shared" si="104"/>
        <v>-0.3212452048179556</v>
      </c>
      <c r="Q466" s="96"/>
      <c r="R466" s="96"/>
      <c r="T466" s="90">
        <f t="shared" si="98"/>
        <v>95</v>
      </c>
      <c r="U466" s="89">
        <f t="shared" si="99"/>
        <v>103.31428490526316</v>
      </c>
      <c r="V466" s="89">
        <f t="shared" si="100"/>
        <v>76.442299000000006</v>
      </c>
      <c r="W466" s="90">
        <f t="shared" si="105"/>
        <v>7262.0184050000007</v>
      </c>
      <c r="X466" s="93">
        <f t="shared" si="101"/>
        <v>-0.26009942313305612</v>
      </c>
      <c r="AB466" s="89">
        <f t="shared" si="90"/>
        <v>195</v>
      </c>
      <c r="AC466" s="89">
        <f t="shared" si="91"/>
        <v>51.179276000000002</v>
      </c>
      <c r="AD466" s="89">
        <f t="shared" si="92"/>
        <v>76.442299000000006</v>
      </c>
      <c r="AE466" s="89">
        <f t="shared" si="93"/>
        <v>14906.248305000001</v>
      </c>
      <c r="AF466" s="90">
        <f t="shared" si="96"/>
        <v>4926.2894850000012</v>
      </c>
      <c r="AG466" s="93">
        <f t="shared" si="97"/>
        <v>0.4936182176551307</v>
      </c>
      <c r="AK466" s="90">
        <f t="shared" si="94"/>
        <v>82</v>
      </c>
      <c r="AL466" s="89">
        <f t="shared" si="95"/>
        <v>59.656129048780492</v>
      </c>
      <c r="AM466" s="89">
        <f t="shared" si="87"/>
        <v>76.442299000000006</v>
      </c>
      <c r="AN466" s="90">
        <f t="shared" si="88"/>
        <v>6268.2685180000008</v>
      </c>
      <c r="AO466" s="93">
        <f t="shared" si="89"/>
        <v>0.28138215165609481</v>
      </c>
    </row>
    <row r="467" spans="2:41" x14ac:dyDescent="0.25">
      <c r="B467" s="91">
        <v>40029</v>
      </c>
      <c r="C467" s="89">
        <v>99.989998</v>
      </c>
      <c r="D467" s="89">
        <v>100.839996</v>
      </c>
      <c r="E467" s="89">
        <v>99.779999000000004</v>
      </c>
      <c r="F467" s="89">
        <v>100.699997</v>
      </c>
      <c r="G467" s="89">
        <v>76.640159999999995</v>
      </c>
      <c r="H467" s="89">
        <v>176714600</v>
      </c>
      <c r="J467" s="89">
        <v>0</v>
      </c>
      <c r="K467" s="89">
        <f t="shared" si="106"/>
        <v>88</v>
      </c>
      <c r="L467" s="89">
        <f t="shared" si="107"/>
        <v>112.621376</v>
      </c>
      <c r="M467" s="89">
        <f>+SPY__2[[#This Row],[Adj Close]]</f>
        <v>76.640159999999995</v>
      </c>
      <c r="N467" s="89">
        <f t="shared" si="102"/>
        <v>6744.3340799999996</v>
      </c>
      <c r="O467" s="90">
        <f t="shared" si="103"/>
        <v>-3166.3470080000002</v>
      </c>
      <c r="P467" s="93">
        <f t="shared" si="104"/>
        <v>-0.31948833585553071</v>
      </c>
      <c r="Q467" s="96"/>
      <c r="R467" s="96"/>
      <c r="T467" s="90">
        <f t="shared" si="98"/>
        <v>95</v>
      </c>
      <c r="U467" s="89">
        <f t="shared" si="99"/>
        <v>103.31428490526316</v>
      </c>
      <c r="V467" s="89">
        <f t="shared" si="100"/>
        <v>76.640159999999995</v>
      </c>
      <c r="W467" s="90">
        <f t="shared" si="105"/>
        <v>7280.8151999999991</v>
      </c>
      <c r="X467" s="93">
        <f t="shared" si="101"/>
        <v>-0.2581842862264665</v>
      </c>
      <c r="AB467" s="89">
        <f t="shared" si="90"/>
        <v>195</v>
      </c>
      <c r="AC467" s="89">
        <f t="shared" si="91"/>
        <v>51.179276000000002</v>
      </c>
      <c r="AD467" s="89">
        <f t="shared" si="92"/>
        <v>76.640159999999995</v>
      </c>
      <c r="AE467" s="89">
        <f t="shared" si="93"/>
        <v>14944.831199999999</v>
      </c>
      <c r="AF467" s="90">
        <f t="shared" si="96"/>
        <v>4964.8723799999989</v>
      </c>
      <c r="AG467" s="93">
        <f t="shared" si="97"/>
        <v>0.49748425515046346</v>
      </c>
      <c r="AK467" s="90">
        <f t="shared" si="94"/>
        <v>82</v>
      </c>
      <c r="AL467" s="89">
        <f t="shared" si="95"/>
        <v>59.656129048780492</v>
      </c>
      <c r="AM467" s="89">
        <f t="shared" si="87"/>
        <v>76.640159999999995</v>
      </c>
      <c r="AN467" s="90">
        <f t="shared" si="88"/>
        <v>6284.4931199999992</v>
      </c>
      <c r="AO467" s="93">
        <f t="shared" si="89"/>
        <v>0.28469884355607022</v>
      </c>
    </row>
    <row r="468" spans="2:41" x14ac:dyDescent="0.25">
      <c r="B468" s="91">
        <v>40030</v>
      </c>
      <c r="C468" s="89">
        <v>100.769997</v>
      </c>
      <c r="D468" s="89">
        <v>100.860001</v>
      </c>
      <c r="E468" s="89">
        <v>99.580001999999993</v>
      </c>
      <c r="F468" s="89">
        <v>100.410004</v>
      </c>
      <c r="G468" s="89">
        <v>76.419455999999997</v>
      </c>
      <c r="H468" s="89">
        <v>184726400</v>
      </c>
      <c r="J468" s="89">
        <v>0</v>
      </c>
      <c r="K468" s="89">
        <f t="shared" si="106"/>
        <v>88</v>
      </c>
      <c r="L468" s="89">
        <f t="shared" si="107"/>
        <v>112.621376</v>
      </c>
      <c r="M468" s="89">
        <f>+SPY__2[[#This Row],[Adj Close]]</f>
        <v>76.419455999999997</v>
      </c>
      <c r="N468" s="89">
        <f t="shared" si="102"/>
        <v>6724.9121279999999</v>
      </c>
      <c r="O468" s="90">
        <f t="shared" si="103"/>
        <v>-3185.7689600000003</v>
      </c>
      <c r="P468" s="93">
        <f t="shared" si="104"/>
        <v>-0.32144803487394791</v>
      </c>
      <c r="Q468" s="96"/>
      <c r="R468" s="96"/>
      <c r="T468" s="90">
        <f t="shared" si="98"/>
        <v>95</v>
      </c>
      <c r="U468" s="89">
        <f t="shared" si="99"/>
        <v>103.31428490526316</v>
      </c>
      <c r="V468" s="89">
        <f t="shared" si="100"/>
        <v>76.419455999999997</v>
      </c>
      <c r="W468" s="90">
        <f t="shared" si="105"/>
        <v>7259.8483200000001</v>
      </c>
      <c r="X468" s="93">
        <f t="shared" si="101"/>
        <v>-0.26032052518124771</v>
      </c>
      <c r="AB468" s="89">
        <f t="shared" si="90"/>
        <v>195</v>
      </c>
      <c r="AC468" s="89">
        <f t="shared" si="91"/>
        <v>51.179276000000002</v>
      </c>
      <c r="AD468" s="89">
        <f t="shared" si="92"/>
        <v>76.419455999999997</v>
      </c>
      <c r="AE468" s="89">
        <f t="shared" si="93"/>
        <v>14901.79392</v>
      </c>
      <c r="AF468" s="90">
        <f t="shared" si="96"/>
        <v>4921.8350999999993</v>
      </c>
      <c r="AG468" s="93">
        <f t="shared" si="97"/>
        <v>0.49317188465112305</v>
      </c>
      <c r="AK468" s="90">
        <f t="shared" si="94"/>
        <v>82</v>
      </c>
      <c r="AL468" s="89">
        <f t="shared" si="95"/>
        <v>59.656129048780492</v>
      </c>
      <c r="AM468" s="89">
        <f t="shared" si="87"/>
        <v>76.419455999999997</v>
      </c>
      <c r="AN468" s="90">
        <f t="shared" si="88"/>
        <v>6266.3953919999994</v>
      </c>
      <c r="AO468" s="93">
        <f t="shared" si="89"/>
        <v>0.280999240455448</v>
      </c>
    </row>
    <row r="469" spans="2:41" x14ac:dyDescent="0.25">
      <c r="B469" s="91">
        <v>40031</v>
      </c>
      <c r="C469" s="89">
        <v>100.870003</v>
      </c>
      <c r="D469" s="89">
        <v>101.019997</v>
      </c>
      <c r="E469" s="89">
        <v>99.419998000000007</v>
      </c>
      <c r="F469" s="89">
        <v>99.889999000000003</v>
      </c>
      <c r="G469" s="89">
        <v>76.023696999999999</v>
      </c>
      <c r="H469" s="89">
        <v>193203800</v>
      </c>
      <c r="J469" s="89">
        <v>0</v>
      </c>
      <c r="K469" s="89">
        <f t="shared" si="106"/>
        <v>88</v>
      </c>
      <c r="L469" s="89">
        <f t="shared" si="107"/>
        <v>112.621376</v>
      </c>
      <c r="M469" s="89">
        <f>+SPY__2[[#This Row],[Adj Close]]</f>
        <v>76.023696999999999</v>
      </c>
      <c r="N469" s="89">
        <f t="shared" si="102"/>
        <v>6690.0853360000001</v>
      </c>
      <c r="O469" s="90">
        <f t="shared" si="103"/>
        <v>-3220.5957520000002</v>
      </c>
      <c r="P469" s="93">
        <f t="shared" si="104"/>
        <v>-0.32496210133323178</v>
      </c>
      <c r="Q469" s="96"/>
      <c r="R469" s="96"/>
      <c r="T469" s="90">
        <f t="shared" si="98"/>
        <v>95</v>
      </c>
      <c r="U469" s="89">
        <f t="shared" si="99"/>
        <v>103.31428490526316</v>
      </c>
      <c r="V469" s="89">
        <f t="shared" si="100"/>
        <v>76.023696999999999</v>
      </c>
      <c r="W469" s="90">
        <f t="shared" si="105"/>
        <v>7222.2512150000002</v>
      </c>
      <c r="X469" s="93">
        <f t="shared" si="101"/>
        <v>-0.26415115712496107</v>
      </c>
      <c r="AB469" s="89">
        <f t="shared" si="90"/>
        <v>195</v>
      </c>
      <c r="AC469" s="89">
        <f t="shared" si="91"/>
        <v>51.179276000000002</v>
      </c>
      <c r="AD469" s="89">
        <f t="shared" si="92"/>
        <v>76.023696999999999</v>
      </c>
      <c r="AE469" s="89">
        <f t="shared" si="93"/>
        <v>14824.620915</v>
      </c>
      <c r="AF469" s="90">
        <f t="shared" si="96"/>
        <v>4844.6620949999997</v>
      </c>
      <c r="AG469" s="93">
        <f t="shared" si="97"/>
        <v>0.48543908671158209</v>
      </c>
      <c r="AK469" s="90">
        <f t="shared" si="94"/>
        <v>82</v>
      </c>
      <c r="AL469" s="89">
        <f t="shared" si="95"/>
        <v>59.656129048780492</v>
      </c>
      <c r="AM469" s="89">
        <f t="shared" si="87"/>
        <v>76.023696999999999</v>
      </c>
      <c r="AN469" s="90">
        <f t="shared" si="88"/>
        <v>6233.9431539999996</v>
      </c>
      <c r="AO469" s="93">
        <f t="shared" si="89"/>
        <v>0.27436523643422839</v>
      </c>
    </row>
    <row r="470" spans="2:41" x14ac:dyDescent="0.25">
      <c r="B470" s="91">
        <v>40032</v>
      </c>
      <c r="C470" s="89">
        <v>100.94000200000001</v>
      </c>
      <c r="D470" s="89">
        <v>102.029999</v>
      </c>
      <c r="E470" s="89">
        <v>100.389999</v>
      </c>
      <c r="F470" s="89">
        <v>101.199997</v>
      </c>
      <c r="G470" s="89">
        <v>77.020690999999999</v>
      </c>
      <c r="H470" s="89">
        <v>220640900</v>
      </c>
      <c r="J470" s="89">
        <v>0</v>
      </c>
      <c r="K470" s="89">
        <f t="shared" si="106"/>
        <v>88</v>
      </c>
      <c r="L470" s="89">
        <f t="shared" si="107"/>
        <v>112.621376</v>
      </c>
      <c r="M470" s="89">
        <f>+SPY__2[[#This Row],[Adj Close]]</f>
        <v>77.020690999999999</v>
      </c>
      <c r="N470" s="89">
        <f t="shared" si="102"/>
        <v>6777.8208080000004</v>
      </c>
      <c r="O470" s="90">
        <f t="shared" si="103"/>
        <v>-3132.8602799999999</v>
      </c>
      <c r="P470" s="93">
        <f t="shared" si="104"/>
        <v>-0.31610948351403556</v>
      </c>
      <c r="Q470" s="96"/>
      <c r="R470" s="96"/>
      <c r="T470" s="90">
        <f t="shared" si="98"/>
        <v>95</v>
      </c>
      <c r="U470" s="89">
        <f t="shared" si="99"/>
        <v>103.31428490526316</v>
      </c>
      <c r="V470" s="89">
        <f t="shared" si="100"/>
        <v>77.020690999999999</v>
      </c>
      <c r="W470" s="90">
        <f t="shared" si="105"/>
        <v>7316.9656450000002</v>
      </c>
      <c r="X470" s="93">
        <f t="shared" si="101"/>
        <v>-0.25450104919541172</v>
      </c>
      <c r="AB470" s="89">
        <f t="shared" si="90"/>
        <v>195</v>
      </c>
      <c r="AC470" s="89">
        <f t="shared" si="91"/>
        <v>51.179276000000002</v>
      </c>
      <c r="AD470" s="89">
        <f t="shared" si="92"/>
        <v>77.020690999999999</v>
      </c>
      <c r="AE470" s="89">
        <f t="shared" si="93"/>
        <v>15019.034744999999</v>
      </c>
      <c r="AF470" s="90">
        <f t="shared" si="96"/>
        <v>5039.0759249999992</v>
      </c>
      <c r="AG470" s="93">
        <f t="shared" si="97"/>
        <v>0.50491951078010544</v>
      </c>
      <c r="AK470" s="90">
        <f t="shared" si="94"/>
        <v>82</v>
      </c>
      <c r="AL470" s="89">
        <f t="shared" si="95"/>
        <v>59.656129048780492</v>
      </c>
      <c r="AM470" s="89">
        <f t="shared" si="87"/>
        <v>77.020690999999999</v>
      </c>
      <c r="AN470" s="90">
        <f t="shared" si="88"/>
        <v>6315.6966620000003</v>
      </c>
      <c r="AO470" s="93">
        <f t="shared" si="89"/>
        <v>0.29107758461868372</v>
      </c>
    </row>
    <row r="471" spans="2:41" x14ac:dyDescent="0.25">
      <c r="B471" s="91">
        <v>40035</v>
      </c>
      <c r="C471" s="89">
        <v>100.739998</v>
      </c>
      <c r="D471" s="89">
        <v>101.220001</v>
      </c>
      <c r="E471" s="89">
        <v>100.269997</v>
      </c>
      <c r="F471" s="89">
        <v>100.989998</v>
      </c>
      <c r="G471" s="89">
        <v>76.860885999999994</v>
      </c>
      <c r="H471" s="89">
        <v>130898700</v>
      </c>
      <c r="J471" s="89">
        <v>0</v>
      </c>
      <c r="K471" s="89">
        <f t="shared" si="106"/>
        <v>88</v>
      </c>
      <c r="L471" s="89">
        <f t="shared" si="107"/>
        <v>112.621376</v>
      </c>
      <c r="M471" s="89">
        <f>+SPY__2[[#This Row],[Adj Close]]</f>
        <v>76.860885999999994</v>
      </c>
      <c r="N471" s="89">
        <f t="shared" si="102"/>
        <v>6763.7579679999999</v>
      </c>
      <c r="O471" s="90">
        <f t="shared" si="103"/>
        <v>-3146.9231200000004</v>
      </c>
      <c r="P471" s="93">
        <f t="shared" si="104"/>
        <v>-0.31752844149231496</v>
      </c>
      <c r="Q471" s="96"/>
      <c r="R471" s="96"/>
      <c r="T471" s="90">
        <f t="shared" si="98"/>
        <v>95</v>
      </c>
      <c r="U471" s="89">
        <f t="shared" si="99"/>
        <v>103.31428490526316</v>
      </c>
      <c r="V471" s="89">
        <f t="shared" si="100"/>
        <v>76.860885999999994</v>
      </c>
      <c r="W471" s="90">
        <f t="shared" si="105"/>
        <v>7301.784169999999</v>
      </c>
      <c r="X471" s="93">
        <f t="shared" si="101"/>
        <v>-0.25604783432920564</v>
      </c>
      <c r="AB471" s="89">
        <f t="shared" si="90"/>
        <v>195</v>
      </c>
      <c r="AC471" s="89">
        <f t="shared" si="91"/>
        <v>51.179276000000002</v>
      </c>
      <c r="AD471" s="89">
        <f t="shared" si="92"/>
        <v>76.860885999999994</v>
      </c>
      <c r="AE471" s="89">
        <f t="shared" si="93"/>
        <v>14987.872769999998</v>
      </c>
      <c r="AF471" s="90">
        <f t="shared" si="96"/>
        <v>5007.9139499999983</v>
      </c>
      <c r="AG471" s="93">
        <f t="shared" si="97"/>
        <v>0.50179705551129694</v>
      </c>
      <c r="AK471" s="90">
        <f t="shared" si="94"/>
        <v>82</v>
      </c>
      <c r="AL471" s="89">
        <f t="shared" si="95"/>
        <v>59.656129048780492</v>
      </c>
      <c r="AM471" s="89">
        <f t="shared" si="87"/>
        <v>76.860885999999994</v>
      </c>
      <c r="AN471" s="90">
        <f t="shared" si="88"/>
        <v>6302.5926519999994</v>
      </c>
      <c r="AO471" s="93">
        <f t="shared" si="89"/>
        <v>0.28839881543690615</v>
      </c>
    </row>
    <row r="472" spans="2:41" x14ac:dyDescent="0.25">
      <c r="B472" s="91">
        <v>40036</v>
      </c>
      <c r="C472" s="89">
        <v>100.540001</v>
      </c>
      <c r="D472" s="89">
        <v>100.610001</v>
      </c>
      <c r="E472" s="89">
        <v>99.459998999999996</v>
      </c>
      <c r="F472" s="89">
        <v>99.730002999999996</v>
      </c>
      <c r="G472" s="89">
        <v>75.901947000000007</v>
      </c>
      <c r="H472" s="89">
        <v>157301000</v>
      </c>
      <c r="J472" s="89">
        <v>0</v>
      </c>
      <c r="K472" s="89">
        <f t="shared" si="106"/>
        <v>88</v>
      </c>
      <c r="L472" s="89">
        <f t="shared" si="107"/>
        <v>112.621376</v>
      </c>
      <c r="M472" s="89">
        <f>+SPY__2[[#This Row],[Adj Close]]</f>
        <v>75.901947000000007</v>
      </c>
      <c r="N472" s="89">
        <f t="shared" si="102"/>
        <v>6679.3713360000002</v>
      </c>
      <c r="O472" s="90">
        <f t="shared" si="103"/>
        <v>-3231.3097519999992</v>
      </c>
      <c r="P472" s="93">
        <f t="shared" si="104"/>
        <v>-0.32604315720667443</v>
      </c>
      <c r="Q472" s="96"/>
      <c r="R472" s="96"/>
      <c r="T472" s="90">
        <f t="shared" si="98"/>
        <v>95</v>
      </c>
      <c r="U472" s="89">
        <f t="shared" si="99"/>
        <v>103.31428490526316</v>
      </c>
      <c r="V472" s="89">
        <f t="shared" si="100"/>
        <v>75.901947000000007</v>
      </c>
      <c r="W472" s="90">
        <f t="shared" si="105"/>
        <v>7210.6849650000004</v>
      </c>
      <c r="X472" s="93">
        <f t="shared" si="101"/>
        <v>-0.26532960016516249</v>
      </c>
      <c r="AB472" s="89">
        <f t="shared" si="90"/>
        <v>195</v>
      </c>
      <c r="AC472" s="89">
        <f t="shared" si="91"/>
        <v>51.179276000000002</v>
      </c>
      <c r="AD472" s="89">
        <f t="shared" si="92"/>
        <v>75.901947000000007</v>
      </c>
      <c r="AE472" s="89">
        <f t="shared" si="93"/>
        <v>14800.879665000002</v>
      </c>
      <c r="AF472" s="90">
        <f t="shared" si="96"/>
        <v>4820.9208450000015</v>
      </c>
      <c r="AG472" s="93">
        <f t="shared" si="97"/>
        <v>0.48306019413013979</v>
      </c>
      <c r="AK472" s="90">
        <f t="shared" si="94"/>
        <v>82</v>
      </c>
      <c r="AL472" s="89">
        <f t="shared" si="95"/>
        <v>59.656129048780492</v>
      </c>
      <c r="AM472" s="89">
        <f t="shared" si="87"/>
        <v>75.901947000000007</v>
      </c>
      <c r="AN472" s="90">
        <f t="shared" si="88"/>
        <v>6223.9596540000002</v>
      </c>
      <c r="AO472" s="93">
        <f t="shared" si="89"/>
        <v>0.27232437320791281</v>
      </c>
    </row>
    <row r="473" spans="2:41" x14ac:dyDescent="0.25">
      <c r="B473" s="91">
        <v>40037</v>
      </c>
      <c r="C473" s="89">
        <v>99.559997999999993</v>
      </c>
      <c r="D473" s="89">
        <v>101.55999799999999</v>
      </c>
      <c r="E473" s="89">
        <v>99.510002</v>
      </c>
      <c r="F473" s="89">
        <v>100.800003</v>
      </c>
      <c r="G473" s="89">
        <v>76.716285999999997</v>
      </c>
      <c r="H473" s="89">
        <v>219052400</v>
      </c>
      <c r="J473" s="89">
        <v>0</v>
      </c>
      <c r="K473" s="89">
        <f t="shared" si="106"/>
        <v>88</v>
      </c>
      <c r="L473" s="89">
        <f t="shared" si="107"/>
        <v>112.621376</v>
      </c>
      <c r="M473" s="89">
        <f>+SPY__2[[#This Row],[Adj Close]]</f>
        <v>76.716285999999997</v>
      </c>
      <c r="N473" s="89">
        <f t="shared" si="102"/>
        <v>6751.0331679999999</v>
      </c>
      <c r="O473" s="90">
        <f t="shared" si="103"/>
        <v>-3159.6479200000003</v>
      </c>
      <c r="P473" s="93">
        <f t="shared" si="104"/>
        <v>-0.31881238957691305</v>
      </c>
      <c r="Q473" s="96"/>
      <c r="R473" s="96"/>
      <c r="T473" s="90">
        <f t="shared" si="98"/>
        <v>95</v>
      </c>
      <c r="U473" s="89">
        <f t="shared" si="99"/>
        <v>103.31428490526316</v>
      </c>
      <c r="V473" s="89">
        <f t="shared" si="100"/>
        <v>76.716285999999997</v>
      </c>
      <c r="W473" s="90">
        <f t="shared" si="105"/>
        <v>7288.0471699999998</v>
      </c>
      <c r="X473" s="93">
        <f t="shared" si="101"/>
        <v>-0.25744744717202395</v>
      </c>
      <c r="AB473" s="89">
        <f t="shared" si="90"/>
        <v>195</v>
      </c>
      <c r="AC473" s="89">
        <f t="shared" si="91"/>
        <v>51.179276000000002</v>
      </c>
      <c r="AD473" s="89">
        <f t="shared" si="92"/>
        <v>76.716285999999997</v>
      </c>
      <c r="AE473" s="89">
        <f t="shared" si="93"/>
        <v>14959.67577</v>
      </c>
      <c r="AF473" s="90">
        <f t="shared" si="96"/>
        <v>4979.7169499999991</v>
      </c>
      <c r="AG473" s="93">
        <f t="shared" si="97"/>
        <v>0.49897169315173584</v>
      </c>
      <c r="AK473" s="90">
        <f t="shared" si="94"/>
        <v>82</v>
      </c>
      <c r="AL473" s="89">
        <f t="shared" si="95"/>
        <v>59.656129048780492</v>
      </c>
      <c r="AM473" s="89">
        <f t="shared" si="87"/>
        <v>76.716285999999997</v>
      </c>
      <c r="AN473" s="90">
        <f t="shared" si="88"/>
        <v>6290.7354519999999</v>
      </c>
      <c r="AO473" s="93">
        <f t="shared" si="89"/>
        <v>0.28597492367078514</v>
      </c>
    </row>
    <row r="474" spans="2:41" x14ac:dyDescent="0.25">
      <c r="B474" s="91">
        <v>40038</v>
      </c>
      <c r="C474" s="89">
        <v>101.260002</v>
      </c>
      <c r="D474" s="89">
        <v>101.610001</v>
      </c>
      <c r="E474" s="89">
        <v>100.260002</v>
      </c>
      <c r="F474" s="89">
        <v>101.57</v>
      </c>
      <c r="G474" s="89">
        <v>77.302314999999993</v>
      </c>
      <c r="H474" s="89">
        <v>176449500</v>
      </c>
      <c r="J474" s="89">
        <v>0</v>
      </c>
      <c r="K474" s="89">
        <f t="shared" si="106"/>
        <v>88</v>
      </c>
      <c r="L474" s="89">
        <f t="shared" si="107"/>
        <v>112.621376</v>
      </c>
      <c r="M474" s="89">
        <f>+SPY__2[[#This Row],[Adj Close]]</f>
        <v>77.302314999999993</v>
      </c>
      <c r="N474" s="89">
        <f t="shared" si="102"/>
        <v>6802.6037199999992</v>
      </c>
      <c r="O474" s="90">
        <f t="shared" si="103"/>
        <v>-3108.0773680000002</v>
      </c>
      <c r="P474" s="93">
        <f t="shared" si="104"/>
        <v>-0.31360885698999097</v>
      </c>
      <c r="Q474" s="96"/>
      <c r="R474" s="96"/>
      <c r="T474" s="90">
        <f t="shared" si="98"/>
        <v>95</v>
      </c>
      <c r="U474" s="89">
        <f t="shared" si="99"/>
        <v>103.31428490526316</v>
      </c>
      <c r="V474" s="89">
        <f t="shared" si="100"/>
        <v>77.302314999999993</v>
      </c>
      <c r="W474" s="90">
        <f t="shared" si="105"/>
        <v>7343.7199249999994</v>
      </c>
      <c r="X474" s="93">
        <f t="shared" si="101"/>
        <v>-0.251775153156367</v>
      </c>
      <c r="AB474" s="89">
        <f t="shared" si="90"/>
        <v>195</v>
      </c>
      <c r="AC474" s="89">
        <f t="shared" si="91"/>
        <v>51.179276000000002</v>
      </c>
      <c r="AD474" s="89">
        <f t="shared" si="92"/>
        <v>77.302314999999993</v>
      </c>
      <c r="AE474" s="89">
        <f t="shared" si="93"/>
        <v>15073.951424999999</v>
      </c>
      <c r="AF474" s="90">
        <f t="shared" si="96"/>
        <v>5093.9926049999985</v>
      </c>
      <c r="AG474" s="93">
        <f t="shared" si="97"/>
        <v>0.5104222068323121</v>
      </c>
      <c r="AK474" s="90">
        <f t="shared" si="94"/>
        <v>82</v>
      </c>
      <c r="AL474" s="89">
        <f t="shared" si="95"/>
        <v>59.656129048780492</v>
      </c>
      <c r="AM474" s="89">
        <f t="shared" si="87"/>
        <v>77.302314999999993</v>
      </c>
      <c r="AN474" s="90">
        <f t="shared" si="88"/>
        <v>6338.7898299999997</v>
      </c>
      <c r="AO474" s="93">
        <f t="shared" si="89"/>
        <v>0.29579837365562756</v>
      </c>
    </row>
    <row r="475" spans="2:41" x14ac:dyDescent="0.25">
      <c r="B475" s="91">
        <v>40039</v>
      </c>
      <c r="C475" s="89">
        <v>101.519997</v>
      </c>
      <c r="D475" s="89">
        <v>101.599998</v>
      </c>
      <c r="E475" s="89">
        <v>99.699996999999996</v>
      </c>
      <c r="F475" s="89">
        <v>100.790001</v>
      </c>
      <c r="G475" s="89">
        <v>76.708656000000005</v>
      </c>
      <c r="H475" s="89">
        <v>199616100</v>
      </c>
      <c r="J475" s="89">
        <v>0</v>
      </c>
      <c r="K475" s="89">
        <f t="shared" si="106"/>
        <v>88</v>
      </c>
      <c r="L475" s="89">
        <f t="shared" si="107"/>
        <v>112.621376</v>
      </c>
      <c r="M475" s="89">
        <f>+SPY__2[[#This Row],[Adj Close]]</f>
        <v>76.708656000000005</v>
      </c>
      <c r="N475" s="89">
        <f t="shared" si="102"/>
        <v>6750.3617280000008</v>
      </c>
      <c r="O475" s="90">
        <f t="shared" si="103"/>
        <v>-3160.3193599999995</v>
      </c>
      <c r="P475" s="93">
        <f t="shared" si="104"/>
        <v>-0.31888013870475174</v>
      </c>
      <c r="Q475" s="96"/>
      <c r="R475" s="96"/>
      <c r="T475" s="90">
        <f t="shared" si="98"/>
        <v>95</v>
      </c>
      <c r="U475" s="89">
        <f t="shared" si="99"/>
        <v>103.31428490526316</v>
      </c>
      <c r="V475" s="89">
        <f t="shared" si="100"/>
        <v>76.708656000000005</v>
      </c>
      <c r="W475" s="90">
        <f t="shared" si="105"/>
        <v>7287.3223200000002</v>
      </c>
      <c r="X475" s="93">
        <f t="shared" si="101"/>
        <v>-0.25752129949561098</v>
      </c>
      <c r="AB475" s="89">
        <f t="shared" si="90"/>
        <v>195</v>
      </c>
      <c r="AC475" s="89">
        <f t="shared" si="91"/>
        <v>51.179276000000002</v>
      </c>
      <c r="AD475" s="89">
        <f t="shared" si="92"/>
        <v>76.708656000000005</v>
      </c>
      <c r="AE475" s="89">
        <f t="shared" si="93"/>
        <v>14958.18792</v>
      </c>
      <c r="AF475" s="90">
        <f t="shared" si="96"/>
        <v>4978.2291000000005</v>
      </c>
      <c r="AG475" s="93">
        <f t="shared" si="97"/>
        <v>0.49882260937024592</v>
      </c>
      <c r="AK475" s="90">
        <f t="shared" si="94"/>
        <v>82</v>
      </c>
      <c r="AL475" s="89">
        <f t="shared" si="95"/>
        <v>59.656129048780492</v>
      </c>
      <c r="AM475" s="89">
        <f t="shared" si="87"/>
        <v>76.708656000000005</v>
      </c>
      <c r="AN475" s="90">
        <f t="shared" si="88"/>
        <v>6290.1097920000002</v>
      </c>
      <c r="AO475" s="93">
        <f t="shared" si="89"/>
        <v>0.28584702398769046</v>
      </c>
    </row>
    <row r="476" spans="2:41" x14ac:dyDescent="0.25">
      <c r="B476" s="91">
        <v>40042</v>
      </c>
      <c r="C476" s="89">
        <v>98.849997999999999</v>
      </c>
      <c r="D476" s="89">
        <v>98.949996999999996</v>
      </c>
      <c r="E476" s="89">
        <v>98.110000999999997</v>
      </c>
      <c r="F476" s="89">
        <v>98.309997999999993</v>
      </c>
      <c r="G476" s="89">
        <v>74.821190000000001</v>
      </c>
      <c r="H476" s="89">
        <v>237667500</v>
      </c>
      <c r="J476" s="89">
        <v>0</v>
      </c>
      <c r="K476" s="89">
        <f t="shared" si="106"/>
        <v>88</v>
      </c>
      <c r="L476" s="89">
        <f t="shared" si="107"/>
        <v>112.621376</v>
      </c>
      <c r="M476" s="89">
        <f>+SPY__2[[#This Row],[Adj Close]]</f>
        <v>74.821190000000001</v>
      </c>
      <c r="N476" s="89">
        <f t="shared" si="102"/>
        <v>6584.2647200000001</v>
      </c>
      <c r="O476" s="90">
        <f t="shared" si="103"/>
        <v>-3326.4163679999997</v>
      </c>
      <c r="P476" s="93">
        <f t="shared" si="104"/>
        <v>-0.33563953258749024</v>
      </c>
      <c r="Q476" s="96"/>
      <c r="R476" s="96"/>
      <c r="T476" s="90">
        <f t="shared" si="98"/>
        <v>95</v>
      </c>
      <c r="U476" s="89">
        <f t="shared" si="99"/>
        <v>103.31428490526316</v>
      </c>
      <c r="V476" s="89">
        <f t="shared" si="100"/>
        <v>74.821190000000001</v>
      </c>
      <c r="W476" s="90">
        <f t="shared" si="105"/>
        <v>7108.0130500000005</v>
      </c>
      <c r="X476" s="93">
        <f t="shared" si="101"/>
        <v>-0.27579046722716682</v>
      </c>
      <c r="AB476" s="89">
        <f t="shared" si="90"/>
        <v>195</v>
      </c>
      <c r="AC476" s="89">
        <f t="shared" si="91"/>
        <v>51.179276000000002</v>
      </c>
      <c r="AD476" s="89">
        <f t="shared" si="92"/>
        <v>74.821190000000001</v>
      </c>
      <c r="AE476" s="89">
        <f t="shared" si="93"/>
        <v>14590.13205</v>
      </c>
      <c r="AF476" s="90">
        <f t="shared" si="96"/>
        <v>4610.1732300000003</v>
      </c>
      <c r="AG476" s="93">
        <f t="shared" si="97"/>
        <v>0.46194311150474254</v>
      </c>
      <c r="AK476" s="90">
        <f t="shared" si="94"/>
        <v>82</v>
      </c>
      <c r="AL476" s="89">
        <f t="shared" si="95"/>
        <v>59.656129048780492</v>
      </c>
      <c r="AM476" s="89">
        <f t="shared" si="87"/>
        <v>74.821190000000001</v>
      </c>
      <c r="AN476" s="90">
        <f t="shared" si="88"/>
        <v>6135.3375800000003</v>
      </c>
      <c r="AO476" s="93">
        <f t="shared" si="89"/>
        <v>0.25420792788648972</v>
      </c>
    </row>
    <row r="477" spans="2:41" x14ac:dyDescent="0.25">
      <c r="B477" s="91">
        <v>40043</v>
      </c>
      <c r="C477" s="89">
        <v>98.529999000000004</v>
      </c>
      <c r="D477" s="89">
        <v>99.440002000000007</v>
      </c>
      <c r="E477" s="89">
        <v>98.349997999999999</v>
      </c>
      <c r="F477" s="89">
        <v>99.089995999999999</v>
      </c>
      <c r="G477" s="89">
        <v>75.414833000000002</v>
      </c>
      <c r="H477" s="89">
        <v>173461500</v>
      </c>
      <c r="J477" s="89">
        <v>0</v>
      </c>
      <c r="K477" s="89">
        <f t="shared" si="106"/>
        <v>88</v>
      </c>
      <c r="L477" s="89">
        <f t="shared" si="107"/>
        <v>112.621376</v>
      </c>
      <c r="M477" s="89">
        <f>+SPY__2[[#This Row],[Adj Close]]</f>
        <v>75.414833000000002</v>
      </c>
      <c r="N477" s="89">
        <f t="shared" si="102"/>
        <v>6636.5053040000003</v>
      </c>
      <c r="O477" s="90">
        <f t="shared" si="103"/>
        <v>-3274.1757839999996</v>
      </c>
      <c r="P477" s="93">
        <f t="shared" si="104"/>
        <v>-0.33036839294167386</v>
      </c>
      <c r="Q477" s="96"/>
      <c r="R477" s="96"/>
      <c r="T477" s="90">
        <f t="shared" si="98"/>
        <v>95</v>
      </c>
      <c r="U477" s="89">
        <f t="shared" si="99"/>
        <v>103.31428490526316</v>
      </c>
      <c r="V477" s="89">
        <f t="shared" si="100"/>
        <v>75.414833000000002</v>
      </c>
      <c r="W477" s="90">
        <f t="shared" si="105"/>
        <v>7164.4091349999999</v>
      </c>
      <c r="X477" s="93">
        <f t="shared" si="101"/>
        <v>-0.27004447575518065</v>
      </c>
      <c r="AB477" s="89">
        <f t="shared" si="90"/>
        <v>195</v>
      </c>
      <c r="AC477" s="89">
        <f t="shared" si="91"/>
        <v>51.179276000000002</v>
      </c>
      <c r="AD477" s="89">
        <f t="shared" si="92"/>
        <v>75.414833000000002</v>
      </c>
      <c r="AE477" s="89">
        <f t="shared" si="93"/>
        <v>14705.892435</v>
      </c>
      <c r="AF477" s="90">
        <f t="shared" si="96"/>
        <v>4725.9336149999999</v>
      </c>
      <c r="AG477" s="93">
        <f t="shared" si="97"/>
        <v>0.47354239634026873</v>
      </c>
      <c r="AK477" s="90">
        <f t="shared" si="94"/>
        <v>82</v>
      </c>
      <c r="AL477" s="89">
        <f t="shared" si="95"/>
        <v>59.656129048780492</v>
      </c>
      <c r="AM477" s="89">
        <f t="shared" si="87"/>
        <v>75.414833000000002</v>
      </c>
      <c r="AN477" s="90">
        <f t="shared" si="88"/>
        <v>6184.0163060000004</v>
      </c>
      <c r="AO477" s="93">
        <f t="shared" si="89"/>
        <v>0.26415900935063541</v>
      </c>
    </row>
    <row r="478" spans="2:41" x14ac:dyDescent="0.25">
      <c r="B478" s="91">
        <v>40044</v>
      </c>
      <c r="C478" s="89">
        <v>98.309997999999993</v>
      </c>
      <c r="D478" s="89">
        <v>100.300003</v>
      </c>
      <c r="E478" s="89">
        <v>98.209998999999996</v>
      </c>
      <c r="F478" s="89">
        <v>99.959998999999996</v>
      </c>
      <c r="G478" s="89">
        <v>76.076981000000004</v>
      </c>
      <c r="H478" s="89">
        <v>192812800</v>
      </c>
      <c r="J478" s="89">
        <v>0</v>
      </c>
      <c r="K478" s="89">
        <f t="shared" si="106"/>
        <v>88</v>
      </c>
      <c r="L478" s="89">
        <f t="shared" si="107"/>
        <v>112.621376</v>
      </c>
      <c r="M478" s="89">
        <f>+SPY__2[[#This Row],[Adj Close]]</f>
        <v>76.076981000000004</v>
      </c>
      <c r="N478" s="89">
        <f t="shared" si="102"/>
        <v>6694.7743280000004</v>
      </c>
      <c r="O478" s="90">
        <f t="shared" si="103"/>
        <v>-3215.9067599999994</v>
      </c>
      <c r="P478" s="93">
        <f t="shared" si="104"/>
        <v>-0.32448897623129724</v>
      </c>
      <c r="Q478" s="96"/>
      <c r="R478" s="96"/>
      <c r="T478" s="90">
        <f t="shared" si="98"/>
        <v>95</v>
      </c>
      <c r="U478" s="89">
        <f t="shared" si="99"/>
        <v>103.31428490526316</v>
      </c>
      <c r="V478" s="89">
        <f t="shared" si="100"/>
        <v>76.076981000000004</v>
      </c>
      <c r="W478" s="90">
        <f t="shared" si="105"/>
        <v>7227.3131950000006</v>
      </c>
      <c r="X478" s="93">
        <f t="shared" si="101"/>
        <v>-0.26363541043950645</v>
      </c>
      <c r="AB478" s="89">
        <f t="shared" si="90"/>
        <v>195</v>
      </c>
      <c r="AC478" s="89">
        <f t="shared" si="91"/>
        <v>51.179276000000002</v>
      </c>
      <c r="AD478" s="89">
        <f t="shared" si="92"/>
        <v>76.076981000000004</v>
      </c>
      <c r="AE478" s="89">
        <f t="shared" si="93"/>
        <v>14835.011295</v>
      </c>
      <c r="AF478" s="90">
        <f t="shared" si="96"/>
        <v>4855.0524750000004</v>
      </c>
      <c r="AG478" s="93">
        <f t="shared" si="97"/>
        <v>0.486480211248006</v>
      </c>
      <c r="AK478" s="90">
        <f t="shared" si="94"/>
        <v>82</v>
      </c>
      <c r="AL478" s="89">
        <f t="shared" si="95"/>
        <v>59.656129048780492</v>
      </c>
      <c r="AM478" s="89">
        <f t="shared" si="87"/>
        <v>76.076981000000004</v>
      </c>
      <c r="AN478" s="90">
        <f t="shared" si="88"/>
        <v>6238.3124420000004</v>
      </c>
      <c r="AO478" s="93">
        <f t="shared" si="89"/>
        <v>0.27525842211103368</v>
      </c>
    </row>
    <row r="479" spans="2:41" x14ac:dyDescent="0.25">
      <c r="B479" s="91">
        <v>40045</v>
      </c>
      <c r="C479" s="89">
        <v>100.089996</v>
      </c>
      <c r="D479" s="89">
        <v>101.220001</v>
      </c>
      <c r="E479" s="89">
        <v>99.870002999999997</v>
      </c>
      <c r="F479" s="89">
        <v>100.989998</v>
      </c>
      <c r="G479" s="89">
        <v>76.860885999999994</v>
      </c>
      <c r="H479" s="89">
        <v>174131300</v>
      </c>
      <c r="J479" s="89">
        <v>0</v>
      </c>
      <c r="K479" s="89">
        <f t="shared" si="106"/>
        <v>88</v>
      </c>
      <c r="L479" s="89">
        <f t="shared" si="107"/>
        <v>112.621376</v>
      </c>
      <c r="M479" s="89">
        <f>+SPY__2[[#This Row],[Adj Close]]</f>
        <v>76.860885999999994</v>
      </c>
      <c r="N479" s="89">
        <f t="shared" si="102"/>
        <v>6763.7579679999999</v>
      </c>
      <c r="O479" s="90">
        <f t="shared" si="103"/>
        <v>-3146.9231200000004</v>
      </c>
      <c r="P479" s="93">
        <f t="shared" si="104"/>
        <v>-0.31752844149231496</v>
      </c>
      <c r="Q479" s="96"/>
      <c r="R479" s="96"/>
      <c r="T479" s="90">
        <f t="shared" si="98"/>
        <v>95</v>
      </c>
      <c r="U479" s="89">
        <f t="shared" si="99"/>
        <v>103.31428490526316</v>
      </c>
      <c r="V479" s="89">
        <f t="shared" si="100"/>
        <v>76.860885999999994</v>
      </c>
      <c r="W479" s="90">
        <f t="shared" si="105"/>
        <v>7301.784169999999</v>
      </c>
      <c r="X479" s="93">
        <f t="shared" si="101"/>
        <v>-0.25604783432920564</v>
      </c>
      <c r="AB479" s="89">
        <f t="shared" si="90"/>
        <v>195</v>
      </c>
      <c r="AC479" s="89">
        <f t="shared" si="91"/>
        <v>51.179276000000002</v>
      </c>
      <c r="AD479" s="89">
        <f t="shared" si="92"/>
        <v>76.860885999999994</v>
      </c>
      <c r="AE479" s="89">
        <f t="shared" si="93"/>
        <v>14987.872769999998</v>
      </c>
      <c r="AF479" s="90">
        <f t="shared" si="96"/>
        <v>5007.9139499999983</v>
      </c>
      <c r="AG479" s="93">
        <f t="shared" si="97"/>
        <v>0.50179705551129694</v>
      </c>
      <c r="AK479" s="90">
        <f t="shared" si="94"/>
        <v>82</v>
      </c>
      <c r="AL479" s="89">
        <f t="shared" si="95"/>
        <v>59.656129048780492</v>
      </c>
      <c r="AM479" s="89">
        <f t="shared" si="87"/>
        <v>76.860885999999994</v>
      </c>
      <c r="AN479" s="90">
        <f t="shared" si="88"/>
        <v>6302.5926519999994</v>
      </c>
      <c r="AO479" s="93">
        <f t="shared" si="89"/>
        <v>0.28839881543690615</v>
      </c>
    </row>
    <row r="480" spans="2:41" x14ac:dyDescent="0.25">
      <c r="B480" s="91">
        <v>40046</v>
      </c>
      <c r="C480" s="89">
        <v>101.82</v>
      </c>
      <c r="D480" s="89">
        <v>103.129997</v>
      </c>
      <c r="E480" s="89">
        <v>101.620003</v>
      </c>
      <c r="F480" s="89">
        <v>102.970001</v>
      </c>
      <c r="G480" s="89">
        <v>78.367783000000003</v>
      </c>
      <c r="H480" s="89">
        <v>224605000</v>
      </c>
      <c r="J480" s="89">
        <v>0</v>
      </c>
      <c r="K480" s="89">
        <f t="shared" si="106"/>
        <v>88</v>
      </c>
      <c r="L480" s="89">
        <f t="shared" si="107"/>
        <v>112.621376</v>
      </c>
      <c r="M480" s="89">
        <f>+SPY__2[[#This Row],[Adj Close]]</f>
        <v>78.367783000000003</v>
      </c>
      <c r="N480" s="89">
        <f t="shared" si="102"/>
        <v>6896.364904</v>
      </c>
      <c r="O480" s="90">
        <f t="shared" si="103"/>
        <v>-3014.3161839999993</v>
      </c>
      <c r="P480" s="93">
        <f t="shared" si="104"/>
        <v>-0.30414823736481422</v>
      </c>
      <c r="Q480" s="96"/>
      <c r="R480" s="96"/>
      <c r="T480" s="90">
        <f t="shared" si="98"/>
        <v>95</v>
      </c>
      <c r="U480" s="89">
        <f t="shared" si="99"/>
        <v>103.31428490526316</v>
      </c>
      <c r="V480" s="89">
        <f t="shared" si="100"/>
        <v>78.367783000000003</v>
      </c>
      <c r="W480" s="90">
        <f t="shared" si="105"/>
        <v>7444.9393850000006</v>
      </c>
      <c r="X480" s="93">
        <f t="shared" si="101"/>
        <v>-0.24146227143844168</v>
      </c>
      <c r="AB480" s="89">
        <f t="shared" si="90"/>
        <v>195</v>
      </c>
      <c r="AC480" s="89">
        <f t="shared" si="91"/>
        <v>51.179276000000002</v>
      </c>
      <c r="AD480" s="89">
        <f t="shared" si="92"/>
        <v>78.367783000000003</v>
      </c>
      <c r="AE480" s="89">
        <f t="shared" si="93"/>
        <v>15281.717685000001</v>
      </c>
      <c r="AF480" s="90">
        <f t="shared" si="96"/>
        <v>5301.7588650000007</v>
      </c>
      <c r="AG480" s="93">
        <f t="shared" si="97"/>
        <v>0.53124055525912484</v>
      </c>
      <c r="AK480" s="90">
        <f t="shared" si="94"/>
        <v>82</v>
      </c>
      <c r="AL480" s="89">
        <f t="shared" si="95"/>
        <v>59.656129048780492</v>
      </c>
      <c r="AM480" s="89">
        <f t="shared" si="87"/>
        <v>78.367783000000003</v>
      </c>
      <c r="AN480" s="90">
        <f t="shared" si="88"/>
        <v>6426.1582060000001</v>
      </c>
      <c r="AO480" s="93">
        <f t="shared" si="89"/>
        <v>0.31365853349148898</v>
      </c>
    </row>
    <row r="481" spans="2:41" x14ac:dyDescent="0.25">
      <c r="B481" s="91">
        <v>40049</v>
      </c>
      <c r="C481" s="89">
        <v>103.389999</v>
      </c>
      <c r="D481" s="89">
        <v>103.949997</v>
      </c>
      <c r="E481" s="89">
        <v>102.589996</v>
      </c>
      <c r="F481" s="89">
        <v>102.959999</v>
      </c>
      <c r="G481" s="89">
        <v>78.360207000000003</v>
      </c>
      <c r="H481" s="89">
        <v>191279000</v>
      </c>
      <c r="J481" s="89">
        <v>0</v>
      </c>
      <c r="K481" s="89">
        <f t="shared" si="106"/>
        <v>88</v>
      </c>
      <c r="L481" s="89">
        <f t="shared" si="107"/>
        <v>112.621376</v>
      </c>
      <c r="M481" s="89">
        <f>+SPY__2[[#This Row],[Adj Close]]</f>
        <v>78.360207000000003</v>
      </c>
      <c r="N481" s="89">
        <f t="shared" si="102"/>
        <v>6895.6982160000007</v>
      </c>
      <c r="O481" s="90">
        <f t="shared" si="103"/>
        <v>-3014.9828719999996</v>
      </c>
      <c r="P481" s="93">
        <f t="shared" si="104"/>
        <v>-0.3042155070099658</v>
      </c>
      <c r="Q481" s="96"/>
      <c r="R481" s="96"/>
      <c r="T481" s="90">
        <f t="shared" si="98"/>
        <v>95</v>
      </c>
      <c r="U481" s="89">
        <f t="shared" si="99"/>
        <v>103.31428490526316</v>
      </c>
      <c r="V481" s="89">
        <f t="shared" si="100"/>
        <v>78.360207000000003</v>
      </c>
      <c r="W481" s="90">
        <f t="shared" si="105"/>
        <v>7444.2196650000005</v>
      </c>
      <c r="X481" s="93">
        <f t="shared" si="101"/>
        <v>-0.24153560108503369</v>
      </c>
      <c r="AB481" s="89">
        <f t="shared" si="90"/>
        <v>195</v>
      </c>
      <c r="AC481" s="89">
        <f t="shared" si="91"/>
        <v>51.179276000000002</v>
      </c>
      <c r="AD481" s="89">
        <f t="shared" si="92"/>
        <v>78.360207000000003</v>
      </c>
      <c r="AE481" s="89">
        <f t="shared" si="93"/>
        <v>15280.240365</v>
      </c>
      <c r="AF481" s="90">
        <f t="shared" si="96"/>
        <v>5300.2815449999998</v>
      </c>
      <c r="AG481" s="93">
        <f t="shared" si="97"/>
        <v>0.53109252659220885</v>
      </c>
      <c r="AK481" s="90">
        <f t="shared" si="94"/>
        <v>82</v>
      </c>
      <c r="AL481" s="89">
        <f t="shared" si="95"/>
        <v>59.656129048780492</v>
      </c>
      <c r="AM481" s="89">
        <f t="shared" si="87"/>
        <v>78.360207000000003</v>
      </c>
      <c r="AN481" s="90">
        <f t="shared" si="88"/>
        <v>6425.5369740000006</v>
      </c>
      <c r="AO481" s="93">
        <f t="shared" si="89"/>
        <v>0.3135315389961908</v>
      </c>
    </row>
    <row r="482" spans="2:41" x14ac:dyDescent="0.25">
      <c r="B482" s="91">
        <v>40050</v>
      </c>
      <c r="C482" s="89">
        <v>103.370003</v>
      </c>
      <c r="D482" s="89">
        <v>104.260002</v>
      </c>
      <c r="E482" s="89">
        <v>102.94000200000001</v>
      </c>
      <c r="F482" s="89">
        <v>103.160004</v>
      </c>
      <c r="G482" s="89">
        <v>78.512412999999995</v>
      </c>
      <c r="H482" s="89">
        <v>215310600</v>
      </c>
      <c r="J482" s="89">
        <v>0</v>
      </c>
      <c r="K482" s="89">
        <f t="shared" si="106"/>
        <v>88</v>
      </c>
      <c r="L482" s="89">
        <f t="shared" si="107"/>
        <v>112.621376</v>
      </c>
      <c r="M482" s="89">
        <f>+SPY__2[[#This Row],[Adj Close]]</f>
        <v>78.512412999999995</v>
      </c>
      <c r="N482" s="89">
        <f t="shared" si="102"/>
        <v>6909.0923439999997</v>
      </c>
      <c r="O482" s="90">
        <f t="shared" si="103"/>
        <v>-3001.5887440000001</v>
      </c>
      <c r="P482" s="93">
        <f t="shared" si="104"/>
        <v>-0.30286402290094561</v>
      </c>
      <c r="Q482" s="96"/>
      <c r="R482" s="96"/>
      <c r="T482" s="90">
        <f t="shared" si="98"/>
        <v>95</v>
      </c>
      <c r="U482" s="89">
        <f t="shared" si="99"/>
        <v>103.31428490526316</v>
      </c>
      <c r="V482" s="89">
        <f t="shared" si="100"/>
        <v>78.512412999999995</v>
      </c>
      <c r="W482" s="90">
        <f t="shared" si="105"/>
        <v>7458.6792349999996</v>
      </c>
      <c r="X482" s="93">
        <f t="shared" si="101"/>
        <v>-0.24006236821951499</v>
      </c>
      <c r="AB482" s="89">
        <f t="shared" si="90"/>
        <v>195</v>
      </c>
      <c r="AC482" s="89">
        <f t="shared" si="91"/>
        <v>51.179276000000002</v>
      </c>
      <c r="AD482" s="89">
        <f t="shared" si="92"/>
        <v>78.512412999999995</v>
      </c>
      <c r="AE482" s="89">
        <f t="shared" si="93"/>
        <v>15309.920534999999</v>
      </c>
      <c r="AF482" s="90">
        <f t="shared" si="96"/>
        <v>5329.9617149999985</v>
      </c>
      <c r="AG482" s="93">
        <f t="shared" si="97"/>
        <v>0.53406650379344933</v>
      </c>
      <c r="AK482" s="90">
        <f t="shared" si="94"/>
        <v>82</v>
      </c>
      <c r="AL482" s="89">
        <f t="shared" si="95"/>
        <v>59.656129048780492</v>
      </c>
      <c r="AM482" s="89">
        <f t="shared" si="87"/>
        <v>78.512412999999995</v>
      </c>
      <c r="AN482" s="90">
        <f t="shared" si="88"/>
        <v>6438.0178659999992</v>
      </c>
      <c r="AO482" s="93">
        <f t="shared" si="89"/>
        <v>0.31608292813971928</v>
      </c>
    </row>
    <row r="483" spans="2:41" x14ac:dyDescent="0.25">
      <c r="B483" s="91">
        <v>40051</v>
      </c>
      <c r="C483" s="89">
        <v>102.839996</v>
      </c>
      <c r="D483" s="89">
        <v>103.639999</v>
      </c>
      <c r="E483" s="89">
        <v>102.489998</v>
      </c>
      <c r="F483" s="89">
        <v>103.16999800000001</v>
      </c>
      <c r="G483" s="89">
        <v>78.520004</v>
      </c>
      <c r="H483" s="89">
        <v>194620700</v>
      </c>
      <c r="J483" s="89">
        <v>0</v>
      </c>
      <c r="K483" s="89">
        <f t="shared" si="106"/>
        <v>88</v>
      </c>
      <c r="L483" s="89">
        <f t="shared" si="107"/>
        <v>112.621376</v>
      </c>
      <c r="M483" s="89">
        <f>+SPY__2[[#This Row],[Adj Close]]</f>
        <v>78.520004</v>
      </c>
      <c r="N483" s="89">
        <f t="shared" si="102"/>
        <v>6909.7603520000002</v>
      </c>
      <c r="O483" s="90">
        <f t="shared" si="103"/>
        <v>-3000.920736</v>
      </c>
      <c r="P483" s="93">
        <f t="shared" si="104"/>
        <v>-0.30279662006615871</v>
      </c>
      <c r="Q483" s="96"/>
      <c r="R483" s="96"/>
      <c r="T483" s="90">
        <f t="shared" si="98"/>
        <v>95</v>
      </c>
      <c r="U483" s="89">
        <f t="shared" si="99"/>
        <v>103.31428490526316</v>
      </c>
      <c r="V483" s="89">
        <f t="shared" si="100"/>
        <v>78.520004</v>
      </c>
      <c r="W483" s="90">
        <f t="shared" si="105"/>
        <v>7459.40038</v>
      </c>
      <c r="X483" s="93">
        <f t="shared" si="101"/>
        <v>-0.23998889338486884</v>
      </c>
      <c r="AB483" s="89">
        <f t="shared" si="90"/>
        <v>195</v>
      </c>
      <c r="AC483" s="89">
        <f t="shared" si="91"/>
        <v>51.179276000000002</v>
      </c>
      <c r="AD483" s="89">
        <f t="shared" si="92"/>
        <v>78.520004</v>
      </c>
      <c r="AE483" s="89">
        <f t="shared" si="93"/>
        <v>15311.40078</v>
      </c>
      <c r="AF483" s="90">
        <f t="shared" si="96"/>
        <v>5331.4419600000001</v>
      </c>
      <c r="AG483" s="93">
        <f t="shared" si="97"/>
        <v>0.53421482554774702</v>
      </c>
      <c r="AK483" s="90">
        <f t="shared" si="94"/>
        <v>82</v>
      </c>
      <c r="AL483" s="89">
        <f t="shared" si="95"/>
        <v>59.656129048780492</v>
      </c>
      <c r="AM483" s="89">
        <f t="shared" si="87"/>
        <v>78.520004</v>
      </c>
      <c r="AN483" s="90">
        <f t="shared" si="88"/>
        <v>6438.6403280000004</v>
      </c>
      <c r="AO483" s="93">
        <f t="shared" si="89"/>
        <v>0.31621017407607233</v>
      </c>
    </row>
    <row r="484" spans="2:41" x14ac:dyDescent="0.25">
      <c r="B484" s="91">
        <v>40052</v>
      </c>
      <c r="C484" s="89">
        <v>103.110001</v>
      </c>
      <c r="D484" s="89">
        <v>103.720001</v>
      </c>
      <c r="E484" s="89">
        <v>101.94000200000001</v>
      </c>
      <c r="F484" s="89">
        <v>103.400002</v>
      </c>
      <c r="G484" s="89">
        <v>78.695083999999994</v>
      </c>
      <c r="H484" s="89">
        <v>196230100</v>
      </c>
      <c r="J484" s="89">
        <v>0</v>
      </c>
      <c r="K484" s="89">
        <f t="shared" si="106"/>
        <v>88</v>
      </c>
      <c r="L484" s="89">
        <f t="shared" si="107"/>
        <v>112.621376</v>
      </c>
      <c r="M484" s="89">
        <f>+SPY__2[[#This Row],[Adj Close]]</f>
        <v>78.695083999999994</v>
      </c>
      <c r="N484" s="89">
        <f t="shared" si="102"/>
        <v>6925.1673919999994</v>
      </c>
      <c r="O484" s="90">
        <f t="shared" si="103"/>
        <v>-2985.5136960000004</v>
      </c>
      <c r="P484" s="93">
        <f t="shared" si="104"/>
        <v>-0.30124203064256649</v>
      </c>
      <c r="Q484" s="96"/>
      <c r="R484" s="96"/>
      <c r="T484" s="90">
        <f t="shared" si="98"/>
        <v>95</v>
      </c>
      <c r="U484" s="89">
        <f t="shared" si="99"/>
        <v>103.31428490526316</v>
      </c>
      <c r="V484" s="89">
        <f t="shared" si="100"/>
        <v>78.695083999999994</v>
      </c>
      <c r="W484" s="90">
        <f t="shared" si="105"/>
        <v>7476.032979999999</v>
      </c>
      <c r="X484" s="93">
        <f t="shared" si="101"/>
        <v>-0.2382942584158465</v>
      </c>
      <c r="AB484" s="89">
        <f t="shared" si="90"/>
        <v>195</v>
      </c>
      <c r="AC484" s="89">
        <f t="shared" si="91"/>
        <v>51.179276000000002</v>
      </c>
      <c r="AD484" s="89">
        <f t="shared" si="92"/>
        <v>78.695083999999994</v>
      </c>
      <c r="AE484" s="89">
        <f t="shared" si="93"/>
        <v>15345.541379999999</v>
      </c>
      <c r="AF484" s="90">
        <f t="shared" si="96"/>
        <v>5365.5825599999989</v>
      </c>
      <c r="AG484" s="93">
        <f t="shared" si="97"/>
        <v>0.53763574146691706</v>
      </c>
      <c r="AK484" s="90">
        <f t="shared" si="94"/>
        <v>82</v>
      </c>
      <c r="AL484" s="89">
        <f t="shared" si="95"/>
        <v>59.656129048780492</v>
      </c>
      <c r="AM484" s="89">
        <f t="shared" si="87"/>
        <v>78.695083999999994</v>
      </c>
      <c r="AN484" s="90">
        <f t="shared" si="88"/>
        <v>6452.9968879999997</v>
      </c>
      <c r="AO484" s="93">
        <f t="shared" si="89"/>
        <v>0.31914499406509345</v>
      </c>
    </row>
    <row r="485" spans="2:41" x14ac:dyDescent="0.25">
      <c r="B485" s="91">
        <v>40053</v>
      </c>
      <c r="C485" s="89">
        <v>104.230003</v>
      </c>
      <c r="D485" s="89">
        <v>104.349998</v>
      </c>
      <c r="E485" s="89">
        <v>102.66999800000001</v>
      </c>
      <c r="F485" s="89">
        <v>103.379997</v>
      </c>
      <c r="G485" s="89">
        <v>78.679848000000007</v>
      </c>
      <c r="H485" s="89">
        <v>147024400</v>
      </c>
      <c r="J485" s="89">
        <v>0</v>
      </c>
      <c r="K485" s="89">
        <f t="shared" si="106"/>
        <v>88</v>
      </c>
      <c r="L485" s="89">
        <f t="shared" si="107"/>
        <v>112.621376</v>
      </c>
      <c r="M485" s="89">
        <f>+SPY__2[[#This Row],[Adj Close]]</f>
        <v>78.679848000000007</v>
      </c>
      <c r="N485" s="89">
        <f t="shared" si="102"/>
        <v>6923.8266240000003</v>
      </c>
      <c r="O485" s="90">
        <f t="shared" si="103"/>
        <v>-2986.8544639999991</v>
      </c>
      <c r="P485" s="93">
        <f t="shared" si="104"/>
        <v>-0.30137731579482741</v>
      </c>
      <c r="Q485" s="96"/>
      <c r="R485" s="96"/>
      <c r="T485" s="90">
        <f t="shared" si="98"/>
        <v>95</v>
      </c>
      <c r="U485" s="89">
        <f t="shared" si="99"/>
        <v>103.31428490526316</v>
      </c>
      <c r="V485" s="89">
        <f t="shared" si="100"/>
        <v>78.679848000000007</v>
      </c>
      <c r="W485" s="90">
        <f t="shared" si="105"/>
        <v>7474.5855600000004</v>
      </c>
      <c r="X485" s="93">
        <f t="shared" si="101"/>
        <v>-0.23844173076213393</v>
      </c>
      <c r="AB485" s="89">
        <f t="shared" si="90"/>
        <v>195</v>
      </c>
      <c r="AC485" s="89">
        <f t="shared" si="91"/>
        <v>51.179276000000002</v>
      </c>
      <c r="AD485" s="89">
        <f t="shared" si="92"/>
        <v>78.679848000000007</v>
      </c>
      <c r="AE485" s="89">
        <f t="shared" si="93"/>
        <v>15342.570360000002</v>
      </c>
      <c r="AF485" s="90">
        <f t="shared" si="96"/>
        <v>5362.6115400000008</v>
      </c>
      <c r="AG485" s="93">
        <f t="shared" si="97"/>
        <v>0.53733804284374798</v>
      </c>
      <c r="AK485" s="90">
        <f t="shared" si="94"/>
        <v>82</v>
      </c>
      <c r="AL485" s="89">
        <f t="shared" si="95"/>
        <v>59.656129048780492</v>
      </c>
      <c r="AM485" s="89">
        <f t="shared" si="87"/>
        <v>78.679848000000007</v>
      </c>
      <c r="AN485" s="90">
        <f t="shared" si="88"/>
        <v>6451.7475360000008</v>
      </c>
      <c r="AO485" s="93">
        <f t="shared" si="89"/>
        <v>0.31888959700459152</v>
      </c>
    </row>
    <row r="486" spans="2:41" x14ac:dyDescent="0.25">
      <c r="B486" s="91">
        <v>40056</v>
      </c>
      <c r="C486" s="89">
        <v>102.370003</v>
      </c>
      <c r="D486" s="89">
        <v>102.58000199999999</v>
      </c>
      <c r="E486" s="89">
        <v>101.790001</v>
      </c>
      <c r="F486" s="89">
        <v>102.459999</v>
      </c>
      <c r="G486" s="89">
        <v>77.979668000000004</v>
      </c>
      <c r="H486" s="89">
        <v>176051600</v>
      </c>
      <c r="J486" s="89">
        <v>0</v>
      </c>
      <c r="K486" s="89">
        <f t="shared" si="106"/>
        <v>88</v>
      </c>
      <c r="L486" s="89">
        <f t="shared" si="107"/>
        <v>112.621376</v>
      </c>
      <c r="M486" s="89">
        <f>+SPY__2[[#This Row],[Adj Close]]</f>
        <v>77.979668000000004</v>
      </c>
      <c r="N486" s="89">
        <f t="shared" si="102"/>
        <v>6862.2107840000008</v>
      </c>
      <c r="O486" s="90">
        <f t="shared" si="103"/>
        <v>-3048.4703039999995</v>
      </c>
      <c r="P486" s="93">
        <f t="shared" si="104"/>
        <v>-0.30759443038593304</v>
      </c>
      <c r="Q486" s="96"/>
      <c r="R486" s="96"/>
      <c r="T486" s="90">
        <f t="shared" si="98"/>
        <v>95</v>
      </c>
      <c r="U486" s="89">
        <f t="shared" si="99"/>
        <v>103.31428490526316</v>
      </c>
      <c r="V486" s="89">
        <f t="shared" si="100"/>
        <v>77.979668000000004</v>
      </c>
      <c r="W486" s="90">
        <f t="shared" si="105"/>
        <v>7408.0684600000004</v>
      </c>
      <c r="X486" s="93">
        <f t="shared" si="101"/>
        <v>-0.24521891554971731</v>
      </c>
      <c r="AB486" s="89">
        <f t="shared" si="90"/>
        <v>195</v>
      </c>
      <c r="AC486" s="89">
        <f t="shared" si="91"/>
        <v>51.179276000000002</v>
      </c>
      <c r="AD486" s="89">
        <f t="shared" si="92"/>
        <v>77.979668000000004</v>
      </c>
      <c r="AE486" s="89">
        <f t="shared" si="93"/>
        <v>15206.035260000001</v>
      </c>
      <c r="AF486" s="90">
        <f t="shared" si="96"/>
        <v>5226.0764400000007</v>
      </c>
      <c r="AG486" s="93">
        <f t="shared" si="97"/>
        <v>0.52365711464929676</v>
      </c>
      <c r="AK486" s="90">
        <f t="shared" si="94"/>
        <v>82</v>
      </c>
      <c r="AL486" s="89">
        <f t="shared" si="95"/>
        <v>59.656129048780492</v>
      </c>
      <c r="AM486" s="89">
        <f t="shared" si="87"/>
        <v>77.979668000000004</v>
      </c>
      <c r="AN486" s="90">
        <f t="shared" si="88"/>
        <v>6394.3327760000002</v>
      </c>
      <c r="AO486" s="93">
        <f t="shared" si="89"/>
        <v>0.30715266383168194</v>
      </c>
    </row>
    <row r="487" spans="2:41" x14ac:dyDescent="0.25">
      <c r="B487" s="91">
        <v>40057</v>
      </c>
      <c r="C487" s="89">
        <v>101.949997</v>
      </c>
      <c r="D487" s="89">
        <v>103.239998</v>
      </c>
      <c r="E487" s="89">
        <v>99.989998</v>
      </c>
      <c r="F487" s="89">
        <v>100.199997</v>
      </c>
      <c r="G487" s="89">
        <v>76.259604999999993</v>
      </c>
      <c r="H487" s="89">
        <v>321276800</v>
      </c>
      <c r="J487" s="89">
        <v>0</v>
      </c>
      <c r="K487" s="89">
        <f t="shared" si="106"/>
        <v>88</v>
      </c>
      <c r="L487" s="89">
        <f t="shared" si="107"/>
        <v>112.621376</v>
      </c>
      <c r="M487" s="89">
        <f>+SPY__2[[#This Row],[Adj Close]]</f>
        <v>76.259604999999993</v>
      </c>
      <c r="N487" s="89">
        <f t="shared" si="102"/>
        <v>6710.8452399999996</v>
      </c>
      <c r="O487" s="90">
        <f t="shared" si="103"/>
        <v>-3199.8358480000006</v>
      </c>
      <c r="P487" s="93">
        <f t="shared" si="104"/>
        <v>-0.32286740130044234</v>
      </c>
      <c r="Q487" s="96"/>
      <c r="R487" s="96"/>
      <c r="T487" s="90">
        <f t="shared" si="98"/>
        <v>95</v>
      </c>
      <c r="U487" s="89">
        <f t="shared" si="99"/>
        <v>103.31428490526316</v>
      </c>
      <c r="V487" s="89">
        <f t="shared" si="100"/>
        <v>76.259604999999993</v>
      </c>
      <c r="W487" s="90">
        <f t="shared" si="105"/>
        <v>7244.6624749999992</v>
      </c>
      <c r="X487" s="93">
        <f t="shared" si="101"/>
        <v>-0.26186775555840791</v>
      </c>
      <c r="AB487" s="89">
        <f t="shared" si="90"/>
        <v>195</v>
      </c>
      <c r="AC487" s="89">
        <f t="shared" si="91"/>
        <v>51.179276000000002</v>
      </c>
      <c r="AD487" s="89">
        <f t="shared" si="92"/>
        <v>76.259604999999993</v>
      </c>
      <c r="AE487" s="89">
        <f t="shared" si="93"/>
        <v>14870.622974999998</v>
      </c>
      <c r="AF487" s="90">
        <f t="shared" si="96"/>
        <v>4890.6641549999986</v>
      </c>
      <c r="AG487" s="93">
        <f t="shared" si="97"/>
        <v>0.49004853058101072</v>
      </c>
      <c r="AK487" s="90">
        <f t="shared" si="94"/>
        <v>82</v>
      </c>
      <c r="AL487" s="89">
        <f t="shared" si="95"/>
        <v>59.656129048780492</v>
      </c>
      <c r="AM487" s="89">
        <f t="shared" si="87"/>
        <v>76.259604999999993</v>
      </c>
      <c r="AN487" s="90">
        <f t="shared" si="88"/>
        <v>6253.2876099999994</v>
      </c>
      <c r="AO487" s="93">
        <f t="shared" si="89"/>
        <v>0.27831970018776997</v>
      </c>
    </row>
    <row r="488" spans="2:41" x14ac:dyDescent="0.25">
      <c r="B488" s="91">
        <v>40058</v>
      </c>
      <c r="C488" s="89">
        <v>99.779999000000004</v>
      </c>
      <c r="D488" s="89">
        <v>100.44000200000001</v>
      </c>
      <c r="E488" s="89">
        <v>99.57</v>
      </c>
      <c r="F488" s="89">
        <v>99.82</v>
      </c>
      <c r="G488" s="89">
        <v>75.970412999999994</v>
      </c>
      <c r="H488" s="89">
        <v>171805000</v>
      </c>
      <c r="J488" s="89">
        <v>0</v>
      </c>
      <c r="K488" s="89">
        <f t="shared" si="106"/>
        <v>88</v>
      </c>
      <c r="L488" s="89">
        <f t="shared" si="107"/>
        <v>112.621376</v>
      </c>
      <c r="M488" s="89">
        <f>+SPY__2[[#This Row],[Adj Close]]</f>
        <v>75.970412999999994</v>
      </c>
      <c r="N488" s="89">
        <f t="shared" si="102"/>
        <v>6685.3963439999998</v>
      </c>
      <c r="O488" s="90">
        <f t="shared" si="103"/>
        <v>-3225.2847440000005</v>
      </c>
      <c r="P488" s="93">
        <f t="shared" si="104"/>
        <v>-0.32543522643516631</v>
      </c>
      <c r="Q488" s="96"/>
      <c r="R488" s="96"/>
      <c r="T488" s="90">
        <f t="shared" si="98"/>
        <v>95</v>
      </c>
      <c r="U488" s="89">
        <f t="shared" si="99"/>
        <v>103.31428490526316</v>
      </c>
      <c r="V488" s="89">
        <f t="shared" si="100"/>
        <v>75.970412999999994</v>
      </c>
      <c r="W488" s="90">
        <f t="shared" si="105"/>
        <v>7217.1892349999998</v>
      </c>
      <c r="X488" s="93">
        <f t="shared" si="101"/>
        <v>-0.26466690381041569</v>
      </c>
      <c r="AB488" s="89">
        <f t="shared" si="90"/>
        <v>195</v>
      </c>
      <c r="AC488" s="89">
        <f t="shared" si="91"/>
        <v>51.179276000000002</v>
      </c>
      <c r="AD488" s="89">
        <f t="shared" si="92"/>
        <v>75.970412999999994</v>
      </c>
      <c r="AE488" s="89">
        <f t="shared" si="93"/>
        <v>14814.230534999999</v>
      </c>
      <c r="AF488" s="90">
        <f t="shared" si="96"/>
        <v>4834.271714999998</v>
      </c>
      <c r="AG488" s="93">
        <f t="shared" si="97"/>
        <v>0.4843979621751584</v>
      </c>
      <c r="AK488" s="90">
        <f t="shared" si="94"/>
        <v>82</v>
      </c>
      <c r="AL488" s="89">
        <f t="shared" si="95"/>
        <v>59.656129048780492</v>
      </c>
      <c r="AM488" s="89">
        <f t="shared" si="87"/>
        <v>75.970412999999994</v>
      </c>
      <c r="AN488" s="90">
        <f t="shared" si="88"/>
        <v>6229.5738659999997</v>
      </c>
      <c r="AO488" s="93">
        <f t="shared" si="89"/>
        <v>0.27347205075742353</v>
      </c>
    </row>
    <row r="489" spans="2:41" x14ac:dyDescent="0.25">
      <c r="B489" s="91">
        <v>40059</v>
      </c>
      <c r="C489" s="89">
        <v>100.400002</v>
      </c>
      <c r="D489" s="89">
        <v>100.769997</v>
      </c>
      <c r="E489" s="89">
        <v>99.589995999999999</v>
      </c>
      <c r="F489" s="89">
        <v>100.650002</v>
      </c>
      <c r="G489" s="89">
        <v>76.602119000000002</v>
      </c>
      <c r="H489" s="89">
        <v>143572300</v>
      </c>
      <c r="J489" s="89">
        <v>0</v>
      </c>
      <c r="K489" s="89">
        <f t="shared" si="106"/>
        <v>88</v>
      </c>
      <c r="L489" s="89">
        <f t="shared" si="107"/>
        <v>112.621376</v>
      </c>
      <c r="M489" s="89">
        <f>+SPY__2[[#This Row],[Adj Close]]</f>
        <v>76.602119000000002</v>
      </c>
      <c r="N489" s="89">
        <f t="shared" si="102"/>
        <v>6740.9864720000005</v>
      </c>
      <c r="O489" s="90">
        <f t="shared" si="103"/>
        <v>-3169.6946159999998</v>
      </c>
      <c r="P489" s="93">
        <f t="shared" si="104"/>
        <v>-0.31982611365004099</v>
      </c>
      <c r="Q489" s="96"/>
      <c r="R489" s="96"/>
      <c r="T489" s="90">
        <f t="shared" si="98"/>
        <v>95</v>
      </c>
      <c r="U489" s="89">
        <f t="shared" si="99"/>
        <v>103.31428490526316</v>
      </c>
      <c r="V489" s="89">
        <f t="shared" si="100"/>
        <v>76.602119000000002</v>
      </c>
      <c r="W489" s="90">
        <f t="shared" si="105"/>
        <v>7277.2013050000005</v>
      </c>
      <c r="X489" s="93">
        <f t="shared" si="101"/>
        <v>-0.25855249281120807</v>
      </c>
      <c r="AB489" s="89">
        <f t="shared" si="90"/>
        <v>195</v>
      </c>
      <c r="AC489" s="89">
        <f t="shared" si="91"/>
        <v>51.179276000000002</v>
      </c>
      <c r="AD489" s="89">
        <f t="shared" si="92"/>
        <v>76.602119000000002</v>
      </c>
      <c r="AE489" s="89">
        <f t="shared" si="93"/>
        <v>14937.413205000001</v>
      </c>
      <c r="AF489" s="90">
        <f t="shared" si="96"/>
        <v>4957.454385</v>
      </c>
      <c r="AG489" s="93">
        <f t="shared" si="97"/>
        <v>0.49674096601132067</v>
      </c>
      <c r="AK489" s="90">
        <f t="shared" si="94"/>
        <v>82</v>
      </c>
      <c r="AL489" s="89">
        <f t="shared" si="95"/>
        <v>59.656129048780492</v>
      </c>
      <c r="AM489" s="89">
        <f t="shared" si="87"/>
        <v>76.602119000000002</v>
      </c>
      <c r="AN489" s="90">
        <f t="shared" si="88"/>
        <v>6281.3737579999997</v>
      </c>
      <c r="AO489" s="93">
        <f t="shared" si="89"/>
        <v>0.28406117227892658</v>
      </c>
    </row>
    <row r="490" spans="2:41" x14ac:dyDescent="0.25">
      <c r="B490" s="91">
        <v>40060</v>
      </c>
      <c r="C490" s="89">
        <v>100.849998</v>
      </c>
      <c r="D490" s="89">
        <v>102.089996</v>
      </c>
      <c r="E490" s="89">
        <v>100.550003</v>
      </c>
      <c r="F490" s="89">
        <v>102.05999799999999</v>
      </c>
      <c r="G490" s="89">
        <v>77.675246999999999</v>
      </c>
      <c r="H490" s="89">
        <v>142687900</v>
      </c>
      <c r="J490" s="89">
        <v>0</v>
      </c>
      <c r="K490" s="89">
        <f t="shared" si="106"/>
        <v>88</v>
      </c>
      <c r="L490" s="89">
        <f t="shared" si="107"/>
        <v>112.621376</v>
      </c>
      <c r="M490" s="89">
        <f>+SPY__2[[#This Row],[Adj Close]]</f>
        <v>77.675246999999999</v>
      </c>
      <c r="N490" s="89">
        <f t="shared" si="102"/>
        <v>6835.4217360000002</v>
      </c>
      <c r="O490" s="90">
        <f t="shared" si="103"/>
        <v>-3075.259352</v>
      </c>
      <c r="P490" s="93">
        <f t="shared" si="104"/>
        <v>-0.31029747851775491</v>
      </c>
      <c r="Q490" s="96"/>
      <c r="R490" s="96"/>
      <c r="T490" s="90">
        <f t="shared" si="98"/>
        <v>95</v>
      </c>
      <c r="U490" s="89">
        <f t="shared" si="99"/>
        <v>103.31428490526316</v>
      </c>
      <c r="V490" s="89">
        <f t="shared" si="100"/>
        <v>77.675246999999999</v>
      </c>
      <c r="W490" s="90">
        <f t="shared" si="105"/>
        <v>7379.1484650000002</v>
      </c>
      <c r="X490" s="93">
        <f t="shared" si="101"/>
        <v>-0.24816546839358733</v>
      </c>
      <c r="AB490" s="89">
        <f t="shared" si="90"/>
        <v>195</v>
      </c>
      <c r="AC490" s="89">
        <f t="shared" si="91"/>
        <v>51.179276000000002</v>
      </c>
      <c r="AD490" s="89">
        <f t="shared" si="92"/>
        <v>77.675246999999999</v>
      </c>
      <c r="AE490" s="89">
        <f t="shared" si="93"/>
        <v>15146.673165</v>
      </c>
      <c r="AF490" s="90">
        <f t="shared" si="96"/>
        <v>5166.7143449999994</v>
      </c>
      <c r="AG490" s="93">
        <f t="shared" si="97"/>
        <v>0.51770898439438651</v>
      </c>
      <c r="AK490" s="90">
        <f t="shared" si="94"/>
        <v>82</v>
      </c>
      <c r="AL490" s="89">
        <f t="shared" si="95"/>
        <v>59.656129048780492</v>
      </c>
      <c r="AM490" s="89">
        <f t="shared" si="87"/>
        <v>77.675246999999999</v>
      </c>
      <c r="AN490" s="90">
        <f t="shared" si="88"/>
        <v>6369.3702539999995</v>
      </c>
      <c r="AO490" s="93">
        <f t="shared" si="89"/>
        <v>0.30204973467999197</v>
      </c>
    </row>
    <row r="491" spans="2:41" x14ac:dyDescent="0.25">
      <c r="B491" s="91">
        <v>40064</v>
      </c>
      <c r="C491" s="89">
        <v>103</v>
      </c>
      <c r="D491" s="89">
        <v>103.050003</v>
      </c>
      <c r="E491" s="89">
        <v>102.389999</v>
      </c>
      <c r="F491" s="89">
        <v>102.94000200000001</v>
      </c>
      <c r="G491" s="89">
        <v>78.344971000000001</v>
      </c>
      <c r="H491" s="89">
        <v>132909100</v>
      </c>
      <c r="J491" s="89">
        <v>0</v>
      </c>
      <c r="K491" s="89">
        <f t="shared" si="106"/>
        <v>88</v>
      </c>
      <c r="L491" s="89">
        <f t="shared" si="107"/>
        <v>112.621376</v>
      </c>
      <c r="M491" s="89">
        <f>+SPY__2[[#This Row],[Adj Close]]</f>
        <v>78.344971000000001</v>
      </c>
      <c r="N491" s="89">
        <f t="shared" si="102"/>
        <v>6894.3574479999997</v>
      </c>
      <c r="O491" s="90">
        <f t="shared" si="103"/>
        <v>-3016.3236399999996</v>
      </c>
      <c r="P491" s="93">
        <f t="shared" si="104"/>
        <v>-0.30435079216222682</v>
      </c>
      <c r="Q491" s="96"/>
      <c r="R491" s="96"/>
      <c r="T491" s="90">
        <f t="shared" si="98"/>
        <v>95</v>
      </c>
      <c r="U491" s="89">
        <f t="shared" si="99"/>
        <v>103.31428490526316</v>
      </c>
      <c r="V491" s="89">
        <f t="shared" si="100"/>
        <v>78.344971000000001</v>
      </c>
      <c r="W491" s="90">
        <f t="shared" si="105"/>
        <v>7442.7722450000001</v>
      </c>
      <c r="X491" s="93">
        <f t="shared" si="101"/>
        <v>-0.24168307343132123</v>
      </c>
      <c r="AB491" s="89">
        <f t="shared" si="90"/>
        <v>195</v>
      </c>
      <c r="AC491" s="89">
        <f t="shared" si="91"/>
        <v>51.179276000000002</v>
      </c>
      <c r="AD491" s="89">
        <f t="shared" si="92"/>
        <v>78.344971000000001</v>
      </c>
      <c r="AE491" s="89">
        <f t="shared" si="93"/>
        <v>15277.269345000001</v>
      </c>
      <c r="AF491" s="90">
        <f t="shared" si="96"/>
        <v>5297.3105249999999</v>
      </c>
      <c r="AG491" s="93">
        <f t="shared" si="97"/>
        <v>0.53079482796903954</v>
      </c>
      <c r="AK491" s="90">
        <f t="shared" si="94"/>
        <v>82</v>
      </c>
      <c r="AL491" s="89">
        <f t="shared" si="95"/>
        <v>59.656129048780492</v>
      </c>
      <c r="AM491" s="89">
        <f t="shared" si="87"/>
        <v>78.344971000000001</v>
      </c>
      <c r="AN491" s="90">
        <f t="shared" si="88"/>
        <v>6424.2876219999998</v>
      </c>
      <c r="AO491" s="93">
        <f t="shared" si="89"/>
        <v>0.31327614193568842</v>
      </c>
    </row>
    <row r="492" spans="2:41" x14ac:dyDescent="0.25">
      <c r="B492" s="91">
        <v>40065</v>
      </c>
      <c r="C492" s="89">
        <v>103.120003</v>
      </c>
      <c r="D492" s="89">
        <v>104.08000199999999</v>
      </c>
      <c r="E492" s="89">
        <v>102.800003</v>
      </c>
      <c r="F492" s="89">
        <v>103.730003</v>
      </c>
      <c r="G492" s="89">
        <v>78.946205000000006</v>
      </c>
      <c r="H492" s="89">
        <v>154612500</v>
      </c>
      <c r="J492" s="89">
        <v>0</v>
      </c>
      <c r="K492" s="89">
        <f t="shared" si="106"/>
        <v>88</v>
      </c>
      <c r="L492" s="89">
        <f t="shared" si="107"/>
        <v>112.621376</v>
      </c>
      <c r="M492" s="89">
        <f>+SPY__2[[#This Row],[Adj Close]]</f>
        <v>78.946205000000006</v>
      </c>
      <c r="N492" s="89">
        <f t="shared" si="102"/>
        <v>6947.2660400000004</v>
      </c>
      <c r="O492" s="90">
        <f t="shared" si="103"/>
        <v>-2963.4150479999994</v>
      </c>
      <c r="P492" s="93">
        <f t="shared" si="104"/>
        <v>-0.29901224968162343</v>
      </c>
      <c r="Q492" s="96"/>
      <c r="R492" s="96"/>
      <c r="T492" s="90">
        <f t="shared" si="98"/>
        <v>95</v>
      </c>
      <c r="U492" s="89">
        <f t="shared" si="99"/>
        <v>103.31428490526316</v>
      </c>
      <c r="V492" s="89">
        <f t="shared" si="100"/>
        <v>78.946205000000006</v>
      </c>
      <c r="W492" s="90">
        <f t="shared" si="105"/>
        <v>7499.8894750000009</v>
      </c>
      <c r="X492" s="93">
        <f t="shared" si="101"/>
        <v>-0.23586360712468879</v>
      </c>
      <c r="AB492" s="89">
        <f t="shared" si="90"/>
        <v>195</v>
      </c>
      <c r="AC492" s="89">
        <f t="shared" si="91"/>
        <v>51.179276000000002</v>
      </c>
      <c r="AD492" s="89">
        <f t="shared" si="92"/>
        <v>78.946205000000006</v>
      </c>
      <c r="AE492" s="89">
        <f t="shared" si="93"/>
        <v>15394.509975000001</v>
      </c>
      <c r="AF492" s="90">
        <f t="shared" si="96"/>
        <v>5414.551155000001</v>
      </c>
      <c r="AG492" s="93">
        <f t="shared" si="97"/>
        <v>0.54254243455886342</v>
      </c>
      <c r="AI492" s="90">
        <v>-2500</v>
      </c>
      <c r="AJ492" s="89">
        <f>+-ROUNDDOWN(AI492/AD492,0)</f>
        <v>31</v>
      </c>
      <c r="AK492" s="90">
        <f>+AJ492+AK491</f>
        <v>113</v>
      </c>
      <c r="AL492" s="89">
        <f>+(AJ364*AL364+AJ428*AD428+AJ492*AD492)/AK492</f>
        <v>64.948096787610623</v>
      </c>
      <c r="AM492" s="89">
        <f t="shared" si="87"/>
        <v>78.946205000000006</v>
      </c>
      <c r="AN492" s="90">
        <f t="shared" si="88"/>
        <v>8920.9211650000016</v>
      </c>
      <c r="AO492" s="93">
        <f t="shared" si="89"/>
        <v>0.21552761212026206</v>
      </c>
    </row>
    <row r="493" spans="2:41" x14ac:dyDescent="0.25">
      <c r="B493" s="91">
        <v>40066</v>
      </c>
      <c r="C493" s="89">
        <v>103.800003</v>
      </c>
      <c r="D493" s="89">
        <v>104.860001</v>
      </c>
      <c r="E493" s="89">
        <v>103.220001</v>
      </c>
      <c r="F493" s="89">
        <v>104.790001</v>
      </c>
      <c r="G493" s="89">
        <v>79.752960000000002</v>
      </c>
      <c r="H493" s="89">
        <v>162902400</v>
      </c>
      <c r="J493" s="89">
        <v>0</v>
      </c>
      <c r="K493" s="89">
        <f t="shared" si="106"/>
        <v>88</v>
      </c>
      <c r="L493" s="89">
        <f t="shared" si="107"/>
        <v>112.621376</v>
      </c>
      <c r="M493" s="89">
        <f>+SPY__2[[#This Row],[Adj Close]]</f>
        <v>79.752960000000002</v>
      </c>
      <c r="N493" s="89">
        <f t="shared" si="102"/>
        <v>7018.2604799999999</v>
      </c>
      <c r="O493" s="90">
        <f t="shared" si="103"/>
        <v>-2892.4206079999994</v>
      </c>
      <c r="P493" s="93">
        <f t="shared" si="104"/>
        <v>-0.29184882273148571</v>
      </c>
      <c r="Q493" s="96"/>
      <c r="R493" s="96"/>
      <c r="T493" s="90">
        <f t="shared" si="98"/>
        <v>95</v>
      </c>
      <c r="U493" s="89">
        <f t="shared" si="99"/>
        <v>103.31428490526316</v>
      </c>
      <c r="V493" s="89">
        <f t="shared" si="100"/>
        <v>79.752960000000002</v>
      </c>
      <c r="W493" s="90">
        <f t="shared" si="105"/>
        <v>7576.5312000000004</v>
      </c>
      <c r="X493" s="93">
        <f t="shared" si="101"/>
        <v>-0.22805486121177099</v>
      </c>
      <c r="AB493" s="89">
        <f t="shared" si="90"/>
        <v>195</v>
      </c>
      <c r="AC493" s="89">
        <f t="shared" si="91"/>
        <v>51.179276000000002</v>
      </c>
      <c r="AD493" s="89">
        <f t="shared" si="92"/>
        <v>79.752960000000002</v>
      </c>
      <c r="AE493" s="89">
        <f t="shared" si="93"/>
        <v>15551.8272</v>
      </c>
      <c r="AF493" s="90">
        <f t="shared" si="96"/>
        <v>5571.8683799999999</v>
      </c>
      <c r="AG493" s="93">
        <f t="shared" si="97"/>
        <v>0.55830574860027338</v>
      </c>
      <c r="AK493" s="90">
        <f>+AK492</f>
        <v>113</v>
      </c>
      <c r="AL493" s="89">
        <f>+AL492</f>
        <v>64.948096787610623</v>
      </c>
      <c r="AM493" s="89">
        <f t="shared" ref="AM493:AM556" si="108">+AD493</f>
        <v>79.752960000000002</v>
      </c>
      <c r="AN493" s="90">
        <f t="shared" ref="AN493:AN556" si="109">+AM493*AK493</f>
        <v>9012.0844799999995</v>
      </c>
      <c r="AO493" s="93">
        <f t="shared" ref="AO493:AO556" si="110">+AN493/(AL493*AK493)-1</f>
        <v>0.22794914623600659</v>
      </c>
    </row>
    <row r="494" spans="2:41" x14ac:dyDescent="0.25">
      <c r="B494" s="91">
        <v>40067</v>
      </c>
      <c r="C494" s="89">
        <v>104.989998</v>
      </c>
      <c r="D494" s="89">
        <v>105.300003</v>
      </c>
      <c r="E494" s="89">
        <v>104.279999</v>
      </c>
      <c r="F494" s="89">
        <v>104.769997</v>
      </c>
      <c r="G494" s="89">
        <v>79.737717000000004</v>
      </c>
      <c r="H494" s="89">
        <v>152360100</v>
      </c>
      <c r="J494" s="89">
        <v>0</v>
      </c>
      <c r="K494" s="89">
        <f t="shared" si="106"/>
        <v>88</v>
      </c>
      <c r="L494" s="89">
        <f t="shared" si="107"/>
        <v>112.621376</v>
      </c>
      <c r="M494" s="89">
        <f>+SPY__2[[#This Row],[Adj Close]]</f>
        <v>79.737717000000004</v>
      </c>
      <c r="N494" s="89">
        <f t="shared" si="102"/>
        <v>7016.9190960000005</v>
      </c>
      <c r="O494" s="90">
        <f t="shared" si="103"/>
        <v>-2893.7619919999997</v>
      </c>
      <c r="P494" s="93">
        <f t="shared" si="104"/>
        <v>-0.29198417003890975</v>
      </c>
      <c r="Q494" s="96"/>
      <c r="R494" s="96"/>
      <c r="T494" s="90">
        <f t="shared" si="98"/>
        <v>95</v>
      </c>
      <c r="U494" s="89">
        <f t="shared" si="99"/>
        <v>103.31428490526316</v>
      </c>
      <c r="V494" s="89">
        <f t="shared" si="100"/>
        <v>79.737717000000004</v>
      </c>
      <c r="W494" s="90">
        <f t="shared" si="105"/>
        <v>7575.0831150000004</v>
      </c>
      <c r="X494" s="93">
        <f t="shared" si="101"/>
        <v>-0.22820240131248393</v>
      </c>
      <c r="AB494" s="89">
        <f t="shared" ref="AB494:AB557" si="111">+AB493</f>
        <v>195</v>
      </c>
      <c r="AC494" s="89">
        <f t="shared" ref="AC494:AC557" si="112">+AC493</f>
        <v>51.179276000000002</v>
      </c>
      <c r="AD494" s="89">
        <f t="shared" ref="AD494:AD557" si="113">+V494</f>
        <v>79.737717000000004</v>
      </c>
      <c r="AE494" s="89">
        <f t="shared" ref="AE494:AE557" si="114">+AB494*AD494</f>
        <v>15548.854815000001</v>
      </c>
      <c r="AF494" s="90">
        <f t="shared" si="96"/>
        <v>5568.8959950000008</v>
      </c>
      <c r="AG494" s="93">
        <f t="shared" si="97"/>
        <v>0.55800791320299248</v>
      </c>
      <c r="AK494" s="90">
        <f t="shared" ref="AK494:AK555" si="115">+AK493</f>
        <v>113</v>
      </c>
      <c r="AL494" s="89">
        <f t="shared" ref="AL494:AL555" si="116">+AL493</f>
        <v>64.948096787610623</v>
      </c>
      <c r="AM494" s="89">
        <f t="shared" si="108"/>
        <v>79.737717000000004</v>
      </c>
      <c r="AN494" s="90">
        <f t="shared" si="109"/>
        <v>9010.3620210000008</v>
      </c>
      <c r="AO494" s="93">
        <f t="shared" si="110"/>
        <v>0.22771445113709055</v>
      </c>
    </row>
    <row r="495" spans="2:41" x14ac:dyDescent="0.25">
      <c r="B495" s="91">
        <v>40070</v>
      </c>
      <c r="C495" s="89">
        <v>103.879997</v>
      </c>
      <c r="D495" s="89">
        <v>105.459999</v>
      </c>
      <c r="E495" s="89">
        <v>103.150002</v>
      </c>
      <c r="F495" s="89">
        <v>105.279999</v>
      </c>
      <c r="G495" s="89">
        <v>80.125861999999998</v>
      </c>
      <c r="H495" s="89">
        <v>149593800</v>
      </c>
      <c r="J495" s="89">
        <v>0</v>
      </c>
      <c r="K495" s="89">
        <f t="shared" si="106"/>
        <v>88</v>
      </c>
      <c r="L495" s="89">
        <f t="shared" si="107"/>
        <v>112.621376</v>
      </c>
      <c r="M495" s="89">
        <f>+SPY__2[[#This Row],[Adj Close]]</f>
        <v>80.125861999999998</v>
      </c>
      <c r="N495" s="89">
        <f t="shared" si="102"/>
        <v>7051.0758559999995</v>
      </c>
      <c r="O495" s="90">
        <f t="shared" si="103"/>
        <v>-2859.6052319999999</v>
      </c>
      <c r="P495" s="93">
        <f t="shared" si="104"/>
        <v>-0.28853771063852041</v>
      </c>
      <c r="Q495" s="96"/>
      <c r="R495" s="96"/>
      <c r="T495" s="90">
        <f t="shared" si="98"/>
        <v>95</v>
      </c>
      <c r="U495" s="89">
        <f t="shared" si="99"/>
        <v>103.31428490526316</v>
      </c>
      <c r="V495" s="89">
        <f t="shared" si="100"/>
        <v>80.125861999999998</v>
      </c>
      <c r="W495" s="90">
        <f t="shared" si="105"/>
        <v>7611.9568899999995</v>
      </c>
      <c r="X495" s="93">
        <f t="shared" si="101"/>
        <v>-0.22444546682509992</v>
      </c>
      <c r="AB495" s="89">
        <f t="shared" si="111"/>
        <v>195</v>
      </c>
      <c r="AC495" s="89">
        <f t="shared" si="112"/>
        <v>51.179276000000002</v>
      </c>
      <c r="AD495" s="89">
        <f t="shared" si="113"/>
        <v>80.125861999999998</v>
      </c>
      <c r="AE495" s="89">
        <f t="shared" si="114"/>
        <v>15624.543089999999</v>
      </c>
      <c r="AF495" s="90">
        <f t="shared" si="96"/>
        <v>5644.5842699999994</v>
      </c>
      <c r="AG495" s="93">
        <f t="shared" si="97"/>
        <v>0.56559193998758395</v>
      </c>
      <c r="AK495" s="90">
        <f t="shared" si="115"/>
        <v>113</v>
      </c>
      <c r="AL495" s="89">
        <f t="shared" si="116"/>
        <v>64.948096787610623</v>
      </c>
      <c r="AM495" s="89">
        <f t="shared" si="108"/>
        <v>80.125861999999998</v>
      </c>
      <c r="AN495" s="90">
        <f t="shared" si="109"/>
        <v>9054.222405999999</v>
      </c>
      <c r="AO495" s="93">
        <f t="shared" si="110"/>
        <v>0.23369068476360111</v>
      </c>
    </row>
    <row r="496" spans="2:41" x14ac:dyDescent="0.25">
      <c r="B496" s="91">
        <v>40071</v>
      </c>
      <c r="C496" s="89">
        <v>105.449997</v>
      </c>
      <c r="D496" s="89">
        <v>106.110001</v>
      </c>
      <c r="E496" s="89">
        <v>104.760002</v>
      </c>
      <c r="F496" s="89">
        <v>105.720001</v>
      </c>
      <c r="G496" s="89">
        <v>80.460762000000003</v>
      </c>
      <c r="H496" s="89">
        <v>196795900</v>
      </c>
      <c r="J496" s="89">
        <v>0</v>
      </c>
      <c r="K496" s="89">
        <f t="shared" si="106"/>
        <v>88</v>
      </c>
      <c r="L496" s="89">
        <f t="shared" si="107"/>
        <v>112.621376</v>
      </c>
      <c r="M496" s="89">
        <f>+SPY__2[[#This Row],[Adj Close]]</f>
        <v>80.460762000000003</v>
      </c>
      <c r="N496" s="89">
        <f t="shared" si="102"/>
        <v>7080.5470560000003</v>
      </c>
      <c r="O496" s="90">
        <f t="shared" si="103"/>
        <v>-2830.1340319999995</v>
      </c>
      <c r="P496" s="93">
        <f t="shared" si="104"/>
        <v>-0.28556403004701347</v>
      </c>
      <c r="Q496" s="96"/>
      <c r="R496" s="96"/>
      <c r="T496" s="90">
        <f t="shared" si="98"/>
        <v>95</v>
      </c>
      <c r="U496" s="89">
        <f t="shared" si="99"/>
        <v>103.31428490526316</v>
      </c>
      <c r="V496" s="89">
        <f t="shared" si="100"/>
        <v>80.460762000000003</v>
      </c>
      <c r="W496" s="90">
        <f t="shared" si="105"/>
        <v>7643.7723900000001</v>
      </c>
      <c r="X496" s="93">
        <f t="shared" si="101"/>
        <v>-0.22120390153422942</v>
      </c>
      <c r="AB496" s="89">
        <f t="shared" si="111"/>
        <v>195</v>
      </c>
      <c r="AC496" s="89">
        <f t="shared" si="112"/>
        <v>51.179276000000002</v>
      </c>
      <c r="AD496" s="89">
        <f t="shared" si="113"/>
        <v>80.460762000000003</v>
      </c>
      <c r="AE496" s="89">
        <f t="shared" si="114"/>
        <v>15689.84859</v>
      </c>
      <c r="AF496" s="90">
        <f t="shared" si="96"/>
        <v>5709.8897699999998</v>
      </c>
      <c r="AG496" s="93">
        <f t="shared" si="97"/>
        <v>0.57213560426294419</v>
      </c>
      <c r="AK496" s="90">
        <f t="shared" si="115"/>
        <v>113</v>
      </c>
      <c r="AL496" s="89">
        <f t="shared" si="116"/>
        <v>64.948096787610623</v>
      </c>
      <c r="AM496" s="89">
        <f t="shared" si="108"/>
        <v>80.460762000000003</v>
      </c>
      <c r="AN496" s="90">
        <f t="shared" si="109"/>
        <v>9092.0661060000002</v>
      </c>
      <c r="AO496" s="93">
        <f t="shared" si="110"/>
        <v>0.23884710991790814</v>
      </c>
    </row>
    <row r="497" spans="2:41" x14ac:dyDescent="0.25">
      <c r="B497" s="91">
        <v>40072</v>
      </c>
      <c r="C497" s="89">
        <v>106.099998</v>
      </c>
      <c r="D497" s="89">
        <v>107.339996</v>
      </c>
      <c r="E497" s="89">
        <v>105.730003</v>
      </c>
      <c r="F497" s="89">
        <v>107.32</v>
      </c>
      <c r="G497" s="89">
        <v>81.678466999999998</v>
      </c>
      <c r="H497" s="89">
        <v>206406300</v>
      </c>
      <c r="J497" s="89">
        <v>0</v>
      </c>
      <c r="K497" s="89">
        <f t="shared" si="106"/>
        <v>88</v>
      </c>
      <c r="L497" s="89">
        <f t="shared" si="107"/>
        <v>112.621376</v>
      </c>
      <c r="M497" s="89">
        <f>+SPY__2[[#This Row],[Adj Close]]</f>
        <v>81.678466999999998</v>
      </c>
      <c r="N497" s="89">
        <f t="shared" si="102"/>
        <v>7187.7050959999997</v>
      </c>
      <c r="O497" s="90">
        <f t="shared" si="103"/>
        <v>-2722.9759920000001</v>
      </c>
      <c r="P497" s="93">
        <f t="shared" si="104"/>
        <v>-0.27475165105423682</v>
      </c>
      <c r="Q497" s="96"/>
      <c r="R497" s="96"/>
      <c r="T497" s="90">
        <f t="shared" si="98"/>
        <v>95</v>
      </c>
      <c r="U497" s="89">
        <f t="shared" si="99"/>
        <v>103.31428490526316</v>
      </c>
      <c r="V497" s="89">
        <f t="shared" si="100"/>
        <v>81.678466999999998</v>
      </c>
      <c r="W497" s="90">
        <f t="shared" si="105"/>
        <v>7759.4543649999996</v>
      </c>
      <c r="X497" s="93">
        <f t="shared" si="101"/>
        <v>-0.20941748689547357</v>
      </c>
      <c r="AB497" s="89">
        <f t="shared" si="111"/>
        <v>195</v>
      </c>
      <c r="AC497" s="89">
        <f t="shared" si="112"/>
        <v>51.179276000000002</v>
      </c>
      <c r="AD497" s="89">
        <f t="shared" si="113"/>
        <v>81.678466999999998</v>
      </c>
      <c r="AE497" s="89">
        <f t="shared" si="114"/>
        <v>15927.301065</v>
      </c>
      <c r="AF497" s="90">
        <f t="shared" si="96"/>
        <v>5947.3422449999989</v>
      </c>
      <c r="AG497" s="93">
        <f t="shared" si="97"/>
        <v>0.59592853560491932</v>
      </c>
      <c r="AK497" s="90">
        <f t="shared" si="115"/>
        <v>113</v>
      </c>
      <c r="AL497" s="89">
        <f t="shared" si="116"/>
        <v>64.948096787610623</v>
      </c>
      <c r="AM497" s="89">
        <f t="shared" si="108"/>
        <v>81.678466999999998</v>
      </c>
      <c r="AN497" s="90">
        <f t="shared" si="109"/>
        <v>9229.6667710000002</v>
      </c>
      <c r="AO497" s="93">
        <f t="shared" si="110"/>
        <v>0.25759600419239437</v>
      </c>
    </row>
    <row r="498" spans="2:41" x14ac:dyDescent="0.25">
      <c r="B498" s="91">
        <v>40073</v>
      </c>
      <c r="C498" s="89">
        <v>107.16999800000001</v>
      </c>
      <c r="D498" s="89">
        <v>108.05999799999999</v>
      </c>
      <c r="E498" s="89">
        <v>106.57</v>
      </c>
      <c r="F498" s="89">
        <v>107.160004</v>
      </c>
      <c r="G498" s="89">
        <v>81.556685999999999</v>
      </c>
      <c r="H498" s="89">
        <v>229170900</v>
      </c>
      <c r="J498" s="89">
        <v>0</v>
      </c>
      <c r="K498" s="89">
        <f t="shared" si="106"/>
        <v>88</v>
      </c>
      <c r="L498" s="89">
        <f t="shared" si="107"/>
        <v>112.621376</v>
      </c>
      <c r="M498" s="89">
        <f>+SPY__2[[#This Row],[Adj Close]]</f>
        <v>81.556685999999999</v>
      </c>
      <c r="N498" s="89">
        <f t="shared" si="102"/>
        <v>7176.9883680000003</v>
      </c>
      <c r="O498" s="90">
        <f t="shared" si="103"/>
        <v>-2733.69272</v>
      </c>
      <c r="P498" s="93">
        <f t="shared" si="104"/>
        <v>-0.27583298218625918</v>
      </c>
      <c r="Q498" s="96"/>
      <c r="R498" s="96"/>
      <c r="T498" s="90">
        <f t="shared" si="98"/>
        <v>95</v>
      </c>
      <c r="U498" s="89">
        <f t="shared" si="99"/>
        <v>103.31428490526316</v>
      </c>
      <c r="V498" s="89">
        <f t="shared" si="100"/>
        <v>81.556685999999999</v>
      </c>
      <c r="W498" s="90">
        <f t="shared" si="105"/>
        <v>7747.8851699999996</v>
      </c>
      <c r="X498" s="93">
        <f t="shared" si="101"/>
        <v>-0.21059622999098715</v>
      </c>
      <c r="AB498" s="89">
        <f t="shared" si="111"/>
        <v>195</v>
      </c>
      <c r="AC498" s="89">
        <f t="shared" si="112"/>
        <v>51.179276000000002</v>
      </c>
      <c r="AD498" s="89">
        <f t="shared" si="113"/>
        <v>81.556685999999999</v>
      </c>
      <c r="AE498" s="89">
        <f t="shared" si="114"/>
        <v>15903.55377</v>
      </c>
      <c r="AF498" s="90">
        <f t="shared" ref="AF498:AF561" si="117">+(AD498-AC498)*AB498</f>
        <v>5923.5949499999997</v>
      </c>
      <c r="AG498" s="93">
        <f t="shared" ref="AG498:AG561" si="118">+AD498/AC498-1</f>
        <v>0.59354903730955466</v>
      </c>
      <c r="AK498" s="90">
        <f t="shared" si="115"/>
        <v>113</v>
      </c>
      <c r="AL498" s="89">
        <f t="shared" si="116"/>
        <v>64.948096787610623</v>
      </c>
      <c r="AM498" s="89">
        <f t="shared" si="108"/>
        <v>81.556685999999999</v>
      </c>
      <c r="AN498" s="90">
        <f t="shared" si="109"/>
        <v>9215.9055179999996</v>
      </c>
      <c r="AO498" s="93">
        <f t="shared" si="110"/>
        <v>0.25572095309739074</v>
      </c>
    </row>
    <row r="499" spans="2:41" x14ac:dyDescent="0.25">
      <c r="B499" s="91">
        <v>40074</v>
      </c>
      <c r="C499" s="89">
        <v>107.150002</v>
      </c>
      <c r="D499" s="89">
        <v>107.160004</v>
      </c>
      <c r="E499" s="89">
        <v>106.360001</v>
      </c>
      <c r="F499" s="89">
        <v>106.720001</v>
      </c>
      <c r="G499" s="89">
        <v>81.608711</v>
      </c>
      <c r="H499" s="89">
        <v>153799100</v>
      </c>
      <c r="J499" s="89">
        <v>0</v>
      </c>
      <c r="K499" s="89">
        <f t="shared" si="106"/>
        <v>88</v>
      </c>
      <c r="L499" s="89">
        <f t="shared" si="107"/>
        <v>112.621376</v>
      </c>
      <c r="M499" s="89">
        <f>+SPY__2[[#This Row],[Adj Close]]</f>
        <v>81.608711</v>
      </c>
      <c r="N499" s="89">
        <f t="shared" si="102"/>
        <v>7181.5665680000002</v>
      </c>
      <c r="O499" s="90">
        <f t="shared" si="103"/>
        <v>-2729.1145200000001</v>
      </c>
      <c r="P499" s="93">
        <f t="shared" si="104"/>
        <v>-0.27537103613438363</v>
      </c>
      <c r="Q499" s="96"/>
      <c r="R499" s="96"/>
      <c r="T499" s="90">
        <f t="shared" si="98"/>
        <v>95</v>
      </c>
      <c r="U499" s="89">
        <f t="shared" si="99"/>
        <v>103.31428490526316</v>
      </c>
      <c r="V499" s="89">
        <f t="shared" si="100"/>
        <v>81.608711</v>
      </c>
      <c r="W499" s="90">
        <f t="shared" si="105"/>
        <v>7752.8275450000001</v>
      </c>
      <c r="X499" s="93">
        <f t="shared" si="101"/>
        <v>-0.21009266942288451</v>
      </c>
      <c r="AB499" s="89">
        <f t="shared" si="111"/>
        <v>195</v>
      </c>
      <c r="AC499" s="89">
        <f t="shared" si="112"/>
        <v>51.179276000000002</v>
      </c>
      <c r="AD499" s="89">
        <f t="shared" si="113"/>
        <v>81.608711</v>
      </c>
      <c r="AE499" s="89">
        <f t="shared" si="114"/>
        <v>15913.698645</v>
      </c>
      <c r="AF499" s="90">
        <f t="shared" si="117"/>
        <v>5933.7398249999997</v>
      </c>
      <c r="AG499" s="93">
        <f t="shared" si="118"/>
        <v>0.59456556204507449</v>
      </c>
      <c r="AK499" s="90">
        <f t="shared" si="115"/>
        <v>113</v>
      </c>
      <c r="AL499" s="89">
        <f t="shared" si="116"/>
        <v>64.948096787610623</v>
      </c>
      <c r="AM499" s="89">
        <f t="shared" si="108"/>
        <v>81.608711</v>
      </c>
      <c r="AN499" s="90">
        <f t="shared" si="109"/>
        <v>9221.7843429999994</v>
      </c>
      <c r="AO499" s="93">
        <f t="shared" si="110"/>
        <v>0.25652197733941162</v>
      </c>
    </row>
    <row r="500" spans="2:41" x14ac:dyDescent="0.25">
      <c r="B500" s="91">
        <v>40077</v>
      </c>
      <c r="C500" s="89">
        <v>105.889999</v>
      </c>
      <c r="D500" s="89">
        <v>107</v>
      </c>
      <c r="E500" s="89">
        <v>105.660004</v>
      </c>
      <c r="F500" s="89">
        <v>106.449997</v>
      </c>
      <c r="G500" s="89">
        <v>81.402252000000004</v>
      </c>
      <c r="H500" s="89">
        <v>151892000</v>
      </c>
      <c r="J500" s="89">
        <v>0</v>
      </c>
      <c r="K500" s="89">
        <f t="shared" si="106"/>
        <v>88</v>
      </c>
      <c r="L500" s="89">
        <f t="shared" si="107"/>
        <v>112.621376</v>
      </c>
      <c r="M500" s="89">
        <f>+SPY__2[[#This Row],[Adj Close]]</f>
        <v>81.402252000000004</v>
      </c>
      <c r="N500" s="89">
        <f t="shared" si="102"/>
        <v>7163.3981760000006</v>
      </c>
      <c r="O500" s="90">
        <f t="shared" si="103"/>
        <v>-2747.2829119999997</v>
      </c>
      <c r="P500" s="93">
        <f t="shared" si="104"/>
        <v>-0.2772042493957807</v>
      </c>
      <c r="Q500" s="96"/>
      <c r="R500" s="96"/>
      <c r="T500" s="90">
        <f t="shared" si="98"/>
        <v>95</v>
      </c>
      <c r="U500" s="89">
        <f t="shared" si="99"/>
        <v>103.31428490526316</v>
      </c>
      <c r="V500" s="89">
        <f t="shared" si="100"/>
        <v>81.402252000000004</v>
      </c>
      <c r="W500" s="90">
        <f t="shared" si="105"/>
        <v>7733.2139400000005</v>
      </c>
      <c r="X500" s="93">
        <f t="shared" si="101"/>
        <v>-0.2120910281221613</v>
      </c>
      <c r="AB500" s="89">
        <f t="shared" si="111"/>
        <v>195</v>
      </c>
      <c r="AC500" s="89">
        <f t="shared" si="112"/>
        <v>51.179276000000002</v>
      </c>
      <c r="AD500" s="89">
        <f t="shared" si="113"/>
        <v>81.402252000000004</v>
      </c>
      <c r="AE500" s="89">
        <f t="shared" si="114"/>
        <v>15873.43914</v>
      </c>
      <c r="AF500" s="90">
        <f t="shared" si="117"/>
        <v>5893.4803200000006</v>
      </c>
      <c r="AG500" s="93">
        <f t="shared" si="118"/>
        <v>0.59053152686255284</v>
      </c>
      <c r="AK500" s="90">
        <f t="shared" si="115"/>
        <v>113</v>
      </c>
      <c r="AL500" s="89">
        <f t="shared" si="116"/>
        <v>64.948096787610623</v>
      </c>
      <c r="AM500" s="89">
        <f t="shared" si="108"/>
        <v>81.402252000000004</v>
      </c>
      <c r="AN500" s="90">
        <f t="shared" si="109"/>
        <v>9198.4544760000008</v>
      </c>
      <c r="AO500" s="93">
        <f t="shared" si="110"/>
        <v>0.25334314670061509</v>
      </c>
    </row>
    <row r="501" spans="2:41" x14ac:dyDescent="0.25">
      <c r="B501" s="91">
        <v>40078</v>
      </c>
      <c r="C501" s="89">
        <v>107.08000199999999</v>
      </c>
      <c r="D501" s="89">
        <v>107.370003</v>
      </c>
      <c r="E501" s="89">
        <v>106.599998</v>
      </c>
      <c r="F501" s="89">
        <v>107.07</v>
      </c>
      <c r="G501" s="89">
        <v>81.876357999999996</v>
      </c>
      <c r="H501" s="89">
        <v>143126700</v>
      </c>
      <c r="J501" s="89">
        <v>0</v>
      </c>
      <c r="K501" s="89">
        <f t="shared" si="106"/>
        <v>88</v>
      </c>
      <c r="L501" s="89">
        <f t="shared" si="107"/>
        <v>112.621376</v>
      </c>
      <c r="M501" s="89">
        <f>+SPY__2[[#This Row],[Adj Close]]</f>
        <v>81.876357999999996</v>
      </c>
      <c r="N501" s="89">
        <f t="shared" si="102"/>
        <v>7205.1195039999993</v>
      </c>
      <c r="O501" s="90">
        <f t="shared" si="103"/>
        <v>-2705.561584</v>
      </c>
      <c r="P501" s="93">
        <f t="shared" si="104"/>
        <v>-0.27299451571254107</v>
      </c>
      <c r="Q501" s="96"/>
      <c r="R501" s="96"/>
      <c r="T501" s="90">
        <f t="shared" si="98"/>
        <v>95</v>
      </c>
      <c r="U501" s="89">
        <f t="shared" si="99"/>
        <v>103.31428490526316</v>
      </c>
      <c r="V501" s="89">
        <f t="shared" si="100"/>
        <v>81.876357999999996</v>
      </c>
      <c r="W501" s="90">
        <f t="shared" si="105"/>
        <v>7778.2540099999997</v>
      </c>
      <c r="X501" s="93">
        <f t="shared" si="101"/>
        <v>-0.20750205961277524</v>
      </c>
      <c r="AB501" s="89">
        <f t="shared" si="111"/>
        <v>195</v>
      </c>
      <c r="AC501" s="89">
        <f t="shared" si="112"/>
        <v>51.179276000000002</v>
      </c>
      <c r="AD501" s="89">
        <f t="shared" si="113"/>
        <v>81.876357999999996</v>
      </c>
      <c r="AE501" s="89">
        <f t="shared" si="114"/>
        <v>15965.889809999999</v>
      </c>
      <c r="AF501" s="90">
        <f t="shared" si="117"/>
        <v>5985.9309899999989</v>
      </c>
      <c r="AG501" s="93">
        <f t="shared" si="118"/>
        <v>0.5997951592750157</v>
      </c>
      <c r="AK501" s="90">
        <f t="shared" si="115"/>
        <v>113</v>
      </c>
      <c r="AL501" s="89">
        <f t="shared" si="116"/>
        <v>64.948096787610623</v>
      </c>
      <c r="AM501" s="89">
        <f t="shared" si="108"/>
        <v>81.876357999999996</v>
      </c>
      <c r="AN501" s="90">
        <f t="shared" si="109"/>
        <v>9252.0284539999993</v>
      </c>
      <c r="AO501" s="93">
        <f t="shared" si="110"/>
        <v>0.26064291410643103</v>
      </c>
    </row>
    <row r="502" spans="2:41" x14ac:dyDescent="0.25">
      <c r="B502" s="91">
        <v>40079</v>
      </c>
      <c r="C502" s="89">
        <v>107.32</v>
      </c>
      <c r="D502" s="89">
        <v>108.029999</v>
      </c>
      <c r="E502" s="89">
        <v>105.989998</v>
      </c>
      <c r="F502" s="89">
        <v>106.18</v>
      </c>
      <c r="G502" s="89">
        <v>81.195755000000005</v>
      </c>
      <c r="H502" s="89">
        <v>225947400</v>
      </c>
      <c r="J502" s="89">
        <v>0</v>
      </c>
      <c r="K502" s="89">
        <f t="shared" si="106"/>
        <v>88</v>
      </c>
      <c r="L502" s="89">
        <f t="shared" si="107"/>
        <v>112.621376</v>
      </c>
      <c r="M502" s="89">
        <f>+SPY__2[[#This Row],[Adj Close]]</f>
        <v>81.195755000000005</v>
      </c>
      <c r="N502" s="89">
        <f t="shared" si="102"/>
        <v>7145.2264400000004</v>
      </c>
      <c r="O502" s="90">
        <f t="shared" si="103"/>
        <v>-2765.4546479999995</v>
      </c>
      <c r="P502" s="93">
        <f t="shared" si="104"/>
        <v>-0.27903780007092072</v>
      </c>
      <c r="Q502" s="96"/>
      <c r="R502" s="96"/>
      <c r="T502" s="90">
        <f t="shared" si="98"/>
        <v>95</v>
      </c>
      <c r="U502" s="89">
        <f t="shared" si="99"/>
        <v>103.31428490526316</v>
      </c>
      <c r="V502" s="89">
        <f t="shared" si="100"/>
        <v>81.195755000000005</v>
      </c>
      <c r="W502" s="90">
        <f t="shared" si="105"/>
        <v>7713.5967250000003</v>
      </c>
      <c r="X502" s="93">
        <f t="shared" si="101"/>
        <v>-0.21408975463117563</v>
      </c>
      <c r="AB502" s="89">
        <f t="shared" si="111"/>
        <v>195</v>
      </c>
      <c r="AC502" s="89">
        <f t="shared" si="112"/>
        <v>51.179276000000002</v>
      </c>
      <c r="AD502" s="89">
        <f t="shared" si="113"/>
        <v>81.195755000000005</v>
      </c>
      <c r="AE502" s="89">
        <f t="shared" si="114"/>
        <v>15833.172225</v>
      </c>
      <c r="AF502" s="90">
        <f t="shared" si="117"/>
        <v>5853.2134050000004</v>
      </c>
      <c r="AG502" s="93">
        <f t="shared" si="118"/>
        <v>0.58649674919199724</v>
      </c>
      <c r="AK502" s="90">
        <f t="shared" si="115"/>
        <v>113</v>
      </c>
      <c r="AL502" s="89">
        <f t="shared" si="116"/>
        <v>64.948096787610623</v>
      </c>
      <c r="AM502" s="89">
        <f t="shared" si="108"/>
        <v>81.195755000000005</v>
      </c>
      <c r="AN502" s="90">
        <f t="shared" si="109"/>
        <v>9175.1203150000001</v>
      </c>
      <c r="AO502" s="93">
        <f t="shared" si="110"/>
        <v>0.25016373097923861</v>
      </c>
    </row>
    <row r="503" spans="2:41" x14ac:dyDescent="0.25">
      <c r="B503" s="91">
        <v>40080</v>
      </c>
      <c r="C503" s="89">
        <v>106.410004</v>
      </c>
      <c r="D503" s="89">
        <v>106.639999</v>
      </c>
      <c r="E503" s="89">
        <v>104.550003</v>
      </c>
      <c r="F503" s="89">
        <v>105.010002</v>
      </c>
      <c r="G503" s="89">
        <v>80.301079000000001</v>
      </c>
      <c r="H503" s="89">
        <v>228636800</v>
      </c>
      <c r="J503" s="89">
        <v>0</v>
      </c>
      <c r="K503" s="89">
        <f t="shared" si="106"/>
        <v>88</v>
      </c>
      <c r="L503" s="89">
        <f t="shared" si="107"/>
        <v>112.621376</v>
      </c>
      <c r="M503" s="89">
        <f>+SPY__2[[#This Row],[Adj Close]]</f>
        <v>80.301079000000001</v>
      </c>
      <c r="N503" s="89">
        <f t="shared" si="102"/>
        <v>7066.494952</v>
      </c>
      <c r="O503" s="90">
        <f t="shared" si="103"/>
        <v>-2844.1861359999998</v>
      </c>
      <c r="P503" s="93">
        <f t="shared" si="104"/>
        <v>-0.28698190474959206</v>
      </c>
      <c r="Q503" s="96"/>
      <c r="R503" s="96"/>
      <c r="T503" s="90">
        <f t="shared" si="98"/>
        <v>95</v>
      </c>
      <c r="U503" s="89">
        <f t="shared" si="99"/>
        <v>103.31428490526316</v>
      </c>
      <c r="V503" s="89">
        <f t="shared" si="100"/>
        <v>80.301079000000001</v>
      </c>
      <c r="W503" s="90">
        <f t="shared" si="105"/>
        <v>7628.6025049999998</v>
      </c>
      <c r="X503" s="93">
        <f t="shared" si="101"/>
        <v>-0.22274950580518216</v>
      </c>
      <c r="AB503" s="89">
        <f t="shared" si="111"/>
        <v>195</v>
      </c>
      <c r="AC503" s="89">
        <f t="shared" si="112"/>
        <v>51.179276000000002</v>
      </c>
      <c r="AD503" s="89">
        <f t="shared" si="113"/>
        <v>80.301079000000001</v>
      </c>
      <c r="AE503" s="89">
        <f t="shared" si="114"/>
        <v>15658.710405</v>
      </c>
      <c r="AF503" s="90">
        <f t="shared" si="117"/>
        <v>5678.751585</v>
      </c>
      <c r="AG503" s="93">
        <f t="shared" si="118"/>
        <v>0.56901553277150696</v>
      </c>
      <c r="AK503" s="90">
        <f t="shared" si="115"/>
        <v>113</v>
      </c>
      <c r="AL503" s="89">
        <f t="shared" si="116"/>
        <v>64.948096787610623</v>
      </c>
      <c r="AM503" s="89">
        <f t="shared" si="108"/>
        <v>80.301079000000001</v>
      </c>
      <c r="AN503" s="90">
        <f t="shared" si="109"/>
        <v>9074.0219269999998</v>
      </c>
      <c r="AO503" s="93">
        <f t="shared" si="110"/>
        <v>0.23638848514061572</v>
      </c>
    </row>
    <row r="504" spans="2:41" x14ac:dyDescent="0.25">
      <c r="B504" s="91">
        <v>40081</v>
      </c>
      <c r="C504" s="89">
        <v>104.779999</v>
      </c>
      <c r="D504" s="89">
        <v>105.360001</v>
      </c>
      <c r="E504" s="89">
        <v>104.089996</v>
      </c>
      <c r="F504" s="89">
        <v>104.449997</v>
      </c>
      <c r="G504" s="89">
        <v>79.872826000000003</v>
      </c>
      <c r="H504" s="89">
        <v>204059000</v>
      </c>
      <c r="J504" s="89">
        <v>0</v>
      </c>
      <c r="K504" s="89">
        <f t="shared" si="106"/>
        <v>88</v>
      </c>
      <c r="L504" s="89">
        <f t="shared" si="107"/>
        <v>112.621376</v>
      </c>
      <c r="M504" s="89">
        <f>+SPY__2[[#This Row],[Adj Close]]</f>
        <v>79.872826000000003</v>
      </c>
      <c r="N504" s="89">
        <f t="shared" si="102"/>
        <v>7028.8086880000001</v>
      </c>
      <c r="O504" s="90">
        <f t="shared" si="103"/>
        <v>-2881.8723999999993</v>
      </c>
      <c r="P504" s="93">
        <f t="shared" si="104"/>
        <v>-0.29078449547624063</v>
      </c>
      <c r="Q504" s="96"/>
      <c r="R504" s="96"/>
      <c r="T504" s="90">
        <f t="shared" si="98"/>
        <v>95</v>
      </c>
      <c r="U504" s="89">
        <f t="shared" si="99"/>
        <v>103.31428490526316</v>
      </c>
      <c r="V504" s="89">
        <f t="shared" si="100"/>
        <v>79.872826000000003</v>
      </c>
      <c r="W504" s="90">
        <f t="shared" si="105"/>
        <v>7587.9184700000005</v>
      </c>
      <c r="X504" s="93">
        <f t="shared" si="101"/>
        <v>-0.22689465379118134</v>
      </c>
      <c r="AB504" s="89">
        <f t="shared" si="111"/>
        <v>195</v>
      </c>
      <c r="AC504" s="89">
        <f t="shared" si="112"/>
        <v>51.179276000000002</v>
      </c>
      <c r="AD504" s="89">
        <f t="shared" si="113"/>
        <v>79.872826000000003</v>
      </c>
      <c r="AE504" s="89">
        <f t="shared" si="114"/>
        <v>15575.201070000001</v>
      </c>
      <c r="AF504" s="90">
        <f t="shared" si="117"/>
        <v>5595.2422500000002</v>
      </c>
      <c r="AG504" s="93">
        <f t="shared" si="118"/>
        <v>0.56064782940657465</v>
      </c>
      <c r="AK504" s="90">
        <f t="shared" si="115"/>
        <v>113</v>
      </c>
      <c r="AL504" s="89">
        <f t="shared" si="116"/>
        <v>64.948096787610623</v>
      </c>
      <c r="AM504" s="89">
        <f t="shared" si="108"/>
        <v>79.872826000000003</v>
      </c>
      <c r="AN504" s="90">
        <f t="shared" si="109"/>
        <v>9025.6293380000006</v>
      </c>
      <c r="AO504" s="93">
        <f t="shared" si="110"/>
        <v>0.22979471224838721</v>
      </c>
    </row>
    <row r="505" spans="2:41" x14ac:dyDescent="0.25">
      <c r="B505" s="91">
        <v>40084</v>
      </c>
      <c r="C505" s="89">
        <v>104.849998</v>
      </c>
      <c r="D505" s="89">
        <v>106.550003</v>
      </c>
      <c r="E505" s="89">
        <v>104.83000199999999</v>
      </c>
      <c r="F505" s="89">
        <v>106.32</v>
      </c>
      <c r="G505" s="89">
        <v>81.302818000000002</v>
      </c>
      <c r="H505" s="89">
        <v>118285800</v>
      </c>
      <c r="J505" s="89">
        <v>0</v>
      </c>
      <c r="K505" s="89">
        <f t="shared" si="106"/>
        <v>88</v>
      </c>
      <c r="L505" s="89">
        <f t="shared" si="107"/>
        <v>112.621376</v>
      </c>
      <c r="M505" s="89">
        <f>+SPY__2[[#This Row],[Adj Close]]</f>
        <v>81.302818000000002</v>
      </c>
      <c r="N505" s="89">
        <f t="shared" si="102"/>
        <v>7154.6479840000002</v>
      </c>
      <c r="O505" s="90">
        <f t="shared" si="103"/>
        <v>-2756.0331039999996</v>
      </c>
      <c r="P505" s="93">
        <f t="shared" si="104"/>
        <v>-0.27808715460908595</v>
      </c>
      <c r="Q505" s="96"/>
      <c r="R505" s="96"/>
      <c r="T505" s="90">
        <f t="shared" si="98"/>
        <v>95</v>
      </c>
      <c r="U505" s="89">
        <f t="shared" si="99"/>
        <v>103.31428490526316</v>
      </c>
      <c r="V505" s="89">
        <f t="shared" si="100"/>
        <v>81.302818000000002</v>
      </c>
      <c r="W505" s="90">
        <f t="shared" si="105"/>
        <v>7723.7677100000001</v>
      </c>
      <c r="X505" s="93">
        <f t="shared" si="101"/>
        <v>-0.21305347005447672</v>
      </c>
      <c r="AB505" s="89">
        <f t="shared" si="111"/>
        <v>195</v>
      </c>
      <c r="AC505" s="89">
        <f t="shared" si="112"/>
        <v>51.179276000000002</v>
      </c>
      <c r="AD505" s="89">
        <f t="shared" si="113"/>
        <v>81.302818000000002</v>
      </c>
      <c r="AE505" s="89">
        <f t="shared" si="114"/>
        <v>15854.049510000001</v>
      </c>
      <c r="AF505" s="90">
        <f t="shared" si="117"/>
        <v>5874.09069</v>
      </c>
      <c r="AG505" s="93">
        <f t="shared" si="118"/>
        <v>0.58858867014844063</v>
      </c>
      <c r="AK505" s="90">
        <f t="shared" si="115"/>
        <v>113</v>
      </c>
      <c r="AL505" s="89">
        <f t="shared" si="116"/>
        <v>64.948096787610623</v>
      </c>
      <c r="AM505" s="89">
        <f t="shared" si="108"/>
        <v>81.302818000000002</v>
      </c>
      <c r="AN505" s="90">
        <f t="shared" si="109"/>
        <v>9187.2184340000003</v>
      </c>
      <c r="AO505" s="93">
        <f t="shared" si="110"/>
        <v>0.25181217035306824</v>
      </c>
    </row>
    <row r="506" spans="2:41" x14ac:dyDescent="0.25">
      <c r="B506" s="91">
        <v>40085</v>
      </c>
      <c r="C506" s="89">
        <v>106.510002</v>
      </c>
      <c r="D506" s="89">
        <v>107.019997</v>
      </c>
      <c r="E506" s="89">
        <v>105.779999</v>
      </c>
      <c r="F506" s="89">
        <v>106</v>
      </c>
      <c r="G506" s="89">
        <v>81.058121</v>
      </c>
      <c r="H506" s="89">
        <v>133733900</v>
      </c>
      <c r="J506" s="89">
        <v>0</v>
      </c>
      <c r="K506" s="89">
        <f t="shared" si="106"/>
        <v>88</v>
      </c>
      <c r="L506" s="89">
        <f t="shared" si="107"/>
        <v>112.621376</v>
      </c>
      <c r="M506" s="89">
        <f>+SPY__2[[#This Row],[Adj Close]]</f>
        <v>81.058121</v>
      </c>
      <c r="N506" s="89">
        <f t="shared" si="102"/>
        <v>7133.1146479999998</v>
      </c>
      <c r="O506" s="90">
        <f t="shared" si="103"/>
        <v>-2777.5664399999996</v>
      </c>
      <c r="P506" s="93">
        <f t="shared" si="104"/>
        <v>-0.28025989488887082</v>
      </c>
      <c r="Q506" s="96"/>
      <c r="R506" s="96"/>
      <c r="T506" s="90">
        <f t="shared" si="98"/>
        <v>95</v>
      </c>
      <c r="U506" s="89">
        <f t="shared" si="99"/>
        <v>103.31428490526316</v>
      </c>
      <c r="V506" s="89">
        <f t="shared" si="100"/>
        <v>81.058121</v>
      </c>
      <c r="W506" s="90">
        <f t="shared" si="105"/>
        <v>7700.521495</v>
      </c>
      <c r="X506" s="93">
        <f t="shared" si="101"/>
        <v>-0.21542194214160759</v>
      </c>
      <c r="AB506" s="89">
        <f t="shared" si="111"/>
        <v>195</v>
      </c>
      <c r="AC506" s="89">
        <f t="shared" si="112"/>
        <v>51.179276000000002</v>
      </c>
      <c r="AD506" s="89">
        <f t="shared" si="113"/>
        <v>81.058121</v>
      </c>
      <c r="AE506" s="89">
        <f t="shared" si="114"/>
        <v>15806.333595</v>
      </c>
      <c r="AF506" s="90">
        <f t="shared" si="117"/>
        <v>5826.3747749999993</v>
      </c>
      <c r="AG506" s="93">
        <f t="shared" si="118"/>
        <v>0.58380749661249598</v>
      </c>
      <c r="AK506" s="90">
        <f t="shared" si="115"/>
        <v>113</v>
      </c>
      <c r="AL506" s="89">
        <f t="shared" si="116"/>
        <v>64.948096787610623</v>
      </c>
      <c r="AM506" s="89">
        <f t="shared" si="108"/>
        <v>81.058121</v>
      </c>
      <c r="AN506" s="90">
        <f t="shared" si="109"/>
        <v>9159.5676729999996</v>
      </c>
      <c r="AO506" s="93">
        <f t="shared" si="110"/>
        <v>0.24804459267022727</v>
      </c>
    </row>
    <row r="507" spans="2:41" x14ac:dyDescent="0.25">
      <c r="B507" s="91">
        <v>40086</v>
      </c>
      <c r="C507" s="89">
        <v>106.360001</v>
      </c>
      <c r="D507" s="89">
        <v>106.459999</v>
      </c>
      <c r="E507" s="89">
        <v>104.620003</v>
      </c>
      <c r="F507" s="89">
        <v>105.589996</v>
      </c>
      <c r="G507" s="89">
        <v>80.744613999999999</v>
      </c>
      <c r="H507" s="89">
        <v>254383000</v>
      </c>
      <c r="J507" s="89">
        <v>0</v>
      </c>
      <c r="K507" s="89">
        <f t="shared" si="106"/>
        <v>88</v>
      </c>
      <c r="L507" s="89">
        <f t="shared" si="107"/>
        <v>112.621376</v>
      </c>
      <c r="M507" s="89">
        <f>+SPY__2[[#This Row],[Adj Close]]</f>
        <v>80.744613999999999</v>
      </c>
      <c r="N507" s="89">
        <f t="shared" si="102"/>
        <v>7105.5260319999998</v>
      </c>
      <c r="O507" s="90">
        <f t="shared" si="103"/>
        <v>-2805.1550560000001</v>
      </c>
      <c r="P507" s="93">
        <f t="shared" si="104"/>
        <v>-0.28304362042246756</v>
      </c>
      <c r="Q507" s="96"/>
      <c r="R507" s="96"/>
      <c r="T507" s="90">
        <f t="shared" si="98"/>
        <v>95</v>
      </c>
      <c r="U507" s="89">
        <f t="shared" si="99"/>
        <v>103.31428490526316</v>
      </c>
      <c r="V507" s="89">
        <f t="shared" si="100"/>
        <v>80.744613999999999</v>
      </c>
      <c r="W507" s="90">
        <f t="shared" si="105"/>
        <v>7670.7383300000001</v>
      </c>
      <c r="X507" s="93">
        <f t="shared" si="101"/>
        <v>-0.21845644022952904</v>
      </c>
      <c r="AB507" s="89">
        <f t="shared" si="111"/>
        <v>195</v>
      </c>
      <c r="AC507" s="89">
        <f t="shared" si="112"/>
        <v>51.179276000000002</v>
      </c>
      <c r="AD507" s="89">
        <f t="shared" si="113"/>
        <v>80.744613999999999</v>
      </c>
      <c r="AE507" s="89">
        <f t="shared" si="114"/>
        <v>15745.19973</v>
      </c>
      <c r="AF507" s="90">
        <f t="shared" si="117"/>
        <v>5765.2409099999995</v>
      </c>
      <c r="AG507" s="93">
        <f t="shared" si="118"/>
        <v>0.57768183356091241</v>
      </c>
      <c r="AK507" s="90">
        <f t="shared" si="115"/>
        <v>113</v>
      </c>
      <c r="AL507" s="89">
        <f t="shared" si="116"/>
        <v>64.948096787610623</v>
      </c>
      <c r="AM507" s="89">
        <f t="shared" si="108"/>
        <v>80.744613999999999</v>
      </c>
      <c r="AN507" s="90">
        <f t="shared" si="109"/>
        <v>9124.1413819999998</v>
      </c>
      <c r="AO507" s="93">
        <f t="shared" si="110"/>
        <v>0.24321755361125041</v>
      </c>
    </row>
    <row r="508" spans="2:41" x14ac:dyDescent="0.25">
      <c r="B508" s="91">
        <v>40087</v>
      </c>
      <c r="C508" s="89">
        <v>103</v>
      </c>
      <c r="D508" s="89">
        <v>105.730003</v>
      </c>
      <c r="E508" s="89">
        <v>102.949997</v>
      </c>
      <c r="F508" s="89">
        <v>102.970001</v>
      </c>
      <c r="G508" s="89">
        <v>78.741057999999995</v>
      </c>
      <c r="H508" s="89">
        <v>281840600</v>
      </c>
      <c r="J508" s="89">
        <v>0</v>
      </c>
      <c r="K508" s="89">
        <f t="shared" si="106"/>
        <v>88</v>
      </c>
      <c r="L508" s="89">
        <f t="shared" si="107"/>
        <v>112.621376</v>
      </c>
      <c r="M508" s="89">
        <f>+SPY__2[[#This Row],[Adj Close]]</f>
        <v>78.741057999999995</v>
      </c>
      <c r="N508" s="89">
        <f t="shared" si="102"/>
        <v>6929.2131039999995</v>
      </c>
      <c r="O508" s="90">
        <f t="shared" si="103"/>
        <v>-2981.4679840000003</v>
      </c>
      <c r="P508" s="93">
        <f t="shared" si="104"/>
        <v>-0.3008338132895837</v>
      </c>
      <c r="Q508" s="96"/>
      <c r="R508" s="96"/>
      <c r="T508" s="90">
        <f t="shared" si="98"/>
        <v>95</v>
      </c>
      <c r="U508" s="89">
        <f t="shared" si="99"/>
        <v>103.31428490526316</v>
      </c>
      <c r="V508" s="89">
        <f t="shared" si="100"/>
        <v>78.741057999999995</v>
      </c>
      <c r="W508" s="90">
        <f t="shared" si="105"/>
        <v>7480.4005099999995</v>
      </c>
      <c r="X508" s="93">
        <f t="shared" si="101"/>
        <v>-0.23784926670882212</v>
      </c>
      <c r="AB508" s="89">
        <f t="shared" si="111"/>
        <v>195</v>
      </c>
      <c r="AC508" s="89">
        <f t="shared" si="112"/>
        <v>51.179276000000002</v>
      </c>
      <c r="AD508" s="89">
        <f t="shared" si="113"/>
        <v>78.741057999999995</v>
      </c>
      <c r="AE508" s="89">
        <f t="shared" si="114"/>
        <v>15354.506309999999</v>
      </c>
      <c r="AF508" s="90">
        <f t="shared" si="117"/>
        <v>5374.547489999999</v>
      </c>
      <c r="AG508" s="93">
        <f t="shared" si="118"/>
        <v>0.53853403475266037</v>
      </c>
      <c r="AK508" s="90">
        <f t="shared" si="115"/>
        <v>113</v>
      </c>
      <c r="AL508" s="89">
        <f t="shared" si="116"/>
        <v>64.948096787610623</v>
      </c>
      <c r="AM508" s="89">
        <f t="shared" si="108"/>
        <v>78.741057999999995</v>
      </c>
      <c r="AN508" s="90">
        <f t="shared" si="109"/>
        <v>8897.7395539999998</v>
      </c>
      <c r="AO508" s="93">
        <f t="shared" si="110"/>
        <v>0.21236898222736666</v>
      </c>
    </row>
    <row r="509" spans="2:41" x14ac:dyDescent="0.25">
      <c r="B509" s="91">
        <v>40088</v>
      </c>
      <c r="C509" s="89">
        <v>102.019997</v>
      </c>
      <c r="D509" s="89">
        <v>103.099998</v>
      </c>
      <c r="E509" s="89">
        <v>101.989998</v>
      </c>
      <c r="F509" s="89">
        <v>102.489998</v>
      </c>
      <c r="G509" s="89">
        <v>78.374038999999996</v>
      </c>
      <c r="H509" s="89">
        <v>224748800</v>
      </c>
      <c r="J509" s="89">
        <v>0</v>
      </c>
      <c r="K509" s="89">
        <f t="shared" si="106"/>
        <v>88</v>
      </c>
      <c r="L509" s="89">
        <f t="shared" si="107"/>
        <v>112.621376</v>
      </c>
      <c r="M509" s="89">
        <f>+SPY__2[[#This Row],[Adj Close]]</f>
        <v>78.374038999999996</v>
      </c>
      <c r="N509" s="89">
        <f t="shared" si="102"/>
        <v>6896.9154319999998</v>
      </c>
      <c r="O509" s="90">
        <f t="shared" si="103"/>
        <v>-3013.765656</v>
      </c>
      <c r="P509" s="93">
        <f t="shared" si="104"/>
        <v>-0.30409268840757198</v>
      </c>
      <c r="Q509" s="96"/>
      <c r="R509" s="96"/>
      <c r="T509" s="90">
        <f t="shared" si="98"/>
        <v>95</v>
      </c>
      <c r="U509" s="89">
        <f t="shared" si="99"/>
        <v>103.31428490526316</v>
      </c>
      <c r="V509" s="89">
        <f t="shared" si="100"/>
        <v>78.374038999999996</v>
      </c>
      <c r="W509" s="90">
        <f t="shared" si="105"/>
        <v>7445.5337049999998</v>
      </c>
      <c r="X509" s="93">
        <f t="shared" si="101"/>
        <v>-0.24140171834062252</v>
      </c>
      <c r="AB509" s="89">
        <f t="shared" si="111"/>
        <v>195</v>
      </c>
      <c r="AC509" s="89">
        <f t="shared" si="112"/>
        <v>51.179276000000002</v>
      </c>
      <c r="AD509" s="89">
        <f t="shared" si="113"/>
        <v>78.374038999999996</v>
      </c>
      <c r="AE509" s="89">
        <f t="shared" si="114"/>
        <v>15282.937604999999</v>
      </c>
      <c r="AF509" s="90">
        <f t="shared" si="117"/>
        <v>5302.9787849999993</v>
      </c>
      <c r="AG509" s="93">
        <f t="shared" si="118"/>
        <v>0.53136279223645122</v>
      </c>
      <c r="AK509" s="90">
        <f t="shared" si="115"/>
        <v>113</v>
      </c>
      <c r="AL509" s="89">
        <f t="shared" si="116"/>
        <v>64.948096787610623</v>
      </c>
      <c r="AM509" s="89">
        <f t="shared" si="108"/>
        <v>78.374038999999996</v>
      </c>
      <c r="AN509" s="90">
        <f t="shared" si="109"/>
        <v>8856.2664069999992</v>
      </c>
      <c r="AO509" s="93">
        <f t="shared" si="110"/>
        <v>0.20671802372121961</v>
      </c>
    </row>
    <row r="510" spans="2:41" x14ac:dyDescent="0.25">
      <c r="B510" s="91">
        <v>40091</v>
      </c>
      <c r="C510" s="89">
        <v>102.900002</v>
      </c>
      <c r="D510" s="89">
        <v>104.32</v>
      </c>
      <c r="E510" s="89">
        <v>102.599998</v>
      </c>
      <c r="F510" s="89">
        <v>104.019997</v>
      </c>
      <c r="G510" s="89">
        <v>79.543998999999999</v>
      </c>
      <c r="H510" s="89">
        <v>149875000</v>
      </c>
      <c r="J510" s="89">
        <v>0</v>
      </c>
      <c r="K510" s="89">
        <f t="shared" si="106"/>
        <v>88</v>
      </c>
      <c r="L510" s="89">
        <f t="shared" si="107"/>
        <v>112.621376</v>
      </c>
      <c r="M510" s="89">
        <f>+SPY__2[[#This Row],[Adj Close]]</f>
        <v>79.543998999999999</v>
      </c>
      <c r="N510" s="89">
        <f t="shared" si="102"/>
        <v>6999.8719119999996</v>
      </c>
      <c r="O510" s="90">
        <f t="shared" si="103"/>
        <v>-2910.8091759999998</v>
      </c>
      <c r="P510" s="93">
        <f t="shared" si="104"/>
        <v>-0.29370425202405626</v>
      </c>
      <c r="Q510" s="96"/>
      <c r="R510" s="96"/>
      <c r="T510" s="90">
        <f t="shared" si="98"/>
        <v>95</v>
      </c>
      <c r="U510" s="89">
        <f t="shared" si="99"/>
        <v>103.31428490526316</v>
      </c>
      <c r="V510" s="89">
        <f t="shared" si="100"/>
        <v>79.543998999999999</v>
      </c>
      <c r="W510" s="90">
        <f t="shared" si="105"/>
        <v>7556.679905</v>
      </c>
      <c r="X510" s="93">
        <f t="shared" si="101"/>
        <v>-0.23007743727849417</v>
      </c>
      <c r="AB510" s="89">
        <f t="shared" si="111"/>
        <v>195</v>
      </c>
      <c r="AC510" s="89">
        <f t="shared" si="112"/>
        <v>51.179276000000002</v>
      </c>
      <c r="AD510" s="89">
        <f t="shared" si="113"/>
        <v>79.543998999999999</v>
      </c>
      <c r="AE510" s="89">
        <f t="shared" si="114"/>
        <v>15511.079804999999</v>
      </c>
      <c r="AF510" s="90">
        <f t="shared" si="117"/>
        <v>5531.1209849999996</v>
      </c>
      <c r="AG510" s="93">
        <f t="shared" si="118"/>
        <v>0.55422282644248422</v>
      </c>
      <c r="AK510" s="90">
        <f t="shared" si="115"/>
        <v>113</v>
      </c>
      <c r="AL510" s="89">
        <f t="shared" si="116"/>
        <v>64.948096787610623</v>
      </c>
      <c r="AM510" s="89">
        <f t="shared" si="108"/>
        <v>79.543998999999999</v>
      </c>
      <c r="AN510" s="90">
        <f t="shared" si="109"/>
        <v>8988.4718869999997</v>
      </c>
      <c r="AO510" s="93">
        <f t="shared" si="110"/>
        <v>0.2247317925284249</v>
      </c>
    </row>
    <row r="511" spans="2:41" x14ac:dyDescent="0.25">
      <c r="B511" s="91">
        <v>40092</v>
      </c>
      <c r="C511" s="89">
        <v>104.769997</v>
      </c>
      <c r="D511" s="89">
        <v>106.110001</v>
      </c>
      <c r="E511" s="89">
        <v>104.709999</v>
      </c>
      <c r="F511" s="89">
        <v>105.510002</v>
      </c>
      <c r="G511" s="89">
        <v>80.683418000000003</v>
      </c>
      <c r="H511" s="89">
        <v>202491100</v>
      </c>
      <c r="J511" s="89">
        <v>0</v>
      </c>
      <c r="K511" s="89">
        <f t="shared" si="106"/>
        <v>88</v>
      </c>
      <c r="L511" s="89">
        <f t="shared" si="107"/>
        <v>112.621376</v>
      </c>
      <c r="M511" s="89">
        <f>+SPY__2[[#This Row],[Adj Close]]</f>
        <v>80.683418000000003</v>
      </c>
      <c r="N511" s="89">
        <f t="shared" si="102"/>
        <v>7100.1407840000002</v>
      </c>
      <c r="O511" s="90">
        <f t="shared" si="103"/>
        <v>-2810.5403039999997</v>
      </c>
      <c r="P511" s="93">
        <f t="shared" si="104"/>
        <v>-0.28358699861738501</v>
      </c>
      <c r="Q511" s="96"/>
      <c r="R511" s="96"/>
      <c r="T511" s="90">
        <f t="shared" si="98"/>
        <v>95</v>
      </c>
      <c r="U511" s="89">
        <f t="shared" si="99"/>
        <v>103.31428490526316</v>
      </c>
      <c r="V511" s="89">
        <f t="shared" si="100"/>
        <v>80.683418000000003</v>
      </c>
      <c r="W511" s="90">
        <f t="shared" si="105"/>
        <v>7664.9247100000002</v>
      </c>
      <c r="X511" s="93">
        <f t="shared" si="101"/>
        <v>-0.21904876877399038</v>
      </c>
      <c r="AB511" s="89">
        <f t="shared" si="111"/>
        <v>195</v>
      </c>
      <c r="AC511" s="89">
        <f t="shared" si="112"/>
        <v>51.179276000000002</v>
      </c>
      <c r="AD511" s="89">
        <f t="shared" si="113"/>
        <v>80.683418000000003</v>
      </c>
      <c r="AE511" s="89">
        <f t="shared" si="114"/>
        <v>15733.266510000001</v>
      </c>
      <c r="AF511" s="90">
        <f t="shared" si="117"/>
        <v>5753.3076900000005</v>
      </c>
      <c r="AG511" s="93">
        <f t="shared" si="118"/>
        <v>0.57648611520022275</v>
      </c>
      <c r="AK511" s="90">
        <f t="shared" si="115"/>
        <v>113</v>
      </c>
      <c r="AL511" s="89">
        <f t="shared" si="116"/>
        <v>64.948096787610623</v>
      </c>
      <c r="AM511" s="89">
        <f t="shared" si="108"/>
        <v>80.683418000000003</v>
      </c>
      <c r="AN511" s="90">
        <f t="shared" si="109"/>
        <v>9117.2262339999997</v>
      </c>
      <c r="AO511" s="93">
        <f t="shared" si="110"/>
        <v>0.24227532430774801</v>
      </c>
    </row>
    <row r="512" spans="2:41" x14ac:dyDescent="0.25">
      <c r="B512" s="91">
        <v>40093</v>
      </c>
      <c r="C512" s="89">
        <v>105.269997</v>
      </c>
      <c r="D512" s="89">
        <v>105.910004</v>
      </c>
      <c r="E512" s="89">
        <v>105.07</v>
      </c>
      <c r="F512" s="89">
        <v>105.800003</v>
      </c>
      <c r="G512" s="89">
        <v>80.905181999999996</v>
      </c>
      <c r="H512" s="89">
        <v>159200300</v>
      </c>
      <c r="J512" s="89">
        <v>0</v>
      </c>
      <c r="K512" s="89">
        <f t="shared" si="106"/>
        <v>88</v>
      </c>
      <c r="L512" s="89">
        <f t="shared" si="107"/>
        <v>112.621376</v>
      </c>
      <c r="M512" s="89">
        <f>+SPY__2[[#This Row],[Adj Close]]</f>
        <v>80.905181999999996</v>
      </c>
      <c r="N512" s="89">
        <f t="shared" si="102"/>
        <v>7119.6560159999999</v>
      </c>
      <c r="O512" s="90">
        <f t="shared" si="103"/>
        <v>-2791.0250720000004</v>
      </c>
      <c r="P512" s="93">
        <f t="shared" si="104"/>
        <v>-0.28161788753140438</v>
      </c>
      <c r="Q512" s="96"/>
      <c r="R512" s="96"/>
      <c r="T512" s="90">
        <f t="shared" si="98"/>
        <v>95</v>
      </c>
      <c r="U512" s="89">
        <f t="shared" si="99"/>
        <v>103.31428490526316</v>
      </c>
      <c r="V512" s="89">
        <f t="shared" si="100"/>
        <v>80.905181999999996</v>
      </c>
      <c r="W512" s="90">
        <f t="shared" si="105"/>
        <v>7685.9922899999992</v>
      </c>
      <c r="X512" s="93">
        <f t="shared" si="101"/>
        <v>-0.21690226986337668</v>
      </c>
      <c r="AB512" s="89">
        <f t="shared" si="111"/>
        <v>195</v>
      </c>
      <c r="AC512" s="89">
        <f t="shared" si="112"/>
        <v>51.179276000000002</v>
      </c>
      <c r="AD512" s="89">
        <f t="shared" si="113"/>
        <v>80.905181999999996</v>
      </c>
      <c r="AE512" s="89">
        <f t="shared" si="114"/>
        <v>15776.510489999999</v>
      </c>
      <c r="AF512" s="90">
        <f t="shared" si="117"/>
        <v>5796.5516699999989</v>
      </c>
      <c r="AG512" s="93">
        <f t="shared" si="118"/>
        <v>0.58081919720786979</v>
      </c>
      <c r="AK512" s="90">
        <f t="shared" si="115"/>
        <v>113</v>
      </c>
      <c r="AL512" s="89">
        <f t="shared" si="116"/>
        <v>64.948096787610623</v>
      </c>
      <c r="AM512" s="89">
        <f t="shared" si="108"/>
        <v>80.905181999999996</v>
      </c>
      <c r="AN512" s="90">
        <f t="shared" si="109"/>
        <v>9142.2855660000005</v>
      </c>
      <c r="AO512" s="93">
        <f t="shared" si="110"/>
        <v>0.24568980465388046</v>
      </c>
    </row>
    <row r="513" spans="2:41" x14ac:dyDescent="0.25">
      <c r="B513" s="91">
        <v>40094</v>
      </c>
      <c r="C513" s="89">
        <v>106.550003</v>
      </c>
      <c r="D513" s="89">
        <v>107.16999800000001</v>
      </c>
      <c r="E513" s="89">
        <v>105.849998</v>
      </c>
      <c r="F513" s="89">
        <v>106.610001</v>
      </c>
      <c r="G513" s="89">
        <v>81.524581999999995</v>
      </c>
      <c r="H513" s="89">
        <v>183305800</v>
      </c>
      <c r="J513" s="89">
        <v>0</v>
      </c>
      <c r="K513" s="89">
        <f t="shared" si="106"/>
        <v>88</v>
      </c>
      <c r="L513" s="89">
        <f t="shared" si="107"/>
        <v>112.621376</v>
      </c>
      <c r="M513" s="89">
        <f>+SPY__2[[#This Row],[Adj Close]]</f>
        <v>81.524581999999995</v>
      </c>
      <c r="N513" s="89">
        <f t="shared" si="102"/>
        <v>7174.1632159999999</v>
      </c>
      <c r="O513" s="90">
        <f t="shared" si="103"/>
        <v>-2736.5178720000004</v>
      </c>
      <c r="P513" s="93">
        <f t="shared" si="104"/>
        <v>-0.27611804352310532</v>
      </c>
      <c r="Q513" s="96"/>
      <c r="R513" s="96"/>
      <c r="T513" s="90">
        <f t="shared" si="98"/>
        <v>95</v>
      </c>
      <c r="U513" s="89">
        <f t="shared" si="99"/>
        <v>103.31428490526316</v>
      </c>
      <c r="V513" s="89">
        <f t="shared" si="100"/>
        <v>81.524581999999995</v>
      </c>
      <c r="W513" s="90">
        <f t="shared" si="105"/>
        <v>7744.83529</v>
      </c>
      <c r="X513" s="93">
        <f t="shared" si="101"/>
        <v>-0.21090697114386281</v>
      </c>
      <c r="AB513" s="89">
        <f t="shared" si="111"/>
        <v>195</v>
      </c>
      <c r="AC513" s="89">
        <f t="shared" si="112"/>
        <v>51.179276000000002</v>
      </c>
      <c r="AD513" s="89">
        <f t="shared" si="113"/>
        <v>81.524581999999995</v>
      </c>
      <c r="AE513" s="89">
        <f t="shared" si="114"/>
        <v>15897.293489999998</v>
      </c>
      <c r="AF513" s="90">
        <f t="shared" si="117"/>
        <v>5917.3346699999984</v>
      </c>
      <c r="AG513" s="93">
        <f t="shared" si="118"/>
        <v>0.59292175215608744</v>
      </c>
      <c r="AK513" s="90">
        <f t="shared" si="115"/>
        <v>113</v>
      </c>
      <c r="AL513" s="89">
        <f t="shared" si="116"/>
        <v>64.948096787610623</v>
      </c>
      <c r="AM513" s="89">
        <f t="shared" si="108"/>
        <v>81.524581999999995</v>
      </c>
      <c r="AN513" s="90">
        <f t="shared" si="109"/>
        <v>9212.2777659999992</v>
      </c>
      <c r="AO513" s="93">
        <f t="shared" si="110"/>
        <v>0.25522665069920047</v>
      </c>
    </row>
    <row r="514" spans="2:41" x14ac:dyDescent="0.25">
      <c r="B514" s="91">
        <v>40095</v>
      </c>
      <c r="C514" s="89">
        <v>106.639999</v>
      </c>
      <c r="D514" s="89">
        <v>107.260002</v>
      </c>
      <c r="E514" s="89">
        <v>106.360001</v>
      </c>
      <c r="F514" s="89">
        <v>107.260002</v>
      </c>
      <c r="G514" s="89">
        <v>82.021621999999994</v>
      </c>
      <c r="H514" s="89">
        <v>135008300</v>
      </c>
      <c r="J514" s="89">
        <v>0</v>
      </c>
      <c r="K514" s="89">
        <f t="shared" si="106"/>
        <v>88</v>
      </c>
      <c r="L514" s="89">
        <f t="shared" si="107"/>
        <v>112.621376</v>
      </c>
      <c r="M514" s="89">
        <f>+SPY__2[[#This Row],[Adj Close]]</f>
        <v>82.021621999999994</v>
      </c>
      <c r="N514" s="89">
        <f t="shared" si="102"/>
        <v>7217.9027359999991</v>
      </c>
      <c r="O514" s="90">
        <f t="shared" si="103"/>
        <v>-2692.7783520000003</v>
      </c>
      <c r="P514" s="93">
        <f t="shared" si="104"/>
        <v>-0.27170467176675239</v>
      </c>
      <c r="Q514" s="96"/>
      <c r="R514" s="96"/>
      <c r="T514" s="90">
        <f t="shared" ref="T514:T577" si="119">+T513</f>
        <v>95</v>
      </c>
      <c r="U514" s="89">
        <f t="shared" ref="U514:U577" si="120">+U513</f>
        <v>103.31428490526316</v>
      </c>
      <c r="V514" s="89">
        <f t="shared" si="100"/>
        <v>82.021621999999994</v>
      </c>
      <c r="W514" s="90">
        <f t="shared" si="105"/>
        <v>7792.0540899999996</v>
      </c>
      <c r="X514" s="93">
        <f t="shared" si="101"/>
        <v>-0.20609601977875613</v>
      </c>
      <c r="AB514" s="89">
        <f t="shared" si="111"/>
        <v>195</v>
      </c>
      <c r="AC514" s="89">
        <f t="shared" si="112"/>
        <v>51.179276000000002</v>
      </c>
      <c r="AD514" s="89">
        <f t="shared" si="113"/>
        <v>82.021621999999994</v>
      </c>
      <c r="AE514" s="89">
        <f t="shared" si="114"/>
        <v>15994.216289999998</v>
      </c>
      <c r="AF514" s="90">
        <f t="shared" si="117"/>
        <v>6014.2574699999986</v>
      </c>
      <c r="AG514" s="93">
        <f t="shared" si="118"/>
        <v>0.60263349563600688</v>
      </c>
      <c r="AK514" s="90">
        <f t="shared" si="115"/>
        <v>113</v>
      </c>
      <c r="AL514" s="89">
        <f t="shared" si="116"/>
        <v>64.948096787610623</v>
      </c>
      <c r="AM514" s="89">
        <f t="shared" si="108"/>
        <v>82.021621999999994</v>
      </c>
      <c r="AN514" s="90">
        <f t="shared" si="109"/>
        <v>9268.4432859999997</v>
      </c>
      <c r="AO514" s="93">
        <f t="shared" si="110"/>
        <v>0.26287953083863558</v>
      </c>
    </row>
    <row r="515" spans="2:41" x14ac:dyDescent="0.25">
      <c r="B515" s="91">
        <v>40098</v>
      </c>
      <c r="C515" s="89">
        <v>107.760002</v>
      </c>
      <c r="D515" s="89">
        <v>108.089996</v>
      </c>
      <c r="E515" s="89">
        <v>107.279999</v>
      </c>
      <c r="F515" s="89">
        <v>107.68</v>
      </c>
      <c r="G515" s="89">
        <v>82.342833999999996</v>
      </c>
      <c r="H515" s="89">
        <v>118031000</v>
      </c>
      <c r="J515" s="89">
        <v>0</v>
      </c>
      <c r="K515" s="89">
        <f t="shared" si="106"/>
        <v>88</v>
      </c>
      <c r="L515" s="89">
        <f t="shared" si="107"/>
        <v>112.621376</v>
      </c>
      <c r="M515" s="89">
        <f>+SPY__2[[#This Row],[Adj Close]]</f>
        <v>82.342833999999996</v>
      </c>
      <c r="N515" s="89">
        <f t="shared" si="102"/>
        <v>7246.1693919999998</v>
      </c>
      <c r="O515" s="90">
        <f t="shared" si="103"/>
        <v>-2664.511696</v>
      </c>
      <c r="P515" s="93">
        <f t="shared" si="104"/>
        <v>-0.26885253115714025</v>
      </c>
      <c r="Q515" s="96"/>
      <c r="R515" s="96"/>
      <c r="T515" s="90">
        <f t="shared" si="119"/>
        <v>95</v>
      </c>
      <c r="U515" s="89">
        <f t="shared" si="120"/>
        <v>103.31428490526316</v>
      </c>
      <c r="V515" s="89">
        <f t="shared" ref="V515:V578" si="121">+M515</f>
        <v>82.342833999999996</v>
      </c>
      <c r="W515" s="90">
        <f t="shared" si="105"/>
        <v>7822.5692300000001</v>
      </c>
      <c r="X515" s="93">
        <f t="shared" ref="X515:X578" si="122">+W515/(U515*T515)-1</f>
        <v>-0.20298694342697632</v>
      </c>
      <c r="AB515" s="89">
        <f t="shared" si="111"/>
        <v>195</v>
      </c>
      <c r="AC515" s="89">
        <f t="shared" si="112"/>
        <v>51.179276000000002</v>
      </c>
      <c r="AD515" s="89">
        <f t="shared" si="113"/>
        <v>82.342833999999996</v>
      </c>
      <c r="AE515" s="89">
        <f t="shared" si="114"/>
        <v>16056.852629999999</v>
      </c>
      <c r="AF515" s="90">
        <f t="shared" si="117"/>
        <v>6076.8938099999987</v>
      </c>
      <c r="AG515" s="93">
        <f t="shared" si="118"/>
        <v>0.60890970790598908</v>
      </c>
      <c r="AK515" s="90">
        <f t="shared" si="115"/>
        <v>113</v>
      </c>
      <c r="AL515" s="89">
        <f t="shared" si="116"/>
        <v>64.948096787610623</v>
      </c>
      <c r="AM515" s="89">
        <f t="shared" si="108"/>
        <v>82.342833999999996</v>
      </c>
      <c r="AN515" s="90">
        <f t="shared" si="109"/>
        <v>9304.7402419999999</v>
      </c>
      <c r="AO515" s="93">
        <f t="shared" si="110"/>
        <v>0.26782520308905422</v>
      </c>
    </row>
    <row r="516" spans="2:41" x14ac:dyDescent="0.25">
      <c r="B516" s="91">
        <v>40099</v>
      </c>
      <c r="C516" s="89">
        <v>107.389999</v>
      </c>
      <c r="D516" s="89">
        <v>107.709999</v>
      </c>
      <c r="E516" s="89">
        <v>106.760002</v>
      </c>
      <c r="F516" s="89">
        <v>107.459999</v>
      </c>
      <c r="G516" s="89">
        <v>82.174591000000007</v>
      </c>
      <c r="H516" s="89">
        <v>157692700</v>
      </c>
      <c r="J516" s="89">
        <v>0</v>
      </c>
      <c r="K516" s="89">
        <f t="shared" si="106"/>
        <v>88</v>
      </c>
      <c r="L516" s="89">
        <f t="shared" si="107"/>
        <v>112.621376</v>
      </c>
      <c r="M516" s="89">
        <f>+SPY__2[[#This Row],[Adj Close]]</f>
        <v>82.174591000000007</v>
      </c>
      <c r="N516" s="89">
        <f t="shared" ref="N516:N579" si="123">+K516*M516</f>
        <v>7231.3640080000005</v>
      </c>
      <c r="O516" s="90">
        <f t="shared" ref="O516:O579" si="124">+(M516-L516)*K516</f>
        <v>-2679.3170799999994</v>
      </c>
      <c r="P516" s="93">
        <f t="shared" ref="P516:P579" si="125">+M516/L516-1</f>
        <v>-0.27034641274494808</v>
      </c>
      <c r="Q516" s="96"/>
      <c r="R516" s="96"/>
      <c r="T516" s="90">
        <f t="shared" si="119"/>
        <v>95</v>
      </c>
      <c r="U516" s="89">
        <f t="shared" si="120"/>
        <v>103.31428490526316</v>
      </c>
      <c r="V516" s="89">
        <f t="shared" si="121"/>
        <v>82.174591000000007</v>
      </c>
      <c r="W516" s="90">
        <f t="shared" ref="W516:W579" si="126">+V516*T516</f>
        <v>7806.5861450000002</v>
      </c>
      <c r="X516" s="93">
        <f t="shared" si="122"/>
        <v>-0.20461540168087866</v>
      </c>
      <c r="AB516" s="89">
        <f t="shared" si="111"/>
        <v>195</v>
      </c>
      <c r="AC516" s="89">
        <f t="shared" si="112"/>
        <v>51.179276000000002</v>
      </c>
      <c r="AD516" s="89">
        <f t="shared" si="113"/>
        <v>82.174591000000007</v>
      </c>
      <c r="AE516" s="89">
        <f t="shared" si="114"/>
        <v>16024.045245000001</v>
      </c>
      <c r="AF516" s="90">
        <f t="shared" si="117"/>
        <v>6044.0864250000013</v>
      </c>
      <c r="AG516" s="93">
        <f t="shared" si="118"/>
        <v>0.60562238121539669</v>
      </c>
      <c r="AK516" s="90">
        <f t="shared" si="115"/>
        <v>113</v>
      </c>
      <c r="AL516" s="89">
        <f t="shared" si="116"/>
        <v>64.948096787610623</v>
      </c>
      <c r="AM516" s="89">
        <f t="shared" si="108"/>
        <v>82.174591000000007</v>
      </c>
      <c r="AN516" s="90">
        <f t="shared" si="109"/>
        <v>9285.7287830000005</v>
      </c>
      <c r="AO516" s="93">
        <f t="shared" si="110"/>
        <v>0.26523478076228213</v>
      </c>
    </row>
    <row r="517" spans="2:41" x14ac:dyDescent="0.25">
      <c r="B517" s="91">
        <v>40100</v>
      </c>
      <c r="C517" s="89">
        <v>108.720001</v>
      </c>
      <c r="D517" s="89">
        <v>109.41999800000001</v>
      </c>
      <c r="E517" s="89">
        <v>107.41999800000001</v>
      </c>
      <c r="F517" s="89">
        <v>109.30999799999999</v>
      </c>
      <c r="G517" s="89">
        <v>83.589279000000005</v>
      </c>
      <c r="H517" s="89">
        <v>191421600</v>
      </c>
      <c r="J517" s="89">
        <v>0</v>
      </c>
      <c r="K517" s="89">
        <f t="shared" ref="K517:K580" si="127">+$K$3</f>
        <v>88</v>
      </c>
      <c r="L517" s="89">
        <f t="shared" ref="L517:L580" si="128">+$L$3</f>
        <v>112.621376</v>
      </c>
      <c r="M517" s="89">
        <f>+SPY__2[[#This Row],[Adj Close]]</f>
        <v>83.589279000000005</v>
      </c>
      <c r="N517" s="89">
        <f t="shared" si="123"/>
        <v>7355.8565520000002</v>
      </c>
      <c r="O517" s="90">
        <f t="shared" si="124"/>
        <v>-2554.8245359999992</v>
      </c>
      <c r="P517" s="93">
        <f t="shared" si="125"/>
        <v>-0.2577849608230679</v>
      </c>
      <c r="Q517" s="96"/>
      <c r="R517" s="96"/>
      <c r="T517" s="90">
        <f t="shared" si="119"/>
        <v>95</v>
      </c>
      <c r="U517" s="89">
        <f t="shared" si="120"/>
        <v>103.31428490526316</v>
      </c>
      <c r="V517" s="89">
        <f t="shared" si="121"/>
        <v>83.589279000000005</v>
      </c>
      <c r="W517" s="90">
        <f t="shared" si="126"/>
        <v>7940.9815050000007</v>
      </c>
      <c r="X517" s="93">
        <f t="shared" si="122"/>
        <v>-0.1909223484763074</v>
      </c>
      <c r="AB517" s="89">
        <f t="shared" si="111"/>
        <v>195</v>
      </c>
      <c r="AC517" s="89">
        <f t="shared" si="112"/>
        <v>51.179276000000002</v>
      </c>
      <c r="AD517" s="89">
        <f t="shared" si="113"/>
        <v>83.589279000000005</v>
      </c>
      <c r="AE517" s="89">
        <f t="shared" si="114"/>
        <v>16299.909405</v>
      </c>
      <c r="AF517" s="90">
        <f t="shared" si="117"/>
        <v>6319.9505850000005</v>
      </c>
      <c r="AG517" s="93">
        <f t="shared" si="118"/>
        <v>0.63326419467129624</v>
      </c>
      <c r="AK517" s="90">
        <f t="shared" si="115"/>
        <v>113</v>
      </c>
      <c r="AL517" s="89">
        <f t="shared" si="116"/>
        <v>64.948096787610623</v>
      </c>
      <c r="AM517" s="89">
        <f t="shared" si="108"/>
        <v>83.589279000000005</v>
      </c>
      <c r="AN517" s="90">
        <f t="shared" si="109"/>
        <v>9445.5885269999999</v>
      </c>
      <c r="AO517" s="93">
        <f t="shared" si="110"/>
        <v>0.28701660455653766</v>
      </c>
    </row>
    <row r="518" spans="2:41" x14ac:dyDescent="0.25">
      <c r="B518" s="91">
        <v>40101</v>
      </c>
      <c r="C518" s="89">
        <v>108.779999</v>
      </c>
      <c r="D518" s="89">
        <v>109.709999</v>
      </c>
      <c r="E518" s="89">
        <v>108.730003</v>
      </c>
      <c r="F518" s="89">
        <v>109.709999</v>
      </c>
      <c r="G518" s="89">
        <v>83.895142000000007</v>
      </c>
      <c r="H518" s="89">
        <v>173873600</v>
      </c>
      <c r="J518" s="89">
        <v>0</v>
      </c>
      <c r="K518" s="89">
        <f t="shared" si="127"/>
        <v>88</v>
      </c>
      <c r="L518" s="89">
        <f t="shared" si="128"/>
        <v>112.621376</v>
      </c>
      <c r="M518" s="89">
        <f>+SPY__2[[#This Row],[Adj Close]]</f>
        <v>83.895142000000007</v>
      </c>
      <c r="N518" s="89">
        <f t="shared" si="123"/>
        <v>7382.7724960000005</v>
      </c>
      <c r="O518" s="90">
        <f t="shared" si="124"/>
        <v>-2527.9085919999993</v>
      </c>
      <c r="P518" s="93">
        <f t="shared" si="125"/>
        <v>-0.25506910872763611</v>
      </c>
      <c r="Q518" s="96"/>
      <c r="R518" s="96"/>
      <c r="T518" s="90">
        <f t="shared" si="119"/>
        <v>95</v>
      </c>
      <c r="U518" s="89">
        <f t="shared" si="120"/>
        <v>103.31428490526316</v>
      </c>
      <c r="V518" s="89">
        <f t="shared" si="121"/>
        <v>83.895142000000007</v>
      </c>
      <c r="W518" s="90">
        <f t="shared" si="126"/>
        <v>7970.0384900000008</v>
      </c>
      <c r="X518" s="93">
        <f t="shared" si="122"/>
        <v>-0.18796183822082357</v>
      </c>
      <c r="AB518" s="89">
        <f t="shared" si="111"/>
        <v>195</v>
      </c>
      <c r="AC518" s="89">
        <f t="shared" si="112"/>
        <v>51.179276000000002</v>
      </c>
      <c r="AD518" s="89">
        <f t="shared" si="113"/>
        <v>83.895142000000007</v>
      </c>
      <c r="AE518" s="89">
        <f t="shared" si="114"/>
        <v>16359.552690000002</v>
      </c>
      <c r="AF518" s="90">
        <f t="shared" si="117"/>
        <v>6379.5938700000006</v>
      </c>
      <c r="AG518" s="93">
        <f t="shared" si="118"/>
        <v>0.63924050039316693</v>
      </c>
      <c r="AK518" s="90">
        <f t="shared" si="115"/>
        <v>113</v>
      </c>
      <c r="AL518" s="89">
        <f t="shared" si="116"/>
        <v>64.948096787610623</v>
      </c>
      <c r="AM518" s="89">
        <f t="shared" si="108"/>
        <v>83.895142000000007</v>
      </c>
      <c r="AN518" s="90">
        <f t="shared" si="109"/>
        <v>9480.1510460000009</v>
      </c>
      <c r="AO518" s="93">
        <f t="shared" si="110"/>
        <v>0.29172594963558174</v>
      </c>
    </row>
    <row r="519" spans="2:41" x14ac:dyDescent="0.25">
      <c r="B519" s="91">
        <v>40102</v>
      </c>
      <c r="C519" s="89">
        <v>108.800003</v>
      </c>
      <c r="D519" s="89">
        <v>109.269997</v>
      </c>
      <c r="E519" s="89">
        <v>108.230003</v>
      </c>
      <c r="F519" s="89">
        <v>108.889999</v>
      </c>
      <c r="G519" s="89">
        <v>83.268105000000006</v>
      </c>
      <c r="H519" s="89">
        <v>192069400</v>
      </c>
      <c r="J519" s="89">
        <v>0</v>
      </c>
      <c r="K519" s="89">
        <f t="shared" si="127"/>
        <v>88</v>
      </c>
      <c r="L519" s="89">
        <f t="shared" si="128"/>
        <v>112.621376</v>
      </c>
      <c r="M519" s="89">
        <f>+SPY__2[[#This Row],[Adj Close]]</f>
        <v>83.268105000000006</v>
      </c>
      <c r="N519" s="89">
        <f t="shared" si="123"/>
        <v>7327.5932400000002</v>
      </c>
      <c r="O519" s="90">
        <f t="shared" si="124"/>
        <v>-2583.0878479999992</v>
      </c>
      <c r="P519" s="93">
        <f t="shared" si="125"/>
        <v>-0.26063676401893721</v>
      </c>
      <c r="Q519" s="96"/>
      <c r="R519" s="96"/>
      <c r="T519" s="90">
        <f t="shared" si="119"/>
        <v>95</v>
      </c>
      <c r="U519" s="89">
        <f t="shared" si="120"/>
        <v>103.31428490526316</v>
      </c>
      <c r="V519" s="89">
        <f t="shared" si="121"/>
        <v>83.268105000000006</v>
      </c>
      <c r="W519" s="90">
        <f t="shared" si="126"/>
        <v>7910.4699750000009</v>
      </c>
      <c r="X519" s="93">
        <f t="shared" si="122"/>
        <v>-0.19403105701834977</v>
      </c>
      <c r="AB519" s="89">
        <f t="shared" si="111"/>
        <v>195</v>
      </c>
      <c r="AC519" s="89">
        <f t="shared" si="112"/>
        <v>51.179276000000002</v>
      </c>
      <c r="AD519" s="89">
        <f t="shared" si="113"/>
        <v>83.268105000000006</v>
      </c>
      <c r="AE519" s="89">
        <f t="shared" si="114"/>
        <v>16237.280475000001</v>
      </c>
      <c r="AF519" s="90">
        <f t="shared" si="117"/>
        <v>6257.3216550000006</v>
      </c>
      <c r="AG519" s="93">
        <f t="shared" si="118"/>
        <v>0.62698872488934776</v>
      </c>
      <c r="AK519" s="90">
        <f t="shared" si="115"/>
        <v>113</v>
      </c>
      <c r="AL519" s="89">
        <f t="shared" si="116"/>
        <v>64.948096787610623</v>
      </c>
      <c r="AM519" s="89">
        <f t="shared" si="108"/>
        <v>83.268105000000006</v>
      </c>
      <c r="AN519" s="90">
        <f t="shared" si="109"/>
        <v>9409.295865</v>
      </c>
      <c r="AO519" s="93">
        <f t="shared" si="110"/>
        <v>0.28207151738869829</v>
      </c>
    </row>
    <row r="520" spans="2:41" x14ac:dyDescent="0.25">
      <c r="B520" s="91">
        <v>40105</v>
      </c>
      <c r="C520" s="89">
        <v>109.07</v>
      </c>
      <c r="D520" s="89">
        <v>110.129997</v>
      </c>
      <c r="E520" s="89">
        <v>108.730003</v>
      </c>
      <c r="F520" s="89">
        <v>109.790001</v>
      </c>
      <c r="G520" s="89">
        <v>83.956328999999997</v>
      </c>
      <c r="H520" s="89">
        <v>159530400</v>
      </c>
      <c r="J520" s="89">
        <v>0</v>
      </c>
      <c r="K520" s="89">
        <f t="shared" si="127"/>
        <v>88</v>
      </c>
      <c r="L520" s="89">
        <f t="shared" si="128"/>
        <v>112.621376</v>
      </c>
      <c r="M520" s="89">
        <f>+SPY__2[[#This Row],[Adj Close]]</f>
        <v>83.956328999999997</v>
      </c>
      <c r="N520" s="89">
        <f t="shared" si="123"/>
        <v>7388.1569519999994</v>
      </c>
      <c r="O520" s="90">
        <f t="shared" si="124"/>
        <v>-2522.524136</v>
      </c>
      <c r="P520" s="93">
        <f t="shared" si="125"/>
        <v>-0.25452581044650002</v>
      </c>
      <c r="Q520" s="96"/>
      <c r="R520" s="96"/>
      <c r="T520" s="90">
        <f t="shared" si="119"/>
        <v>95</v>
      </c>
      <c r="U520" s="89">
        <f t="shared" si="120"/>
        <v>103.31428490526316</v>
      </c>
      <c r="V520" s="89">
        <f t="shared" si="121"/>
        <v>83.956328999999997</v>
      </c>
      <c r="W520" s="90">
        <f t="shared" si="126"/>
        <v>7975.8512549999996</v>
      </c>
      <c r="X520" s="93">
        <f t="shared" si="122"/>
        <v>-0.18736959678919496</v>
      </c>
      <c r="AB520" s="89">
        <f t="shared" si="111"/>
        <v>195</v>
      </c>
      <c r="AC520" s="89">
        <f t="shared" si="112"/>
        <v>51.179276000000002</v>
      </c>
      <c r="AD520" s="89">
        <f t="shared" si="113"/>
        <v>83.956328999999997</v>
      </c>
      <c r="AE520" s="89">
        <f t="shared" si="114"/>
        <v>16371.484155</v>
      </c>
      <c r="AF520" s="90">
        <f t="shared" si="117"/>
        <v>6391.5253349999994</v>
      </c>
      <c r="AG520" s="93">
        <f t="shared" si="118"/>
        <v>0.6404360429014273</v>
      </c>
      <c r="AK520" s="90">
        <f t="shared" si="115"/>
        <v>113</v>
      </c>
      <c r="AL520" s="89">
        <f t="shared" si="116"/>
        <v>64.948096787610623</v>
      </c>
      <c r="AM520" s="89">
        <f t="shared" si="108"/>
        <v>83.956328999999997</v>
      </c>
      <c r="AN520" s="90">
        <f t="shared" si="109"/>
        <v>9487.0651770000004</v>
      </c>
      <c r="AO520" s="93">
        <f t="shared" si="110"/>
        <v>0.2926680403668942</v>
      </c>
    </row>
    <row r="521" spans="2:41" x14ac:dyDescent="0.25">
      <c r="B521" s="91">
        <v>40106</v>
      </c>
      <c r="C521" s="89">
        <v>109.949997</v>
      </c>
      <c r="D521" s="89">
        <v>109.989998</v>
      </c>
      <c r="E521" s="89">
        <v>108.68</v>
      </c>
      <c r="F521" s="89">
        <v>109.209999</v>
      </c>
      <c r="G521" s="89">
        <v>83.512787000000003</v>
      </c>
      <c r="H521" s="89">
        <v>180921100</v>
      </c>
      <c r="J521" s="89">
        <v>0</v>
      </c>
      <c r="K521" s="89">
        <f t="shared" si="127"/>
        <v>88</v>
      </c>
      <c r="L521" s="89">
        <f t="shared" si="128"/>
        <v>112.621376</v>
      </c>
      <c r="M521" s="89">
        <f>+SPY__2[[#This Row],[Adj Close]]</f>
        <v>83.512787000000003</v>
      </c>
      <c r="N521" s="89">
        <f t="shared" si="123"/>
        <v>7349.1252560000003</v>
      </c>
      <c r="O521" s="90">
        <f t="shared" si="124"/>
        <v>-2561.5558319999996</v>
      </c>
      <c r="P521" s="93">
        <f t="shared" si="125"/>
        <v>-0.25846415692878766</v>
      </c>
      <c r="Q521" s="96"/>
      <c r="R521" s="96"/>
      <c r="T521" s="90">
        <f t="shared" si="119"/>
        <v>95</v>
      </c>
      <c r="U521" s="89">
        <f t="shared" si="120"/>
        <v>103.31428490526316</v>
      </c>
      <c r="V521" s="89">
        <f t="shared" si="121"/>
        <v>83.512787000000003</v>
      </c>
      <c r="W521" s="90">
        <f t="shared" si="126"/>
        <v>7933.7147650000006</v>
      </c>
      <c r="X521" s="93">
        <f t="shared" si="122"/>
        <v>-0.19166273011927326</v>
      </c>
      <c r="AB521" s="89">
        <f t="shared" si="111"/>
        <v>195</v>
      </c>
      <c r="AC521" s="89">
        <f t="shared" si="112"/>
        <v>51.179276000000002</v>
      </c>
      <c r="AD521" s="89">
        <f t="shared" si="113"/>
        <v>83.512787000000003</v>
      </c>
      <c r="AE521" s="89">
        <f t="shared" si="114"/>
        <v>16284.993465000001</v>
      </c>
      <c r="AF521" s="90">
        <f t="shared" si="117"/>
        <v>6305.0346450000006</v>
      </c>
      <c r="AG521" s="93">
        <f t="shared" si="118"/>
        <v>0.63176960533791071</v>
      </c>
      <c r="AK521" s="90">
        <f t="shared" si="115"/>
        <v>113</v>
      </c>
      <c r="AL521" s="89">
        <f t="shared" si="116"/>
        <v>64.948096787610623</v>
      </c>
      <c r="AM521" s="89">
        <f t="shared" si="108"/>
        <v>83.512787000000003</v>
      </c>
      <c r="AN521" s="90">
        <f t="shared" si="109"/>
        <v>9436.944931</v>
      </c>
      <c r="AO521" s="93">
        <f t="shared" si="110"/>
        <v>0.2858388641178895</v>
      </c>
    </row>
    <row r="522" spans="2:41" x14ac:dyDescent="0.25">
      <c r="B522" s="91">
        <v>40107</v>
      </c>
      <c r="C522" s="89">
        <v>109.040001</v>
      </c>
      <c r="D522" s="89">
        <v>110.30999799999999</v>
      </c>
      <c r="E522" s="89">
        <v>108.150002</v>
      </c>
      <c r="F522" s="89">
        <v>108.230003</v>
      </c>
      <c r="G522" s="89">
        <v>82.763396999999998</v>
      </c>
      <c r="H522" s="89">
        <v>225379300</v>
      </c>
      <c r="J522" s="89">
        <v>0</v>
      </c>
      <c r="K522" s="89">
        <f t="shared" si="127"/>
        <v>88</v>
      </c>
      <c r="L522" s="89">
        <f t="shared" si="128"/>
        <v>112.621376</v>
      </c>
      <c r="M522" s="89">
        <f>+SPY__2[[#This Row],[Adj Close]]</f>
        <v>82.763396999999998</v>
      </c>
      <c r="N522" s="89">
        <f t="shared" si="123"/>
        <v>7283.1789360000002</v>
      </c>
      <c r="O522" s="90">
        <f t="shared" si="124"/>
        <v>-2627.502152</v>
      </c>
      <c r="P522" s="93">
        <f t="shared" si="125"/>
        <v>-0.26511822231687177</v>
      </c>
      <c r="Q522" s="96"/>
      <c r="R522" s="96"/>
      <c r="T522" s="90">
        <f t="shared" si="119"/>
        <v>95</v>
      </c>
      <c r="U522" s="89">
        <f t="shared" si="120"/>
        <v>103.31428490526316</v>
      </c>
      <c r="V522" s="89">
        <f t="shared" si="121"/>
        <v>82.763396999999998</v>
      </c>
      <c r="W522" s="90">
        <f t="shared" si="126"/>
        <v>7862.5227150000001</v>
      </c>
      <c r="X522" s="93">
        <f t="shared" si="122"/>
        <v>-0.19891622851678115</v>
      </c>
      <c r="AB522" s="89">
        <f t="shared" si="111"/>
        <v>195</v>
      </c>
      <c r="AC522" s="89">
        <f t="shared" si="112"/>
        <v>51.179276000000002</v>
      </c>
      <c r="AD522" s="89">
        <f t="shared" si="113"/>
        <v>82.763396999999998</v>
      </c>
      <c r="AE522" s="89">
        <f t="shared" si="114"/>
        <v>16138.862415</v>
      </c>
      <c r="AF522" s="90">
        <f t="shared" si="117"/>
        <v>6158.9035949999989</v>
      </c>
      <c r="AG522" s="93">
        <f t="shared" si="118"/>
        <v>0.61712715513990468</v>
      </c>
      <c r="AK522" s="90">
        <f t="shared" si="115"/>
        <v>113</v>
      </c>
      <c r="AL522" s="89">
        <f t="shared" si="116"/>
        <v>64.948096787610623</v>
      </c>
      <c r="AM522" s="89">
        <f t="shared" si="108"/>
        <v>82.763396999999998</v>
      </c>
      <c r="AN522" s="90">
        <f t="shared" si="109"/>
        <v>9352.2638609999995</v>
      </c>
      <c r="AO522" s="93">
        <f t="shared" si="110"/>
        <v>0.27430057374349093</v>
      </c>
    </row>
    <row r="523" spans="2:41" x14ac:dyDescent="0.25">
      <c r="B523" s="91">
        <v>40108</v>
      </c>
      <c r="C523" s="89">
        <v>108.19000200000001</v>
      </c>
      <c r="D523" s="89">
        <v>109.68</v>
      </c>
      <c r="E523" s="89">
        <v>107.5</v>
      </c>
      <c r="F523" s="89">
        <v>109.33000199999999</v>
      </c>
      <c r="G523" s="89">
        <v>83.604584000000003</v>
      </c>
      <c r="H523" s="89">
        <v>238444000</v>
      </c>
      <c r="J523" s="89">
        <v>0</v>
      </c>
      <c r="K523" s="89">
        <f t="shared" si="127"/>
        <v>88</v>
      </c>
      <c r="L523" s="89">
        <f t="shared" si="128"/>
        <v>112.621376</v>
      </c>
      <c r="M523" s="89">
        <f>+SPY__2[[#This Row],[Adj Close]]</f>
        <v>83.604584000000003</v>
      </c>
      <c r="N523" s="89">
        <f t="shared" si="123"/>
        <v>7357.2033920000003</v>
      </c>
      <c r="O523" s="90">
        <f t="shared" si="124"/>
        <v>-2553.4776959999995</v>
      </c>
      <c r="P523" s="93">
        <f t="shared" si="125"/>
        <v>-0.25764906299848434</v>
      </c>
      <c r="Q523" s="96"/>
      <c r="R523" s="96"/>
      <c r="T523" s="90">
        <f t="shared" si="119"/>
        <v>95</v>
      </c>
      <c r="U523" s="89">
        <f t="shared" si="120"/>
        <v>103.31428490526316</v>
      </c>
      <c r="V523" s="89">
        <f t="shared" si="121"/>
        <v>83.604584000000003</v>
      </c>
      <c r="W523" s="90">
        <f t="shared" si="126"/>
        <v>7942.4354800000001</v>
      </c>
      <c r="X523" s="93">
        <f t="shared" si="122"/>
        <v>-0.19077420826497038</v>
      </c>
      <c r="AB523" s="89">
        <f t="shared" si="111"/>
        <v>195</v>
      </c>
      <c r="AC523" s="89">
        <f t="shared" si="112"/>
        <v>51.179276000000002</v>
      </c>
      <c r="AD523" s="89">
        <f t="shared" si="113"/>
        <v>83.604584000000003</v>
      </c>
      <c r="AE523" s="89">
        <f t="shared" si="114"/>
        <v>16302.89388</v>
      </c>
      <c r="AF523" s="90">
        <f t="shared" si="117"/>
        <v>6322.9350599999998</v>
      </c>
      <c r="AG523" s="93">
        <f t="shared" si="118"/>
        <v>0.6335632414964214</v>
      </c>
      <c r="AK523" s="90">
        <f t="shared" si="115"/>
        <v>113</v>
      </c>
      <c r="AL523" s="89">
        <f t="shared" si="116"/>
        <v>64.948096787610623</v>
      </c>
      <c r="AM523" s="89">
        <f t="shared" si="108"/>
        <v>83.604584000000003</v>
      </c>
      <c r="AN523" s="90">
        <f t="shared" si="109"/>
        <v>9447.3179920000002</v>
      </c>
      <c r="AO523" s="93">
        <f t="shared" si="110"/>
        <v>0.28725225426387313</v>
      </c>
    </row>
    <row r="524" spans="2:41" x14ac:dyDescent="0.25">
      <c r="B524" s="91">
        <v>40109</v>
      </c>
      <c r="C524" s="89">
        <v>109.69000200000001</v>
      </c>
      <c r="D524" s="89">
        <v>109.760002</v>
      </c>
      <c r="E524" s="89">
        <v>107.629997</v>
      </c>
      <c r="F524" s="89">
        <v>108.08000199999999</v>
      </c>
      <c r="G524" s="89">
        <v>82.648696999999999</v>
      </c>
      <c r="H524" s="89">
        <v>240033200</v>
      </c>
      <c r="J524" s="89">
        <v>0</v>
      </c>
      <c r="K524" s="89">
        <f t="shared" si="127"/>
        <v>88</v>
      </c>
      <c r="L524" s="89">
        <f t="shared" si="128"/>
        <v>112.621376</v>
      </c>
      <c r="M524" s="89">
        <f>+SPY__2[[#This Row],[Adj Close]]</f>
        <v>82.648696999999999</v>
      </c>
      <c r="N524" s="89">
        <f t="shared" si="123"/>
        <v>7273.0853360000001</v>
      </c>
      <c r="O524" s="90">
        <f t="shared" si="124"/>
        <v>-2637.5957520000002</v>
      </c>
      <c r="P524" s="93">
        <f t="shared" si="125"/>
        <v>-0.26613667906170846</v>
      </c>
      <c r="Q524" s="96"/>
      <c r="R524" s="96"/>
      <c r="T524" s="90">
        <f t="shared" si="119"/>
        <v>95</v>
      </c>
      <c r="U524" s="89">
        <f t="shared" si="120"/>
        <v>103.31428490526316</v>
      </c>
      <c r="V524" s="89">
        <f t="shared" si="121"/>
        <v>82.648696999999999</v>
      </c>
      <c r="W524" s="90">
        <f t="shared" si="126"/>
        <v>7851.6262150000002</v>
      </c>
      <c r="X524" s="93">
        <f t="shared" si="122"/>
        <v>-0.20002643317149249</v>
      </c>
      <c r="AB524" s="89">
        <f t="shared" si="111"/>
        <v>195</v>
      </c>
      <c r="AC524" s="89">
        <f t="shared" si="112"/>
        <v>51.179276000000002</v>
      </c>
      <c r="AD524" s="89">
        <f t="shared" si="113"/>
        <v>82.648696999999999</v>
      </c>
      <c r="AE524" s="89">
        <f t="shared" si="114"/>
        <v>16116.495915</v>
      </c>
      <c r="AF524" s="90">
        <f t="shared" si="117"/>
        <v>6136.5370949999997</v>
      </c>
      <c r="AG524" s="93">
        <f t="shared" si="118"/>
        <v>0.61488601362785977</v>
      </c>
      <c r="AK524" s="90">
        <f t="shared" si="115"/>
        <v>113</v>
      </c>
      <c r="AL524" s="89">
        <f t="shared" si="116"/>
        <v>64.948096787610623</v>
      </c>
      <c r="AM524" s="89">
        <f t="shared" si="108"/>
        <v>82.648696999999999</v>
      </c>
      <c r="AN524" s="90">
        <f t="shared" si="109"/>
        <v>9339.302760999999</v>
      </c>
      <c r="AO524" s="93">
        <f t="shared" si="110"/>
        <v>0.27253454816809808</v>
      </c>
    </row>
    <row r="525" spans="2:41" x14ac:dyDescent="0.25">
      <c r="B525" s="91">
        <v>40112</v>
      </c>
      <c r="C525" s="89">
        <v>108.199997</v>
      </c>
      <c r="D525" s="89">
        <v>109.30999799999999</v>
      </c>
      <c r="E525" s="89">
        <v>106.610001</v>
      </c>
      <c r="F525" s="89">
        <v>106.910004</v>
      </c>
      <c r="G525" s="89">
        <v>81.753983000000005</v>
      </c>
      <c r="H525" s="89">
        <v>242028200</v>
      </c>
      <c r="J525" s="89">
        <v>0</v>
      </c>
      <c r="K525" s="89">
        <f t="shared" si="127"/>
        <v>88</v>
      </c>
      <c r="L525" s="89">
        <f t="shared" si="128"/>
        <v>112.621376</v>
      </c>
      <c r="M525" s="89">
        <f>+SPY__2[[#This Row],[Adj Close]]</f>
        <v>81.753983000000005</v>
      </c>
      <c r="N525" s="89">
        <f t="shared" si="123"/>
        <v>7194.350504</v>
      </c>
      <c r="O525" s="90">
        <f t="shared" si="124"/>
        <v>-2716.3305839999994</v>
      </c>
      <c r="P525" s="93">
        <f t="shared" si="125"/>
        <v>-0.27408112115412253</v>
      </c>
      <c r="Q525" s="96"/>
      <c r="R525" s="96"/>
      <c r="T525" s="90">
        <f t="shared" si="119"/>
        <v>95</v>
      </c>
      <c r="U525" s="89">
        <f t="shared" si="120"/>
        <v>103.31428490526316</v>
      </c>
      <c r="V525" s="89">
        <f t="shared" si="121"/>
        <v>81.753983000000005</v>
      </c>
      <c r="W525" s="90">
        <f t="shared" si="126"/>
        <v>7766.6283850000009</v>
      </c>
      <c r="X525" s="93">
        <f t="shared" si="122"/>
        <v>-0.20868655215523635</v>
      </c>
      <c r="AB525" s="89">
        <f t="shared" si="111"/>
        <v>195</v>
      </c>
      <c r="AC525" s="89">
        <f t="shared" si="112"/>
        <v>51.179276000000002</v>
      </c>
      <c r="AD525" s="89">
        <f t="shared" si="113"/>
        <v>81.753983000000005</v>
      </c>
      <c r="AE525" s="89">
        <f t="shared" si="114"/>
        <v>15942.026685000001</v>
      </c>
      <c r="AF525" s="90">
        <f t="shared" si="117"/>
        <v>5962.0678650000009</v>
      </c>
      <c r="AG525" s="93">
        <f t="shared" si="118"/>
        <v>0.597404054719336</v>
      </c>
      <c r="AK525" s="90">
        <f t="shared" si="115"/>
        <v>113</v>
      </c>
      <c r="AL525" s="89">
        <f t="shared" si="116"/>
        <v>64.948096787610623</v>
      </c>
      <c r="AM525" s="89">
        <f t="shared" si="108"/>
        <v>81.753983000000005</v>
      </c>
      <c r="AN525" s="90">
        <f t="shared" si="109"/>
        <v>9238.2000790000002</v>
      </c>
      <c r="AO525" s="93">
        <f t="shared" si="110"/>
        <v>0.25875871724689614</v>
      </c>
    </row>
    <row r="526" spans="2:41" x14ac:dyDescent="0.25">
      <c r="B526" s="91">
        <v>40113</v>
      </c>
      <c r="C526" s="89">
        <v>107.029999</v>
      </c>
      <c r="D526" s="89">
        <v>107.389999</v>
      </c>
      <c r="E526" s="89">
        <v>106.160004</v>
      </c>
      <c r="F526" s="89">
        <v>106.41999800000001</v>
      </c>
      <c r="G526" s="89">
        <v>81.379279999999994</v>
      </c>
      <c r="H526" s="89">
        <v>253266300</v>
      </c>
      <c r="J526" s="89">
        <v>0</v>
      </c>
      <c r="K526" s="89">
        <f t="shared" si="127"/>
        <v>88</v>
      </c>
      <c r="L526" s="89">
        <f t="shared" si="128"/>
        <v>112.621376</v>
      </c>
      <c r="M526" s="89">
        <f>+SPY__2[[#This Row],[Adj Close]]</f>
        <v>81.379279999999994</v>
      </c>
      <c r="N526" s="89">
        <f t="shared" si="123"/>
        <v>7161.3766399999995</v>
      </c>
      <c r="O526" s="90">
        <f t="shared" si="124"/>
        <v>-2749.3044480000003</v>
      </c>
      <c r="P526" s="93">
        <f t="shared" si="125"/>
        <v>-0.27740822488263683</v>
      </c>
      <c r="Q526" s="96"/>
      <c r="R526" s="96"/>
      <c r="T526" s="90">
        <f t="shared" si="119"/>
        <v>95</v>
      </c>
      <c r="U526" s="89">
        <f t="shared" si="120"/>
        <v>103.31428490526316</v>
      </c>
      <c r="V526" s="89">
        <f t="shared" si="121"/>
        <v>81.379279999999994</v>
      </c>
      <c r="W526" s="90">
        <f t="shared" si="126"/>
        <v>7731.0315999999993</v>
      </c>
      <c r="X526" s="93">
        <f t="shared" si="122"/>
        <v>-0.21231337878761947</v>
      </c>
      <c r="AB526" s="89">
        <f t="shared" si="111"/>
        <v>195</v>
      </c>
      <c r="AC526" s="89">
        <f t="shared" si="112"/>
        <v>51.179276000000002</v>
      </c>
      <c r="AD526" s="89">
        <f t="shared" si="113"/>
        <v>81.379279999999994</v>
      </c>
      <c r="AE526" s="89">
        <f t="shared" si="114"/>
        <v>15868.959599999998</v>
      </c>
      <c r="AF526" s="90">
        <f t="shared" si="117"/>
        <v>5889.0007799999985</v>
      </c>
      <c r="AG526" s="93">
        <f t="shared" si="118"/>
        <v>0.59008267330706254</v>
      </c>
      <c r="AK526" s="90">
        <f t="shared" si="115"/>
        <v>113</v>
      </c>
      <c r="AL526" s="89">
        <f t="shared" si="116"/>
        <v>64.948096787610623</v>
      </c>
      <c r="AM526" s="89">
        <f t="shared" si="108"/>
        <v>81.379279999999994</v>
      </c>
      <c r="AN526" s="90">
        <f t="shared" si="109"/>
        <v>9195.8586399999986</v>
      </c>
      <c r="AO526" s="93">
        <f t="shared" si="110"/>
        <v>0.25298944888441666</v>
      </c>
    </row>
    <row r="527" spans="2:41" x14ac:dyDescent="0.25">
      <c r="B527" s="91">
        <v>40114</v>
      </c>
      <c r="C527" s="89">
        <v>106.150002</v>
      </c>
      <c r="D527" s="89">
        <v>106.480003</v>
      </c>
      <c r="E527" s="89">
        <v>104.349998</v>
      </c>
      <c r="F527" s="89">
        <v>104.410004</v>
      </c>
      <c r="G527" s="89">
        <v>79.842254999999994</v>
      </c>
      <c r="H527" s="89">
        <v>248821400</v>
      </c>
      <c r="J527" s="89">
        <v>0</v>
      </c>
      <c r="K527" s="89">
        <f t="shared" si="127"/>
        <v>88</v>
      </c>
      <c r="L527" s="89">
        <f t="shared" si="128"/>
        <v>112.621376</v>
      </c>
      <c r="M527" s="89">
        <f>+SPY__2[[#This Row],[Adj Close]]</f>
        <v>79.842254999999994</v>
      </c>
      <c r="N527" s="89">
        <f t="shared" si="123"/>
        <v>7026.1184399999993</v>
      </c>
      <c r="O527" s="90">
        <f t="shared" si="124"/>
        <v>-2884.5626480000001</v>
      </c>
      <c r="P527" s="93">
        <f t="shared" si="125"/>
        <v>-0.29105594483235586</v>
      </c>
      <c r="Q527" s="96"/>
      <c r="R527" s="96"/>
      <c r="T527" s="90">
        <f t="shared" si="119"/>
        <v>95</v>
      </c>
      <c r="U527" s="89">
        <f t="shared" si="120"/>
        <v>103.31428490526316</v>
      </c>
      <c r="V527" s="89">
        <f t="shared" si="121"/>
        <v>79.842254999999994</v>
      </c>
      <c r="W527" s="90">
        <f t="shared" si="126"/>
        <v>7585.0142249999999</v>
      </c>
      <c r="X527" s="93">
        <f t="shared" si="122"/>
        <v>-0.22719055672491451</v>
      </c>
      <c r="AB527" s="89">
        <f t="shared" si="111"/>
        <v>195</v>
      </c>
      <c r="AC527" s="89">
        <f t="shared" si="112"/>
        <v>51.179276000000002</v>
      </c>
      <c r="AD527" s="89">
        <f t="shared" si="113"/>
        <v>79.842254999999994</v>
      </c>
      <c r="AE527" s="89">
        <f t="shared" si="114"/>
        <v>15569.239724999999</v>
      </c>
      <c r="AF527" s="90">
        <f t="shared" si="117"/>
        <v>5589.2809049999987</v>
      </c>
      <c r="AG527" s="93">
        <f t="shared" si="118"/>
        <v>0.56005049778351679</v>
      </c>
      <c r="AK527" s="90">
        <f t="shared" si="115"/>
        <v>113</v>
      </c>
      <c r="AL527" s="89">
        <f t="shared" si="116"/>
        <v>64.948096787610623</v>
      </c>
      <c r="AM527" s="89">
        <f t="shared" si="108"/>
        <v>79.842254999999994</v>
      </c>
      <c r="AN527" s="90">
        <f t="shared" si="109"/>
        <v>9022.1748149999985</v>
      </c>
      <c r="AO527" s="93">
        <f t="shared" si="110"/>
        <v>0.22932401331320529</v>
      </c>
    </row>
    <row r="528" spans="2:41" x14ac:dyDescent="0.25">
      <c r="B528" s="91">
        <v>40115</v>
      </c>
      <c r="C528" s="89">
        <v>105.19000200000001</v>
      </c>
      <c r="D528" s="89">
        <v>106.860001</v>
      </c>
      <c r="E528" s="89">
        <v>104.94000200000001</v>
      </c>
      <c r="F528" s="89">
        <v>106.650002</v>
      </c>
      <c r="G528" s="89">
        <v>81.555199000000002</v>
      </c>
      <c r="H528" s="89">
        <v>198110600</v>
      </c>
      <c r="J528" s="89">
        <v>0</v>
      </c>
      <c r="K528" s="89">
        <f t="shared" si="127"/>
        <v>88</v>
      </c>
      <c r="L528" s="89">
        <f t="shared" si="128"/>
        <v>112.621376</v>
      </c>
      <c r="M528" s="89">
        <f>+SPY__2[[#This Row],[Adj Close]]</f>
        <v>81.555199000000002</v>
      </c>
      <c r="N528" s="89">
        <f t="shared" si="123"/>
        <v>7176.8575120000005</v>
      </c>
      <c r="O528" s="90">
        <f t="shared" si="124"/>
        <v>-2733.8235759999998</v>
      </c>
      <c r="P528" s="93">
        <f t="shared" si="125"/>
        <v>-0.27584618571877506</v>
      </c>
      <c r="Q528" s="96"/>
      <c r="R528" s="96"/>
      <c r="T528" s="90">
        <f t="shared" si="119"/>
        <v>95</v>
      </c>
      <c r="U528" s="89">
        <f t="shared" si="120"/>
        <v>103.31428490526316</v>
      </c>
      <c r="V528" s="89">
        <f t="shared" si="121"/>
        <v>81.555199000000002</v>
      </c>
      <c r="W528" s="90">
        <f t="shared" si="126"/>
        <v>7747.7439050000003</v>
      </c>
      <c r="X528" s="93">
        <f t="shared" si="122"/>
        <v>-0.21061062296676347</v>
      </c>
      <c r="AB528" s="89">
        <f t="shared" si="111"/>
        <v>195</v>
      </c>
      <c r="AC528" s="89">
        <f t="shared" si="112"/>
        <v>51.179276000000002</v>
      </c>
      <c r="AD528" s="89">
        <f t="shared" si="113"/>
        <v>81.555199000000002</v>
      </c>
      <c r="AE528" s="89">
        <f t="shared" si="114"/>
        <v>15903.263805000001</v>
      </c>
      <c r="AF528" s="90">
        <f t="shared" si="117"/>
        <v>5923.3049849999998</v>
      </c>
      <c r="AG528" s="93">
        <f t="shared" si="118"/>
        <v>0.59351998258044913</v>
      </c>
      <c r="AK528" s="90">
        <f t="shared" si="115"/>
        <v>113</v>
      </c>
      <c r="AL528" s="89">
        <f t="shared" si="116"/>
        <v>64.948096787610623</v>
      </c>
      <c r="AM528" s="89">
        <f t="shared" si="108"/>
        <v>81.555199000000002</v>
      </c>
      <c r="AN528" s="90">
        <f t="shared" si="109"/>
        <v>9215.7374870000003</v>
      </c>
      <c r="AO528" s="93">
        <f t="shared" si="110"/>
        <v>0.25569805789224165</v>
      </c>
    </row>
    <row r="529" spans="2:41" x14ac:dyDescent="0.25">
      <c r="B529" s="91">
        <v>40116</v>
      </c>
      <c r="C529" s="89">
        <v>106.300003</v>
      </c>
      <c r="D529" s="89">
        <v>106.620003</v>
      </c>
      <c r="E529" s="89">
        <v>103.44000200000001</v>
      </c>
      <c r="F529" s="89">
        <v>103.55999799999999</v>
      </c>
      <c r="G529" s="89">
        <v>79.192245</v>
      </c>
      <c r="H529" s="89">
        <v>325608100</v>
      </c>
      <c r="J529" s="89">
        <v>0</v>
      </c>
      <c r="K529" s="89">
        <f t="shared" si="127"/>
        <v>88</v>
      </c>
      <c r="L529" s="89">
        <f t="shared" si="128"/>
        <v>112.621376</v>
      </c>
      <c r="M529" s="89">
        <f>+SPY__2[[#This Row],[Adj Close]]</f>
        <v>79.192245</v>
      </c>
      <c r="N529" s="89">
        <f t="shared" si="123"/>
        <v>6968.9175599999999</v>
      </c>
      <c r="O529" s="90">
        <f t="shared" si="124"/>
        <v>-2941.763528</v>
      </c>
      <c r="P529" s="93">
        <f t="shared" si="125"/>
        <v>-0.29682758448982194</v>
      </c>
      <c r="Q529" s="96"/>
      <c r="R529" s="96"/>
      <c r="T529" s="90">
        <f t="shared" si="119"/>
        <v>95</v>
      </c>
      <c r="U529" s="89">
        <f t="shared" si="120"/>
        <v>103.31428490526316</v>
      </c>
      <c r="V529" s="89">
        <f t="shared" si="121"/>
        <v>79.192245</v>
      </c>
      <c r="W529" s="90">
        <f t="shared" si="126"/>
        <v>7523.2632750000002</v>
      </c>
      <c r="X529" s="93">
        <f t="shared" si="122"/>
        <v>-0.2334821358671022</v>
      </c>
      <c r="AB529" s="89">
        <f t="shared" si="111"/>
        <v>195</v>
      </c>
      <c r="AC529" s="89">
        <f t="shared" si="112"/>
        <v>51.179276000000002</v>
      </c>
      <c r="AD529" s="89">
        <f t="shared" si="113"/>
        <v>79.192245</v>
      </c>
      <c r="AE529" s="89">
        <f t="shared" si="114"/>
        <v>15442.487775</v>
      </c>
      <c r="AF529" s="90">
        <f t="shared" si="117"/>
        <v>5462.5289549999998</v>
      </c>
      <c r="AG529" s="93">
        <f t="shared" si="118"/>
        <v>0.54734984918504903</v>
      </c>
      <c r="AK529" s="90">
        <f t="shared" si="115"/>
        <v>113</v>
      </c>
      <c r="AL529" s="89">
        <f t="shared" si="116"/>
        <v>64.948096787610623</v>
      </c>
      <c r="AM529" s="89">
        <f t="shared" si="108"/>
        <v>79.192245</v>
      </c>
      <c r="AN529" s="90">
        <f t="shared" si="109"/>
        <v>8948.7236850000008</v>
      </c>
      <c r="AO529" s="93">
        <f t="shared" si="110"/>
        <v>0.21931586785321433</v>
      </c>
    </row>
    <row r="530" spans="2:41" x14ac:dyDescent="0.25">
      <c r="B530" s="91">
        <v>40119</v>
      </c>
      <c r="C530" s="89">
        <v>104.129997</v>
      </c>
      <c r="D530" s="89">
        <v>105.410004</v>
      </c>
      <c r="E530" s="89">
        <v>103.08000199999999</v>
      </c>
      <c r="F530" s="89">
        <v>104.32</v>
      </c>
      <c r="G530" s="89">
        <v>79.773430000000005</v>
      </c>
      <c r="H530" s="89">
        <v>254222900</v>
      </c>
      <c r="J530" s="89">
        <v>0</v>
      </c>
      <c r="K530" s="89">
        <f t="shared" si="127"/>
        <v>88</v>
      </c>
      <c r="L530" s="89">
        <f t="shared" si="128"/>
        <v>112.621376</v>
      </c>
      <c r="M530" s="89">
        <f>+SPY__2[[#This Row],[Adj Close]]</f>
        <v>79.773430000000005</v>
      </c>
      <c r="N530" s="89">
        <f t="shared" si="123"/>
        <v>7020.0618400000003</v>
      </c>
      <c r="O530" s="90">
        <f t="shared" si="124"/>
        <v>-2890.6192479999995</v>
      </c>
      <c r="P530" s="93">
        <f t="shared" si="125"/>
        <v>-0.29166706327580294</v>
      </c>
      <c r="Q530" s="96"/>
      <c r="R530" s="96"/>
      <c r="T530" s="90">
        <f t="shared" si="119"/>
        <v>95</v>
      </c>
      <c r="U530" s="89">
        <f t="shared" si="120"/>
        <v>103.31428490526316</v>
      </c>
      <c r="V530" s="89">
        <f t="shared" si="121"/>
        <v>79.773430000000005</v>
      </c>
      <c r="W530" s="90">
        <f t="shared" si="126"/>
        <v>7578.4758500000007</v>
      </c>
      <c r="X530" s="93">
        <f t="shared" si="122"/>
        <v>-0.22785672791375933</v>
      </c>
      <c r="AB530" s="89">
        <f t="shared" si="111"/>
        <v>195</v>
      </c>
      <c r="AC530" s="89">
        <f t="shared" si="112"/>
        <v>51.179276000000002</v>
      </c>
      <c r="AD530" s="89">
        <f t="shared" si="113"/>
        <v>79.773430000000005</v>
      </c>
      <c r="AE530" s="89">
        <f t="shared" si="114"/>
        <v>15555.818850000001</v>
      </c>
      <c r="AF530" s="90">
        <f t="shared" si="117"/>
        <v>5575.8600300000007</v>
      </c>
      <c r="AG530" s="93">
        <f t="shared" si="118"/>
        <v>0.55870571518049617</v>
      </c>
      <c r="AK530" s="90">
        <f t="shared" si="115"/>
        <v>113</v>
      </c>
      <c r="AL530" s="89">
        <f t="shared" si="116"/>
        <v>64.948096787610623</v>
      </c>
      <c r="AM530" s="89">
        <f t="shared" si="108"/>
        <v>79.773430000000005</v>
      </c>
      <c r="AN530" s="90">
        <f t="shared" si="109"/>
        <v>9014.3975900000005</v>
      </c>
      <c r="AO530" s="93">
        <f t="shared" si="110"/>
        <v>0.22826432098341987</v>
      </c>
    </row>
    <row r="531" spans="2:41" x14ac:dyDescent="0.25">
      <c r="B531" s="91">
        <v>40120</v>
      </c>
      <c r="C531" s="89">
        <v>103.739998</v>
      </c>
      <c r="D531" s="89">
        <v>104.800003</v>
      </c>
      <c r="E531" s="89">
        <v>103.540001</v>
      </c>
      <c r="F531" s="89">
        <v>104.650002</v>
      </c>
      <c r="G531" s="89">
        <v>80.025786999999994</v>
      </c>
      <c r="H531" s="89">
        <v>228362600</v>
      </c>
      <c r="J531" s="89">
        <v>0</v>
      </c>
      <c r="K531" s="89">
        <f t="shared" si="127"/>
        <v>88</v>
      </c>
      <c r="L531" s="89">
        <f t="shared" si="128"/>
        <v>112.621376</v>
      </c>
      <c r="M531" s="89">
        <f>+SPY__2[[#This Row],[Adj Close]]</f>
        <v>80.025786999999994</v>
      </c>
      <c r="N531" s="89">
        <f t="shared" si="123"/>
        <v>7042.2692559999996</v>
      </c>
      <c r="O531" s="90">
        <f t="shared" si="124"/>
        <v>-2868.4118320000002</v>
      </c>
      <c r="P531" s="93">
        <f t="shared" si="125"/>
        <v>-0.28942630748890874</v>
      </c>
      <c r="Q531" s="96"/>
      <c r="R531" s="96"/>
      <c r="T531" s="90">
        <f t="shared" si="119"/>
        <v>95</v>
      </c>
      <c r="U531" s="89">
        <f t="shared" si="120"/>
        <v>103.31428490526316</v>
      </c>
      <c r="V531" s="89">
        <f t="shared" si="121"/>
        <v>80.025786999999994</v>
      </c>
      <c r="W531" s="90">
        <f t="shared" si="126"/>
        <v>7602.4497649999994</v>
      </c>
      <c r="X531" s="93">
        <f t="shared" si="122"/>
        <v>-0.22541411312693294</v>
      </c>
      <c r="AB531" s="89">
        <f t="shared" si="111"/>
        <v>195</v>
      </c>
      <c r="AC531" s="89">
        <f t="shared" si="112"/>
        <v>51.179276000000002</v>
      </c>
      <c r="AD531" s="89">
        <f t="shared" si="113"/>
        <v>80.025786999999994</v>
      </c>
      <c r="AE531" s="89">
        <f t="shared" si="114"/>
        <v>15605.028464999999</v>
      </c>
      <c r="AF531" s="90">
        <f t="shared" si="117"/>
        <v>5625.0696449999987</v>
      </c>
      <c r="AG531" s="93">
        <f t="shared" si="118"/>
        <v>0.56363655867269391</v>
      </c>
      <c r="AK531" s="90">
        <f t="shared" si="115"/>
        <v>113</v>
      </c>
      <c r="AL531" s="89">
        <f t="shared" si="116"/>
        <v>64.948096787610623</v>
      </c>
      <c r="AM531" s="89">
        <f t="shared" si="108"/>
        <v>80.025786999999994</v>
      </c>
      <c r="AN531" s="90">
        <f t="shared" si="109"/>
        <v>9042.9139309999991</v>
      </c>
      <c r="AO531" s="93">
        <f t="shared" si="110"/>
        <v>0.23214983899675334</v>
      </c>
    </row>
    <row r="532" spans="2:41" x14ac:dyDescent="0.25">
      <c r="B532" s="91">
        <v>40121</v>
      </c>
      <c r="C532" s="89">
        <v>105.510002</v>
      </c>
      <c r="D532" s="89">
        <v>106.33000199999999</v>
      </c>
      <c r="E532" s="89">
        <v>104.650002</v>
      </c>
      <c r="F532" s="89">
        <v>104.91999800000001</v>
      </c>
      <c r="G532" s="89">
        <v>80.232276999999996</v>
      </c>
      <c r="H532" s="89">
        <v>247996700</v>
      </c>
      <c r="J532" s="89">
        <v>0</v>
      </c>
      <c r="K532" s="89">
        <f t="shared" si="127"/>
        <v>88</v>
      </c>
      <c r="L532" s="89">
        <f t="shared" si="128"/>
        <v>112.621376</v>
      </c>
      <c r="M532" s="89">
        <f>+SPY__2[[#This Row],[Adj Close]]</f>
        <v>80.232276999999996</v>
      </c>
      <c r="N532" s="89">
        <f t="shared" si="123"/>
        <v>7060.4403759999996</v>
      </c>
      <c r="O532" s="90">
        <f t="shared" si="124"/>
        <v>-2850.2407120000003</v>
      </c>
      <c r="P532" s="93">
        <f t="shared" si="125"/>
        <v>-0.28759281896893185</v>
      </c>
      <c r="Q532" s="96"/>
      <c r="R532" s="96"/>
      <c r="T532" s="90">
        <f t="shared" si="119"/>
        <v>95</v>
      </c>
      <c r="U532" s="89">
        <f t="shared" si="120"/>
        <v>103.31428490526316</v>
      </c>
      <c r="V532" s="89">
        <f t="shared" si="121"/>
        <v>80.232276999999996</v>
      </c>
      <c r="W532" s="90">
        <f t="shared" si="126"/>
        <v>7622.066315</v>
      </c>
      <c r="X532" s="93">
        <f t="shared" si="122"/>
        <v>-0.22341545437234389</v>
      </c>
      <c r="AB532" s="89">
        <f t="shared" si="111"/>
        <v>195</v>
      </c>
      <c r="AC532" s="89">
        <f t="shared" si="112"/>
        <v>51.179276000000002</v>
      </c>
      <c r="AD532" s="89">
        <f t="shared" si="113"/>
        <v>80.232276999999996</v>
      </c>
      <c r="AE532" s="89">
        <f t="shared" si="114"/>
        <v>15645.294014999999</v>
      </c>
      <c r="AF532" s="90">
        <f t="shared" si="117"/>
        <v>5665.3351949999987</v>
      </c>
      <c r="AG532" s="93">
        <f t="shared" si="118"/>
        <v>0.56767119956913792</v>
      </c>
      <c r="AK532" s="90">
        <f t="shared" si="115"/>
        <v>113</v>
      </c>
      <c r="AL532" s="89">
        <f t="shared" si="116"/>
        <v>64.948096787610623</v>
      </c>
      <c r="AM532" s="89">
        <f t="shared" si="108"/>
        <v>80.232276999999996</v>
      </c>
      <c r="AN532" s="90">
        <f t="shared" si="109"/>
        <v>9066.2473009999994</v>
      </c>
      <c r="AO532" s="93">
        <f t="shared" si="110"/>
        <v>0.23532914693975981</v>
      </c>
    </row>
    <row r="533" spans="2:41" x14ac:dyDescent="0.25">
      <c r="B533" s="91">
        <v>40122</v>
      </c>
      <c r="C533" s="89">
        <v>105.660004</v>
      </c>
      <c r="D533" s="89">
        <v>106.879997</v>
      </c>
      <c r="E533" s="89">
        <v>105.44000200000001</v>
      </c>
      <c r="F533" s="89">
        <v>106.849998</v>
      </c>
      <c r="G533" s="89">
        <v>81.708115000000006</v>
      </c>
      <c r="H533" s="89">
        <v>180015300</v>
      </c>
      <c r="J533" s="89">
        <v>0</v>
      </c>
      <c r="K533" s="89">
        <f t="shared" si="127"/>
        <v>88</v>
      </c>
      <c r="L533" s="89">
        <f t="shared" si="128"/>
        <v>112.621376</v>
      </c>
      <c r="M533" s="89">
        <f>+SPY__2[[#This Row],[Adj Close]]</f>
        <v>81.708115000000006</v>
      </c>
      <c r="N533" s="89">
        <f t="shared" si="123"/>
        <v>7190.3141200000009</v>
      </c>
      <c r="O533" s="90">
        <f t="shared" si="124"/>
        <v>-2720.3669679999994</v>
      </c>
      <c r="P533" s="93">
        <f t="shared" si="125"/>
        <v>-0.27448839730034902</v>
      </c>
      <c r="Q533" s="96"/>
      <c r="R533" s="96"/>
      <c r="T533" s="90">
        <f t="shared" si="119"/>
        <v>95</v>
      </c>
      <c r="U533" s="89">
        <f t="shared" si="120"/>
        <v>103.31428490526316</v>
      </c>
      <c r="V533" s="89">
        <f t="shared" si="121"/>
        <v>81.708115000000006</v>
      </c>
      <c r="W533" s="90">
        <f t="shared" si="126"/>
        <v>7762.2709250000007</v>
      </c>
      <c r="X533" s="93">
        <f t="shared" si="122"/>
        <v>-0.20913051786667758</v>
      </c>
      <c r="AB533" s="89">
        <f t="shared" si="111"/>
        <v>195</v>
      </c>
      <c r="AC533" s="89">
        <f t="shared" si="112"/>
        <v>51.179276000000002</v>
      </c>
      <c r="AD533" s="89">
        <f t="shared" si="113"/>
        <v>81.708115000000006</v>
      </c>
      <c r="AE533" s="89">
        <f t="shared" si="114"/>
        <v>15933.082425000001</v>
      </c>
      <c r="AF533" s="90">
        <f t="shared" si="117"/>
        <v>5953.1236050000007</v>
      </c>
      <c r="AG533" s="93">
        <f t="shared" si="118"/>
        <v>0.59650783258442353</v>
      </c>
      <c r="AK533" s="90">
        <f t="shared" si="115"/>
        <v>113</v>
      </c>
      <c r="AL533" s="89">
        <f t="shared" si="116"/>
        <v>64.948096787610623</v>
      </c>
      <c r="AM533" s="89">
        <f t="shared" si="108"/>
        <v>81.708115000000006</v>
      </c>
      <c r="AN533" s="90">
        <f t="shared" si="109"/>
        <v>9233.016995</v>
      </c>
      <c r="AO533" s="93">
        <f t="shared" si="110"/>
        <v>0.25805249177965872</v>
      </c>
    </row>
    <row r="534" spans="2:41" x14ac:dyDescent="0.25">
      <c r="B534" s="91">
        <v>40123</v>
      </c>
      <c r="C534" s="89">
        <v>106.260002</v>
      </c>
      <c r="D534" s="89">
        <v>107.400002</v>
      </c>
      <c r="E534" s="89">
        <v>106.050003</v>
      </c>
      <c r="F534" s="89">
        <v>107.129997</v>
      </c>
      <c r="G534" s="89">
        <v>81.922218000000001</v>
      </c>
      <c r="H534" s="89">
        <v>170954100</v>
      </c>
      <c r="J534" s="89">
        <v>0</v>
      </c>
      <c r="K534" s="89">
        <f t="shared" si="127"/>
        <v>88</v>
      </c>
      <c r="L534" s="89">
        <f t="shared" si="128"/>
        <v>112.621376</v>
      </c>
      <c r="M534" s="89">
        <f>+SPY__2[[#This Row],[Adj Close]]</f>
        <v>81.922218000000001</v>
      </c>
      <c r="N534" s="89">
        <f t="shared" si="123"/>
        <v>7209.1551840000002</v>
      </c>
      <c r="O534" s="90">
        <f t="shared" si="124"/>
        <v>-2701.5259039999996</v>
      </c>
      <c r="P534" s="93">
        <f t="shared" si="125"/>
        <v>-0.27258731060078678</v>
      </c>
      <c r="Q534" s="96"/>
      <c r="R534" s="96"/>
      <c r="T534" s="90">
        <f t="shared" si="119"/>
        <v>95</v>
      </c>
      <c r="U534" s="89">
        <f t="shared" si="120"/>
        <v>103.31428490526316</v>
      </c>
      <c r="V534" s="89">
        <f t="shared" si="121"/>
        <v>81.922218000000001</v>
      </c>
      <c r="W534" s="90">
        <f t="shared" si="126"/>
        <v>7782.6107099999999</v>
      </c>
      <c r="X534" s="93">
        <f t="shared" si="122"/>
        <v>-0.20705817133496307</v>
      </c>
      <c r="AB534" s="89">
        <f t="shared" si="111"/>
        <v>195</v>
      </c>
      <c r="AC534" s="89">
        <f t="shared" si="112"/>
        <v>51.179276000000002</v>
      </c>
      <c r="AD534" s="89">
        <f t="shared" si="113"/>
        <v>81.922218000000001</v>
      </c>
      <c r="AE534" s="89">
        <f t="shared" si="114"/>
        <v>15974.83251</v>
      </c>
      <c r="AF534" s="90">
        <f t="shared" si="117"/>
        <v>5994.8736899999994</v>
      </c>
      <c r="AG534" s="93">
        <f t="shared" si="118"/>
        <v>0.60069122509665829</v>
      </c>
      <c r="AK534" s="90">
        <f t="shared" si="115"/>
        <v>113</v>
      </c>
      <c r="AL534" s="89">
        <f t="shared" si="116"/>
        <v>64.948096787610623</v>
      </c>
      <c r="AM534" s="89">
        <f t="shared" si="108"/>
        <v>81.922218000000001</v>
      </c>
      <c r="AN534" s="90">
        <f t="shared" si="109"/>
        <v>9257.2106340000009</v>
      </c>
      <c r="AO534" s="93">
        <f t="shared" si="110"/>
        <v>0.2613490163983887</v>
      </c>
    </row>
    <row r="535" spans="2:41" x14ac:dyDescent="0.25">
      <c r="B535" s="91">
        <v>40126</v>
      </c>
      <c r="C535" s="89">
        <v>107.949997</v>
      </c>
      <c r="D535" s="89">
        <v>109.629997</v>
      </c>
      <c r="E535" s="89">
        <v>107.870003</v>
      </c>
      <c r="F535" s="89">
        <v>109.57</v>
      </c>
      <c r="G535" s="89">
        <v>83.788100999999997</v>
      </c>
      <c r="H535" s="89">
        <v>159495700</v>
      </c>
      <c r="J535" s="89">
        <v>0</v>
      </c>
      <c r="K535" s="89">
        <f t="shared" si="127"/>
        <v>88</v>
      </c>
      <c r="L535" s="89">
        <f t="shared" si="128"/>
        <v>112.621376</v>
      </c>
      <c r="M535" s="89">
        <f>+SPY__2[[#This Row],[Adj Close]]</f>
        <v>83.788100999999997</v>
      </c>
      <c r="N535" s="89">
        <f t="shared" si="123"/>
        <v>7373.3528879999994</v>
      </c>
      <c r="O535" s="90">
        <f t="shared" si="124"/>
        <v>-2537.3281999999999</v>
      </c>
      <c r="P535" s="93">
        <f t="shared" si="125"/>
        <v>-0.25601955884467265</v>
      </c>
      <c r="Q535" s="96"/>
      <c r="R535" s="96"/>
      <c r="T535" s="90">
        <f t="shared" si="119"/>
        <v>95</v>
      </c>
      <c r="U535" s="89">
        <f t="shared" si="120"/>
        <v>103.31428490526316</v>
      </c>
      <c r="V535" s="89">
        <f t="shared" si="121"/>
        <v>83.788100999999997</v>
      </c>
      <c r="W535" s="90">
        <f t="shared" si="126"/>
        <v>7959.8695950000001</v>
      </c>
      <c r="X535" s="93">
        <f t="shared" si="122"/>
        <v>-0.18899790985504306</v>
      </c>
      <c r="AB535" s="89">
        <f t="shared" si="111"/>
        <v>195</v>
      </c>
      <c r="AC535" s="89">
        <f t="shared" si="112"/>
        <v>51.179276000000002</v>
      </c>
      <c r="AD535" s="89">
        <f t="shared" si="113"/>
        <v>83.788100999999997</v>
      </c>
      <c r="AE535" s="89">
        <f t="shared" si="114"/>
        <v>16338.679694999999</v>
      </c>
      <c r="AF535" s="90">
        <f t="shared" si="117"/>
        <v>6358.7208749999991</v>
      </c>
      <c r="AG535" s="93">
        <f t="shared" si="118"/>
        <v>0.63714900929821661</v>
      </c>
      <c r="AK535" s="90">
        <f t="shared" si="115"/>
        <v>113</v>
      </c>
      <c r="AL535" s="89">
        <f t="shared" si="116"/>
        <v>64.948096787610623</v>
      </c>
      <c r="AM535" s="89">
        <f t="shared" si="108"/>
        <v>83.788100999999997</v>
      </c>
      <c r="AN535" s="90">
        <f t="shared" si="109"/>
        <v>9468.055413</v>
      </c>
      <c r="AO535" s="93">
        <f t="shared" si="110"/>
        <v>0.29007784899377165</v>
      </c>
    </row>
    <row r="536" spans="2:41" x14ac:dyDescent="0.25">
      <c r="B536" s="91">
        <v>40127</v>
      </c>
      <c r="C536" s="89">
        <v>109.30999799999999</v>
      </c>
      <c r="D536" s="89">
        <v>109.93</v>
      </c>
      <c r="E536" s="89">
        <v>108.970001</v>
      </c>
      <c r="F536" s="89">
        <v>109.589996</v>
      </c>
      <c r="G536" s="89">
        <v>83.803375000000003</v>
      </c>
      <c r="H536" s="89">
        <v>171899800</v>
      </c>
      <c r="J536" s="89">
        <v>0</v>
      </c>
      <c r="K536" s="89">
        <f t="shared" si="127"/>
        <v>88</v>
      </c>
      <c r="L536" s="89">
        <f t="shared" si="128"/>
        <v>112.621376</v>
      </c>
      <c r="M536" s="89">
        <f>+SPY__2[[#This Row],[Adj Close]]</f>
        <v>83.803375000000003</v>
      </c>
      <c r="N536" s="89">
        <f t="shared" si="123"/>
        <v>7374.6970000000001</v>
      </c>
      <c r="O536" s="90">
        <f t="shared" si="124"/>
        <v>-2535.9840879999997</v>
      </c>
      <c r="P536" s="93">
        <f t="shared" si="125"/>
        <v>-0.25588393627866879</v>
      </c>
      <c r="Q536" s="96"/>
      <c r="R536" s="96"/>
      <c r="T536" s="90">
        <f t="shared" si="119"/>
        <v>95</v>
      </c>
      <c r="U536" s="89">
        <f t="shared" si="120"/>
        <v>103.31428490526316</v>
      </c>
      <c r="V536" s="89">
        <f t="shared" si="121"/>
        <v>83.803375000000003</v>
      </c>
      <c r="W536" s="90">
        <f t="shared" si="126"/>
        <v>7961.3206250000003</v>
      </c>
      <c r="X536" s="93">
        <f t="shared" si="122"/>
        <v>-0.18885006969901807</v>
      </c>
      <c r="AB536" s="89">
        <f t="shared" si="111"/>
        <v>195</v>
      </c>
      <c r="AC536" s="89">
        <f t="shared" si="112"/>
        <v>51.179276000000002</v>
      </c>
      <c r="AD536" s="89">
        <f t="shared" si="113"/>
        <v>83.803375000000003</v>
      </c>
      <c r="AE536" s="89">
        <f t="shared" si="114"/>
        <v>16341.658125</v>
      </c>
      <c r="AF536" s="90">
        <f t="shared" si="117"/>
        <v>6361.6993050000001</v>
      </c>
      <c r="AG536" s="93">
        <f t="shared" si="118"/>
        <v>0.63744745040941964</v>
      </c>
      <c r="AK536" s="90">
        <f t="shared" si="115"/>
        <v>113</v>
      </c>
      <c r="AL536" s="89">
        <f t="shared" si="116"/>
        <v>64.948096787610623</v>
      </c>
      <c r="AM536" s="89">
        <f t="shared" si="108"/>
        <v>83.803375000000003</v>
      </c>
      <c r="AN536" s="90">
        <f t="shared" si="109"/>
        <v>9469.7813750000005</v>
      </c>
      <c r="AO536" s="93">
        <f t="shared" si="110"/>
        <v>0.29031302139689763</v>
      </c>
    </row>
    <row r="537" spans="2:41" x14ac:dyDescent="0.25">
      <c r="B537" s="91">
        <v>40128</v>
      </c>
      <c r="C537" s="89">
        <v>110.30999799999999</v>
      </c>
      <c r="D537" s="89">
        <v>110.82</v>
      </c>
      <c r="E537" s="89">
        <v>109.620003</v>
      </c>
      <c r="F537" s="89">
        <v>110.150002</v>
      </c>
      <c r="G537" s="89">
        <v>84.231650999999999</v>
      </c>
      <c r="H537" s="89">
        <v>169466200</v>
      </c>
      <c r="J537" s="89">
        <v>0</v>
      </c>
      <c r="K537" s="89">
        <f t="shared" si="127"/>
        <v>88</v>
      </c>
      <c r="L537" s="89">
        <f t="shared" si="128"/>
        <v>112.621376</v>
      </c>
      <c r="M537" s="89">
        <f>+SPY__2[[#This Row],[Adj Close]]</f>
        <v>84.231650999999999</v>
      </c>
      <c r="N537" s="89">
        <f t="shared" si="123"/>
        <v>7412.3852879999995</v>
      </c>
      <c r="O537" s="90">
        <f t="shared" si="124"/>
        <v>-2498.2957999999999</v>
      </c>
      <c r="P537" s="93">
        <f t="shared" si="125"/>
        <v>-0.25208114132791271</v>
      </c>
      <c r="Q537" s="96"/>
      <c r="R537" s="96"/>
      <c r="T537" s="90">
        <f t="shared" si="119"/>
        <v>95</v>
      </c>
      <c r="U537" s="89">
        <f t="shared" si="120"/>
        <v>103.31428490526316</v>
      </c>
      <c r="V537" s="89">
        <f t="shared" si="121"/>
        <v>84.231650999999999</v>
      </c>
      <c r="W537" s="90">
        <f t="shared" si="126"/>
        <v>8002.0068449999999</v>
      </c>
      <c r="X537" s="93">
        <f t="shared" si="122"/>
        <v>-0.1847046990913358</v>
      </c>
      <c r="AB537" s="89">
        <f t="shared" si="111"/>
        <v>195</v>
      </c>
      <c r="AC537" s="89">
        <f t="shared" si="112"/>
        <v>51.179276000000002</v>
      </c>
      <c r="AD537" s="89">
        <f t="shared" si="113"/>
        <v>84.231650999999999</v>
      </c>
      <c r="AE537" s="89">
        <f t="shared" si="114"/>
        <v>16425.171944999998</v>
      </c>
      <c r="AF537" s="90">
        <f t="shared" si="117"/>
        <v>6445.2131249999993</v>
      </c>
      <c r="AG537" s="93">
        <f t="shared" si="118"/>
        <v>0.64581560317500375</v>
      </c>
      <c r="AK537" s="90">
        <f t="shared" si="115"/>
        <v>113</v>
      </c>
      <c r="AL537" s="89">
        <f t="shared" si="116"/>
        <v>64.948096787610623</v>
      </c>
      <c r="AM537" s="89">
        <f t="shared" si="108"/>
        <v>84.231650999999999</v>
      </c>
      <c r="AN537" s="90">
        <f t="shared" si="109"/>
        <v>9518.1765629999991</v>
      </c>
      <c r="AO537" s="93">
        <f t="shared" si="110"/>
        <v>0.29690714841805588</v>
      </c>
    </row>
    <row r="538" spans="2:41" x14ac:dyDescent="0.25">
      <c r="B538" s="91">
        <v>40129</v>
      </c>
      <c r="C538" s="89">
        <v>110</v>
      </c>
      <c r="D538" s="89">
        <v>110.57</v>
      </c>
      <c r="E538" s="89">
        <v>108.75</v>
      </c>
      <c r="F538" s="89">
        <v>109.029999</v>
      </c>
      <c r="G538" s="89">
        <v>83.375159999999994</v>
      </c>
      <c r="H538" s="89">
        <v>157144500</v>
      </c>
      <c r="J538" s="89">
        <v>0</v>
      </c>
      <c r="K538" s="89">
        <f t="shared" si="127"/>
        <v>88</v>
      </c>
      <c r="L538" s="89">
        <f t="shared" si="128"/>
        <v>112.621376</v>
      </c>
      <c r="M538" s="89">
        <f>+SPY__2[[#This Row],[Adj Close]]</f>
        <v>83.375159999999994</v>
      </c>
      <c r="N538" s="89">
        <f t="shared" si="123"/>
        <v>7337.014079999999</v>
      </c>
      <c r="O538" s="90">
        <f t="shared" si="124"/>
        <v>-2573.6670080000004</v>
      </c>
      <c r="P538" s="93">
        <f t="shared" si="125"/>
        <v>-0.25968618959157452</v>
      </c>
      <c r="Q538" s="96"/>
      <c r="R538" s="96"/>
      <c r="T538" s="90">
        <f t="shared" si="119"/>
        <v>95</v>
      </c>
      <c r="U538" s="89">
        <f t="shared" si="120"/>
        <v>103.31428490526316</v>
      </c>
      <c r="V538" s="89">
        <f t="shared" si="121"/>
        <v>83.375159999999994</v>
      </c>
      <c r="W538" s="90">
        <f t="shared" si="126"/>
        <v>7920.6401999999998</v>
      </c>
      <c r="X538" s="93">
        <f t="shared" si="122"/>
        <v>-0.19299484987527993</v>
      </c>
      <c r="AB538" s="89">
        <f t="shared" si="111"/>
        <v>195</v>
      </c>
      <c r="AC538" s="89">
        <f t="shared" si="112"/>
        <v>51.179276000000002</v>
      </c>
      <c r="AD538" s="89">
        <f t="shared" si="113"/>
        <v>83.375159999999994</v>
      </c>
      <c r="AE538" s="89">
        <f t="shared" si="114"/>
        <v>16258.156199999999</v>
      </c>
      <c r="AF538" s="90">
        <f t="shared" si="117"/>
        <v>6278.1973799999987</v>
      </c>
      <c r="AG538" s="93">
        <f t="shared" si="118"/>
        <v>0.62908048953252083</v>
      </c>
      <c r="AK538" s="90">
        <f t="shared" si="115"/>
        <v>113</v>
      </c>
      <c r="AL538" s="89">
        <f t="shared" si="116"/>
        <v>64.948096787610623</v>
      </c>
      <c r="AM538" s="89">
        <f t="shared" si="108"/>
        <v>83.375159999999994</v>
      </c>
      <c r="AN538" s="90">
        <f t="shared" si="109"/>
        <v>9421.3930799999998</v>
      </c>
      <c r="AO538" s="93">
        <f t="shared" si="110"/>
        <v>0.28371983358724817</v>
      </c>
    </row>
    <row r="539" spans="2:41" x14ac:dyDescent="0.25">
      <c r="B539" s="91">
        <v>40130</v>
      </c>
      <c r="C539" s="89">
        <v>109.30999799999999</v>
      </c>
      <c r="D539" s="89">
        <v>110.089996</v>
      </c>
      <c r="E539" s="89">
        <v>108.75</v>
      </c>
      <c r="F539" s="89">
        <v>109.620003</v>
      </c>
      <c r="G539" s="89">
        <v>83.826331999999994</v>
      </c>
      <c r="H539" s="89">
        <v>150963000</v>
      </c>
      <c r="J539" s="89">
        <v>0</v>
      </c>
      <c r="K539" s="89">
        <f t="shared" si="127"/>
        <v>88</v>
      </c>
      <c r="L539" s="89">
        <f t="shared" si="128"/>
        <v>112.621376</v>
      </c>
      <c r="M539" s="89">
        <f>+SPY__2[[#This Row],[Adj Close]]</f>
        <v>83.826331999999994</v>
      </c>
      <c r="N539" s="89">
        <f t="shared" si="123"/>
        <v>7376.7172159999991</v>
      </c>
      <c r="O539" s="90">
        <f t="shared" si="124"/>
        <v>-2533.9638720000003</v>
      </c>
      <c r="P539" s="93">
        <f t="shared" si="125"/>
        <v>-0.25568009398144809</v>
      </c>
      <c r="Q539" s="96"/>
      <c r="R539" s="96"/>
      <c r="T539" s="90">
        <f t="shared" si="119"/>
        <v>95</v>
      </c>
      <c r="U539" s="89">
        <f t="shared" si="120"/>
        <v>103.31428490526316</v>
      </c>
      <c r="V539" s="89">
        <f t="shared" si="121"/>
        <v>83.826331999999994</v>
      </c>
      <c r="W539" s="90">
        <f t="shared" si="126"/>
        <v>7963.5015399999993</v>
      </c>
      <c r="X539" s="93">
        <f t="shared" si="122"/>
        <v>-0.18862786422161448</v>
      </c>
      <c r="AB539" s="89">
        <f t="shared" si="111"/>
        <v>195</v>
      </c>
      <c r="AC539" s="89">
        <f t="shared" si="112"/>
        <v>51.179276000000002</v>
      </c>
      <c r="AD539" s="89">
        <f t="shared" si="113"/>
        <v>83.826331999999994</v>
      </c>
      <c r="AE539" s="89">
        <f t="shared" si="114"/>
        <v>16346.13474</v>
      </c>
      <c r="AF539" s="90">
        <f t="shared" si="117"/>
        <v>6366.1759199999988</v>
      </c>
      <c r="AG539" s="93">
        <f t="shared" si="118"/>
        <v>0.63789601087752779</v>
      </c>
      <c r="AK539" s="90">
        <f t="shared" si="115"/>
        <v>113</v>
      </c>
      <c r="AL539" s="89">
        <f t="shared" si="116"/>
        <v>64.948096787610623</v>
      </c>
      <c r="AM539" s="89">
        <f t="shared" si="108"/>
        <v>83.826331999999994</v>
      </c>
      <c r="AN539" s="90">
        <f t="shared" si="109"/>
        <v>9472.3755160000001</v>
      </c>
      <c r="AO539" s="93">
        <f t="shared" si="110"/>
        <v>0.29066648825944585</v>
      </c>
    </row>
    <row r="540" spans="2:41" x14ac:dyDescent="0.25">
      <c r="B540" s="91">
        <v>40133</v>
      </c>
      <c r="C540" s="89">
        <v>110.379997</v>
      </c>
      <c r="D540" s="89">
        <v>111.69000200000001</v>
      </c>
      <c r="E540" s="89">
        <v>110.32</v>
      </c>
      <c r="F540" s="89">
        <v>111.209999</v>
      </c>
      <c r="G540" s="89">
        <v>85.042205999999993</v>
      </c>
      <c r="H540" s="89">
        <v>210922200</v>
      </c>
      <c r="J540" s="89">
        <v>0</v>
      </c>
      <c r="K540" s="89">
        <f t="shared" si="127"/>
        <v>88</v>
      </c>
      <c r="L540" s="89">
        <f t="shared" si="128"/>
        <v>112.621376</v>
      </c>
      <c r="M540" s="89">
        <f>+SPY__2[[#This Row],[Adj Close]]</f>
        <v>85.042205999999993</v>
      </c>
      <c r="N540" s="89">
        <f t="shared" si="123"/>
        <v>7483.7141279999996</v>
      </c>
      <c r="O540" s="90">
        <f t="shared" si="124"/>
        <v>-2426.9669600000007</v>
      </c>
      <c r="P540" s="93">
        <f t="shared" si="125"/>
        <v>-0.24488397300349096</v>
      </c>
      <c r="Q540" s="96"/>
      <c r="R540" s="96"/>
      <c r="T540" s="90">
        <f t="shared" si="119"/>
        <v>95</v>
      </c>
      <c r="U540" s="89">
        <f t="shared" si="120"/>
        <v>103.31428490526316</v>
      </c>
      <c r="V540" s="89">
        <f t="shared" si="121"/>
        <v>85.042205999999993</v>
      </c>
      <c r="W540" s="90">
        <f t="shared" si="126"/>
        <v>8079.0095699999993</v>
      </c>
      <c r="X540" s="93">
        <f t="shared" si="122"/>
        <v>-0.17685917220467862</v>
      </c>
      <c r="AB540" s="89">
        <f t="shared" si="111"/>
        <v>195</v>
      </c>
      <c r="AC540" s="89">
        <f t="shared" si="112"/>
        <v>51.179276000000002</v>
      </c>
      <c r="AD540" s="89">
        <f t="shared" si="113"/>
        <v>85.042205999999993</v>
      </c>
      <c r="AE540" s="89">
        <f t="shared" si="114"/>
        <v>16583.230169999999</v>
      </c>
      <c r="AF540" s="90">
        <f t="shared" si="117"/>
        <v>6603.2713499999982</v>
      </c>
      <c r="AG540" s="93">
        <f t="shared" si="118"/>
        <v>0.66165316601977708</v>
      </c>
      <c r="AK540" s="90">
        <f t="shared" si="115"/>
        <v>113</v>
      </c>
      <c r="AL540" s="89">
        <f t="shared" si="116"/>
        <v>64.948096787610623</v>
      </c>
      <c r="AM540" s="89">
        <f t="shared" si="108"/>
        <v>85.042205999999993</v>
      </c>
      <c r="AN540" s="90">
        <f t="shared" si="109"/>
        <v>9609.7692779999998</v>
      </c>
      <c r="AO540" s="93">
        <f t="shared" si="110"/>
        <v>0.30938719079174759</v>
      </c>
    </row>
    <row r="541" spans="2:41" x14ac:dyDescent="0.25">
      <c r="B541" s="91">
        <v>40134</v>
      </c>
      <c r="C541" s="89">
        <v>110.91999800000001</v>
      </c>
      <c r="D541" s="89">
        <v>111.389999</v>
      </c>
      <c r="E541" s="89">
        <v>110.5</v>
      </c>
      <c r="F541" s="89">
        <v>111.339996</v>
      </c>
      <c r="G541" s="89">
        <v>85.141623999999993</v>
      </c>
      <c r="H541" s="89">
        <v>147134100</v>
      </c>
      <c r="J541" s="89">
        <v>0</v>
      </c>
      <c r="K541" s="89">
        <f t="shared" si="127"/>
        <v>88</v>
      </c>
      <c r="L541" s="89">
        <f t="shared" si="128"/>
        <v>112.621376</v>
      </c>
      <c r="M541" s="89">
        <f>+SPY__2[[#This Row],[Adj Close]]</f>
        <v>85.141623999999993</v>
      </c>
      <c r="N541" s="89">
        <f t="shared" si="123"/>
        <v>7492.4629119999991</v>
      </c>
      <c r="O541" s="90">
        <f t="shared" si="124"/>
        <v>-2418.2181760000003</v>
      </c>
      <c r="P541" s="93">
        <f t="shared" si="125"/>
        <v>-0.24400120985913021</v>
      </c>
      <c r="Q541" s="96"/>
      <c r="R541" s="96"/>
      <c r="T541" s="90">
        <f t="shared" si="119"/>
        <v>95</v>
      </c>
      <c r="U541" s="89">
        <f t="shared" si="120"/>
        <v>103.31428490526316</v>
      </c>
      <c r="V541" s="89">
        <f t="shared" si="121"/>
        <v>85.141623999999993</v>
      </c>
      <c r="W541" s="90">
        <f t="shared" si="126"/>
        <v>8088.454279999999</v>
      </c>
      <c r="X541" s="93">
        <f t="shared" si="122"/>
        <v>-0.17589688513962121</v>
      </c>
      <c r="AB541" s="89">
        <f t="shared" si="111"/>
        <v>195</v>
      </c>
      <c r="AC541" s="89">
        <f t="shared" si="112"/>
        <v>51.179276000000002</v>
      </c>
      <c r="AD541" s="89">
        <f t="shared" si="113"/>
        <v>85.141623999999993</v>
      </c>
      <c r="AE541" s="89">
        <f t="shared" si="114"/>
        <v>16602.616679999999</v>
      </c>
      <c r="AF541" s="90">
        <f t="shared" si="117"/>
        <v>6622.6578599999984</v>
      </c>
      <c r="AG541" s="93">
        <f t="shared" si="118"/>
        <v>0.66359571010734864</v>
      </c>
      <c r="AK541" s="90">
        <f t="shared" si="115"/>
        <v>113</v>
      </c>
      <c r="AL541" s="89">
        <f t="shared" si="116"/>
        <v>64.948096787610623</v>
      </c>
      <c r="AM541" s="89">
        <f t="shared" si="108"/>
        <v>85.141623999999993</v>
      </c>
      <c r="AN541" s="90">
        <f t="shared" si="109"/>
        <v>9621.0035119999993</v>
      </c>
      <c r="AO541" s="93">
        <f t="shared" si="110"/>
        <v>0.31091792078873426</v>
      </c>
    </row>
    <row r="542" spans="2:41" x14ac:dyDescent="0.25">
      <c r="B542" s="91">
        <v>40135</v>
      </c>
      <c r="C542" s="89">
        <v>111.260002</v>
      </c>
      <c r="D542" s="89">
        <v>111.43</v>
      </c>
      <c r="E542" s="89">
        <v>110.57</v>
      </c>
      <c r="F542" s="89">
        <v>111.269997</v>
      </c>
      <c r="G542" s="89">
        <v>85.088081000000003</v>
      </c>
      <c r="H542" s="89">
        <v>156486800</v>
      </c>
      <c r="J542" s="89">
        <v>0</v>
      </c>
      <c r="K542" s="89">
        <f t="shared" si="127"/>
        <v>88</v>
      </c>
      <c r="L542" s="89">
        <f t="shared" si="128"/>
        <v>112.621376</v>
      </c>
      <c r="M542" s="89">
        <f>+SPY__2[[#This Row],[Adj Close]]</f>
        <v>85.088081000000003</v>
      </c>
      <c r="N542" s="89">
        <f t="shared" si="123"/>
        <v>7487.7511279999999</v>
      </c>
      <c r="O542" s="90">
        <f t="shared" si="124"/>
        <v>-2422.9299599999995</v>
      </c>
      <c r="P542" s="93">
        <f t="shared" si="125"/>
        <v>-0.24447663470210124</v>
      </c>
      <c r="Q542" s="96"/>
      <c r="R542" s="96"/>
      <c r="T542" s="90">
        <f t="shared" si="119"/>
        <v>95</v>
      </c>
      <c r="U542" s="89">
        <f t="shared" si="120"/>
        <v>103.31428490526316</v>
      </c>
      <c r="V542" s="89">
        <f t="shared" si="121"/>
        <v>85.088081000000003</v>
      </c>
      <c r="W542" s="90">
        <f t="shared" si="126"/>
        <v>8083.3676949999999</v>
      </c>
      <c r="X542" s="93">
        <f t="shared" si="122"/>
        <v>-0.17641513873881209</v>
      </c>
      <c r="AB542" s="89">
        <f t="shared" si="111"/>
        <v>195</v>
      </c>
      <c r="AC542" s="89">
        <f t="shared" si="112"/>
        <v>51.179276000000002</v>
      </c>
      <c r="AD542" s="89">
        <f t="shared" si="113"/>
        <v>85.088081000000003</v>
      </c>
      <c r="AE542" s="89">
        <f t="shared" si="114"/>
        <v>16592.175794999999</v>
      </c>
      <c r="AF542" s="90">
        <f t="shared" si="117"/>
        <v>6612.2169750000003</v>
      </c>
      <c r="AG542" s="93">
        <f t="shared" si="118"/>
        <v>0.66254952492880115</v>
      </c>
      <c r="AK542" s="90">
        <f t="shared" si="115"/>
        <v>113</v>
      </c>
      <c r="AL542" s="89">
        <f t="shared" si="116"/>
        <v>64.948096787610623</v>
      </c>
      <c r="AM542" s="89">
        <f t="shared" si="108"/>
        <v>85.088081000000003</v>
      </c>
      <c r="AN542" s="90">
        <f t="shared" si="109"/>
        <v>9614.9531530000004</v>
      </c>
      <c r="AO542" s="93">
        <f t="shared" si="110"/>
        <v>0.3100935240373548</v>
      </c>
    </row>
    <row r="543" spans="2:41" x14ac:dyDescent="0.25">
      <c r="B543" s="91">
        <v>40136</v>
      </c>
      <c r="C543" s="89">
        <v>110.510002</v>
      </c>
      <c r="D543" s="89">
        <v>111.30999799999999</v>
      </c>
      <c r="E543" s="89">
        <v>109.129997</v>
      </c>
      <c r="F543" s="89">
        <v>109.82</v>
      </c>
      <c r="G543" s="89">
        <v>83.979263000000003</v>
      </c>
      <c r="H543" s="89">
        <v>208734600</v>
      </c>
      <c r="J543" s="89">
        <v>0</v>
      </c>
      <c r="K543" s="89">
        <f t="shared" si="127"/>
        <v>88</v>
      </c>
      <c r="L543" s="89">
        <f t="shared" si="128"/>
        <v>112.621376</v>
      </c>
      <c r="M543" s="89">
        <f>+SPY__2[[#This Row],[Adj Close]]</f>
        <v>83.979263000000003</v>
      </c>
      <c r="N543" s="89">
        <f t="shared" si="123"/>
        <v>7390.1751440000007</v>
      </c>
      <c r="O543" s="90">
        <f t="shared" si="124"/>
        <v>-2520.5059439999995</v>
      </c>
      <c r="P543" s="93">
        <f t="shared" si="125"/>
        <v>-0.25432217237338672</v>
      </c>
      <c r="Q543" s="96"/>
      <c r="R543" s="96"/>
      <c r="T543" s="90">
        <f t="shared" si="119"/>
        <v>95</v>
      </c>
      <c r="U543" s="89">
        <f t="shared" si="120"/>
        <v>103.31428490526316</v>
      </c>
      <c r="V543" s="89">
        <f t="shared" si="121"/>
        <v>83.979263000000003</v>
      </c>
      <c r="W543" s="90">
        <f t="shared" si="126"/>
        <v>7978.0299850000001</v>
      </c>
      <c r="X543" s="93">
        <f t="shared" si="122"/>
        <v>-0.18714761393347434</v>
      </c>
      <c r="AB543" s="89">
        <f t="shared" si="111"/>
        <v>195</v>
      </c>
      <c r="AC543" s="89">
        <f t="shared" si="112"/>
        <v>51.179276000000002</v>
      </c>
      <c r="AD543" s="89">
        <f t="shared" si="113"/>
        <v>83.979263000000003</v>
      </c>
      <c r="AE543" s="89">
        <f t="shared" si="114"/>
        <v>16375.956285</v>
      </c>
      <c r="AF543" s="90">
        <f t="shared" si="117"/>
        <v>6395.9974650000004</v>
      </c>
      <c r="AG543" s="93">
        <f t="shared" si="118"/>
        <v>0.64088415396888387</v>
      </c>
      <c r="AK543" s="90">
        <f t="shared" si="115"/>
        <v>113</v>
      </c>
      <c r="AL543" s="89">
        <f t="shared" si="116"/>
        <v>64.948096787610623</v>
      </c>
      <c r="AM543" s="89">
        <f t="shared" si="108"/>
        <v>83.979263000000003</v>
      </c>
      <c r="AN543" s="90">
        <f t="shared" si="109"/>
        <v>9489.6567190000005</v>
      </c>
      <c r="AO543" s="93">
        <f t="shared" si="110"/>
        <v>0.29302115310051291</v>
      </c>
    </row>
    <row r="544" spans="2:41" x14ac:dyDescent="0.25">
      <c r="B544" s="91">
        <v>40137</v>
      </c>
      <c r="C544" s="89">
        <v>109.25</v>
      </c>
      <c r="D544" s="89">
        <v>109.760002</v>
      </c>
      <c r="E544" s="89">
        <v>109.010002</v>
      </c>
      <c r="F544" s="89">
        <v>109.43</v>
      </c>
      <c r="G544" s="89">
        <v>83.681038000000001</v>
      </c>
      <c r="H544" s="89">
        <v>134196000</v>
      </c>
      <c r="J544" s="89">
        <v>0</v>
      </c>
      <c r="K544" s="89">
        <f t="shared" si="127"/>
        <v>88</v>
      </c>
      <c r="L544" s="89">
        <f t="shared" si="128"/>
        <v>112.621376</v>
      </c>
      <c r="M544" s="89">
        <f>+SPY__2[[#This Row],[Adj Close]]</f>
        <v>83.681038000000001</v>
      </c>
      <c r="N544" s="89">
        <f t="shared" si="123"/>
        <v>7363.9313440000005</v>
      </c>
      <c r="O544" s="90">
        <f t="shared" si="124"/>
        <v>-2546.7497439999997</v>
      </c>
      <c r="P544" s="93">
        <f t="shared" si="125"/>
        <v>-0.25697020430650752</v>
      </c>
      <c r="Q544" s="96"/>
      <c r="R544" s="96"/>
      <c r="T544" s="90">
        <f t="shared" si="119"/>
        <v>95</v>
      </c>
      <c r="U544" s="89">
        <f t="shared" si="120"/>
        <v>103.31428490526316</v>
      </c>
      <c r="V544" s="89">
        <f t="shared" si="121"/>
        <v>83.681038000000001</v>
      </c>
      <c r="W544" s="90">
        <f t="shared" si="126"/>
        <v>7949.6986100000004</v>
      </c>
      <c r="X544" s="93">
        <f t="shared" si="122"/>
        <v>-0.19003419443174197</v>
      </c>
      <c r="AB544" s="89">
        <f t="shared" si="111"/>
        <v>195</v>
      </c>
      <c r="AC544" s="89">
        <f t="shared" si="112"/>
        <v>51.179276000000002</v>
      </c>
      <c r="AD544" s="89">
        <f t="shared" si="113"/>
        <v>83.681038000000001</v>
      </c>
      <c r="AE544" s="89">
        <f t="shared" si="114"/>
        <v>16317.80241</v>
      </c>
      <c r="AF544" s="90">
        <f t="shared" si="117"/>
        <v>6337.8435899999995</v>
      </c>
      <c r="AG544" s="93">
        <f t="shared" si="118"/>
        <v>0.63505708834177321</v>
      </c>
      <c r="AK544" s="90">
        <f t="shared" si="115"/>
        <v>113</v>
      </c>
      <c r="AL544" s="89">
        <f t="shared" si="116"/>
        <v>64.948096787610623</v>
      </c>
      <c r="AM544" s="89">
        <f t="shared" si="108"/>
        <v>83.681038000000001</v>
      </c>
      <c r="AN544" s="90">
        <f t="shared" si="109"/>
        <v>9455.9572939999998</v>
      </c>
      <c r="AO544" s="93">
        <f t="shared" si="110"/>
        <v>0.28842940961994179</v>
      </c>
    </row>
    <row r="545" spans="2:41" x14ac:dyDescent="0.25">
      <c r="B545" s="91">
        <v>40140</v>
      </c>
      <c r="C545" s="89">
        <v>110.720001</v>
      </c>
      <c r="D545" s="89">
        <v>111.739998</v>
      </c>
      <c r="E545" s="89">
        <v>110.599998</v>
      </c>
      <c r="F545" s="89">
        <v>110.82</v>
      </c>
      <c r="G545" s="89">
        <v>84.744018999999994</v>
      </c>
      <c r="H545" s="89">
        <v>148010200</v>
      </c>
      <c r="J545" s="89">
        <v>0</v>
      </c>
      <c r="K545" s="89">
        <f t="shared" si="127"/>
        <v>88</v>
      </c>
      <c r="L545" s="89">
        <f t="shared" si="128"/>
        <v>112.621376</v>
      </c>
      <c r="M545" s="89">
        <f>+SPY__2[[#This Row],[Adj Close]]</f>
        <v>84.744018999999994</v>
      </c>
      <c r="N545" s="89">
        <f t="shared" si="123"/>
        <v>7457.4736719999992</v>
      </c>
      <c r="O545" s="90">
        <f t="shared" si="124"/>
        <v>-2453.2074160000002</v>
      </c>
      <c r="P545" s="93">
        <f t="shared" si="125"/>
        <v>-0.24753166752286893</v>
      </c>
      <c r="Q545" s="96"/>
      <c r="R545" s="96"/>
      <c r="T545" s="90">
        <f t="shared" si="119"/>
        <v>95</v>
      </c>
      <c r="U545" s="89">
        <f t="shared" si="120"/>
        <v>103.31428490526316</v>
      </c>
      <c r="V545" s="89">
        <f t="shared" si="121"/>
        <v>84.744018999999994</v>
      </c>
      <c r="W545" s="90">
        <f t="shared" si="126"/>
        <v>8050.6818049999993</v>
      </c>
      <c r="X545" s="93">
        <f t="shared" si="122"/>
        <v>-0.1797453848932089</v>
      </c>
      <c r="AB545" s="89">
        <f t="shared" si="111"/>
        <v>195</v>
      </c>
      <c r="AC545" s="89">
        <f t="shared" si="112"/>
        <v>51.179276000000002</v>
      </c>
      <c r="AD545" s="89">
        <f t="shared" si="113"/>
        <v>84.744018999999994</v>
      </c>
      <c r="AE545" s="89">
        <f t="shared" si="114"/>
        <v>16525.083704999997</v>
      </c>
      <c r="AF545" s="90">
        <f t="shared" si="117"/>
        <v>6545.1248849999984</v>
      </c>
      <c r="AG545" s="93">
        <f t="shared" si="118"/>
        <v>0.65582684288070014</v>
      </c>
      <c r="AK545" s="90">
        <f t="shared" si="115"/>
        <v>113</v>
      </c>
      <c r="AL545" s="89">
        <f t="shared" si="116"/>
        <v>64.948096787610623</v>
      </c>
      <c r="AM545" s="89">
        <f t="shared" si="108"/>
        <v>84.744018999999994</v>
      </c>
      <c r="AN545" s="90">
        <f t="shared" si="109"/>
        <v>9576.0741469999994</v>
      </c>
      <c r="AO545" s="93">
        <f t="shared" si="110"/>
        <v>0.30479603239375597</v>
      </c>
    </row>
    <row r="546" spans="2:41" x14ac:dyDescent="0.25">
      <c r="B546" s="91">
        <v>40141</v>
      </c>
      <c r="C546" s="89">
        <v>111</v>
      </c>
      <c r="D546" s="89">
        <v>111.199997</v>
      </c>
      <c r="E546" s="89">
        <v>110.010002</v>
      </c>
      <c r="F546" s="89">
        <v>110.989998</v>
      </c>
      <c r="G546" s="89">
        <v>84.87397</v>
      </c>
      <c r="H546" s="89">
        <v>138420100</v>
      </c>
      <c r="J546" s="89">
        <v>0</v>
      </c>
      <c r="K546" s="89">
        <f t="shared" si="127"/>
        <v>88</v>
      </c>
      <c r="L546" s="89">
        <f t="shared" si="128"/>
        <v>112.621376</v>
      </c>
      <c r="M546" s="89">
        <f>+SPY__2[[#This Row],[Adj Close]]</f>
        <v>84.87397</v>
      </c>
      <c r="N546" s="89">
        <f t="shared" si="123"/>
        <v>7468.9093599999997</v>
      </c>
      <c r="O546" s="90">
        <f t="shared" si="124"/>
        <v>-2441.7717279999997</v>
      </c>
      <c r="P546" s="93">
        <f t="shared" si="125"/>
        <v>-0.24637779243613578</v>
      </c>
      <c r="Q546" s="96"/>
      <c r="R546" s="96"/>
      <c r="T546" s="90">
        <f t="shared" si="119"/>
        <v>95</v>
      </c>
      <c r="U546" s="89">
        <f t="shared" si="120"/>
        <v>103.31428490526316</v>
      </c>
      <c r="V546" s="89">
        <f t="shared" si="121"/>
        <v>84.87397</v>
      </c>
      <c r="W546" s="90">
        <f t="shared" si="126"/>
        <v>8063.0271499999999</v>
      </c>
      <c r="X546" s="93">
        <f t="shared" si="122"/>
        <v>-0.17848756270415567</v>
      </c>
      <c r="AB546" s="89">
        <f t="shared" si="111"/>
        <v>195</v>
      </c>
      <c r="AC546" s="89">
        <f t="shared" si="112"/>
        <v>51.179276000000002</v>
      </c>
      <c r="AD546" s="89">
        <f t="shared" si="113"/>
        <v>84.87397</v>
      </c>
      <c r="AE546" s="89">
        <f t="shared" si="114"/>
        <v>16550.424149999999</v>
      </c>
      <c r="AF546" s="90">
        <f t="shared" si="117"/>
        <v>6570.46533</v>
      </c>
      <c r="AG546" s="93">
        <f t="shared" si="118"/>
        <v>0.65836597610329606</v>
      </c>
      <c r="AK546" s="90">
        <f t="shared" si="115"/>
        <v>113</v>
      </c>
      <c r="AL546" s="89">
        <f t="shared" si="116"/>
        <v>64.948096787610623</v>
      </c>
      <c r="AM546" s="89">
        <f t="shared" si="108"/>
        <v>84.87397</v>
      </c>
      <c r="AN546" s="90">
        <f t="shared" si="109"/>
        <v>9590.7586100000008</v>
      </c>
      <c r="AO546" s="93">
        <f t="shared" si="110"/>
        <v>0.30679687624334506</v>
      </c>
    </row>
    <row r="547" spans="2:41" x14ac:dyDescent="0.25">
      <c r="B547" s="91">
        <v>40142</v>
      </c>
      <c r="C547" s="89">
        <v>111.16999800000001</v>
      </c>
      <c r="D547" s="89">
        <v>111.5</v>
      </c>
      <c r="E547" s="89">
        <v>110.82</v>
      </c>
      <c r="F547" s="89">
        <v>111.379997</v>
      </c>
      <c r="G547" s="89">
        <v>85.172188000000006</v>
      </c>
      <c r="H547" s="89">
        <v>109564800</v>
      </c>
      <c r="J547" s="89">
        <v>0</v>
      </c>
      <c r="K547" s="89">
        <f t="shared" si="127"/>
        <v>88</v>
      </c>
      <c r="L547" s="89">
        <f t="shared" si="128"/>
        <v>112.621376</v>
      </c>
      <c r="M547" s="89">
        <f>+SPY__2[[#This Row],[Adj Close]]</f>
        <v>85.172188000000006</v>
      </c>
      <c r="N547" s="89">
        <f t="shared" si="123"/>
        <v>7495.1525440000005</v>
      </c>
      <c r="O547" s="90">
        <f t="shared" si="124"/>
        <v>-2415.5285439999993</v>
      </c>
      <c r="P547" s="93">
        <f t="shared" si="125"/>
        <v>-0.24372982265817811</v>
      </c>
      <c r="Q547" s="96"/>
      <c r="R547" s="96"/>
      <c r="T547" s="90">
        <f t="shared" si="119"/>
        <v>95</v>
      </c>
      <c r="U547" s="89">
        <f t="shared" si="120"/>
        <v>103.31428490526316</v>
      </c>
      <c r="V547" s="89">
        <f t="shared" si="121"/>
        <v>85.172188000000006</v>
      </c>
      <c r="W547" s="90">
        <f t="shared" si="126"/>
        <v>8091.3578600000001</v>
      </c>
      <c r="X547" s="93">
        <f t="shared" si="122"/>
        <v>-0.17560104996031334</v>
      </c>
      <c r="AB547" s="89">
        <f t="shared" si="111"/>
        <v>195</v>
      </c>
      <c r="AC547" s="89">
        <f t="shared" si="112"/>
        <v>51.179276000000002</v>
      </c>
      <c r="AD547" s="89">
        <f t="shared" si="113"/>
        <v>85.172188000000006</v>
      </c>
      <c r="AE547" s="89">
        <f t="shared" si="114"/>
        <v>16608.576660000002</v>
      </c>
      <c r="AF547" s="90">
        <f t="shared" si="117"/>
        <v>6628.6178400000008</v>
      </c>
      <c r="AG547" s="93">
        <f t="shared" si="118"/>
        <v>0.66419290495629535</v>
      </c>
      <c r="AK547" s="90">
        <f t="shared" si="115"/>
        <v>113</v>
      </c>
      <c r="AL547" s="89">
        <f t="shared" si="116"/>
        <v>64.948096787610623</v>
      </c>
      <c r="AM547" s="89">
        <f t="shared" si="108"/>
        <v>85.172188000000006</v>
      </c>
      <c r="AN547" s="90">
        <f t="shared" si="109"/>
        <v>9624.4572440000011</v>
      </c>
      <c r="AO547" s="93">
        <f t="shared" si="110"/>
        <v>0.31138851194554618</v>
      </c>
    </row>
    <row r="548" spans="2:41" x14ac:dyDescent="0.25">
      <c r="B548" s="91">
        <v>40144</v>
      </c>
      <c r="C548" s="89">
        <v>108.400002</v>
      </c>
      <c r="D548" s="89">
        <v>110.32</v>
      </c>
      <c r="E548" s="89">
        <v>108.290001</v>
      </c>
      <c r="F548" s="89">
        <v>109.57</v>
      </c>
      <c r="G548" s="89">
        <v>83.788100999999997</v>
      </c>
      <c r="H548" s="89">
        <v>126001800</v>
      </c>
      <c r="J548" s="89">
        <v>0</v>
      </c>
      <c r="K548" s="89">
        <f t="shared" si="127"/>
        <v>88</v>
      </c>
      <c r="L548" s="89">
        <f t="shared" si="128"/>
        <v>112.621376</v>
      </c>
      <c r="M548" s="89">
        <f>+SPY__2[[#This Row],[Adj Close]]</f>
        <v>83.788100999999997</v>
      </c>
      <c r="N548" s="89">
        <f t="shared" si="123"/>
        <v>7373.3528879999994</v>
      </c>
      <c r="O548" s="90">
        <f t="shared" si="124"/>
        <v>-2537.3281999999999</v>
      </c>
      <c r="P548" s="93">
        <f t="shared" si="125"/>
        <v>-0.25601955884467265</v>
      </c>
      <c r="Q548" s="96"/>
      <c r="R548" s="96"/>
      <c r="T548" s="90">
        <f t="shared" si="119"/>
        <v>95</v>
      </c>
      <c r="U548" s="89">
        <f t="shared" si="120"/>
        <v>103.31428490526316</v>
      </c>
      <c r="V548" s="89">
        <f t="shared" si="121"/>
        <v>83.788100999999997</v>
      </c>
      <c r="W548" s="90">
        <f t="shared" si="126"/>
        <v>7959.8695950000001</v>
      </c>
      <c r="X548" s="93">
        <f t="shared" si="122"/>
        <v>-0.18899790985504306</v>
      </c>
      <c r="AB548" s="89">
        <f t="shared" si="111"/>
        <v>195</v>
      </c>
      <c r="AC548" s="89">
        <f t="shared" si="112"/>
        <v>51.179276000000002</v>
      </c>
      <c r="AD548" s="89">
        <f t="shared" si="113"/>
        <v>83.788100999999997</v>
      </c>
      <c r="AE548" s="89">
        <f t="shared" si="114"/>
        <v>16338.679694999999</v>
      </c>
      <c r="AF548" s="90">
        <f t="shared" si="117"/>
        <v>6358.7208749999991</v>
      </c>
      <c r="AG548" s="93">
        <f t="shared" si="118"/>
        <v>0.63714900929821661</v>
      </c>
      <c r="AK548" s="90">
        <f t="shared" si="115"/>
        <v>113</v>
      </c>
      <c r="AL548" s="89">
        <f t="shared" si="116"/>
        <v>64.948096787610623</v>
      </c>
      <c r="AM548" s="89">
        <f t="shared" si="108"/>
        <v>83.788100999999997</v>
      </c>
      <c r="AN548" s="90">
        <f t="shared" si="109"/>
        <v>9468.055413</v>
      </c>
      <c r="AO548" s="93">
        <f t="shared" si="110"/>
        <v>0.29007784899377165</v>
      </c>
    </row>
    <row r="549" spans="2:41" x14ac:dyDescent="0.25">
      <c r="B549" s="91">
        <v>40147</v>
      </c>
      <c r="C549" s="89">
        <v>109.480003</v>
      </c>
      <c r="D549" s="89">
        <v>110.199997</v>
      </c>
      <c r="E549" s="89">
        <v>108.120003</v>
      </c>
      <c r="F549" s="89">
        <v>109.94000200000001</v>
      </c>
      <c r="G549" s="89">
        <v>84.071044999999998</v>
      </c>
      <c r="H549" s="89">
        <v>160874800</v>
      </c>
      <c r="J549" s="89">
        <v>0</v>
      </c>
      <c r="K549" s="89">
        <f t="shared" si="127"/>
        <v>88</v>
      </c>
      <c r="L549" s="89">
        <f t="shared" si="128"/>
        <v>112.621376</v>
      </c>
      <c r="M549" s="89">
        <f>+SPY__2[[#This Row],[Adj Close]]</f>
        <v>84.071044999999998</v>
      </c>
      <c r="N549" s="89">
        <f t="shared" si="123"/>
        <v>7398.2519599999996</v>
      </c>
      <c r="O549" s="90">
        <f t="shared" si="124"/>
        <v>-2512.4291279999998</v>
      </c>
      <c r="P549" s="93">
        <f t="shared" si="125"/>
        <v>-0.25350721163271883</v>
      </c>
      <c r="Q549" s="96"/>
      <c r="R549" s="96"/>
      <c r="T549" s="90">
        <f t="shared" si="119"/>
        <v>95</v>
      </c>
      <c r="U549" s="89">
        <f t="shared" si="120"/>
        <v>103.31428490526316</v>
      </c>
      <c r="V549" s="89">
        <f t="shared" si="121"/>
        <v>84.071044999999998</v>
      </c>
      <c r="W549" s="90">
        <f t="shared" si="126"/>
        <v>7986.7492750000001</v>
      </c>
      <c r="X549" s="93">
        <f t="shared" si="122"/>
        <v>-0.18625923726722571</v>
      </c>
      <c r="AB549" s="89">
        <f t="shared" si="111"/>
        <v>195</v>
      </c>
      <c r="AC549" s="89">
        <f t="shared" si="112"/>
        <v>51.179276000000002</v>
      </c>
      <c r="AD549" s="89">
        <f t="shared" si="113"/>
        <v>84.071044999999998</v>
      </c>
      <c r="AE549" s="89">
        <f t="shared" si="114"/>
        <v>16393.853775</v>
      </c>
      <c r="AF549" s="90">
        <f t="shared" si="117"/>
        <v>6413.8949549999998</v>
      </c>
      <c r="AG549" s="93">
        <f t="shared" si="118"/>
        <v>0.64267749704001265</v>
      </c>
      <c r="AK549" s="90">
        <f t="shared" si="115"/>
        <v>113</v>
      </c>
      <c r="AL549" s="89">
        <f t="shared" si="116"/>
        <v>64.948096787610623</v>
      </c>
      <c r="AM549" s="89">
        <f t="shared" si="108"/>
        <v>84.071044999999998</v>
      </c>
      <c r="AN549" s="90">
        <f t="shared" si="109"/>
        <v>9500.0280849999999</v>
      </c>
      <c r="AO549" s="93">
        <f t="shared" si="110"/>
        <v>0.29443431229284656</v>
      </c>
    </row>
    <row r="550" spans="2:41" x14ac:dyDescent="0.25">
      <c r="B550" s="91">
        <v>40148</v>
      </c>
      <c r="C550" s="89">
        <v>110.91999800000001</v>
      </c>
      <c r="D550" s="89">
        <v>111.660004</v>
      </c>
      <c r="E550" s="89">
        <v>110.730003</v>
      </c>
      <c r="F550" s="89">
        <v>111.300003</v>
      </c>
      <c r="G550" s="89">
        <v>85.111037999999994</v>
      </c>
      <c r="H550" s="89">
        <v>159613700</v>
      </c>
      <c r="J550" s="89">
        <v>0</v>
      </c>
      <c r="K550" s="89">
        <f t="shared" si="127"/>
        <v>88</v>
      </c>
      <c r="L550" s="89">
        <f t="shared" si="128"/>
        <v>112.621376</v>
      </c>
      <c r="M550" s="89">
        <f>+SPY__2[[#This Row],[Adj Close]]</f>
        <v>85.111037999999994</v>
      </c>
      <c r="N550" s="89">
        <f t="shared" si="123"/>
        <v>7489.7713439999998</v>
      </c>
      <c r="O550" s="90">
        <f t="shared" si="124"/>
        <v>-2420.9097440000005</v>
      </c>
      <c r="P550" s="93">
        <f t="shared" si="125"/>
        <v>-0.24427279240488065</v>
      </c>
      <c r="Q550" s="96"/>
      <c r="R550" s="96"/>
      <c r="T550" s="90">
        <f t="shared" si="119"/>
        <v>95</v>
      </c>
      <c r="U550" s="89">
        <f t="shared" si="120"/>
        <v>103.31428490526316</v>
      </c>
      <c r="V550" s="89">
        <f t="shared" si="121"/>
        <v>85.111037999999994</v>
      </c>
      <c r="W550" s="90">
        <f t="shared" si="126"/>
        <v>8085.5486099999998</v>
      </c>
      <c r="X550" s="93">
        <f t="shared" si="122"/>
        <v>-0.17619293326140839</v>
      </c>
      <c r="AB550" s="89">
        <f t="shared" si="111"/>
        <v>195</v>
      </c>
      <c r="AC550" s="89">
        <f t="shared" si="112"/>
        <v>51.179276000000002</v>
      </c>
      <c r="AD550" s="89">
        <f t="shared" si="113"/>
        <v>85.111037999999994</v>
      </c>
      <c r="AE550" s="89">
        <f t="shared" si="114"/>
        <v>16596.652409999999</v>
      </c>
      <c r="AF550" s="90">
        <f t="shared" si="117"/>
        <v>6616.693589999998</v>
      </c>
      <c r="AG550" s="93">
        <f t="shared" si="118"/>
        <v>0.6629980853969093</v>
      </c>
      <c r="AK550" s="90">
        <f t="shared" si="115"/>
        <v>113</v>
      </c>
      <c r="AL550" s="89">
        <f t="shared" si="116"/>
        <v>64.948096787610623</v>
      </c>
      <c r="AM550" s="89">
        <f t="shared" si="108"/>
        <v>85.111037999999994</v>
      </c>
      <c r="AN550" s="90">
        <f t="shared" si="109"/>
        <v>9617.547294</v>
      </c>
      <c r="AO550" s="93">
        <f t="shared" si="110"/>
        <v>0.31044699089990302</v>
      </c>
    </row>
    <row r="551" spans="2:41" x14ac:dyDescent="0.25">
      <c r="B551" s="91">
        <v>40149</v>
      </c>
      <c r="C551" s="89">
        <v>111.279999</v>
      </c>
      <c r="D551" s="89">
        <v>112.010002</v>
      </c>
      <c r="E551" s="89">
        <v>110.91999800000001</v>
      </c>
      <c r="F551" s="89">
        <v>111.25</v>
      </c>
      <c r="G551" s="89">
        <v>85.072777000000002</v>
      </c>
      <c r="H551" s="89">
        <v>132315100</v>
      </c>
      <c r="J551" s="89">
        <v>0</v>
      </c>
      <c r="K551" s="89">
        <f t="shared" si="127"/>
        <v>88</v>
      </c>
      <c r="L551" s="89">
        <f t="shared" si="128"/>
        <v>112.621376</v>
      </c>
      <c r="M551" s="89">
        <f>+SPY__2[[#This Row],[Adj Close]]</f>
        <v>85.072777000000002</v>
      </c>
      <c r="N551" s="89">
        <f t="shared" si="123"/>
        <v>7486.4043760000004</v>
      </c>
      <c r="O551" s="90">
        <f t="shared" si="124"/>
        <v>-2424.2767119999999</v>
      </c>
      <c r="P551" s="93">
        <f t="shared" si="125"/>
        <v>-0.24461252364737573</v>
      </c>
      <c r="Q551" s="96"/>
      <c r="R551" s="96"/>
      <c r="T551" s="90">
        <f t="shared" si="119"/>
        <v>95</v>
      </c>
      <c r="U551" s="89">
        <f t="shared" si="120"/>
        <v>103.31428490526316</v>
      </c>
      <c r="V551" s="89">
        <f t="shared" si="121"/>
        <v>85.072777000000002</v>
      </c>
      <c r="W551" s="90">
        <f t="shared" si="126"/>
        <v>8081.9138149999999</v>
      </c>
      <c r="X551" s="93">
        <f t="shared" si="122"/>
        <v>-0.17656326927094557</v>
      </c>
      <c r="AB551" s="89">
        <f t="shared" si="111"/>
        <v>195</v>
      </c>
      <c r="AC551" s="89">
        <f t="shared" si="112"/>
        <v>51.179276000000002</v>
      </c>
      <c r="AD551" s="89">
        <f t="shared" si="113"/>
        <v>85.072777000000002</v>
      </c>
      <c r="AE551" s="89">
        <f t="shared" si="114"/>
        <v>16589.191514999999</v>
      </c>
      <c r="AF551" s="90">
        <f t="shared" si="117"/>
        <v>6609.2326949999997</v>
      </c>
      <c r="AG551" s="93">
        <f t="shared" si="118"/>
        <v>0.66225049764283495</v>
      </c>
      <c r="AK551" s="90">
        <f t="shared" si="115"/>
        <v>113</v>
      </c>
      <c r="AL551" s="89">
        <f t="shared" si="116"/>
        <v>64.948096787610623</v>
      </c>
      <c r="AM551" s="89">
        <f t="shared" si="108"/>
        <v>85.072777000000002</v>
      </c>
      <c r="AN551" s="90">
        <f t="shared" si="109"/>
        <v>9613.2238010000001</v>
      </c>
      <c r="AO551" s="93">
        <f t="shared" si="110"/>
        <v>0.30985788972692907</v>
      </c>
    </row>
    <row r="552" spans="2:41" x14ac:dyDescent="0.25">
      <c r="B552" s="91">
        <v>40150</v>
      </c>
      <c r="C552" s="89">
        <v>111.550003</v>
      </c>
      <c r="D552" s="89">
        <v>112.18</v>
      </c>
      <c r="E552" s="89">
        <v>110.290001</v>
      </c>
      <c r="F552" s="89">
        <v>110.379997</v>
      </c>
      <c r="G552" s="89">
        <v>84.407523999999995</v>
      </c>
      <c r="H552" s="89">
        <v>167324900</v>
      </c>
      <c r="J552" s="89">
        <v>0</v>
      </c>
      <c r="K552" s="89">
        <f t="shared" si="127"/>
        <v>88</v>
      </c>
      <c r="L552" s="89">
        <f t="shared" si="128"/>
        <v>112.621376</v>
      </c>
      <c r="M552" s="89">
        <f>+SPY__2[[#This Row],[Adj Close]]</f>
        <v>84.407523999999995</v>
      </c>
      <c r="N552" s="89">
        <f t="shared" si="123"/>
        <v>7427.8621119999998</v>
      </c>
      <c r="O552" s="90">
        <f t="shared" si="124"/>
        <v>-2482.8189760000005</v>
      </c>
      <c r="P552" s="93">
        <f t="shared" si="125"/>
        <v>-0.25051951061226607</v>
      </c>
      <c r="Q552" s="96"/>
      <c r="R552" s="96"/>
      <c r="T552" s="90">
        <f t="shared" si="119"/>
        <v>95</v>
      </c>
      <c r="U552" s="89">
        <f t="shared" si="120"/>
        <v>103.31428490526316</v>
      </c>
      <c r="V552" s="89">
        <f t="shared" si="121"/>
        <v>84.407523999999995</v>
      </c>
      <c r="W552" s="90">
        <f t="shared" si="126"/>
        <v>8018.7147799999993</v>
      </c>
      <c r="X552" s="93">
        <f t="shared" si="122"/>
        <v>-0.1830023885138462</v>
      </c>
      <c r="AB552" s="89">
        <f t="shared" si="111"/>
        <v>195</v>
      </c>
      <c r="AC552" s="89">
        <f t="shared" si="112"/>
        <v>51.179276000000002</v>
      </c>
      <c r="AD552" s="89">
        <f t="shared" si="113"/>
        <v>84.407523999999995</v>
      </c>
      <c r="AE552" s="89">
        <f t="shared" si="114"/>
        <v>16459.46718</v>
      </c>
      <c r="AF552" s="90">
        <f t="shared" si="117"/>
        <v>6479.5083599999989</v>
      </c>
      <c r="AG552" s="93">
        <f t="shared" si="118"/>
        <v>0.64925201364708629</v>
      </c>
      <c r="AK552" s="90">
        <f t="shared" si="115"/>
        <v>113</v>
      </c>
      <c r="AL552" s="89">
        <f t="shared" si="116"/>
        <v>64.948096787610623</v>
      </c>
      <c r="AM552" s="89">
        <f t="shared" si="108"/>
        <v>84.407523999999995</v>
      </c>
      <c r="AN552" s="90">
        <f t="shared" si="109"/>
        <v>9538.0502120000001</v>
      </c>
      <c r="AO552" s="93">
        <f t="shared" si="110"/>
        <v>0.2996150491680214</v>
      </c>
    </row>
    <row r="553" spans="2:41" x14ac:dyDescent="0.25">
      <c r="B553" s="91">
        <v>40151</v>
      </c>
      <c r="C553" s="89">
        <v>111.839996</v>
      </c>
      <c r="D553" s="89">
        <v>112.379997</v>
      </c>
      <c r="E553" s="89">
        <v>110.040001</v>
      </c>
      <c r="F553" s="89">
        <v>111.010002</v>
      </c>
      <c r="G553" s="89">
        <v>84.889258999999996</v>
      </c>
      <c r="H553" s="89">
        <v>274907800</v>
      </c>
      <c r="J553" s="89">
        <v>0</v>
      </c>
      <c r="K553" s="89">
        <f t="shared" si="127"/>
        <v>88</v>
      </c>
      <c r="L553" s="89">
        <f t="shared" si="128"/>
        <v>112.621376</v>
      </c>
      <c r="M553" s="89">
        <f>+SPY__2[[#This Row],[Adj Close]]</f>
        <v>84.889258999999996</v>
      </c>
      <c r="N553" s="89">
        <f t="shared" si="123"/>
        <v>7470.2547919999997</v>
      </c>
      <c r="O553" s="90">
        <f t="shared" si="124"/>
        <v>-2440.4262960000001</v>
      </c>
      <c r="P553" s="93">
        <f t="shared" si="125"/>
        <v>-0.2462420366804966</v>
      </c>
      <c r="Q553" s="96"/>
      <c r="R553" s="96"/>
      <c r="T553" s="90">
        <f t="shared" si="119"/>
        <v>95</v>
      </c>
      <c r="U553" s="89">
        <f t="shared" si="120"/>
        <v>103.31428490526316</v>
      </c>
      <c r="V553" s="89">
        <f t="shared" si="121"/>
        <v>84.889258999999996</v>
      </c>
      <c r="W553" s="90">
        <f t="shared" si="126"/>
        <v>8064.4796049999995</v>
      </c>
      <c r="X553" s="93">
        <f t="shared" si="122"/>
        <v>-0.17833957736007655</v>
      </c>
      <c r="AB553" s="89">
        <f t="shared" si="111"/>
        <v>195</v>
      </c>
      <c r="AC553" s="89">
        <f t="shared" si="112"/>
        <v>51.179276000000002</v>
      </c>
      <c r="AD553" s="89">
        <f t="shared" si="113"/>
        <v>84.889258999999996</v>
      </c>
      <c r="AE553" s="89">
        <f t="shared" si="114"/>
        <v>16553.405504999999</v>
      </c>
      <c r="AF553" s="90">
        <f t="shared" si="117"/>
        <v>6573.446684999999</v>
      </c>
      <c r="AG553" s="93">
        <f t="shared" si="118"/>
        <v>0.65866471030188056</v>
      </c>
      <c r="AK553" s="90">
        <f t="shared" si="115"/>
        <v>113</v>
      </c>
      <c r="AL553" s="89">
        <f t="shared" si="116"/>
        <v>64.948096787610623</v>
      </c>
      <c r="AM553" s="89">
        <f t="shared" si="108"/>
        <v>84.889258999999996</v>
      </c>
      <c r="AN553" s="90">
        <f t="shared" si="109"/>
        <v>9592.4862670000002</v>
      </c>
      <c r="AO553" s="93">
        <f t="shared" si="110"/>
        <v>0.30703227960012081</v>
      </c>
    </row>
    <row r="554" spans="2:41" x14ac:dyDescent="0.25">
      <c r="B554" s="91">
        <v>40154</v>
      </c>
      <c r="C554" s="89">
        <v>110.910004</v>
      </c>
      <c r="D554" s="89">
        <v>111.529999</v>
      </c>
      <c r="E554" s="89">
        <v>110.489998</v>
      </c>
      <c r="F554" s="89">
        <v>110.839996</v>
      </c>
      <c r="G554" s="89">
        <v>84.759253999999999</v>
      </c>
      <c r="H554" s="89">
        <v>127973800</v>
      </c>
      <c r="J554" s="89">
        <v>0</v>
      </c>
      <c r="K554" s="89">
        <f t="shared" si="127"/>
        <v>88</v>
      </c>
      <c r="L554" s="89">
        <f t="shared" si="128"/>
        <v>112.621376</v>
      </c>
      <c r="M554" s="89">
        <f>+SPY__2[[#This Row],[Adj Close]]</f>
        <v>84.759253999999999</v>
      </c>
      <c r="N554" s="89">
        <f t="shared" si="123"/>
        <v>7458.8143519999994</v>
      </c>
      <c r="O554" s="90">
        <f t="shared" si="124"/>
        <v>-2451.8667359999999</v>
      </c>
      <c r="P554" s="93">
        <f t="shared" si="125"/>
        <v>-0.24739639124991686</v>
      </c>
      <c r="Q554" s="96"/>
      <c r="R554" s="96"/>
      <c r="T554" s="90">
        <f t="shared" si="119"/>
        <v>95</v>
      </c>
      <c r="U554" s="89">
        <f t="shared" si="120"/>
        <v>103.31428490526316</v>
      </c>
      <c r="V554" s="89">
        <f t="shared" si="121"/>
        <v>84.759253999999999</v>
      </c>
      <c r="W554" s="90">
        <f t="shared" si="126"/>
        <v>8052.1291300000003</v>
      </c>
      <c r="X554" s="93">
        <f t="shared" si="122"/>
        <v>-0.17959792222612492</v>
      </c>
      <c r="AB554" s="89">
        <f t="shared" si="111"/>
        <v>195</v>
      </c>
      <c r="AC554" s="89">
        <f t="shared" si="112"/>
        <v>51.179276000000002</v>
      </c>
      <c r="AD554" s="89">
        <f t="shared" si="113"/>
        <v>84.759253999999999</v>
      </c>
      <c r="AE554" s="89">
        <f t="shared" si="114"/>
        <v>16528.054530000001</v>
      </c>
      <c r="AF554" s="90">
        <f t="shared" si="117"/>
        <v>6548.0957099999996</v>
      </c>
      <c r="AG554" s="93">
        <f t="shared" si="118"/>
        <v>0.65612452196471072</v>
      </c>
      <c r="AK554" s="90">
        <f t="shared" si="115"/>
        <v>113</v>
      </c>
      <c r="AL554" s="89">
        <f t="shared" si="116"/>
        <v>64.948096787610623</v>
      </c>
      <c r="AM554" s="89">
        <f t="shared" si="108"/>
        <v>84.759253999999999</v>
      </c>
      <c r="AN554" s="90">
        <f t="shared" si="109"/>
        <v>9577.7957019999994</v>
      </c>
      <c r="AO554" s="93">
        <f t="shared" si="110"/>
        <v>0.30503060431739248</v>
      </c>
    </row>
    <row r="555" spans="2:41" x14ac:dyDescent="0.25">
      <c r="B555" s="91">
        <v>40155</v>
      </c>
      <c r="C555" s="89">
        <v>110.040001</v>
      </c>
      <c r="D555" s="89">
        <v>110.769997</v>
      </c>
      <c r="E555" s="89">
        <v>109.269997</v>
      </c>
      <c r="F555" s="89">
        <v>109.610001</v>
      </c>
      <c r="G555" s="89">
        <v>83.818702999999999</v>
      </c>
      <c r="H555" s="89">
        <v>169863700</v>
      </c>
      <c r="J555" s="89">
        <v>0</v>
      </c>
      <c r="K555" s="89">
        <f t="shared" si="127"/>
        <v>88</v>
      </c>
      <c r="L555" s="89">
        <f t="shared" si="128"/>
        <v>112.621376</v>
      </c>
      <c r="M555" s="89">
        <f>+SPY__2[[#This Row],[Adj Close]]</f>
        <v>83.818702999999999</v>
      </c>
      <c r="N555" s="89">
        <f t="shared" si="123"/>
        <v>7376.0458639999997</v>
      </c>
      <c r="O555" s="90">
        <f t="shared" si="124"/>
        <v>-2534.6352239999997</v>
      </c>
      <c r="P555" s="93">
        <f t="shared" si="125"/>
        <v>-0.25574783422997782</v>
      </c>
      <c r="Q555" s="96"/>
      <c r="R555" s="96"/>
      <c r="T555" s="90">
        <f t="shared" si="119"/>
        <v>95</v>
      </c>
      <c r="U555" s="89">
        <f t="shared" si="120"/>
        <v>103.31428490526316</v>
      </c>
      <c r="V555" s="89">
        <f t="shared" si="121"/>
        <v>83.818702999999999</v>
      </c>
      <c r="W555" s="90">
        <f t="shared" si="126"/>
        <v>7962.776785</v>
      </c>
      <c r="X555" s="93">
        <f t="shared" si="122"/>
        <v>-0.18870170686599796</v>
      </c>
      <c r="AB555" s="89">
        <f t="shared" si="111"/>
        <v>195</v>
      </c>
      <c r="AC555" s="89">
        <f t="shared" si="112"/>
        <v>51.179276000000002</v>
      </c>
      <c r="AD555" s="89">
        <f t="shared" si="113"/>
        <v>83.818702999999999</v>
      </c>
      <c r="AE555" s="89">
        <f t="shared" si="114"/>
        <v>16344.647085000001</v>
      </c>
      <c r="AF555" s="90">
        <f t="shared" si="117"/>
        <v>6364.6882649999998</v>
      </c>
      <c r="AG555" s="93">
        <f t="shared" si="118"/>
        <v>0.6377469466351966</v>
      </c>
      <c r="AK555" s="90">
        <f t="shared" si="115"/>
        <v>113</v>
      </c>
      <c r="AL555" s="89">
        <f t="shared" si="116"/>
        <v>64.948096787610623</v>
      </c>
      <c r="AM555" s="89">
        <f t="shared" si="108"/>
        <v>83.818702999999999</v>
      </c>
      <c r="AN555" s="90">
        <f t="shared" si="109"/>
        <v>9471.5134390000003</v>
      </c>
      <c r="AO555" s="93">
        <f t="shared" si="110"/>
        <v>0.29054902523316284</v>
      </c>
    </row>
    <row r="556" spans="2:41" x14ac:dyDescent="0.25">
      <c r="B556" s="91">
        <v>40156</v>
      </c>
      <c r="C556" s="89">
        <v>109.58000199999999</v>
      </c>
      <c r="D556" s="89">
        <v>110.18</v>
      </c>
      <c r="E556" s="89">
        <v>109.019997</v>
      </c>
      <c r="F556" s="89">
        <v>110.019997</v>
      </c>
      <c r="G556" s="89">
        <v>84.132210000000001</v>
      </c>
      <c r="H556" s="89">
        <v>155063400</v>
      </c>
      <c r="J556" s="89">
        <v>0</v>
      </c>
      <c r="K556" s="89">
        <f t="shared" si="127"/>
        <v>88</v>
      </c>
      <c r="L556" s="89">
        <f t="shared" si="128"/>
        <v>112.621376</v>
      </c>
      <c r="M556" s="89">
        <f>+SPY__2[[#This Row],[Adj Close]]</f>
        <v>84.132210000000001</v>
      </c>
      <c r="N556" s="89">
        <f t="shared" si="123"/>
        <v>7403.6344799999997</v>
      </c>
      <c r="O556" s="90">
        <f t="shared" si="124"/>
        <v>-2507.0466079999997</v>
      </c>
      <c r="P556" s="93">
        <f t="shared" si="125"/>
        <v>-0.25296410869638108</v>
      </c>
      <c r="Q556" s="96"/>
      <c r="R556" s="96"/>
      <c r="T556" s="90">
        <f t="shared" si="119"/>
        <v>95</v>
      </c>
      <c r="U556" s="89">
        <f t="shared" si="120"/>
        <v>103.31428490526316</v>
      </c>
      <c r="V556" s="89">
        <f t="shared" si="121"/>
        <v>84.132210000000001</v>
      </c>
      <c r="W556" s="90">
        <f t="shared" si="126"/>
        <v>7992.5599499999998</v>
      </c>
      <c r="X556" s="93">
        <f t="shared" si="122"/>
        <v>-0.18566720877807641</v>
      </c>
      <c r="AB556" s="89">
        <f t="shared" si="111"/>
        <v>195</v>
      </c>
      <c r="AC556" s="89">
        <f t="shared" si="112"/>
        <v>51.179276000000002</v>
      </c>
      <c r="AD556" s="89">
        <f t="shared" si="113"/>
        <v>84.132210000000001</v>
      </c>
      <c r="AE556" s="89">
        <f t="shared" si="114"/>
        <v>16405.78095</v>
      </c>
      <c r="AF556" s="90">
        <f t="shared" si="117"/>
        <v>6425.8221299999996</v>
      </c>
      <c r="AG556" s="93">
        <f t="shared" si="118"/>
        <v>0.64387260968678017</v>
      </c>
      <c r="AI556" s="90">
        <v>-2500</v>
      </c>
      <c r="AJ556" s="89">
        <f>+-ROUNDDOWN(AI556/AD556,0)</f>
        <v>29</v>
      </c>
      <c r="AK556" s="90">
        <f>+AJ556+AK555</f>
        <v>142</v>
      </c>
      <c r="AL556" s="89">
        <f>+(AJ364*AL364+AJ428*AD428+AJ492*AD492+AJ556*AD556)/AK556</f>
        <v>68.865979063380294</v>
      </c>
      <c r="AM556" s="89">
        <f t="shared" si="108"/>
        <v>84.132210000000001</v>
      </c>
      <c r="AN556" s="90">
        <f t="shared" si="109"/>
        <v>11946.77382</v>
      </c>
      <c r="AO556" s="93">
        <f t="shared" si="110"/>
        <v>0.22168030055260735</v>
      </c>
    </row>
    <row r="557" spans="2:41" x14ac:dyDescent="0.25">
      <c r="B557" s="91">
        <v>40157</v>
      </c>
      <c r="C557" s="89">
        <v>110.699997</v>
      </c>
      <c r="D557" s="89">
        <v>111.120003</v>
      </c>
      <c r="E557" s="89">
        <v>110.449997</v>
      </c>
      <c r="F557" s="89">
        <v>110.639999</v>
      </c>
      <c r="G557" s="89">
        <v>84.606346000000002</v>
      </c>
      <c r="H557" s="89">
        <v>138014600</v>
      </c>
      <c r="J557" s="89">
        <v>0</v>
      </c>
      <c r="K557" s="89">
        <f t="shared" si="127"/>
        <v>88</v>
      </c>
      <c r="L557" s="89">
        <f t="shared" si="128"/>
        <v>112.621376</v>
      </c>
      <c r="M557" s="89">
        <f>+SPY__2[[#This Row],[Adj Close]]</f>
        <v>84.606346000000002</v>
      </c>
      <c r="N557" s="89">
        <f t="shared" si="123"/>
        <v>7445.358448</v>
      </c>
      <c r="O557" s="90">
        <f t="shared" si="124"/>
        <v>-2465.3226399999994</v>
      </c>
      <c r="P557" s="93">
        <f t="shared" si="125"/>
        <v>-0.24875410863387071</v>
      </c>
      <c r="Q557" s="96"/>
      <c r="R557" s="96"/>
      <c r="T557" s="90">
        <f t="shared" si="119"/>
        <v>95</v>
      </c>
      <c r="U557" s="89">
        <f t="shared" si="120"/>
        <v>103.31428490526316</v>
      </c>
      <c r="V557" s="89">
        <f t="shared" si="121"/>
        <v>84.606346000000002</v>
      </c>
      <c r="W557" s="90">
        <f t="shared" si="126"/>
        <v>8037.6028700000006</v>
      </c>
      <c r="X557" s="93">
        <f t="shared" si="122"/>
        <v>-0.18107794989258175</v>
      </c>
      <c r="AB557" s="89">
        <f t="shared" si="111"/>
        <v>195</v>
      </c>
      <c r="AC557" s="89">
        <f t="shared" si="112"/>
        <v>51.179276000000002</v>
      </c>
      <c r="AD557" s="89">
        <f t="shared" si="113"/>
        <v>84.606346000000002</v>
      </c>
      <c r="AE557" s="89">
        <f t="shared" si="114"/>
        <v>16498.23747</v>
      </c>
      <c r="AF557" s="90">
        <f t="shared" si="117"/>
        <v>6518.2786500000002</v>
      </c>
      <c r="AG557" s="93">
        <f t="shared" si="118"/>
        <v>0.65313682827400688</v>
      </c>
      <c r="AK557" s="90">
        <f>+AK556</f>
        <v>142</v>
      </c>
      <c r="AL557" s="89">
        <f>+AL556</f>
        <v>68.865979063380294</v>
      </c>
      <c r="AM557" s="89">
        <f t="shared" ref="AM557:AM620" si="129">+AD557</f>
        <v>84.606346000000002</v>
      </c>
      <c r="AN557" s="90">
        <f t="shared" ref="AN557:AN620" si="130">+AM557*AK557</f>
        <v>12014.101132</v>
      </c>
      <c r="AO557" s="93">
        <f t="shared" ref="AO557:AO620" si="131">+AN557/(AL557*AK557)-1</f>
        <v>0.22856520956644188</v>
      </c>
    </row>
    <row r="558" spans="2:41" x14ac:dyDescent="0.25">
      <c r="B558" s="91">
        <v>40158</v>
      </c>
      <c r="C558" s="89">
        <v>111.110001</v>
      </c>
      <c r="D558" s="89">
        <v>111.360001</v>
      </c>
      <c r="E558" s="89">
        <v>110.610001</v>
      </c>
      <c r="F558" s="89">
        <v>111.110001</v>
      </c>
      <c r="G558" s="89">
        <v>84.965721000000002</v>
      </c>
      <c r="H558" s="89">
        <v>124854000</v>
      </c>
      <c r="J558" s="89">
        <v>0</v>
      </c>
      <c r="K558" s="89">
        <f t="shared" si="127"/>
        <v>88</v>
      </c>
      <c r="L558" s="89">
        <f t="shared" si="128"/>
        <v>112.621376</v>
      </c>
      <c r="M558" s="89">
        <f>+SPY__2[[#This Row],[Adj Close]]</f>
        <v>84.965721000000002</v>
      </c>
      <c r="N558" s="89">
        <f t="shared" si="123"/>
        <v>7476.983448</v>
      </c>
      <c r="O558" s="90">
        <f t="shared" si="124"/>
        <v>-2433.6976399999994</v>
      </c>
      <c r="P558" s="93">
        <f t="shared" si="125"/>
        <v>-0.24556310695404748</v>
      </c>
      <c r="Q558" s="96"/>
      <c r="R558" s="96"/>
      <c r="T558" s="90">
        <f t="shared" si="119"/>
        <v>95</v>
      </c>
      <c r="U558" s="89">
        <f t="shared" si="120"/>
        <v>103.31428490526316</v>
      </c>
      <c r="V558" s="89">
        <f t="shared" si="121"/>
        <v>84.965721000000002</v>
      </c>
      <c r="W558" s="90">
        <f t="shared" si="126"/>
        <v>8071.7434950000006</v>
      </c>
      <c r="X558" s="93">
        <f t="shared" si="122"/>
        <v>-0.17759948609321907</v>
      </c>
      <c r="AB558" s="89">
        <f t="shared" ref="AB558:AB621" si="132">+AB557</f>
        <v>195</v>
      </c>
      <c r="AC558" s="89">
        <f t="shared" ref="AC558:AC621" si="133">+AC557</f>
        <v>51.179276000000002</v>
      </c>
      <c r="AD558" s="89">
        <f t="shared" ref="AD558:AD621" si="134">+V558</f>
        <v>84.965721000000002</v>
      </c>
      <c r="AE558" s="89">
        <f t="shared" ref="AE558:AE621" si="135">+AB558*AD558</f>
        <v>16568.315595</v>
      </c>
      <c r="AF558" s="90">
        <f t="shared" si="117"/>
        <v>6588.3567750000002</v>
      </c>
      <c r="AG558" s="93">
        <f t="shared" si="118"/>
        <v>0.66015871346050292</v>
      </c>
      <c r="AK558" s="90">
        <f t="shared" ref="AK558:AK621" si="136">+AK557</f>
        <v>142</v>
      </c>
      <c r="AL558" s="89">
        <f t="shared" ref="AL558:AL621" si="137">+AL557</f>
        <v>68.865979063380294</v>
      </c>
      <c r="AM558" s="89">
        <f t="shared" si="129"/>
        <v>84.965721000000002</v>
      </c>
      <c r="AN558" s="90">
        <f t="shared" si="130"/>
        <v>12065.132382</v>
      </c>
      <c r="AO558" s="93">
        <f t="shared" si="131"/>
        <v>0.23378367890192098</v>
      </c>
    </row>
    <row r="559" spans="2:41" x14ac:dyDescent="0.25">
      <c r="B559" s="91">
        <v>40161</v>
      </c>
      <c r="C559" s="89">
        <v>111.870003</v>
      </c>
      <c r="D559" s="89">
        <v>112</v>
      </c>
      <c r="E559" s="89">
        <v>111.129997</v>
      </c>
      <c r="F559" s="89">
        <v>111.870003</v>
      </c>
      <c r="G559" s="89">
        <v>85.546906000000007</v>
      </c>
      <c r="H559" s="89">
        <v>107141500</v>
      </c>
      <c r="J559" s="89">
        <v>0</v>
      </c>
      <c r="K559" s="89">
        <f t="shared" si="127"/>
        <v>88</v>
      </c>
      <c r="L559" s="89">
        <f t="shared" si="128"/>
        <v>112.621376</v>
      </c>
      <c r="M559" s="89">
        <f>+SPY__2[[#This Row],[Adj Close]]</f>
        <v>85.546906000000007</v>
      </c>
      <c r="N559" s="89">
        <f t="shared" si="123"/>
        <v>7528.1277280000004</v>
      </c>
      <c r="O559" s="90">
        <f t="shared" si="124"/>
        <v>-2382.553359999999</v>
      </c>
      <c r="P559" s="93">
        <f t="shared" si="125"/>
        <v>-0.24040258574002848</v>
      </c>
      <c r="Q559" s="96"/>
      <c r="R559" s="96"/>
      <c r="T559" s="90">
        <f t="shared" si="119"/>
        <v>95</v>
      </c>
      <c r="U559" s="89">
        <f t="shared" si="120"/>
        <v>103.31428490526316</v>
      </c>
      <c r="V559" s="89">
        <f t="shared" si="121"/>
        <v>85.546906000000007</v>
      </c>
      <c r="W559" s="90">
        <f t="shared" si="126"/>
        <v>8126.9560700000011</v>
      </c>
      <c r="X559" s="93">
        <f t="shared" si="122"/>
        <v>-0.17197407813987609</v>
      </c>
      <c r="AB559" s="89">
        <f t="shared" si="132"/>
        <v>195</v>
      </c>
      <c r="AC559" s="89">
        <f t="shared" si="133"/>
        <v>51.179276000000002</v>
      </c>
      <c r="AD559" s="89">
        <f t="shared" si="134"/>
        <v>85.546906000000007</v>
      </c>
      <c r="AE559" s="89">
        <f t="shared" si="135"/>
        <v>16681.646670000002</v>
      </c>
      <c r="AF559" s="90">
        <f t="shared" si="117"/>
        <v>6701.6878500000012</v>
      </c>
      <c r="AG559" s="93">
        <f t="shared" si="118"/>
        <v>0.67151457945595028</v>
      </c>
      <c r="AK559" s="90">
        <f t="shared" si="136"/>
        <v>142</v>
      </c>
      <c r="AL559" s="89">
        <f t="shared" si="137"/>
        <v>68.865979063380294</v>
      </c>
      <c r="AM559" s="89">
        <f t="shared" si="129"/>
        <v>85.546906000000007</v>
      </c>
      <c r="AN559" s="90">
        <f t="shared" si="130"/>
        <v>12147.660652</v>
      </c>
      <c r="AO559" s="93">
        <f t="shared" si="131"/>
        <v>0.242223041964851</v>
      </c>
    </row>
    <row r="560" spans="2:41" x14ac:dyDescent="0.25">
      <c r="B560" s="91">
        <v>40162</v>
      </c>
      <c r="C560" s="89">
        <v>111.459999</v>
      </c>
      <c r="D560" s="89">
        <v>111.91999800000001</v>
      </c>
      <c r="E560" s="89">
        <v>111</v>
      </c>
      <c r="F560" s="89">
        <v>111.349998</v>
      </c>
      <c r="G560" s="89">
        <v>85.149260999999996</v>
      </c>
      <c r="H560" s="89">
        <v>120408800</v>
      </c>
      <c r="J560" s="89">
        <v>0</v>
      </c>
      <c r="K560" s="89">
        <f t="shared" si="127"/>
        <v>88</v>
      </c>
      <c r="L560" s="89">
        <f t="shared" si="128"/>
        <v>112.621376</v>
      </c>
      <c r="M560" s="89">
        <f>+SPY__2[[#This Row],[Adj Close]]</f>
        <v>85.149260999999996</v>
      </c>
      <c r="N560" s="89">
        <f t="shared" si="123"/>
        <v>7493.1349679999994</v>
      </c>
      <c r="O560" s="90">
        <f t="shared" si="124"/>
        <v>-2417.54612</v>
      </c>
      <c r="P560" s="93">
        <f t="shared" si="125"/>
        <v>-0.24393339857612828</v>
      </c>
      <c r="Q560" s="96"/>
      <c r="R560" s="96"/>
      <c r="T560" s="90">
        <f t="shared" si="119"/>
        <v>95</v>
      </c>
      <c r="U560" s="89">
        <f t="shared" si="120"/>
        <v>103.31428490526316</v>
      </c>
      <c r="V560" s="89">
        <f t="shared" si="121"/>
        <v>85.149260999999996</v>
      </c>
      <c r="W560" s="90">
        <f t="shared" si="126"/>
        <v>8089.179795</v>
      </c>
      <c r="X560" s="93">
        <f t="shared" si="122"/>
        <v>-0.17582296506160866</v>
      </c>
      <c r="AB560" s="89">
        <f t="shared" si="132"/>
        <v>195</v>
      </c>
      <c r="AC560" s="89">
        <f t="shared" si="133"/>
        <v>51.179276000000002</v>
      </c>
      <c r="AD560" s="89">
        <f t="shared" si="134"/>
        <v>85.149260999999996</v>
      </c>
      <c r="AE560" s="89">
        <f t="shared" si="135"/>
        <v>16604.105895000001</v>
      </c>
      <c r="AF560" s="90">
        <f t="shared" si="117"/>
        <v>6624.1470749999989</v>
      </c>
      <c r="AG560" s="93">
        <f t="shared" si="118"/>
        <v>0.66374493066295015</v>
      </c>
      <c r="AK560" s="90">
        <f t="shared" si="136"/>
        <v>142</v>
      </c>
      <c r="AL560" s="89">
        <f t="shared" si="137"/>
        <v>68.865979063380294</v>
      </c>
      <c r="AM560" s="89">
        <f t="shared" si="129"/>
        <v>85.149260999999996</v>
      </c>
      <c r="AN560" s="90">
        <f t="shared" si="130"/>
        <v>12091.195061999999</v>
      </c>
      <c r="AO560" s="93">
        <f t="shared" si="131"/>
        <v>0.23644885556093675</v>
      </c>
    </row>
    <row r="561" spans="2:41" x14ac:dyDescent="0.25">
      <c r="B561" s="91">
        <v>40163</v>
      </c>
      <c r="C561" s="89">
        <v>111.800003</v>
      </c>
      <c r="D561" s="89">
        <v>112.129997</v>
      </c>
      <c r="E561" s="89">
        <v>111.269997</v>
      </c>
      <c r="F561" s="89">
        <v>111.519997</v>
      </c>
      <c r="G561" s="89">
        <v>85.279274000000001</v>
      </c>
      <c r="H561" s="89">
        <v>155358200</v>
      </c>
      <c r="J561" s="89">
        <v>0</v>
      </c>
      <c r="K561" s="89">
        <f t="shared" si="127"/>
        <v>88</v>
      </c>
      <c r="L561" s="89">
        <f t="shared" si="128"/>
        <v>112.621376</v>
      </c>
      <c r="M561" s="89">
        <f>+SPY__2[[#This Row],[Adj Close]]</f>
        <v>85.279274000000001</v>
      </c>
      <c r="N561" s="89">
        <f t="shared" si="123"/>
        <v>7504.5761119999997</v>
      </c>
      <c r="O561" s="90">
        <f t="shared" si="124"/>
        <v>-2406.1049759999996</v>
      </c>
      <c r="P561" s="93">
        <f t="shared" si="125"/>
        <v>-0.24277897297223572</v>
      </c>
      <c r="Q561" s="96"/>
      <c r="R561" s="96"/>
      <c r="T561" s="90">
        <f t="shared" si="119"/>
        <v>95</v>
      </c>
      <c r="U561" s="89">
        <f t="shared" si="120"/>
        <v>103.31428490526316</v>
      </c>
      <c r="V561" s="89">
        <f t="shared" si="121"/>
        <v>85.279274000000001</v>
      </c>
      <c r="W561" s="90">
        <f t="shared" si="126"/>
        <v>8101.5310300000001</v>
      </c>
      <c r="X561" s="93">
        <f t="shared" si="122"/>
        <v>-0.17456454276193123</v>
      </c>
      <c r="AB561" s="89">
        <f t="shared" si="132"/>
        <v>195</v>
      </c>
      <c r="AC561" s="89">
        <f t="shared" si="133"/>
        <v>51.179276000000002</v>
      </c>
      <c r="AD561" s="89">
        <f t="shared" si="134"/>
        <v>85.279274000000001</v>
      </c>
      <c r="AE561" s="89">
        <f t="shared" si="135"/>
        <v>16629.458429999999</v>
      </c>
      <c r="AF561" s="90">
        <f t="shared" si="117"/>
        <v>6649.4996099999998</v>
      </c>
      <c r="AG561" s="93">
        <f t="shared" si="118"/>
        <v>0.66628527531339055</v>
      </c>
      <c r="AK561" s="90">
        <f t="shared" si="136"/>
        <v>142</v>
      </c>
      <c r="AL561" s="89">
        <f t="shared" si="137"/>
        <v>68.865979063380294</v>
      </c>
      <c r="AM561" s="89">
        <f t="shared" si="129"/>
        <v>85.279274000000001</v>
      </c>
      <c r="AN561" s="90">
        <f t="shared" si="130"/>
        <v>12109.656908000001</v>
      </c>
      <c r="AO561" s="93">
        <f t="shared" si="131"/>
        <v>0.23833676889300981</v>
      </c>
    </row>
    <row r="562" spans="2:41" x14ac:dyDescent="0.25">
      <c r="B562" s="91">
        <v>40164</v>
      </c>
      <c r="C562" s="89">
        <v>110.720001</v>
      </c>
      <c r="D562" s="89">
        <v>110.93</v>
      </c>
      <c r="E562" s="89">
        <v>110.08000199999999</v>
      </c>
      <c r="F562" s="89">
        <v>110.18</v>
      </c>
      <c r="G562" s="89">
        <v>84.254577999999995</v>
      </c>
      <c r="H562" s="89">
        <v>183390100</v>
      </c>
      <c r="J562" s="89">
        <v>0</v>
      </c>
      <c r="K562" s="89">
        <f t="shared" si="127"/>
        <v>88</v>
      </c>
      <c r="L562" s="89">
        <f t="shared" si="128"/>
        <v>112.621376</v>
      </c>
      <c r="M562" s="89">
        <f>+SPY__2[[#This Row],[Adj Close]]</f>
        <v>84.254577999999995</v>
      </c>
      <c r="N562" s="89">
        <f t="shared" si="123"/>
        <v>7414.4028639999997</v>
      </c>
      <c r="O562" s="90">
        <f t="shared" si="124"/>
        <v>-2496.2782240000001</v>
      </c>
      <c r="P562" s="93">
        <f t="shared" si="125"/>
        <v>-0.25187756540996264</v>
      </c>
      <c r="Q562" s="96"/>
      <c r="R562" s="96"/>
      <c r="T562" s="90">
        <f t="shared" si="119"/>
        <v>95</v>
      </c>
      <c r="U562" s="89">
        <f t="shared" si="120"/>
        <v>103.31428490526316</v>
      </c>
      <c r="V562" s="89">
        <f t="shared" si="121"/>
        <v>84.254577999999995</v>
      </c>
      <c r="W562" s="90">
        <f t="shared" si="126"/>
        <v>8004.1849099999999</v>
      </c>
      <c r="X562" s="93">
        <f t="shared" si="122"/>
        <v>-0.18448278399004048</v>
      </c>
      <c r="AB562" s="89">
        <f t="shared" si="132"/>
        <v>195</v>
      </c>
      <c r="AC562" s="89">
        <f t="shared" si="133"/>
        <v>51.179276000000002</v>
      </c>
      <c r="AD562" s="89">
        <f t="shared" si="134"/>
        <v>84.254577999999995</v>
      </c>
      <c r="AE562" s="89">
        <f t="shared" si="135"/>
        <v>16429.64271</v>
      </c>
      <c r="AF562" s="90">
        <f t="shared" ref="AF562:AF625" si="138">+(AD562-AC562)*AB562</f>
        <v>6449.6838899999984</v>
      </c>
      <c r="AG562" s="93">
        <f t="shared" ref="AG562:AG625" si="139">+AD562/AC562-1</f>
        <v>0.6462635774683485</v>
      </c>
      <c r="AK562" s="90">
        <f t="shared" si="136"/>
        <v>142</v>
      </c>
      <c r="AL562" s="89">
        <f t="shared" si="137"/>
        <v>68.865979063380294</v>
      </c>
      <c r="AM562" s="89">
        <f t="shared" si="129"/>
        <v>84.254577999999995</v>
      </c>
      <c r="AN562" s="90">
        <f t="shared" si="130"/>
        <v>11964.150076</v>
      </c>
      <c r="AO562" s="93">
        <f t="shared" si="131"/>
        <v>0.22345720115961654</v>
      </c>
    </row>
    <row r="563" spans="2:41" x14ac:dyDescent="0.25">
      <c r="B563" s="91">
        <v>40165</v>
      </c>
      <c r="C563" s="89">
        <v>110.199997</v>
      </c>
      <c r="D563" s="89">
        <v>110.300003</v>
      </c>
      <c r="E563" s="89">
        <v>109.279999</v>
      </c>
      <c r="F563" s="89">
        <v>110.209999</v>
      </c>
      <c r="G563" s="89">
        <v>84.731223999999997</v>
      </c>
      <c r="H563" s="89">
        <v>174591200</v>
      </c>
      <c r="J563" s="89">
        <v>0</v>
      </c>
      <c r="K563" s="89">
        <f t="shared" si="127"/>
        <v>88</v>
      </c>
      <c r="L563" s="89">
        <f t="shared" si="128"/>
        <v>112.621376</v>
      </c>
      <c r="M563" s="89">
        <f>+SPY__2[[#This Row],[Adj Close]]</f>
        <v>84.731223999999997</v>
      </c>
      <c r="N563" s="89">
        <f t="shared" si="123"/>
        <v>7456.3477119999998</v>
      </c>
      <c r="O563" s="90">
        <f t="shared" si="124"/>
        <v>-2454.333376</v>
      </c>
      <c r="P563" s="93">
        <f t="shared" si="125"/>
        <v>-0.24764527828180682</v>
      </c>
      <c r="Q563" s="96"/>
      <c r="R563" s="96"/>
      <c r="T563" s="90">
        <f t="shared" si="119"/>
        <v>95</v>
      </c>
      <c r="U563" s="89">
        <f t="shared" si="120"/>
        <v>103.31428490526316</v>
      </c>
      <c r="V563" s="89">
        <f t="shared" si="121"/>
        <v>84.731223999999997</v>
      </c>
      <c r="W563" s="90">
        <f t="shared" si="126"/>
        <v>8049.4662799999996</v>
      </c>
      <c r="X563" s="93">
        <f t="shared" si="122"/>
        <v>-0.17986923030347068</v>
      </c>
      <c r="AB563" s="89">
        <f t="shared" si="132"/>
        <v>195</v>
      </c>
      <c r="AC563" s="89">
        <f t="shared" si="133"/>
        <v>51.179276000000002</v>
      </c>
      <c r="AD563" s="89">
        <f t="shared" si="134"/>
        <v>84.731223999999997</v>
      </c>
      <c r="AE563" s="89">
        <f t="shared" si="135"/>
        <v>16522.588680000001</v>
      </c>
      <c r="AF563" s="90">
        <f t="shared" si="138"/>
        <v>6542.6298599999991</v>
      </c>
      <c r="AG563" s="93">
        <f t="shared" si="139"/>
        <v>0.65557683934411259</v>
      </c>
      <c r="AK563" s="90">
        <f t="shared" si="136"/>
        <v>142</v>
      </c>
      <c r="AL563" s="89">
        <f t="shared" si="137"/>
        <v>68.865979063380294</v>
      </c>
      <c r="AM563" s="89">
        <f t="shared" si="129"/>
        <v>84.731223999999997</v>
      </c>
      <c r="AN563" s="90">
        <f t="shared" si="130"/>
        <v>12031.833807999999</v>
      </c>
      <c r="AO563" s="93">
        <f t="shared" si="131"/>
        <v>0.23037855777840965</v>
      </c>
    </row>
    <row r="564" spans="2:41" x14ac:dyDescent="0.25">
      <c r="B564" s="91">
        <v>40168</v>
      </c>
      <c r="C564" s="89">
        <v>110.760002</v>
      </c>
      <c r="D564" s="89">
        <v>111.699997</v>
      </c>
      <c r="E564" s="89">
        <v>110.760002</v>
      </c>
      <c r="F564" s="89">
        <v>111.33000199999999</v>
      </c>
      <c r="G564" s="89">
        <v>85.592299999999994</v>
      </c>
      <c r="H564" s="89">
        <v>118039600</v>
      </c>
      <c r="J564" s="89">
        <v>0</v>
      </c>
      <c r="K564" s="89">
        <f t="shared" si="127"/>
        <v>88</v>
      </c>
      <c r="L564" s="89">
        <f t="shared" si="128"/>
        <v>112.621376</v>
      </c>
      <c r="M564" s="89">
        <f>+SPY__2[[#This Row],[Adj Close]]</f>
        <v>85.592299999999994</v>
      </c>
      <c r="N564" s="89">
        <f t="shared" si="123"/>
        <v>7532.1223999999993</v>
      </c>
      <c r="O564" s="90">
        <f t="shared" si="124"/>
        <v>-2378.5586880000001</v>
      </c>
      <c r="P564" s="93">
        <f t="shared" si="125"/>
        <v>-0.23999951838627864</v>
      </c>
      <c r="Q564" s="96"/>
      <c r="R564" s="96"/>
      <c r="T564" s="90">
        <f t="shared" si="119"/>
        <v>95</v>
      </c>
      <c r="U564" s="89">
        <f t="shared" si="120"/>
        <v>103.31428490526316</v>
      </c>
      <c r="V564" s="89">
        <f t="shared" si="121"/>
        <v>85.592299999999994</v>
      </c>
      <c r="W564" s="90">
        <f t="shared" si="126"/>
        <v>8131.2684999999992</v>
      </c>
      <c r="X564" s="93">
        <f t="shared" si="122"/>
        <v>-0.17153470037094898</v>
      </c>
      <c r="AB564" s="89">
        <f t="shared" si="132"/>
        <v>195</v>
      </c>
      <c r="AC564" s="89">
        <f t="shared" si="133"/>
        <v>51.179276000000002</v>
      </c>
      <c r="AD564" s="89">
        <f t="shared" si="134"/>
        <v>85.592299999999994</v>
      </c>
      <c r="AE564" s="89">
        <f t="shared" si="135"/>
        <v>16690.498499999998</v>
      </c>
      <c r="AF564" s="90">
        <f t="shared" si="138"/>
        <v>6710.539679999999</v>
      </c>
      <c r="AG564" s="93">
        <f t="shared" si="139"/>
        <v>0.67240154002960084</v>
      </c>
      <c r="AK564" s="90">
        <f t="shared" si="136"/>
        <v>142</v>
      </c>
      <c r="AL564" s="89">
        <f t="shared" si="137"/>
        <v>68.865979063380294</v>
      </c>
      <c r="AM564" s="89">
        <f t="shared" si="129"/>
        <v>85.592299999999994</v>
      </c>
      <c r="AN564" s="90">
        <f t="shared" si="130"/>
        <v>12154.106599999999</v>
      </c>
      <c r="AO564" s="93">
        <f t="shared" si="131"/>
        <v>0.2428822063391527</v>
      </c>
    </row>
    <row r="565" spans="2:41" x14ac:dyDescent="0.25">
      <c r="B565" s="91">
        <v>40169</v>
      </c>
      <c r="C565" s="89">
        <v>111.57</v>
      </c>
      <c r="D565" s="89">
        <v>111.970001</v>
      </c>
      <c r="E565" s="89">
        <v>111.43</v>
      </c>
      <c r="F565" s="89">
        <v>111.730003</v>
      </c>
      <c r="G565" s="89">
        <v>85.899849000000003</v>
      </c>
      <c r="H565" s="89">
        <v>91707500</v>
      </c>
      <c r="J565" s="89">
        <v>0</v>
      </c>
      <c r="K565" s="89">
        <f t="shared" si="127"/>
        <v>88</v>
      </c>
      <c r="L565" s="89">
        <f t="shared" si="128"/>
        <v>112.621376</v>
      </c>
      <c r="M565" s="89">
        <f>+SPY__2[[#This Row],[Adj Close]]</f>
        <v>85.899849000000003</v>
      </c>
      <c r="N565" s="89">
        <f t="shared" si="123"/>
        <v>7559.1867120000006</v>
      </c>
      <c r="O565" s="90">
        <f t="shared" si="124"/>
        <v>-2351.4943759999996</v>
      </c>
      <c r="P565" s="93">
        <f t="shared" si="125"/>
        <v>-0.23726869577583565</v>
      </c>
      <c r="Q565" s="96"/>
      <c r="R565" s="96"/>
      <c r="T565" s="90">
        <f t="shared" si="119"/>
        <v>95</v>
      </c>
      <c r="U565" s="89">
        <f t="shared" si="120"/>
        <v>103.31428490526316</v>
      </c>
      <c r="V565" s="89">
        <f t="shared" si="121"/>
        <v>85.899849000000003</v>
      </c>
      <c r="W565" s="90">
        <f t="shared" si="126"/>
        <v>8160.4856550000004</v>
      </c>
      <c r="X565" s="93">
        <f t="shared" si="122"/>
        <v>-0.16855787097816921</v>
      </c>
      <c r="AB565" s="89">
        <f t="shared" si="132"/>
        <v>195</v>
      </c>
      <c r="AC565" s="89">
        <f t="shared" si="133"/>
        <v>51.179276000000002</v>
      </c>
      <c r="AD565" s="89">
        <f t="shared" si="134"/>
        <v>85.899849000000003</v>
      </c>
      <c r="AE565" s="89">
        <f t="shared" si="135"/>
        <v>16750.470555</v>
      </c>
      <c r="AF565" s="90">
        <f t="shared" si="138"/>
        <v>6770.511735</v>
      </c>
      <c r="AG565" s="93">
        <f t="shared" si="139"/>
        <v>0.67841078877317451</v>
      </c>
      <c r="AK565" s="90">
        <f t="shared" si="136"/>
        <v>142</v>
      </c>
      <c r="AL565" s="89">
        <f t="shared" si="137"/>
        <v>68.865979063380294</v>
      </c>
      <c r="AM565" s="89">
        <f t="shared" si="129"/>
        <v>85.899849000000003</v>
      </c>
      <c r="AN565" s="90">
        <f t="shared" si="130"/>
        <v>12197.778558</v>
      </c>
      <c r="AO565" s="93">
        <f t="shared" si="131"/>
        <v>0.24734811249750344</v>
      </c>
    </row>
    <row r="566" spans="2:41" x14ac:dyDescent="0.25">
      <c r="B566" s="91">
        <v>40170</v>
      </c>
      <c r="C566" s="89">
        <v>112</v>
      </c>
      <c r="D566" s="89">
        <v>112.110001</v>
      </c>
      <c r="E566" s="89">
        <v>111.5</v>
      </c>
      <c r="F566" s="89">
        <v>111.949997</v>
      </c>
      <c r="G566" s="89">
        <v>86.068946999999994</v>
      </c>
      <c r="H566" s="89">
        <v>111783100</v>
      </c>
      <c r="J566" s="89">
        <v>0</v>
      </c>
      <c r="K566" s="89">
        <f t="shared" si="127"/>
        <v>88</v>
      </c>
      <c r="L566" s="89">
        <f t="shared" si="128"/>
        <v>112.621376</v>
      </c>
      <c r="M566" s="89">
        <f>+SPY__2[[#This Row],[Adj Close]]</f>
        <v>86.068946999999994</v>
      </c>
      <c r="N566" s="89">
        <f t="shared" si="123"/>
        <v>7574.0673359999992</v>
      </c>
      <c r="O566" s="90">
        <f t="shared" si="124"/>
        <v>-2336.6137520000002</v>
      </c>
      <c r="P566" s="93">
        <f t="shared" si="125"/>
        <v>-0.23576722237881376</v>
      </c>
      <c r="Q566" s="96"/>
      <c r="R566" s="96"/>
      <c r="T566" s="90">
        <f t="shared" si="119"/>
        <v>95</v>
      </c>
      <c r="U566" s="89">
        <f t="shared" si="120"/>
        <v>103.31428490526316</v>
      </c>
      <c r="V566" s="89">
        <f t="shared" si="121"/>
        <v>86.068946999999994</v>
      </c>
      <c r="W566" s="90">
        <f t="shared" si="126"/>
        <v>8176.5499649999992</v>
      </c>
      <c r="X566" s="93">
        <f t="shared" si="122"/>
        <v>-0.16692113700517552</v>
      </c>
      <c r="AB566" s="89">
        <f t="shared" si="132"/>
        <v>195</v>
      </c>
      <c r="AC566" s="89">
        <f t="shared" si="133"/>
        <v>51.179276000000002</v>
      </c>
      <c r="AD566" s="89">
        <f t="shared" si="134"/>
        <v>86.068946999999994</v>
      </c>
      <c r="AE566" s="89">
        <f t="shared" si="135"/>
        <v>16783.444664999999</v>
      </c>
      <c r="AF566" s="90">
        <f t="shared" si="138"/>
        <v>6803.4858449999983</v>
      </c>
      <c r="AG566" s="93">
        <f t="shared" si="139"/>
        <v>0.68171482144452367</v>
      </c>
      <c r="AK566" s="90">
        <f t="shared" si="136"/>
        <v>142</v>
      </c>
      <c r="AL566" s="89">
        <f t="shared" si="137"/>
        <v>68.865979063380294</v>
      </c>
      <c r="AM566" s="89">
        <f t="shared" si="129"/>
        <v>86.068946999999994</v>
      </c>
      <c r="AN566" s="90">
        <f t="shared" si="130"/>
        <v>12221.790473999999</v>
      </c>
      <c r="AO566" s="93">
        <f t="shared" si="131"/>
        <v>0.24980357747890403</v>
      </c>
    </row>
    <row r="567" spans="2:41" x14ac:dyDescent="0.25">
      <c r="B567" s="91">
        <v>40171</v>
      </c>
      <c r="C567" s="89">
        <v>112.19000200000001</v>
      </c>
      <c r="D567" s="89">
        <v>112.599998</v>
      </c>
      <c r="E567" s="89">
        <v>112</v>
      </c>
      <c r="F567" s="89">
        <v>112.480003</v>
      </c>
      <c r="G567" s="89">
        <v>86.476455999999999</v>
      </c>
      <c r="H567" s="89">
        <v>39677500</v>
      </c>
      <c r="J567" s="89">
        <v>0</v>
      </c>
      <c r="K567" s="89">
        <f t="shared" si="127"/>
        <v>88</v>
      </c>
      <c r="L567" s="89">
        <f t="shared" si="128"/>
        <v>112.621376</v>
      </c>
      <c r="M567" s="89">
        <f>+SPY__2[[#This Row],[Adj Close]]</f>
        <v>86.476455999999999</v>
      </c>
      <c r="N567" s="89">
        <f t="shared" si="123"/>
        <v>7609.9281279999996</v>
      </c>
      <c r="O567" s="90">
        <f t="shared" si="124"/>
        <v>-2300.7529599999998</v>
      </c>
      <c r="P567" s="93">
        <f t="shared" si="125"/>
        <v>-0.23214882403852</v>
      </c>
      <c r="Q567" s="96"/>
      <c r="R567" s="96"/>
      <c r="T567" s="90">
        <f t="shared" si="119"/>
        <v>95</v>
      </c>
      <c r="U567" s="89">
        <f t="shared" si="120"/>
        <v>103.31428490526316</v>
      </c>
      <c r="V567" s="89">
        <f t="shared" si="121"/>
        <v>86.476455999999999</v>
      </c>
      <c r="W567" s="90">
        <f t="shared" si="126"/>
        <v>8215.26332</v>
      </c>
      <c r="X567" s="93">
        <f t="shared" si="122"/>
        <v>-0.16297677441897862</v>
      </c>
      <c r="AB567" s="89">
        <f t="shared" si="132"/>
        <v>195</v>
      </c>
      <c r="AC567" s="89">
        <f t="shared" si="133"/>
        <v>51.179276000000002</v>
      </c>
      <c r="AD567" s="89">
        <f t="shared" si="134"/>
        <v>86.476455999999999</v>
      </c>
      <c r="AE567" s="89">
        <f t="shared" si="135"/>
        <v>16862.908919999998</v>
      </c>
      <c r="AF567" s="90">
        <f t="shared" si="138"/>
        <v>6882.9500999999991</v>
      </c>
      <c r="AG567" s="93">
        <f t="shared" si="139"/>
        <v>0.68967720449972747</v>
      </c>
      <c r="AK567" s="90">
        <f t="shared" si="136"/>
        <v>142</v>
      </c>
      <c r="AL567" s="89">
        <f t="shared" si="137"/>
        <v>68.865979063380294</v>
      </c>
      <c r="AM567" s="89">
        <f t="shared" si="129"/>
        <v>86.476455999999999</v>
      </c>
      <c r="AN567" s="90">
        <f t="shared" si="130"/>
        <v>12279.656751999999</v>
      </c>
      <c r="AO567" s="93">
        <f t="shared" si="131"/>
        <v>0.25572099861401854</v>
      </c>
    </row>
    <row r="568" spans="2:41" x14ac:dyDescent="0.25">
      <c r="B568" s="91">
        <v>40175</v>
      </c>
      <c r="C568" s="89">
        <v>112.900002</v>
      </c>
      <c r="D568" s="89">
        <v>112.989998</v>
      </c>
      <c r="E568" s="89">
        <v>112.32</v>
      </c>
      <c r="F568" s="89">
        <v>112.720001</v>
      </c>
      <c r="G568" s="89">
        <v>86.66095</v>
      </c>
      <c r="H568" s="89">
        <v>87508500</v>
      </c>
      <c r="J568" s="89">
        <v>0</v>
      </c>
      <c r="K568" s="89">
        <f t="shared" si="127"/>
        <v>88</v>
      </c>
      <c r="L568" s="89">
        <f t="shared" si="128"/>
        <v>112.621376</v>
      </c>
      <c r="M568" s="89">
        <f>+SPY__2[[#This Row],[Adj Close]]</f>
        <v>86.66095</v>
      </c>
      <c r="N568" s="89">
        <f t="shared" si="123"/>
        <v>7626.1635999999999</v>
      </c>
      <c r="O568" s="90">
        <f t="shared" si="124"/>
        <v>-2284.517488</v>
      </c>
      <c r="P568" s="93">
        <f t="shared" si="125"/>
        <v>-0.23051064479979355</v>
      </c>
      <c r="Q568" s="96"/>
      <c r="R568" s="96"/>
      <c r="T568" s="90">
        <f t="shared" si="119"/>
        <v>95</v>
      </c>
      <c r="U568" s="89">
        <f t="shared" si="120"/>
        <v>103.31428490526316</v>
      </c>
      <c r="V568" s="89">
        <f t="shared" si="121"/>
        <v>86.66095</v>
      </c>
      <c r="W568" s="90">
        <f t="shared" si="126"/>
        <v>8232.79025</v>
      </c>
      <c r="X568" s="93">
        <f t="shared" si="122"/>
        <v>-0.16119101942711878</v>
      </c>
      <c r="AB568" s="89">
        <f t="shared" si="132"/>
        <v>195</v>
      </c>
      <c r="AC568" s="89">
        <f t="shared" si="133"/>
        <v>51.179276000000002</v>
      </c>
      <c r="AD568" s="89">
        <f t="shared" si="134"/>
        <v>86.66095</v>
      </c>
      <c r="AE568" s="89">
        <f t="shared" si="135"/>
        <v>16898.885249999999</v>
      </c>
      <c r="AF568" s="90">
        <f t="shared" si="138"/>
        <v>6918.9264299999995</v>
      </c>
      <c r="AG568" s="93">
        <f t="shared" si="139"/>
        <v>0.69328206205965071</v>
      </c>
      <c r="AK568" s="90">
        <f t="shared" si="136"/>
        <v>142</v>
      </c>
      <c r="AL568" s="89">
        <f t="shared" si="137"/>
        <v>68.865979063380294</v>
      </c>
      <c r="AM568" s="89">
        <f t="shared" si="129"/>
        <v>86.66095</v>
      </c>
      <c r="AN568" s="90">
        <f t="shared" si="130"/>
        <v>12305.8549</v>
      </c>
      <c r="AO568" s="93">
        <f t="shared" si="131"/>
        <v>0.25840002826711062</v>
      </c>
    </row>
    <row r="569" spans="2:41" x14ac:dyDescent="0.25">
      <c r="B569" s="91">
        <v>40176</v>
      </c>
      <c r="C569" s="89">
        <v>113.010002</v>
      </c>
      <c r="D569" s="89">
        <v>113.029999</v>
      </c>
      <c r="E569" s="89">
        <v>112.550003</v>
      </c>
      <c r="F569" s="89">
        <v>112.55999799999999</v>
      </c>
      <c r="G569" s="89">
        <v>86.537941000000004</v>
      </c>
      <c r="H569" s="89">
        <v>80572500</v>
      </c>
      <c r="J569" s="89">
        <v>0</v>
      </c>
      <c r="K569" s="89">
        <f t="shared" si="127"/>
        <v>88</v>
      </c>
      <c r="L569" s="89">
        <f t="shared" si="128"/>
        <v>112.621376</v>
      </c>
      <c r="M569" s="89">
        <f>+SPY__2[[#This Row],[Adj Close]]</f>
        <v>86.537941000000004</v>
      </c>
      <c r="N569" s="89">
        <f t="shared" si="123"/>
        <v>7615.3388080000004</v>
      </c>
      <c r="O569" s="90">
        <f t="shared" si="124"/>
        <v>-2295.3422799999994</v>
      </c>
      <c r="P569" s="93">
        <f t="shared" si="125"/>
        <v>-0.23160287972329507</v>
      </c>
      <c r="Q569" s="96"/>
      <c r="R569" s="96"/>
      <c r="T569" s="90">
        <f t="shared" si="119"/>
        <v>95</v>
      </c>
      <c r="U569" s="89">
        <f t="shared" si="120"/>
        <v>103.31428490526316</v>
      </c>
      <c r="V569" s="89">
        <f t="shared" si="121"/>
        <v>86.537941000000004</v>
      </c>
      <c r="W569" s="90">
        <f t="shared" si="126"/>
        <v>8221.1043950000003</v>
      </c>
      <c r="X569" s="93">
        <f t="shared" si="122"/>
        <v>-0.1623816485846723</v>
      </c>
      <c r="AB569" s="89">
        <f t="shared" si="132"/>
        <v>195</v>
      </c>
      <c r="AC569" s="89">
        <f t="shared" si="133"/>
        <v>51.179276000000002</v>
      </c>
      <c r="AD569" s="89">
        <f t="shared" si="134"/>
        <v>86.537941000000004</v>
      </c>
      <c r="AE569" s="89">
        <f t="shared" si="135"/>
        <v>16874.898495000001</v>
      </c>
      <c r="AF569" s="90">
        <f t="shared" si="138"/>
        <v>6894.9396750000005</v>
      </c>
      <c r="AG569" s="93">
        <f t="shared" si="139"/>
        <v>0.69087856967730454</v>
      </c>
      <c r="AK569" s="90">
        <f t="shared" si="136"/>
        <v>142</v>
      </c>
      <c r="AL569" s="89">
        <f t="shared" si="137"/>
        <v>68.865979063380294</v>
      </c>
      <c r="AM569" s="89">
        <f t="shared" si="129"/>
        <v>86.537941000000004</v>
      </c>
      <c r="AN569" s="90">
        <f t="shared" si="130"/>
        <v>12288.387622</v>
      </c>
      <c r="AO569" s="93">
        <f t="shared" si="131"/>
        <v>0.25661381972592667</v>
      </c>
    </row>
    <row r="570" spans="2:41" x14ac:dyDescent="0.25">
      <c r="B570" s="91">
        <v>40177</v>
      </c>
      <c r="C570" s="89">
        <v>112.230003</v>
      </c>
      <c r="D570" s="89">
        <v>112.650002</v>
      </c>
      <c r="E570" s="89">
        <v>112.16999800000001</v>
      </c>
      <c r="F570" s="89">
        <v>112.519997</v>
      </c>
      <c r="G570" s="89">
        <v>86.507187000000002</v>
      </c>
      <c r="H570" s="89">
        <v>73138400</v>
      </c>
      <c r="J570" s="89">
        <v>0</v>
      </c>
      <c r="K570" s="89">
        <f t="shared" si="127"/>
        <v>88</v>
      </c>
      <c r="L570" s="89">
        <f t="shared" si="128"/>
        <v>112.621376</v>
      </c>
      <c r="M570" s="89">
        <f>+SPY__2[[#This Row],[Adj Close]]</f>
        <v>86.507187000000002</v>
      </c>
      <c r="N570" s="89">
        <f t="shared" si="123"/>
        <v>7612.6324560000003</v>
      </c>
      <c r="O570" s="90">
        <f t="shared" si="124"/>
        <v>-2298.0486319999995</v>
      </c>
      <c r="P570" s="93">
        <f t="shared" si="125"/>
        <v>-0.23187595399296135</v>
      </c>
      <c r="Q570" s="96"/>
      <c r="R570" s="96"/>
      <c r="T570" s="90">
        <f t="shared" si="119"/>
        <v>95</v>
      </c>
      <c r="U570" s="89">
        <f t="shared" si="120"/>
        <v>103.31428490526316</v>
      </c>
      <c r="V570" s="89">
        <f t="shared" si="121"/>
        <v>86.507187000000002</v>
      </c>
      <c r="W570" s="90">
        <f t="shared" si="126"/>
        <v>8218.1827649999996</v>
      </c>
      <c r="X570" s="93">
        <f t="shared" si="122"/>
        <v>-0.16267932281266717</v>
      </c>
      <c r="AB570" s="89">
        <f t="shared" si="132"/>
        <v>195</v>
      </c>
      <c r="AC570" s="89">
        <f t="shared" si="133"/>
        <v>51.179276000000002</v>
      </c>
      <c r="AD570" s="89">
        <f t="shared" si="134"/>
        <v>86.507187000000002</v>
      </c>
      <c r="AE570" s="89">
        <f t="shared" si="135"/>
        <v>16868.901464999999</v>
      </c>
      <c r="AF570" s="90">
        <f t="shared" si="138"/>
        <v>6888.9426450000001</v>
      </c>
      <c r="AG570" s="93">
        <f t="shared" si="139"/>
        <v>0.69027766238819011</v>
      </c>
      <c r="AK570" s="90">
        <f t="shared" si="136"/>
        <v>142</v>
      </c>
      <c r="AL570" s="89">
        <f t="shared" si="137"/>
        <v>68.865979063380294</v>
      </c>
      <c r="AM570" s="89">
        <f t="shared" si="129"/>
        <v>86.507187000000002</v>
      </c>
      <c r="AN570" s="90">
        <f t="shared" si="130"/>
        <v>12284.020554000001</v>
      </c>
      <c r="AO570" s="93">
        <f t="shared" si="131"/>
        <v>0.25616724217895404</v>
      </c>
    </row>
    <row r="571" spans="2:41" x14ac:dyDescent="0.25">
      <c r="B571" s="91">
        <v>40178</v>
      </c>
      <c r="C571" s="89">
        <v>112.769997</v>
      </c>
      <c r="D571" s="89">
        <v>112.800003</v>
      </c>
      <c r="E571" s="89">
        <v>111.389999</v>
      </c>
      <c r="F571" s="89">
        <v>111.44000200000001</v>
      </c>
      <c r="G571" s="89">
        <v>85.676879999999997</v>
      </c>
      <c r="H571" s="89">
        <v>90637900</v>
      </c>
      <c r="J571" s="89">
        <v>0</v>
      </c>
      <c r="K571" s="89">
        <f t="shared" si="127"/>
        <v>88</v>
      </c>
      <c r="L571" s="89">
        <f t="shared" si="128"/>
        <v>112.621376</v>
      </c>
      <c r="M571" s="89">
        <f>+SPY__2[[#This Row],[Adj Close]]</f>
        <v>85.676879999999997</v>
      </c>
      <c r="N571" s="89">
        <f t="shared" si="123"/>
        <v>7539.5654399999994</v>
      </c>
      <c r="O571" s="90">
        <f t="shared" si="124"/>
        <v>-2371.115648</v>
      </c>
      <c r="P571" s="93">
        <f t="shared" si="125"/>
        <v>-0.23924850642918805</v>
      </c>
      <c r="Q571" s="96"/>
      <c r="R571" s="96"/>
      <c r="T571" s="90">
        <f t="shared" si="119"/>
        <v>95</v>
      </c>
      <c r="U571" s="89">
        <f t="shared" si="120"/>
        <v>103.31428490526316</v>
      </c>
      <c r="V571" s="89">
        <f t="shared" si="121"/>
        <v>85.676879999999997</v>
      </c>
      <c r="W571" s="90">
        <f t="shared" si="126"/>
        <v>8139.3035999999993</v>
      </c>
      <c r="X571" s="93">
        <f t="shared" si="122"/>
        <v>-0.17071603332913998</v>
      </c>
      <c r="AB571" s="89">
        <f t="shared" si="132"/>
        <v>195</v>
      </c>
      <c r="AC571" s="89">
        <f t="shared" si="133"/>
        <v>51.179276000000002</v>
      </c>
      <c r="AD571" s="89">
        <f t="shared" si="134"/>
        <v>85.676879999999997</v>
      </c>
      <c r="AE571" s="89">
        <f t="shared" si="135"/>
        <v>16706.991600000001</v>
      </c>
      <c r="AF571" s="90">
        <f t="shared" si="138"/>
        <v>6727.0327799999995</v>
      </c>
      <c r="AG571" s="93">
        <f t="shared" si="139"/>
        <v>0.67405416207919777</v>
      </c>
      <c r="AK571" s="90">
        <f t="shared" si="136"/>
        <v>142</v>
      </c>
      <c r="AL571" s="89">
        <f t="shared" si="137"/>
        <v>68.865979063380294</v>
      </c>
      <c r="AM571" s="89">
        <f t="shared" si="129"/>
        <v>85.676879999999997</v>
      </c>
      <c r="AN571" s="90">
        <f t="shared" si="130"/>
        <v>12166.116959999999</v>
      </c>
      <c r="AO571" s="93">
        <f t="shared" si="131"/>
        <v>0.24411038897955573</v>
      </c>
    </row>
    <row r="572" spans="2:41" x14ac:dyDescent="0.25">
      <c r="B572" s="91">
        <v>40182</v>
      </c>
      <c r="C572" s="89">
        <v>112.370003</v>
      </c>
      <c r="D572" s="89">
        <v>113.389999</v>
      </c>
      <c r="E572" s="89">
        <v>111.510002</v>
      </c>
      <c r="F572" s="89">
        <v>113.33000199999999</v>
      </c>
      <c r="G572" s="89">
        <v>87.129920999999996</v>
      </c>
      <c r="H572" s="89">
        <v>118944600</v>
      </c>
      <c r="J572" s="89">
        <v>0</v>
      </c>
      <c r="K572" s="89">
        <f t="shared" si="127"/>
        <v>88</v>
      </c>
      <c r="L572" s="89">
        <f t="shared" si="128"/>
        <v>112.621376</v>
      </c>
      <c r="M572" s="89">
        <f>+SPY__2[[#This Row],[Adj Close]]</f>
        <v>87.129920999999996</v>
      </c>
      <c r="N572" s="89">
        <f t="shared" si="123"/>
        <v>7667.4330479999999</v>
      </c>
      <c r="O572" s="90">
        <f t="shared" si="124"/>
        <v>-2243.2480400000004</v>
      </c>
      <c r="P572" s="93">
        <f t="shared" si="125"/>
        <v>-0.22634650636838249</v>
      </c>
      <c r="Q572" s="96"/>
      <c r="R572" s="96"/>
      <c r="T572" s="90">
        <f t="shared" si="119"/>
        <v>95</v>
      </c>
      <c r="U572" s="89">
        <f t="shared" si="120"/>
        <v>103.31428490526316</v>
      </c>
      <c r="V572" s="89">
        <f t="shared" si="121"/>
        <v>87.129920999999996</v>
      </c>
      <c r="W572" s="90">
        <f t="shared" si="126"/>
        <v>8277.342494999999</v>
      </c>
      <c r="X572" s="93">
        <f t="shared" si="122"/>
        <v>-0.15665175362829897</v>
      </c>
      <c r="AB572" s="89">
        <f t="shared" si="132"/>
        <v>195</v>
      </c>
      <c r="AC572" s="89">
        <f t="shared" si="133"/>
        <v>51.179276000000002</v>
      </c>
      <c r="AD572" s="89">
        <f t="shared" si="134"/>
        <v>87.129920999999996</v>
      </c>
      <c r="AE572" s="89">
        <f t="shared" si="135"/>
        <v>16990.334595</v>
      </c>
      <c r="AF572" s="90">
        <f t="shared" si="138"/>
        <v>7010.3757749999986</v>
      </c>
      <c r="AG572" s="93">
        <f t="shared" si="139"/>
        <v>0.70244536089177956</v>
      </c>
      <c r="AK572" s="90">
        <f t="shared" si="136"/>
        <v>142</v>
      </c>
      <c r="AL572" s="89">
        <f t="shared" si="137"/>
        <v>68.865979063380294</v>
      </c>
      <c r="AM572" s="89">
        <f t="shared" si="129"/>
        <v>87.129920999999996</v>
      </c>
      <c r="AN572" s="90">
        <f t="shared" si="130"/>
        <v>12372.448781999999</v>
      </c>
      <c r="AO572" s="93">
        <f t="shared" si="131"/>
        <v>0.26520993653209546</v>
      </c>
    </row>
    <row r="573" spans="2:41" x14ac:dyDescent="0.25">
      <c r="B573" s="91">
        <v>40183</v>
      </c>
      <c r="C573" s="89">
        <v>113.260002</v>
      </c>
      <c r="D573" s="89">
        <v>113.68</v>
      </c>
      <c r="E573" s="89">
        <v>112.849998</v>
      </c>
      <c r="F573" s="89">
        <v>113.629997</v>
      </c>
      <c r="G573" s="89">
        <v>87.360588000000007</v>
      </c>
      <c r="H573" s="89">
        <v>111579900</v>
      </c>
      <c r="J573" s="89">
        <v>0</v>
      </c>
      <c r="K573" s="89">
        <f t="shared" si="127"/>
        <v>88</v>
      </c>
      <c r="L573" s="89">
        <f t="shared" si="128"/>
        <v>112.621376</v>
      </c>
      <c r="M573" s="89">
        <f>+SPY__2[[#This Row],[Adj Close]]</f>
        <v>87.360588000000007</v>
      </c>
      <c r="N573" s="89">
        <f t="shared" si="123"/>
        <v>7687.7317440000006</v>
      </c>
      <c r="O573" s="90">
        <f t="shared" si="124"/>
        <v>-2222.9493439999992</v>
      </c>
      <c r="P573" s="93">
        <f t="shared" si="125"/>
        <v>-0.22429834279417782</v>
      </c>
      <c r="Q573" s="96"/>
      <c r="R573" s="96"/>
      <c r="T573" s="90">
        <f t="shared" si="119"/>
        <v>95</v>
      </c>
      <c r="U573" s="89">
        <f t="shared" si="120"/>
        <v>103.31428490526316</v>
      </c>
      <c r="V573" s="89">
        <f t="shared" si="121"/>
        <v>87.360588000000007</v>
      </c>
      <c r="W573" s="90">
        <f t="shared" si="126"/>
        <v>8299.2558600000011</v>
      </c>
      <c r="X573" s="93">
        <f t="shared" si="122"/>
        <v>-0.15441908076789501</v>
      </c>
      <c r="AB573" s="89">
        <f t="shared" si="132"/>
        <v>195</v>
      </c>
      <c r="AC573" s="89">
        <f t="shared" si="133"/>
        <v>51.179276000000002</v>
      </c>
      <c r="AD573" s="89">
        <f t="shared" si="134"/>
        <v>87.360588000000007</v>
      </c>
      <c r="AE573" s="89">
        <f t="shared" si="135"/>
        <v>17035.31466</v>
      </c>
      <c r="AF573" s="90">
        <f t="shared" si="138"/>
        <v>7055.3558400000011</v>
      </c>
      <c r="AG573" s="93">
        <f t="shared" si="139"/>
        <v>0.70695240003004356</v>
      </c>
      <c r="AK573" s="90">
        <f t="shared" si="136"/>
        <v>142</v>
      </c>
      <c r="AL573" s="89">
        <f t="shared" si="137"/>
        <v>68.865979063380294</v>
      </c>
      <c r="AM573" s="89">
        <f t="shared" si="129"/>
        <v>87.360588000000007</v>
      </c>
      <c r="AN573" s="90">
        <f t="shared" si="130"/>
        <v>12405.203496000002</v>
      </c>
      <c r="AO573" s="93">
        <f t="shared" si="131"/>
        <v>0.26855944238588902</v>
      </c>
    </row>
    <row r="574" spans="2:41" x14ac:dyDescent="0.25">
      <c r="B574" s="91">
        <v>40184</v>
      </c>
      <c r="C574" s="89">
        <v>113.519997</v>
      </c>
      <c r="D574" s="89">
        <v>113.989998</v>
      </c>
      <c r="E574" s="89">
        <v>113.43</v>
      </c>
      <c r="F574" s="89">
        <v>113.709999</v>
      </c>
      <c r="G574" s="89">
        <v>87.422081000000006</v>
      </c>
      <c r="H574" s="89">
        <v>116074400</v>
      </c>
      <c r="J574" s="89">
        <v>0</v>
      </c>
      <c r="K574" s="89">
        <f t="shared" si="127"/>
        <v>88</v>
      </c>
      <c r="L574" s="89">
        <f t="shared" si="128"/>
        <v>112.621376</v>
      </c>
      <c r="M574" s="89">
        <f>+SPY__2[[#This Row],[Adj Close]]</f>
        <v>87.422081000000006</v>
      </c>
      <c r="N574" s="89">
        <f t="shared" si="123"/>
        <v>7693.1431280000006</v>
      </c>
      <c r="O574" s="90">
        <f t="shared" si="124"/>
        <v>-2217.5379599999992</v>
      </c>
      <c r="P574" s="93">
        <f t="shared" si="125"/>
        <v>-0.22375232744448081</v>
      </c>
      <c r="Q574" s="96"/>
      <c r="R574" s="96"/>
      <c r="T574" s="90">
        <f t="shared" si="119"/>
        <v>95</v>
      </c>
      <c r="U574" s="89">
        <f t="shared" si="120"/>
        <v>103.31428490526316</v>
      </c>
      <c r="V574" s="89">
        <f t="shared" si="121"/>
        <v>87.422081000000006</v>
      </c>
      <c r="W574" s="90">
        <f t="shared" si="126"/>
        <v>8305.0976950000004</v>
      </c>
      <c r="X574" s="93">
        <f t="shared" si="122"/>
        <v>-0.15382387749995996</v>
      </c>
      <c r="AB574" s="89">
        <f t="shared" si="132"/>
        <v>195</v>
      </c>
      <c r="AC574" s="89">
        <f t="shared" si="133"/>
        <v>51.179276000000002</v>
      </c>
      <c r="AD574" s="89">
        <f t="shared" si="134"/>
        <v>87.422081000000006</v>
      </c>
      <c r="AE574" s="89">
        <f t="shared" si="135"/>
        <v>17047.305795</v>
      </c>
      <c r="AF574" s="90">
        <f t="shared" si="138"/>
        <v>7067.3469750000004</v>
      </c>
      <c r="AG574" s="93">
        <f t="shared" si="139"/>
        <v>0.70815392152089074</v>
      </c>
      <c r="AK574" s="90">
        <f t="shared" si="136"/>
        <v>142</v>
      </c>
      <c r="AL574" s="89">
        <f t="shared" si="137"/>
        <v>68.865979063380294</v>
      </c>
      <c r="AM574" s="89">
        <f t="shared" si="129"/>
        <v>87.422081000000006</v>
      </c>
      <c r="AN574" s="90">
        <f t="shared" si="130"/>
        <v>12413.935502</v>
      </c>
      <c r="AO574" s="93">
        <f t="shared" si="131"/>
        <v>0.2694523796654622</v>
      </c>
    </row>
    <row r="575" spans="2:41" x14ac:dyDescent="0.25">
      <c r="B575" s="91">
        <v>40185</v>
      </c>
      <c r="C575" s="89">
        <v>113.5</v>
      </c>
      <c r="D575" s="89">
        <v>114.33000199999999</v>
      </c>
      <c r="E575" s="89">
        <v>113.18</v>
      </c>
      <c r="F575" s="89">
        <v>114.19000200000001</v>
      </c>
      <c r="G575" s="89">
        <v>87.791138000000004</v>
      </c>
      <c r="H575" s="89">
        <v>131091100</v>
      </c>
      <c r="J575" s="89">
        <v>0</v>
      </c>
      <c r="K575" s="89">
        <f t="shared" si="127"/>
        <v>88</v>
      </c>
      <c r="L575" s="89">
        <f t="shared" si="128"/>
        <v>112.621376</v>
      </c>
      <c r="M575" s="89">
        <f>+SPY__2[[#This Row],[Adj Close]]</f>
        <v>87.791138000000004</v>
      </c>
      <c r="N575" s="89">
        <f t="shared" si="123"/>
        <v>7725.6201440000004</v>
      </c>
      <c r="O575" s="90">
        <f t="shared" si="124"/>
        <v>-2185.0609439999994</v>
      </c>
      <c r="P575" s="93">
        <f t="shared" si="125"/>
        <v>-0.22047535629470549</v>
      </c>
      <c r="Q575" s="96"/>
      <c r="R575" s="96"/>
      <c r="T575" s="90">
        <f t="shared" si="119"/>
        <v>95</v>
      </c>
      <c r="U575" s="89">
        <f t="shared" si="120"/>
        <v>103.31428490526316</v>
      </c>
      <c r="V575" s="89">
        <f t="shared" si="121"/>
        <v>87.791138000000004</v>
      </c>
      <c r="W575" s="90">
        <f t="shared" si="126"/>
        <v>8340.1581100000003</v>
      </c>
      <c r="X575" s="93">
        <f t="shared" si="122"/>
        <v>-0.15025169965119078</v>
      </c>
      <c r="AB575" s="89">
        <f t="shared" si="132"/>
        <v>195</v>
      </c>
      <c r="AC575" s="89">
        <f t="shared" si="133"/>
        <v>51.179276000000002</v>
      </c>
      <c r="AD575" s="89">
        <f t="shared" si="134"/>
        <v>87.791138000000004</v>
      </c>
      <c r="AE575" s="89">
        <f t="shared" si="135"/>
        <v>17119.271909999999</v>
      </c>
      <c r="AF575" s="90">
        <f t="shared" si="138"/>
        <v>7139.3130900000006</v>
      </c>
      <c r="AG575" s="93">
        <f t="shared" si="139"/>
        <v>0.71536498484269306</v>
      </c>
      <c r="AK575" s="90">
        <f t="shared" si="136"/>
        <v>142</v>
      </c>
      <c r="AL575" s="89">
        <f t="shared" si="137"/>
        <v>68.865979063380294</v>
      </c>
      <c r="AM575" s="89">
        <f t="shared" si="129"/>
        <v>87.791138000000004</v>
      </c>
      <c r="AN575" s="90">
        <f t="shared" si="130"/>
        <v>12466.341596</v>
      </c>
      <c r="AO575" s="93">
        <f t="shared" si="131"/>
        <v>0.27481144091775822</v>
      </c>
    </row>
    <row r="576" spans="2:41" x14ac:dyDescent="0.25">
      <c r="B576" s="91">
        <v>40186</v>
      </c>
      <c r="C576" s="89">
        <v>113.889999</v>
      </c>
      <c r="D576" s="89">
        <v>114.620003</v>
      </c>
      <c r="E576" s="89">
        <v>113.660004</v>
      </c>
      <c r="F576" s="89">
        <v>114.57</v>
      </c>
      <c r="G576" s="89">
        <v>88.083290000000005</v>
      </c>
      <c r="H576" s="89">
        <v>126402800</v>
      </c>
      <c r="J576" s="89">
        <v>0</v>
      </c>
      <c r="K576" s="89">
        <f t="shared" si="127"/>
        <v>88</v>
      </c>
      <c r="L576" s="89">
        <f t="shared" si="128"/>
        <v>112.621376</v>
      </c>
      <c r="M576" s="89">
        <f>+SPY__2[[#This Row],[Adj Close]]</f>
        <v>88.083290000000005</v>
      </c>
      <c r="N576" s="89">
        <f t="shared" si="123"/>
        <v>7751.3295200000002</v>
      </c>
      <c r="O576" s="90">
        <f t="shared" si="124"/>
        <v>-2159.3515679999991</v>
      </c>
      <c r="P576" s="93">
        <f t="shared" si="125"/>
        <v>-0.21788124840527601</v>
      </c>
      <c r="Q576" s="96"/>
      <c r="R576" s="96"/>
      <c r="T576" s="90">
        <f t="shared" si="119"/>
        <v>95</v>
      </c>
      <c r="U576" s="89">
        <f t="shared" si="120"/>
        <v>103.31428490526316</v>
      </c>
      <c r="V576" s="89">
        <f t="shared" si="121"/>
        <v>88.083290000000005</v>
      </c>
      <c r="W576" s="90">
        <f t="shared" si="126"/>
        <v>8367.9125500000009</v>
      </c>
      <c r="X576" s="93">
        <f t="shared" si="122"/>
        <v>-0.14742390095648072</v>
      </c>
      <c r="AB576" s="89">
        <f t="shared" si="132"/>
        <v>195</v>
      </c>
      <c r="AC576" s="89">
        <f t="shared" si="133"/>
        <v>51.179276000000002</v>
      </c>
      <c r="AD576" s="89">
        <f t="shared" si="134"/>
        <v>88.083290000000005</v>
      </c>
      <c r="AE576" s="89">
        <f t="shared" si="135"/>
        <v>17176.241550000002</v>
      </c>
      <c r="AF576" s="90">
        <f t="shared" si="138"/>
        <v>7196.2827300000008</v>
      </c>
      <c r="AG576" s="93">
        <f t="shared" si="139"/>
        <v>0.7210733891585337</v>
      </c>
      <c r="AK576" s="90">
        <f t="shared" si="136"/>
        <v>142</v>
      </c>
      <c r="AL576" s="89">
        <f t="shared" si="137"/>
        <v>68.865979063380294</v>
      </c>
      <c r="AM576" s="89">
        <f t="shared" si="129"/>
        <v>88.083290000000005</v>
      </c>
      <c r="AN576" s="90">
        <f t="shared" si="130"/>
        <v>12507.82718</v>
      </c>
      <c r="AO576" s="93">
        <f t="shared" si="131"/>
        <v>0.2790537678834597</v>
      </c>
    </row>
    <row r="577" spans="2:41" x14ac:dyDescent="0.25">
      <c r="B577" s="91">
        <v>40189</v>
      </c>
      <c r="C577" s="89">
        <v>115.08000199999999</v>
      </c>
      <c r="D577" s="89">
        <v>115.129997</v>
      </c>
      <c r="E577" s="89">
        <v>114.239998</v>
      </c>
      <c r="F577" s="89">
        <v>114.730003</v>
      </c>
      <c r="G577" s="89">
        <v>88.206290999999993</v>
      </c>
      <c r="H577" s="89">
        <v>106375700</v>
      </c>
      <c r="J577" s="89">
        <v>0</v>
      </c>
      <c r="K577" s="89">
        <f t="shared" si="127"/>
        <v>88</v>
      </c>
      <c r="L577" s="89">
        <f t="shared" si="128"/>
        <v>112.621376</v>
      </c>
      <c r="M577" s="89">
        <f>+SPY__2[[#This Row],[Adj Close]]</f>
        <v>88.206290999999993</v>
      </c>
      <c r="N577" s="89">
        <f t="shared" si="123"/>
        <v>7762.1536079999996</v>
      </c>
      <c r="O577" s="90">
        <f t="shared" si="124"/>
        <v>-2148.5274800000007</v>
      </c>
      <c r="P577" s="93">
        <f t="shared" si="125"/>
        <v>-0.21678908451624679</v>
      </c>
      <c r="Q577" s="96"/>
      <c r="R577" s="96"/>
      <c r="T577" s="90">
        <f t="shared" si="119"/>
        <v>95</v>
      </c>
      <c r="U577" s="89">
        <f t="shared" si="120"/>
        <v>103.31428490526316</v>
      </c>
      <c r="V577" s="89">
        <f t="shared" si="121"/>
        <v>88.206290999999993</v>
      </c>
      <c r="W577" s="90">
        <f t="shared" si="126"/>
        <v>8379.5976449999998</v>
      </c>
      <c r="X577" s="93">
        <f t="shared" si="122"/>
        <v>-0.14623334923255626</v>
      </c>
      <c r="AB577" s="89">
        <f t="shared" si="132"/>
        <v>195</v>
      </c>
      <c r="AC577" s="89">
        <f t="shared" si="133"/>
        <v>51.179276000000002</v>
      </c>
      <c r="AD577" s="89">
        <f t="shared" si="134"/>
        <v>88.206290999999993</v>
      </c>
      <c r="AE577" s="89">
        <f t="shared" si="135"/>
        <v>17200.226745</v>
      </c>
      <c r="AF577" s="90">
        <f t="shared" si="138"/>
        <v>7220.2679249999983</v>
      </c>
      <c r="AG577" s="93">
        <f t="shared" si="139"/>
        <v>0.72347672522760953</v>
      </c>
      <c r="AK577" s="90">
        <f t="shared" si="136"/>
        <v>142</v>
      </c>
      <c r="AL577" s="89">
        <f t="shared" si="137"/>
        <v>68.865979063380294</v>
      </c>
      <c r="AM577" s="89">
        <f t="shared" si="129"/>
        <v>88.206290999999993</v>
      </c>
      <c r="AN577" s="90">
        <f t="shared" si="130"/>
        <v>12525.293322</v>
      </c>
      <c r="AO577" s="93">
        <f t="shared" si="131"/>
        <v>0.28083986025697816</v>
      </c>
    </row>
    <row r="578" spans="2:41" x14ac:dyDescent="0.25">
      <c r="B578" s="91">
        <v>40190</v>
      </c>
      <c r="C578" s="89">
        <v>113.970001</v>
      </c>
      <c r="D578" s="89">
        <v>114.209999</v>
      </c>
      <c r="E578" s="89">
        <v>113.220001</v>
      </c>
      <c r="F578" s="89">
        <v>113.660004</v>
      </c>
      <c r="G578" s="89">
        <v>87.383658999999994</v>
      </c>
      <c r="H578" s="89">
        <v>163333500</v>
      </c>
      <c r="J578" s="89">
        <v>0</v>
      </c>
      <c r="K578" s="89">
        <f t="shared" si="127"/>
        <v>88</v>
      </c>
      <c r="L578" s="89">
        <f t="shared" si="128"/>
        <v>112.621376</v>
      </c>
      <c r="M578" s="89">
        <f>+SPY__2[[#This Row],[Adj Close]]</f>
        <v>87.383658999999994</v>
      </c>
      <c r="N578" s="89">
        <f t="shared" si="123"/>
        <v>7689.7619919999997</v>
      </c>
      <c r="O578" s="90">
        <f t="shared" si="124"/>
        <v>-2220.9190960000005</v>
      </c>
      <c r="P578" s="93">
        <f t="shared" si="125"/>
        <v>-0.22409348825572872</v>
      </c>
      <c r="Q578" s="96"/>
      <c r="R578" s="96"/>
      <c r="T578" s="90">
        <f t="shared" ref="T578:T641" si="140">+T577</f>
        <v>95</v>
      </c>
      <c r="U578" s="89">
        <f t="shared" ref="U578:U641" si="141">+U577</f>
        <v>103.31428490526316</v>
      </c>
      <c r="V578" s="89">
        <f t="shared" si="121"/>
        <v>87.383658999999994</v>
      </c>
      <c r="W578" s="90">
        <f t="shared" si="126"/>
        <v>8301.4476049999994</v>
      </c>
      <c r="X578" s="93">
        <f t="shared" si="122"/>
        <v>-0.15419577186127931</v>
      </c>
      <c r="AB578" s="89">
        <f t="shared" si="132"/>
        <v>195</v>
      </c>
      <c r="AC578" s="89">
        <f t="shared" si="133"/>
        <v>51.179276000000002</v>
      </c>
      <c r="AD578" s="89">
        <f t="shared" si="134"/>
        <v>87.383658999999994</v>
      </c>
      <c r="AE578" s="89">
        <f t="shared" si="135"/>
        <v>17039.813504999998</v>
      </c>
      <c r="AF578" s="90">
        <f t="shared" si="138"/>
        <v>7059.8546849999984</v>
      </c>
      <c r="AG578" s="93">
        <f t="shared" si="139"/>
        <v>0.70740318796225243</v>
      </c>
      <c r="AK578" s="90">
        <f t="shared" si="136"/>
        <v>142</v>
      </c>
      <c r="AL578" s="89">
        <f t="shared" si="137"/>
        <v>68.865979063380294</v>
      </c>
      <c r="AM578" s="89">
        <f t="shared" si="129"/>
        <v>87.383658999999994</v>
      </c>
      <c r="AN578" s="90">
        <f t="shared" si="130"/>
        <v>12408.479577999999</v>
      </c>
      <c r="AO578" s="93">
        <f t="shared" si="131"/>
        <v>0.26889445541138812</v>
      </c>
    </row>
    <row r="579" spans="2:41" x14ac:dyDescent="0.25">
      <c r="B579" s="91">
        <v>40191</v>
      </c>
      <c r="C579" s="89">
        <v>113.949997</v>
      </c>
      <c r="D579" s="89">
        <v>114.94000200000001</v>
      </c>
      <c r="E579" s="89">
        <v>113.370003</v>
      </c>
      <c r="F579" s="89">
        <v>114.620003</v>
      </c>
      <c r="G579" s="89">
        <v>88.121712000000002</v>
      </c>
      <c r="H579" s="89">
        <v>161822000</v>
      </c>
      <c r="J579" s="89">
        <v>0</v>
      </c>
      <c r="K579" s="89">
        <f t="shared" si="127"/>
        <v>88</v>
      </c>
      <c r="L579" s="89">
        <f t="shared" si="128"/>
        <v>112.621376</v>
      </c>
      <c r="M579" s="89">
        <f>+SPY__2[[#This Row],[Adj Close]]</f>
        <v>88.121712000000002</v>
      </c>
      <c r="N579" s="89">
        <f t="shared" si="123"/>
        <v>7754.7106560000002</v>
      </c>
      <c r="O579" s="90">
        <f t="shared" si="124"/>
        <v>-2155.9704319999996</v>
      </c>
      <c r="P579" s="93">
        <f t="shared" si="125"/>
        <v>-0.21754008759402832</v>
      </c>
      <c r="Q579" s="96"/>
      <c r="R579" s="96"/>
      <c r="T579" s="90">
        <f t="shared" si="140"/>
        <v>95</v>
      </c>
      <c r="U579" s="89">
        <f t="shared" si="141"/>
        <v>103.31428490526316</v>
      </c>
      <c r="V579" s="89">
        <f t="shared" ref="V579:V642" si="142">+M579</f>
        <v>88.121712000000002</v>
      </c>
      <c r="W579" s="90">
        <f t="shared" si="126"/>
        <v>8371.5626400000001</v>
      </c>
      <c r="X579" s="93">
        <f t="shared" ref="X579:X642" si="143">+W579/(U579*T579)-1</f>
        <v>-0.1470520065951616</v>
      </c>
      <c r="AB579" s="89">
        <f t="shared" si="132"/>
        <v>195</v>
      </c>
      <c r="AC579" s="89">
        <f t="shared" si="133"/>
        <v>51.179276000000002</v>
      </c>
      <c r="AD579" s="89">
        <f t="shared" si="134"/>
        <v>88.121712000000002</v>
      </c>
      <c r="AE579" s="89">
        <f t="shared" si="135"/>
        <v>17183.733840000001</v>
      </c>
      <c r="AF579" s="90">
        <f t="shared" si="138"/>
        <v>7203.77502</v>
      </c>
      <c r="AG579" s="93">
        <f t="shared" si="139"/>
        <v>0.72182412271717178</v>
      </c>
      <c r="AK579" s="90">
        <f t="shared" si="136"/>
        <v>142</v>
      </c>
      <c r="AL579" s="89">
        <f t="shared" si="137"/>
        <v>68.865979063380294</v>
      </c>
      <c r="AM579" s="89">
        <f t="shared" si="129"/>
        <v>88.121712000000002</v>
      </c>
      <c r="AN579" s="90">
        <f t="shared" si="130"/>
        <v>12513.283104</v>
      </c>
      <c r="AO579" s="93">
        <f t="shared" si="131"/>
        <v>0.27961169213753334</v>
      </c>
    </row>
    <row r="580" spans="2:41" x14ac:dyDescent="0.25">
      <c r="B580" s="91">
        <v>40192</v>
      </c>
      <c r="C580" s="89">
        <v>114.489998</v>
      </c>
      <c r="D580" s="89">
        <v>115.139999</v>
      </c>
      <c r="E580" s="89">
        <v>114.41999800000001</v>
      </c>
      <c r="F580" s="89">
        <v>114.93</v>
      </c>
      <c r="G580" s="89">
        <v>88.360068999999996</v>
      </c>
      <c r="H580" s="89">
        <v>115718800</v>
      </c>
      <c r="J580" s="89">
        <v>0</v>
      </c>
      <c r="K580" s="89">
        <f t="shared" si="127"/>
        <v>88</v>
      </c>
      <c r="L580" s="89">
        <f t="shared" si="128"/>
        <v>112.621376</v>
      </c>
      <c r="M580" s="89">
        <f>+SPY__2[[#This Row],[Adj Close]]</f>
        <v>88.360068999999996</v>
      </c>
      <c r="N580" s="89">
        <f t="shared" ref="N580:N643" si="144">+K580*M580</f>
        <v>7775.6860719999995</v>
      </c>
      <c r="O580" s="90">
        <f t="shared" ref="O580:O643" si="145">+(M580-L580)*K580</f>
        <v>-2134.9950160000003</v>
      </c>
      <c r="P580" s="93">
        <f t="shared" ref="P580:P643" si="146">+M580/L580-1</f>
        <v>-0.21542364213344367</v>
      </c>
      <c r="Q580" s="96"/>
      <c r="R580" s="96"/>
      <c r="T580" s="90">
        <f t="shared" si="140"/>
        <v>95</v>
      </c>
      <c r="U580" s="89">
        <f t="shared" si="141"/>
        <v>103.31428490526316</v>
      </c>
      <c r="V580" s="89">
        <f t="shared" si="142"/>
        <v>88.360068999999996</v>
      </c>
      <c r="W580" s="90">
        <f t="shared" ref="W580:W643" si="147">+V580*T580</f>
        <v>8394.2065549999988</v>
      </c>
      <c r="X580" s="93">
        <f t="shared" si="143"/>
        <v>-0.14474490065895385</v>
      </c>
      <c r="AB580" s="89">
        <f t="shared" si="132"/>
        <v>195</v>
      </c>
      <c r="AC580" s="89">
        <f t="shared" si="133"/>
        <v>51.179276000000002</v>
      </c>
      <c r="AD580" s="89">
        <f t="shared" si="134"/>
        <v>88.360068999999996</v>
      </c>
      <c r="AE580" s="89">
        <f t="shared" si="135"/>
        <v>17230.213455000001</v>
      </c>
      <c r="AF580" s="90">
        <f t="shared" si="138"/>
        <v>7250.2546349999993</v>
      </c>
      <c r="AG580" s="93">
        <f t="shared" si="139"/>
        <v>0.72648141798645205</v>
      </c>
      <c r="AK580" s="90">
        <f t="shared" si="136"/>
        <v>142</v>
      </c>
      <c r="AL580" s="89">
        <f t="shared" si="137"/>
        <v>68.865979063380294</v>
      </c>
      <c r="AM580" s="89">
        <f t="shared" si="129"/>
        <v>88.360068999999996</v>
      </c>
      <c r="AN580" s="90">
        <f t="shared" si="130"/>
        <v>12547.129798</v>
      </c>
      <c r="AO580" s="93">
        <f t="shared" si="131"/>
        <v>0.28307286415950705</v>
      </c>
    </row>
    <row r="581" spans="2:41" x14ac:dyDescent="0.25">
      <c r="B581" s="91">
        <v>40193</v>
      </c>
      <c r="C581" s="89">
        <v>114.730003</v>
      </c>
      <c r="D581" s="89">
        <v>114.839996</v>
      </c>
      <c r="E581" s="89">
        <v>113.199997</v>
      </c>
      <c r="F581" s="89">
        <v>113.639999</v>
      </c>
      <c r="G581" s="89">
        <v>87.368270999999993</v>
      </c>
      <c r="H581" s="89">
        <v>212283100</v>
      </c>
      <c r="J581" s="89">
        <v>0</v>
      </c>
      <c r="K581" s="89">
        <f t="shared" ref="K581:K644" si="148">+$K$3</f>
        <v>88</v>
      </c>
      <c r="L581" s="89">
        <f t="shared" ref="L581:L644" si="149">+$L$3</f>
        <v>112.621376</v>
      </c>
      <c r="M581" s="89">
        <f>+SPY__2[[#This Row],[Adj Close]]</f>
        <v>87.368270999999993</v>
      </c>
      <c r="N581" s="89">
        <f t="shared" si="144"/>
        <v>7688.4078479999989</v>
      </c>
      <c r="O581" s="90">
        <f t="shared" si="145"/>
        <v>-2222.2732400000004</v>
      </c>
      <c r="P581" s="93">
        <f t="shared" si="146"/>
        <v>-0.22423012306296097</v>
      </c>
      <c r="Q581" s="96"/>
      <c r="R581" s="96"/>
      <c r="T581" s="90">
        <f t="shared" si="140"/>
        <v>95</v>
      </c>
      <c r="U581" s="89">
        <f t="shared" si="141"/>
        <v>103.31428490526316</v>
      </c>
      <c r="V581" s="89">
        <f t="shared" si="142"/>
        <v>87.368270999999993</v>
      </c>
      <c r="W581" s="90">
        <f t="shared" si="147"/>
        <v>8299.985745</v>
      </c>
      <c r="X581" s="93">
        <f t="shared" si="143"/>
        <v>-0.1543447154465164</v>
      </c>
      <c r="AB581" s="89">
        <f t="shared" si="132"/>
        <v>195</v>
      </c>
      <c r="AC581" s="89">
        <f t="shared" si="133"/>
        <v>51.179276000000002</v>
      </c>
      <c r="AD581" s="89">
        <f t="shared" si="134"/>
        <v>87.368270999999993</v>
      </c>
      <c r="AE581" s="89">
        <f t="shared" si="135"/>
        <v>17036.812845</v>
      </c>
      <c r="AF581" s="90">
        <f t="shared" si="138"/>
        <v>7056.8540249999987</v>
      </c>
      <c r="AG581" s="93">
        <f t="shared" si="139"/>
        <v>0.70710251938694846</v>
      </c>
      <c r="AK581" s="90">
        <f t="shared" si="136"/>
        <v>142</v>
      </c>
      <c r="AL581" s="89">
        <f t="shared" si="137"/>
        <v>68.865979063380294</v>
      </c>
      <c r="AM581" s="89">
        <f t="shared" si="129"/>
        <v>87.368270999999993</v>
      </c>
      <c r="AN581" s="90">
        <f t="shared" si="130"/>
        <v>12406.294481999999</v>
      </c>
      <c r="AO581" s="93">
        <f t="shared" si="131"/>
        <v>0.26867100690736212</v>
      </c>
    </row>
    <row r="582" spans="2:41" x14ac:dyDescent="0.25">
      <c r="B582" s="91">
        <v>40197</v>
      </c>
      <c r="C582" s="89">
        <v>113.620003</v>
      </c>
      <c r="D582" s="89">
        <v>115.129997</v>
      </c>
      <c r="E582" s="89">
        <v>113.589996</v>
      </c>
      <c r="F582" s="89">
        <v>115.05999799999999</v>
      </c>
      <c r="G582" s="89">
        <v>88.459998999999996</v>
      </c>
      <c r="H582" s="89">
        <v>139172700</v>
      </c>
      <c r="J582" s="89">
        <v>0</v>
      </c>
      <c r="K582" s="89">
        <f t="shared" si="148"/>
        <v>88</v>
      </c>
      <c r="L582" s="89">
        <f t="shared" si="149"/>
        <v>112.621376</v>
      </c>
      <c r="M582" s="89">
        <f>+SPY__2[[#This Row],[Adj Close]]</f>
        <v>88.459998999999996</v>
      </c>
      <c r="N582" s="89">
        <f t="shared" si="144"/>
        <v>7784.4799119999998</v>
      </c>
      <c r="O582" s="90">
        <f t="shared" si="145"/>
        <v>-2126.201176</v>
      </c>
      <c r="P582" s="93">
        <f t="shared" si="146"/>
        <v>-0.21453633278286355</v>
      </c>
      <c r="Q582" s="96"/>
      <c r="R582" s="96"/>
      <c r="T582" s="90">
        <f t="shared" si="140"/>
        <v>95</v>
      </c>
      <c r="U582" s="89">
        <f t="shared" si="141"/>
        <v>103.31428490526316</v>
      </c>
      <c r="V582" s="89">
        <f t="shared" si="142"/>
        <v>88.459998999999996</v>
      </c>
      <c r="W582" s="90">
        <f t="shared" si="147"/>
        <v>8403.6999049999995</v>
      </c>
      <c r="X582" s="93">
        <f t="shared" si="143"/>
        <v>-0.14377765784164509</v>
      </c>
      <c r="AB582" s="89">
        <f t="shared" si="132"/>
        <v>195</v>
      </c>
      <c r="AC582" s="89">
        <f t="shared" si="133"/>
        <v>51.179276000000002</v>
      </c>
      <c r="AD582" s="89">
        <f t="shared" si="134"/>
        <v>88.459998999999996</v>
      </c>
      <c r="AE582" s="89">
        <f t="shared" si="135"/>
        <v>17249.699805</v>
      </c>
      <c r="AF582" s="90">
        <f t="shared" si="138"/>
        <v>7269.7409849999985</v>
      </c>
      <c r="AG582" s="93">
        <f t="shared" si="139"/>
        <v>0.72843396612331901</v>
      </c>
      <c r="AK582" s="90">
        <f t="shared" si="136"/>
        <v>142</v>
      </c>
      <c r="AL582" s="89">
        <f t="shared" si="137"/>
        <v>68.865979063380294</v>
      </c>
      <c r="AM582" s="89">
        <f t="shared" si="129"/>
        <v>88.459998999999996</v>
      </c>
      <c r="AN582" s="90">
        <f t="shared" si="130"/>
        <v>12561.319857999999</v>
      </c>
      <c r="AO582" s="93">
        <f t="shared" si="131"/>
        <v>0.28452394350752641</v>
      </c>
    </row>
    <row r="583" spans="2:41" x14ac:dyDescent="0.25">
      <c r="B583" s="91">
        <v>40198</v>
      </c>
      <c r="C583" s="89">
        <v>114.279999</v>
      </c>
      <c r="D583" s="89">
        <v>114.449997</v>
      </c>
      <c r="E583" s="89">
        <v>112.980003</v>
      </c>
      <c r="F583" s="89">
        <v>113.889999</v>
      </c>
      <c r="G583" s="89">
        <v>87.560471000000007</v>
      </c>
      <c r="H583" s="89">
        <v>216490200</v>
      </c>
      <c r="J583" s="89">
        <v>0</v>
      </c>
      <c r="K583" s="89">
        <f t="shared" si="148"/>
        <v>88</v>
      </c>
      <c r="L583" s="89">
        <f t="shared" si="149"/>
        <v>112.621376</v>
      </c>
      <c r="M583" s="89">
        <f>+SPY__2[[#This Row],[Adj Close]]</f>
        <v>87.560471000000007</v>
      </c>
      <c r="N583" s="89">
        <f t="shared" si="144"/>
        <v>7705.3214480000006</v>
      </c>
      <c r="O583" s="90">
        <f t="shared" si="145"/>
        <v>-2205.3596399999992</v>
      </c>
      <c r="P583" s="93">
        <f t="shared" si="146"/>
        <v>-0.22252351986891006</v>
      </c>
      <c r="Q583" s="96"/>
      <c r="R583" s="96"/>
      <c r="T583" s="90">
        <f t="shared" si="140"/>
        <v>95</v>
      </c>
      <c r="U583" s="89">
        <f t="shared" si="141"/>
        <v>103.31428490526316</v>
      </c>
      <c r="V583" s="89">
        <f t="shared" si="142"/>
        <v>87.560471000000007</v>
      </c>
      <c r="W583" s="90">
        <f t="shared" si="147"/>
        <v>8318.244745</v>
      </c>
      <c r="X583" s="93">
        <f t="shared" si="143"/>
        <v>-0.15248437251159463</v>
      </c>
      <c r="AB583" s="89">
        <f t="shared" si="132"/>
        <v>195</v>
      </c>
      <c r="AC583" s="89">
        <f t="shared" si="133"/>
        <v>51.179276000000002</v>
      </c>
      <c r="AD583" s="89">
        <f t="shared" si="134"/>
        <v>87.560471000000007</v>
      </c>
      <c r="AE583" s="89">
        <f t="shared" si="135"/>
        <v>17074.291845</v>
      </c>
      <c r="AF583" s="90">
        <f t="shared" si="138"/>
        <v>7094.3330250000008</v>
      </c>
      <c r="AG583" s="93">
        <f t="shared" si="139"/>
        <v>0.71085794570442928</v>
      </c>
      <c r="AK583" s="90">
        <f t="shared" si="136"/>
        <v>142</v>
      </c>
      <c r="AL583" s="89">
        <f t="shared" si="137"/>
        <v>68.865979063380294</v>
      </c>
      <c r="AM583" s="89">
        <f t="shared" si="129"/>
        <v>87.560471000000007</v>
      </c>
      <c r="AN583" s="90">
        <f t="shared" si="130"/>
        <v>12433.586882000001</v>
      </c>
      <c r="AO583" s="93">
        <f t="shared" si="131"/>
        <v>0.2714619350639651</v>
      </c>
    </row>
    <row r="584" spans="2:41" x14ac:dyDescent="0.25">
      <c r="B584" s="91">
        <v>40199</v>
      </c>
      <c r="C584" s="89">
        <v>113.91999800000001</v>
      </c>
      <c r="D584" s="89">
        <v>114.269997</v>
      </c>
      <c r="E584" s="89">
        <v>111.55999799999999</v>
      </c>
      <c r="F584" s="89">
        <v>111.699997</v>
      </c>
      <c r="G584" s="89">
        <v>85.876761999999999</v>
      </c>
      <c r="H584" s="89">
        <v>344859600</v>
      </c>
      <c r="J584" s="89">
        <v>0</v>
      </c>
      <c r="K584" s="89">
        <f t="shared" si="148"/>
        <v>88</v>
      </c>
      <c r="L584" s="89">
        <f t="shared" si="149"/>
        <v>112.621376</v>
      </c>
      <c r="M584" s="89">
        <f>+SPY__2[[#This Row],[Adj Close]]</f>
        <v>85.876761999999999</v>
      </c>
      <c r="N584" s="89">
        <f t="shared" si="144"/>
        <v>7557.1550559999996</v>
      </c>
      <c r="O584" s="90">
        <f t="shared" si="145"/>
        <v>-2353.5260319999998</v>
      </c>
      <c r="P584" s="93">
        <f t="shared" si="146"/>
        <v>-0.23747369238322924</v>
      </c>
      <c r="Q584" s="96"/>
      <c r="R584" s="96"/>
      <c r="T584" s="90">
        <f t="shared" si="140"/>
        <v>95</v>
      </c>
      <c r="U584" s="89">
        <f t="shared" si="141"/>
        <v>103.31428490526316</v>
      </c>
      <c r="V584" s="89">
        <f t="shared" si="142"/>
        <v>85.876761999999999</v>
      </c>
      <c r="W584" s="90">
        <f t="shared" si="147"/>
        <v>8158.2923899999996</v>
      </c>
      <c r="X584" s="93">
        <f t="shared" si="143"/>
        <v>-0.16878133475204304</v>
      </c>
      <c r="AB584" s="89">
        <f t="shared" si="132"/>
        <v>195</v>
      </c>
      <c r="AC584" s="89">
        <f t="shared" si="133"/>
        <v>51.179276000000002</v>
      </c>
      <c r="AD584" s="89">
        <f t="shared" si="134"/>
        <v>85.876761999999999</v>
      </c>
      <c r="AE584" s="89">
        <f t="shared" si="135"/>
        <v>16745.96859</v>
      </c>
      <c r="AF584" s="90">
        <f t="shared" si="138"/>
        <v>6766.0097699999997</v>
      </c>
      <c r="AG584" s="93">
        <f t="shared" si="139"/>
        <v>0.67795968821442476</v>
      </c>
      <c r="AK584" s="90">
        <f t="shared" si="136"/>
        <v>142</v>
      </c>
      <c r="AL584" s="89">
        <f t="shared" si="137"/>
        <v>68.865979063380294</v>
      </c>
      <c r="AM584" s="89">
        <f t="shared" si="129"/>
        <v>85.876761999999999</v>
      </c>
      <c r="AN584" s="90">
        <f t="shared" si="130"/>
        <v>12194.500204</v>
      </c>
      <c r="AO584" s="93">
        <f t="shared" si="131"/>
        <v>0.24701286713667381</v>
      </c>
    </row>
    <row r="585" spans="2:41" x14ac:dyDescent="0.25">
      <c r="B585" s="91">
        <v>40200</v>
      </c>
      <c r="C585" s="89">
        <v>111.199997</v>
      </c>
      <c r="D585" s="89">
        <v>111.739998</v>
      </c>
      <c r="E585" s="89">
        <v>109.089996</v>
      </c>
      <c r="F585" s="89">
        <v>109.209999</v>
      </c>
      <c r="G585" s="89">
        <v>83.962418</v>
      </c>
      <c r="H585" s="89">
        <v>345942400</v>
      </c>
      <c r="J585" s="89">
        <v>0</v>
      </c>
      <c r="K585" s="89">
        <f t="shared" si="148"/>
        <v>88</v>
      </c>
      <c r="L585" s="89">
        <f t="shared" si="149"/>
        <v>112.621376</v>
      </c>
      <c r="M585" s="89">
        <f>+SPY__2[[#This Row],[Adj Close]]</f>
        <v>83.962418</v>
      </c>
      <c r="N585" s="89">
        <f t="shared" si="144"/>
        <v>7388.6927839999998</v>
      </c>
      <c r="O585" s="90">
        <f t="shared" si="145"/>
        <v>-2521.988304</v>
      </c>
      <c r="P585" s="93">
        <f t="shared" si="146"/>
        <v>-0.25447174433386432</v>
      </c>
      <c r="Q585" s="96"/>
      <c r="R585" s="96"/>
      <c r="T585" s="90">
        <f t="shared" si="140"/>
        <v>95</v>
      </c>
      <c r="U585" s="89">
        <f t="shared" si="141"/>
        <v>103.31428490526316</v>
      </c>
      <c r="V585" s="89">
        <f t="shared" si="142"/>
        <v>83.962418</v>
      </c>
      <c r="W585" s="90">
        <f t="shared" si="147"/>
        <v>7976.4297100000003</v>
      </c>
      <c r="X585" s="93">
        <f t="shared" si="143"/>
        <v>-0.18731066011837938</v>
      </c>
      <c r="AB585" s="89">
        <f t="shared" si="132"/>
        <v>195</v>
      </c>
      <c r="AC585" s="89">
        <f t="shared" si="133"/>
        <v>51.179276000000002</v>
      </c>
      <c r="AD585" s="89">
        <f t="shared" si="134"/>
        <v>83.962418</v>
      </c>
      <c r="AE585" s="89">
        <f t="shared" si="135"/>
        <v>16372.67151</v>
      </c>
      <c r="AF585" s="90">
        <f t="shared" si="138"/>
        <v>6392.7126899999994</v>
      </c>
      <c r="AG585" s="93">
        <f t="shared" si="139"/>
        <v>0.64055501683923777</v>
      </c>
      <c r="AK585" s="90">
        <f t="shared" si="136"/>
        <v>142</v>
      </c>
      <c r="AL585" s="89">
        <f t="shared" si="137"/>
        <v>68.865979063380294</v>
      </c>
      <c r="AM585" s="89">
        <f t="shared" si="129"/>
        <v>83.962418</v>
      </c>
      <c r="AN585" s="90">
        <f t="shared" si="130"/>
        <v>11922.663355999999</v>
      </c>
      <c r="AO585" s="93">
        <f t="shared" si="131"/>
        <v>0.21921475802625001</v>
      </c>
    </row>
    <row r="586" spans="2:41" x14ac:dyDescent="0.25">
      <c r="B586" s="91">
        <v>40203</v>
      </c>
      <c r="C586" s="89">
        <v>110.209999</v>
      </c>
      <c r="D586" s="89">
        <v>110.410004</v>
      </c>
      <c r="E586" s="89">
        <v>109.410004</v>
      </c>
      <c r="F586" s="89">
        <v>109.769997</v>
      </c>
      <c r="G586" s="89">
        <v>84.392960000000002</v>
      </c>
      <c r="H586" s="89">
        <v>186937500</v>
      </c>
      <c r="J586" s="89">
        <v>0</v>
      </c>
      <c r="K586" s="89">
        <f t="shared" si="148"/>
        <v>88</v>
      </c>
      <c r="L586" s="89">
        <f t="shared" si="149"/>
        <v>112.621376</v>
      </c>
      <c r="M586" s="89">
        <f>+SPY__2[[#This Row],[Adj Close]]</f>
        <v>84.392960000000002</v>
      </c>
      <c r="N586" s="89">
        <f t="shared" si="144"/>
        <v>7426.5804800000005</v>
      </c>
      <c r="O586" s="90">
        <f t="shared" si="145"/>
        <v>-2484.1006079999997</v>
      </c>
      <c r="P586" s="93">
        <f t="shared" si="146"/>
        <v>-0.25064882886886408</v>
      </c>
      <c r="Q586" s="96"/>
      <c r="R586" s="96"/>
      <c r="T586" s="90">
        <f t="shared" si="140"/>
        <v>95</v>
      </c>
      <c r="U586" s="89">
        <f t="shared" si="141"/>
        <v>103.31428490526316</v>
      </c>
      <c r="V586" s="89">
        <f t="shared" si="142"/>
        <v>84.392960000000002</v>
      </c>
      <c r="W586" s="90">
        <f t="shared" si="147"/>
        <v>8017.3312000000005</v>
      </c>
      <c r="X586" s="93">
        <f t="shared" si="143"/>
        <v>-0.18314335643530399</v>
      </c>
      <c r="AB586" s="89">
        <f t="shared" si="132"/>
        <v>195</v>
      </c>
      <c r="AC586" s="89">
        <f t="shared" si="133"/>
        <v>51.179276000000002</v>
      </c>
      <c r="AD586" s="89">
        <f t="shared" si="134"/>
        <v>84.392960000000002</v>
      </c>
      <c r="AE586" s="89">
        <f t="shared" si="135"/>
        <v>16456.627199999999</v>
      </c>
      <c r="AF586" s="90">
        <f t="shared" si="138"/>
        <v>6476.6683800000001</v>
      </c>
      <c r="AG586" s="93">
        <f t="shared" si="139"/>
        <v>0.64896744533861717</v>
      </c>
      <c r="AK586" s="90">
        <f t="shared" si="136"/>
        <v>142</v>
      </c>
      <c r="AL586" s="89">
        <f t="shared" si="137"/>
        <v>68.865979063380294</v>
      </c>
      <c r="AM586" s="89">
        <f t="shared" si="129"/>
        <v>84.392960000000002</v>
      </c>
      <c r="AN586" s="90">
        <f t="shared" si="130"/>
        <v>11983.80032</v>
      </c>
      <c r="AO586" s="93">
        <f t="shared" si="131"/>
        <v>0.22546664039045416</v>
      </c>
    </row>
    <row r="587" spans="2:41" x14ac:dyDescent="0.25">
      <c r="B587" s="91">
        <v>40204</v>
      </c>
      <c r="C587" s="89">
        <v>109.339996</v>
      </c>
      <c r="D587" s="89">
        <v>110.470001</v>
      </c>
      <c r="E587" s="89">
        <v>109.040001</v>
      </c>
      <c r="F587" s="89">
        <v>109.30999799999999</v>
      </c>
      <c r="G587" s="89">
        <v>84.039291000000006</v>
      </c>
      <c r="H587" s="89">
        <v>211168800</v>
      </c>
      <c r="J587" s="89">
        <v>0</v>
      </c>
      <c r="K587" s="89">
        <f t="shared" si="148"/>
        <v>88</v>
      </c>
      <c r="L587" s="89">
        <f t="shared" si="149"/>
        <v>112.621376</v>
      </c>
      <c r="M587" s="89">
        <f>+SPY__2[[#This Row],[Adj Close]]</f>
        <v>84.039291000000006</v>
      </c>
      <c r="N587" s="89">
        <f t="shared" si="144"/>
        <v>7395.4576080000006</v>
      </c>
      <c r="O587" s="90">
        <f t="shared" si="145"/>
        <v>-2515.2234799999992</v>
      </c>
      <c r="P587" s="93">
        <f t="shared" si="146"/>
        <v>-0.25378916521140704</v>
      </c>
      <c r="Q587" s="96"/>
      <c r="R587" s="96"/>
      <c r="T587" s="90">
        <f t="shared" si="140"/>
        <v>95</v>
      </c>
      <c r="U587" s="89">
        <f t="shared" si="141"/>
        <v>103.31428490526316</v>
      </c>
      <c r="V587" s="89">
        <f t="shared" si="142"/>
        <v>84.039291000000006</v>
      </c>
      <c r="W587" s="90">
        <f t="shared" si="147"/>
        <v>7983.732645000001</v>
      </c>
      <c r="X587" s="93">
        <f t="shared" si="143"/>
        <v>-0.18656659069883585</v>
      </c>
      <c r="AB587" s="89">
        <f t="shared" si="132"/>
        <v>195</v>
      </c>
      <c r="AC587" s="89">
        <f t="shared" si="133"/>
        <v>51.179276000000002</v>
      </c>
      <c r="AD587" s="89">
        <f t="shared" si="134"/>
        <v>84.039291000000006</v>
      </c>
      <c r="AE587" s="89">
        <f t="shared" si="135"/>
        <v>16387.661745000001</v>
      </c>
      <c r="AF587" s="90">
        <f t="shared" si="138"/>
        <v>6407.7029250000005</v>
      </c>
      <c r="AG587" s="93">
        <f t="shared" si="139"/>
        <v>0.64205705059211859</v>
      </c>
      <c r="AK587" s="90">
        <f t="shared" si="136"/>
        <v>142</v>
      </c>
      <c r="AL587" s="89">
        <f t="shared" si="137"/>
        <v>68.865979063380294</v>
      </c>
      <c r="AM587" s="89">
        <f t="shared" si="129"/>
        <v>84.039291000000006</v>
      </c>
      <c r="AN587" s="90">
        <f t="shared" si="130"/>
        <v>11933.579322000001</v>
      </c>
      <c r="AO587" s="93">
        <f t="shared" si="131"/>
        <v>0.22033102764218415</v>
      </c>
    </row>
    <row r="588" spans="2:41" x14ac:dyDescent="0.25">
      <c r="B588" s="91">
        <v>40205</v>
      </c>
      <c r="C588" s="89">
        <v>109.16999800000001</v>
      </c>
      <c r="D588" s="89">
        <v>110.08000199999999</v>
      </c>
      <c r="E588" s="89">
        <v>108.33000199999999</v>
      </c>
      <c r="F588" s="89">
        <v>109.83000199999999</v>
      </c>
      <c r="G588" s="89">
        <v>84.439079000000007</v>
      </c>
      <c r="H588" s="89">
        <v>271863600</v>
      </c>
      <c r="J588" s="89">
        <v>0</v>
      </c>
      <c r="K588" s="89">
        <f t="shared" si="148"/>
        <v>88</v>
      </c>
      <c r="L588" s="89">
        <f t="shared" si="149"/>
        <v>112.621376</v>
      </c>
      <c r="M588" s="89">
        <f>+SPY__2[[#This Row],[Adj Close]]</f>
        <v>84.439079000000007</v>
      </c>
      <c r="N588" s="89">
        <f t="shared" si="144"/>
        <v>7430.6389520000002</v>
      </c>
      <c r="O588" s="90">
        <f t="shared" si="145"/>
        <v>-2480.0421359999991</v>
      </c>
      <c r="P588" s="93">
        <f t="shared" si="146"/>
        <v>-0.25023932401607307</v>
      </c>
      <c r="Q588" s="96"/>
      <c r="R588" s="96"/>
      <c r="T588" s="90">
        <f t="shared" si="140"/>
        <v>95</v>
      </c>
      <c r="U588" s="89">
        <f t="shared" si="141"/>
        <v>103.31428490526316</v>
      </c>
      <c r="V588" s="89">
        <f t="shared" si="142"/>
        <v>84.439079000000007</v>
      </c>
      <c r="W588" s="90">
        <f t="shared" si="147"/>
        <v>8021.7125050000004</v>
      </c>
      <c r="X588" s="93">
        <f t="shared" si="143"/>
        <v>-0.18269696124375534</v>
      </c>
      <c r="AB588" s="89">
        <f t="shared" si="132"/>
        <v>195</v>
      </c>
      <c r="AC588" s="89">
        <f t="shared" si="133"/>
        <v>51.179276000000002</v>
      </c>
      <c r="AD588" s="89">
        <f t="shared" si="134"/>
        <v>84.439079000000007</v>
      </c>
      <c r="AE588" s="89">
        <f t="shared" si="135"/>
        <v>16465.620405000001</v>
      </c>
      <c r="AF588" s="90">
        <f t="shared" si="138"/>
        <v>6485.6615850000007</v>
      </c>
      <c r="AG588" s="93">
        <f t="shared" si="139"/>
        <v>0.64986857180238355</v>
      </c>
      <c r="AK588" s="90">
        <f t="shared" si="136"/>
        <v>142</v>
      </c>
      <c r="AL588" s="89">
        <f t="shared" si="137"/>
        <v>68.865979063380294</v>
      </c>
      <c r="AM588" s="89">
        <f t="shared" si="129"/>
        <v>84.439079000000007</v>
      </c>
      <c r="AN588" s="90">
        <f t="shared" si="130"/>
        <v>11990.349218000001</v>
      </c>
      <c r="AO588" s="93">
        <f t="shared" si="131"/>
        <v>0.22613633245941567</v>
      </c>
    </row>
    <row r="589" spans="2:41" x14ac:dyDescent="0.25">
      <c r="B589" s="91">
        <v>40206</v>
      </c>
      <c r="C589" s="89">
        <v>110.19000200000001</v>
      </c>
      <c r="D589" s="89">
        <v>110.25</v>
      </c>
      <c r="E589" s="89">
        <v>107.910004</v>
      </c>
      <c r="F589" s="89">
        <v>108.57</v>
      </c>
      <c r="G589" s="89">
        <v>83.470375000000004</v>
      </c>
      <c r="H589" s="89">
        <v>316104000</v>
      </c>
      <c r="J589" s="89">
        <v>0</v>
      </c>
      <c r="K589" s="89">
        <f t="shared" si="148"/>
        <v>88</v>
      </c>
      <c r="L589" s="89">
        <f t="shared" si="149"/>
        <v>112.621376</v>
      </c>
      <c r="M589" s="89">
        <f>+SPY__2[[#This Row],[Adj Close]]</f>
        <v>83.470375000000004</v>
      </c>
      <c r="N589" s="89">
        <f t="shared" si="144"/>
        <v>7345.393</v>
      </c>
      <c r="O589" s="90">
        <f t="shared" si="145"/>
        <v>-2565.2880879999993</v>
      </c>
      <c r="P589" s="93">
        <f t="shared" si="146"/>
        <v>-0.25884074618303365</v>
      </c>
      <c r="Q589" s="96"/>
      <c r="R589" s="96"/>
      <c r="T589" s="90">
        <f t="shared" si="140"/>
        <v>95</v>
      </c>
      <c r="U589" s="89">
        <f t="shared" si="141"/>
        <v>103.31428490526316</v>
      </c>
      <c r="V589" s="89">
        <f t="shared" si="142"/>
        <v>83.470375000000004</v>
      </c>
      <c r="W589" s="90">
        <f t="shared" si="147"/>
        <v>7929.6856250000001</v>
      </c>
      <c r="X589" s="93">
        <f t="shared" si="143"/>
        <v>-0.19207324450301888</v>
      </c>
      <c r="AB589" s="89">
        <f t="shared" si="132"/>
        <v>195</v>
      </c>
      <c r="AC589" s="89">
        <f t="shared" si="133"/>
        <v>51.179276000000002</v>
      </c>
      <c r="AD589" s="89">
        <f t="shared" si="134"/>
        <v>83.470375000000004</v>
      </c>
      <c r="AE589" s="89">
        <f t="shared" si="135"/>
        <v>16276.723125</v>
      </c>
      <c r="AF589" s="90">
        <f t="shared" si="138"/>
        <v>6296.7643050000006</v>
      </c>
      <c r="AG589" s="93">
        <f t="shared" si="139"/>
        <v>0.63094091053574108</v>
      </c>
      <c r="AK589" s="90">
        <f t="shared" si="136"/>
        <v>142</v>
      </c>
      <c r="AL589" s="89">
        <f t="shared" si="137"/>
        <v>68.865979063380294</v>
      </c>
      <c r="AM589" s="89">
        <f t="shared" si="129"/>
        <v>83.470375000000004</v>
      </c>
      <c r="AN589" s="90">
        <f t="shared" si="130"/>
        <v>11852.793250000001</v>
      </c>
      <c r="AO589" s="93">
        <f t="shared" si="131"/>
        <v>0.21206982221480764</v>
      </c>
    </row>
    <row r="590" spans="2:41" x14ac:dyDescent="0.25">
      <c r="B590" s="91">
        <v>40207</v>
      </c>
      <c r="C590" s="89">
        <v>109.040001</v>
      </c>
      <c r="D590" s="89">
        <v>109.800003</v>
      </c>
      <c r="E590" s="89">
        <v>107.220001</v>
      </c>
      <c r="F590" s="89">
        <v>107.389999</v>
      </c>
      <c r="G590" s="89">
        <v>82.563141000000002</v>
      </c>
      <c r="H590" s="89">
        <v>310677600</v>
      </c>
      <c r="J590" s="89">
        <v>0</v>
      </c>
      <c r="K590" s="89">
        <f t="shared" si="148"/>
        <v>88</v>
      </c>
      <c r="L590" s="89">
        <f t="shared" si="149"/>
        <v>112.621376</v>
      </c>
      <c r="M590" s="89">
        <f>+SPY__2[[#This Row],[Adj Close]]</f>
        <v>82.563141000000002</v>
      </c>
      <c r="N590" s="89">
        <f t="shared" si="144"/>
        <v>7265.5564080000004</v>
      </c>
      <c r="O590" s="90">
        <f t="shared" si="145"/>
        <v>-2645.1246799999999</v>
      </c>
      <c r="P590" s="93">
        <f t="shared" si="146"/>
        <v>-0.26689635722440463</v>
      </c>
      <c r="Q590" s="96"/>
      <c r="R590" s="96"/>
      <c r="T590" s="90">
        <f t="shared" si="140"/>
        <v>95</v>
      </c>
      <c r="U590" s="89">
        <f t="shared" si="141"/>
        <v>103.31428490526316</v>
      </c>
      <c r="V590" s="89">
        <f t="shared" si="142"/>
        <v>82.563141000000002</v>
      </c>
      <c r="W590" s="90">
        <f t="shared" si="147"/>
        <v>7843.4983950000005</v>
      </c>
      <c r="X590" s="93">
        <f t="shared" si="143"/>
        <v>-0.20085454711603035</v>
      </c>
      <c r="AB590" s="89">
        <f t="shared" si="132"/>
        <v>195</v>
      </c>
      <c r="AC590" s="89">
        <f t="shared" si="133"/>
        <v>51.179276000000002</v>
      </c>
      <c r="AD590" s="89">
        <f t="shared" si="134"/>
        <v>82.563141000000002</v>
      </c>
      <c r="AE590" s="89">
        <f t="shared" si="135"/>
        <v>16099.812495</v>
      </c>
      <c r="AF590" s="90">
        <f t="shared" si="138"/>
        <v>6119.8536750000003</v>
      </c>
      <c r="AG590" s="93">
        <f t="shared" si="139"/>
        <v>0.61321432135929399</v>
      </c>
      <c r="AK590" s="90">
        <f t="shared" si="136"/>
        <v>142</v>
      </c>
      <c r="AL590" s="89">
        <f t="shared" si="137"/>
        <v>68.865979063380294</v>
      </c>
      <c r="AM590" s="89">
        <f t="shared" si="129"/>
        <v>82.563141000000002</v>
      </c>
      <c r="AN590" s="90">
        <f t="shared" si="130"/>
        <v>11723.966022000001</v>
      </c>
      <c r="AO590" s="93">
        <f t="shared" si="131"/>
        <v>0.1988959152677352</v>
      </c>
    </row>
    <row r="591" spans="2:41" x14ac:dyDescent="0.25">
      <c r="B591" s="91">
        <v>40210</v>
      </c>
      <c r="C591" s="89">
        <v>108.150002</v>
      </c>
      <c r="D591" s="89">
        <v>109.07</v>
      </c>
      <c r="E591" s="89">
        <v>107.5</v>
      </c>
      <c r="F591" s="89">
        <v>109.05999799999999</v>
      </c>
      <c r="G591" s="89">
        <v>83.847092000000004</v>
      </c>
      <c r="H591" s="89">
        <v>187865000</v>
      </c>
      <c r="J591" s="89">
        <v>0</v>
      </c>
      <c r="K591" s="89">
        <f t="shared" si="148"/>
        <v>88</v>
      </c>
      <c r="L591" s="89">
        <f t="shared" si="149"/>
        <v>112.621376</v>
      </c>
      <c r="M591" s="89">
        <f>+SPY__2[[#This Row],[Adj Close]]</f>
        <v>83.847092000000004</v>
      </c>
      <c r="N591" s="89">
        <f t="shared" si="144"/>
        <v>7378.5440960000005</v>
      </c>
      <c r="O591" s="90">
        <f t="shared" si="145"/>
        <v>-2532.1369919999997</v>
      </c>
      <c r="P591" s="93">
        <f t="shared" si="146"/>
        <v>-0.25549575952614889</v>
      </c>
      <c r="Q591" s="96"/>
      <c r="R591" s="96"/>
      <c r="T591" s="90">
        <f t="shared" si="140"/>
        <v>95</v>
      </c>
      <c r="U591" s="89">
        <f t="shared" si="141"/>
        <v>103.31428490526316</v>
      </c>
      <c r="V591" s="89">
        <f t="shared" si="142"/>
        <v>83.847092000000004</v>
      </c>
      <c r="W591" s="90">
        <f t="shared" si="147"/>
        <v>7965.4737400000004</v>
      </c>
      <c r="X591" s="93">
        <f t="shared" si="143"/>
        <v>-0.18842692395455407</v>
      </c>
      <c r="AB591" s="89">
        <f t="shared" si="132"/>
        <v>195</v>
      </c>
      <c r="AC591" s="89">
        <f t="shared" si="133"/>
        <v>51.179276000000002</v>
      </c>
      <c r="AD591" s="89">
        <f t="shared" si="134"/>
        <v>83.847092000000004</v>
      </c>
      <c r="AE591" s="89">
        <f t="shared" si="135"/>
        <v>16350.182940000001</v>
      </c>
      <c r="AF591" s="90">
        <f t="shared" si="138"/>
        <v>6370.2241200000008</v>
      </c>
      <c r="AG591" s="93">
        <f t="shared" si="139"/>
        <v>0.63830164381379695</v>
      </c>
      <c r="AK591" s="90">
        <f t="shared" si="136"/>
        <v>142</v>
      </c>
      <c r="AL591" s="89">
        <f t="shared" si="137"/>
        <v>68.865979063380294</v>
      </c>
      <c r="AM591" s="89">
        <f t="shared" si="129"/>
        <v>83.847092000000004</v>
      </c>
      <c r="AN591" s="90">
        <f t="shared" si="130"/>
        <v>11906.287064</v>
      </c>
      <c r="AO591" s="93">
        <f t="shared" si="131"/>
        <v>0.21754011400653961</v>
      </c>
    </row>
    <row r="592" spans="2:41" x14ac:dyDescent="0.25">
      <c r="B592" s="91">
        <v>40211</v>
      </c>
      <c r="C592" s="89">
        <v>109.260002</v>
      </c>
      <c r="D592" s="89">
        <v>110.589996</v>
      </c>
      <c r="E592" s="89">
        <v>108.879997</v>
      </c>
      <c r="F592" s="89">
        <v>110.379997</v>
      </c>
      <c r="G592" s="89">
        <v>84.861937999999995</v>
      </c>
      <c r="H592" s="89">
        <v>216327900</v>
      </c>
      <c r="J592" s="89">
        <v>0</v>
      </c>
      <c r="K592" s="89">
        <f t="shared" si="148"/>
        <v>88</v>
      </c>
      <c r="L592" s="89">
        <f t="shared" si="149"/>
        <v>112.621376</v>
      </c>
      <c r="M592" s="89">
        <f>+SPY__2[[#This Row],[Adj Close]]</f>
        <v>84.861937999999995</v>
      </c>
      <c r="N592" s="89">
        <f t="shared" si="144"/>
        <v>7467.8505439999999</v>
      </c>
      <c r="O592" s="90">
        <f t="shared" si="145"/>
        <v>-2442.8305440000004</v>
      </c>
      <c r="P592" s="93">
        <f t="shared" si="146"/>
        <v>-0.2464846282822899</v>
      </c>
      <c r="Q592" s="96"/>
      <c r="R592" s="96"/>
      <c r="T592" s="90">
        <f t="shared" si="140"/>
        <v>95</v>
      </c>
      <c r="U592" s="89">
        <f t="shared" si="141"/>
        <v>103.31428490526316</v>
      </c>
      <c r="V592" s="89">
        <f t="shared" si="142"/>
        <v>84.861937999999995</v>
      </c>
      <c r="W592" s="90">
        <f t="shared" si="147"/>
        <v>8061.88411</v>
      </c>
      <c r="X592" s="93">
        <f t="shared" si="143"/>
        <v>-0.17860402288205879</v>
      </c>
      <c r="AB592" s="89">
        <f t="shared" si="132"/>
        <v>195</v>
      </c>
      <c r="AC592" s="89">
        <f t="shared" si="133"/>
        <v>51.179276000000002</v>
      </c>
      <c r="AD592" s="89">
        <f t="shared" si="134"/>
        <v>84.861937999999995</v>
      </c>
      <c r="AE592" s="89">
        <f t="shared" si="135"/>
        <v>16548.07791</v>
      </c>
      <c r="AF592" s="90">
        <f t="shared" si="138"/>
        <v>6568.1190899999983</v>
      </c>
      <c r="AG592" s="93">
        <f t="shared" si="139"/>
        <v>0.65813088094485739</v>
      </c>
      <c r="AK592" s="90">
        <f t="shared" si="136"/>
        <v>142</v>
      </c>
      <c r="AL592" s="89">
        <f t="shared" si="137"/>
        <v>68.865979063380294</v>
      </c>
      <c r="AM592" s="89">
        <f t="shared" si="129"/>
        <v>84.861937999999995</v>
      </c>
      <c r="AN592" s="90">
        <f t="shared" si="130"/>
        <v>12050.395195999999</v>
      </c>
      <c r="AO592" s="93">
        <f t="shared" si="131"/>
        <v>0.23227665030214628</v>
      </c>
    </row>
    <row r="593" spans="2:41" x14ac:dyDescent="0.25">
      <c r="B593" s="91">
        <v>40212</v>
      </c>
      <c r="C593" s="89">
        <v>109.879997</v>
      </c>
      <c r="D593" s="89">
        <v>110.480003</v>
      </c>
      <c r="E593" s="89">
        <v>109.510002</v>
      </c>
      <c r="F593" s="89">
        <v>109.83000199999999</v>
      </c>
      <c r="G593" s="89">
        <v>84.439079000000007</v>
      </c>
      <c r="H593" s="89">
        <v>172730700</v>
      </c>
      <c r="J593" s="89">
        <v>0</v>
      </c>
      <c r="K593" s="89">
        <f t="shared" si="148"/>
        <v>88</v>
      </c>
      <c r="L593" s="89">
        <f t="shared" si="149"/>
        <v>112.621376</v>
      </c>
      <c r="M593" s="89">
        <f>+SPY__2[[#This Row],[Adj Close]]</f>
        <v>84.439079000000007</v>
      </c>
      <c r="N593" s="89">
        <f t="shared" si="144"/>
        <v>7430.6389520000002</v>
      </c>
      <c r="O593" s="90">
        <f t="shared" si="145"/>
        <v>-2480.0421359999991</v>
      </c>
      <c r="P593" s="93">
        <f t="shared" si="146"/>
        <v>-0.25023932401607307</v>
      </c>
      <c r="Q593" s="96"/>
      <c r="R593" s="96"/>
      <c r="T593" s="90">
        <f t="shared" si="140"/>
        <v>95</v>
      </c>
      <c r="U593" s="89">
        <f t="shared" si="141"/>
        <v>103.31428490526316</v>
      </c>
      <c r="V593" s="89">
        <f t="shared" si="142"/>
        <v>84.439079000000007</v>
      </c>
      <c r="W593" s="90">
        <f t="shared" si="147"/>
        <v>8021.7125050000004</v>
      </c>
      <c r="X593" s="93">
        <f t="shared" si="143"/>
        <v>-0.18269696124375534</v>
      </c>
      <c r="AB593" s="89">
        <f t="shared" si="132"/>
        <v>195</v>
      </c>
      <c r="AC593" s="89">
        <f t="shared" si="133"/>
        <v>51.179276000000002</v>
      </c>
      <c r="AD593" s="89">
        <f t="shared" si="134"/>
        <v>84.439079000000007</v>
      </c>
      <c r="AE593" s="89">
        <f t="shared" si="135"/>
        <v>16465.620405000001</v>
      </c>
      <c r="AF593" s="90">
        <f t="shared" si="138"/>
        <v>6485.6615850000007</v>
      </c>
      <c r="AG593" s="93">
        <f t="shared" si="139"/>
        <v>0.64986857180238355</v>
      </c>
      <c r="AK593" s="90">
        <f t="shared" si="136"/>
        <v>142</v>
      </c>
      <c r="AL593" s="89">
        <f t="shared" si="137"/>
        <v>68.865979063380294</v>
      </c>
      <c r="AM593" s="89">
        <f t="shared" si="129"/>
        <v>84.439079000000007</v>
      </c>
      <c r="AN593" s="90">
        <f t="shared" si="130"/>
        <v>11990.349218000001</v>
      </c>
      <c r="AO593" s="93">
        <f t="shared" si="131"/>
        <v>0.22613633245941567</v>
      </c>
    </row>
    <row r="594" spans="2:41" x14ac:dyDescent="0.25">
      <c r="B594" s="91">
        <v>40213</v>
      </c>
      <c r="C594" s="89">
        <v>108.980003</v>
      </c>
      <c r="D594" s="89">
        <v>109.029999</v>
      </c>
      <c r="E594" s="89">
        <v>106.41999800000001</v>
      </c>
      <c r="F594" s="89">
        <v>106.44000200000001</v>
      </c>
      <c r="G594" s="89">
        <v>81.832808999999997</v>
      </c>
      <c r="H594" s="89">
        <v>356715700</v>
      </c>
      <c r="J594" s="89">
        <v>0</v>
      </c>
      <c r="K594" s="89">
        <f t="shared" si="148"/>
        <v>88</v>
      </c>
      <c r="L594" s="89">
        <f t="shared" si="149"/>
        <v>112.621376</v>
      </c>
      <c r="M594" s="89">
        <f>+SPY__2[[#This Row],[Adj Close]]</f>
        <v>81.832808999999997</v>
      </c>
      <c r="N594" s="89">
        <f t="shared" si="144"/>
        <v>7201.2871919999998</v>
      </c>
      <c r="O594" s="90">
        <f t="shared" si="145"/>
        <v>-2709.393896</v>
      </c>
      <c r="P594" s="93">
        <f t="shared" si="146"/>
        <v>-0.27338120074114525</v>
      </c>
      <c r="Q594" s="96"/>
      <c r="R594" s="96"/>
      <c r="T594" s="90">
        <f t="shared" si="140"/>
        <v>95</v>
      </c>
      <c r="U594" s="89">
        <f t="shared" si="141"/>
        <v>103.31428490526316</v>
      </c>
      <c r="V594" s="89">
        <f t="shared" si="142"/>
        <v>81.832808999999997</v>
      </c>
      <c r="W594" s="90">
        <f t="shared" si="147"/>
        <v>7774.1168550000002</v>
      </c>
      <c r="X594" s="93">
        <f t="shared" si="143"/>
        <v>-0.20792357925103178</v>
      </c>
      <c r="AB594" s="89">
        <f t="shared" si="132"/>
        <v>195</v>
      </c>
      <c r="AC594" s="89">
        <f t="shared" si="133"/>
        <v>51.179276000000002</v>
      </c>
      <c r="AD594" s="89">
        <f t="shared" si="134"/>
        <v>81.832808999999997</v>
      </c>
      <c r="AE594" s="89">
        <f t="shared" si="135"/>
        <v>15957.397755</v>
      </c>
      <c r="AF594" s="90">
        <f t="shared" si="138"/>
        <v>5977.4389349999992</v>
      </c>
      <c r="AG594" s="93">
        <f t="shared" si="139"/>
        <v>0.59894424844931371</v>
      </c>
      <c r="AK594" s="90">
        <f t="shared" si="136"/>
        <v>142</v>
      </c>
      <c r="AL594" s="89">
        <f t="shared" si="137"/>
        <v>68.865979063380294</v>
      </c>
      <c r="AM594" s="89">
        <f t="shared" si="129"/>
        <v>81.832808999999997</v>
      </c>
      <c r="AN594" s="90">
        <f t="shared" si="130"/>
        <v>11620.258878000001</v>
      </c>
      <c r="AO594" s="93">
        <f t="shared" si="131"/>
        <v>0.1882907948594732</v>
      </c>
    </row>
    <row r="595" spans="2:41" x14ac:dyDescent="0.25">
      <c r="B595" s="91">
        <v>40214</v>
      </c>
      <c r="C595" s="89">
        <v>106.55999799999999</v>
      </c>
      <c r="D595" s="89">
        <v>106.879997</v>
      </c>
      <c r="E595" s="89">
        <v>104.58000199999999</v>
      </c>
      <c r="F595" s="89">
        <v>106.660004</v>
      </c>
      <c r="G595" s="89">
        <v>82.001930000000002</v>
      </c>
      <c r="H595" s="89">
        <v>493585800</v>
      </c>
      <c r="J595" s="89">
        <v>0</v>
      </c>
      <c r="K595" s="89">
        <f t="shared" si="148"/>
        <v>88</v>
      </c>
      <c r="L595" s="89">
        <f t="shared" si="149"/>
        <v>112.621376</v>
      </c>
      <c r="M595" s="89">
        <f>+SPY__2[[#This Row],[Adj Close]]</f>
        <v>82.001930000000002</v>
      </c>
      <c r="N595" s="89">
        <f t="shared" si="144"/>
        <v>7216.1698400000005</v>
      </c>
      <c r="O595" s="90">
        <f t="shared" si="145"/>
        <v>-2694.5112479999998</v>
      </c>
      <c r="P595" s="93">
        <f t="shared" si="146"/>
        <v>-0.27187952312001584</v>
      </c>
      <c r="Q595" s="96"/>
      <c r="R595" s="96"/>
      <c r="T595" s="90">
        <f t="shared" si="140"/>
        <v>95</v>
      </c>
      <c r="U595" s="89">
        <f t="shared" si="141"/>
        <v>103.31428490526316</v>
      </c>
      <c r="V595" s="89">
        <f t="shared" si="142"/>
        <v>82.001930000000002</v>
      </c>
      <c r="W595" s="90">
        <f t="shared" si="147"/>
        <v>7790.1833500000002</v>
      </c>
      <c r="X595" s="93">
        <f t="shared" si="143"/>
        <v>-0.20628662265635489</v>
      </c>
      <c r="AB595" s="89">
        <f t="shared" si="132"/>
        <v>195</v>
      </c>
      <c r="AC595" s="89">
        <f t="shared" si="133"/>
        <v>51.179276000000002</v>
      </c>
      <c r="AD595" s="89">
        <f t="shared" si="134"/>
        <v>82.001930000000002</v>
      </c>
      <c r="AE595" s="89">
        <f t="shared" si="135"/>
        <v>15990.37635</v>
      </c>
      <c r="AF595" s="90">
        <f t="shared" si="138"/>
        <v>6010.4175299999997</v>
      </c>
      <c r="AG595" s="93">
        <f t="shared" si="139"/>
        <v>0.60224873052131489</v>
      </c>
      <c r="AK595" s="90">
        <f t="shared" si="136"/>
        <v>142</v>
      </c>
      <c r="AL595" s="89">
        <f t="shared" si="137"/>
        <v>68.865979063380294</v>
      </c>
      <c r="AM595" s="89">
        <f t="shared" si="129"/>
        <v>82.001930000000002</v>
      </c>
      <c r="AN595" s="90">
        <f t="shared" si="130"/>
        <v>11644.27406</v>
      </c>
      <c r="AO595" s="93">
        <f t="shared" si="131"/>
        <v>0.19074659382291115</v>
      </c>
    </row>
    <row r="596" spans="2:41" x14ac:dyDescent="0.25">
      <c r="B596" s="91">
        <v>40217</v>
      </c>
      <c r="C596" s="89">
        <v>106.739998</v>
      </c>
      <c r="D596" s="89">
        <v>107.33000199999999</v>
      </c>
      <c r="E596" s="89">
        <v>105.80999799999999</v>
      </c>
      <c r="F596" s="89">
        <v>105.889999</v>
      </c>
      <c r="G596" s="89">
        <v>81.409942999999998</v>
      </c>
      <c r="H596" s="89">
        <v>224166900</v>
      </c>
      <c r="J596" s="89">
        <v>0</v>
      </c>
      <c r="K596" s="89">
        <f t="shared" si="148"/>
        <v>88</v>
      </c>
      <c r="L596" s="89">
        <f t="shared" si="149"/>
        <v>112.621376</v>
      </c>
      <c r="M596" s="89">
        <f>+SPY__2[[#This Row],[Adj Close]]</f>
        <v>81.409942999999998</v>
      </c>
      <c r="N596" s="89">
        <f t="shared" si="144"/>
        <v>7164.0749839999999</v>
      </c>
      <c r="O596" s="90">
        <f t="shared" si="145"/>
        <v>-2746.606104</v>
      </c>
      <c r="P596" s="93">
        <f t="shared" si="146"/>
        <v>-0.27713595863009166</v>
      </c>
      <c r="Q596" s="96"/>
      <c r="R596" s="96"/>
      <c r="T596" s="90">
        <f t="shared" si="140"/>
        <v>95</v>
      </c>
      <c r="U596" s="89">
        <f t="shared" si="141"/>
        <v>103.31428490526316</v>
      </c>
      <c r="V596" s="89">
        <f t="shared" si="142"/>
        <v>81.409942999999998</v>
      </c>
      <c r="W596" s="90">
        <f t="shared" si="147"/>
        <v>7733.9445850000002</v>
      </c>
      <c r="X596" s="93">
        <f t="shared" si="143"/>
        <v>-0.21201658536715362</v>
      </c>
      <c r="AB596" s="89">
        <f t="shared" si="132"/>
        <v>195</v>
      </c>
      <c r="AC596" s="89">
        <f t="shared" si="133"/>
        <v>51.179276000000002</v>
      </c>
      <c r="AD596" s="89">
        <f t="shared" si="134"/>
        <v>81.409942999999998</v>
      </c>
      <c r="AE596" s="89">
        <f t="shared" si="135"/>
        <v>15874.938885</v>
      </c>
      <c r="AF596" s="90">
        <f t="shared" si="138"/>
        <v>5894.9800649999997</v>
      </c>
      <c r="AG596" s="93">
        <f t="shared" si="139"/>
        <v>0.59068180253272828</v>
      </c>
      <c r="AK596" s="90">
        <f t="shared" si="136"/>
        <v>142</v>
      </c>
      <c r="AL596" s="89">
        <f t="shared" si="137"/>
        <v>68.865979063380294</v>
      </c>
      <c r="AM596" s="89">
        <f t="shared" si="129"/>
        <v>81.409942999999998</v>
      </c>
      <c r="AN596" s="90">
        <f t="shared" si="130"/>
        <v>11560.211906</v>
      </c>
      <c r="AO596" s="93">
        <f t="shared" si="131"/>
        <v>0.18215037537003531</v>
      </c>
    </row>
    <row r="597" spans="2:41" x14ac:dyDescent="0.25">
      <c r="B597" s="91">
        <v>40218</v>
      </c>
      <c r="C597" s="89">
        <v>107.129997</v>
      </c>
      <c r="D597" s="89">
        <v>108.150002</v>
      </c>
      <c r="E597" s="89">
        <v>106.269997</v>
      </c>
      <c r="F597" s="89">
        <v>107.220001</v>
      </c>
      <c r="G597" s="89">
        <v>82.432464999999993</v>
      </c>
      <c r="H597" s="89">
        <v>337820500</v>
      </c>
      <c r="J597" s="89">
        <v>0</v>
      </c>
      <c r="K597" s="89">
        <f t="shared" si="148"/>
        <v>88</v>
      </c>
      <c r="L597" s="89">
        <f t="shared" si="149"/>
        <v>112.621376</v>
      </c>
      <c r="M597" s="89">
        <f>+SPY__2[[#This Row],[Adj Close]]</f>
        <v>82.432464999999993</v>
      </c>
      <c r="N597" s="89">
        <f t="shared" si="144"/>
        <v>7254.0569199999991</v>
      </c>
      <c r="O597" s="90">
        <f t="shared" si="145"/>
        <v>-2656.6241680000003</v>
      </c>
      <c r="P597" s="93">
        <f t="shared" si="146"/>
        <v>-0.26805666981017884</v>
      </c>
      <c r="Q597" s="96"/>
      <c r="R597" s="96"/>
      <c r="T597" s="90">
        <f t="shared" si="140"/>
        <v>95</v>
      </c>
      <c r="U597" s="89">
        <f t="shared" si="141"/>
        <v>103.31428490526316</v>
      </c>
      <c r="V597" s="89">
        <f t="shared" si="142"/>
        <v>82.432464999999993</v>
      </c>
      <c r="W597" s="90">
        <f t="shared" si="147"/>
        <v>7831.084174999999</v>
      </c>
      <c r="X597" s="93">
        <f t="shared" si="143"/>
        <v>-0.20211938672770491</v>
      </c>
      <c r="AB597" s="89">
        <f t="shared" si="132"/>
        <v>195</v>
      </c>
      <c r="AC597" s="89">
        <f t="shared" si="133"/>
        <v>51.179276000000002</v>
      </c>
      <c r="AD597" s="89">
        <f t="shared" si="134"/>
        <v>82.432464999999993</v>
      </c>
      <c r="AE597" s="89">
        <f t="shared" si="135"/>
        <v>16074.330674999999</v>
      </c>
      <c r="AF597" s="90">
        <f t="shared" si="138"/>
        <v>6094.3718549999985</v>
      </c>
      <c r="AG597" s="93">
        <f t="shared" si="139"/>
        <v>0.6106610222465827</v>
      </c>
      <c r="AK597" s="90">
        <f t="shared" si="136"/>
        <v>142</v>
      </c>
      <c r="AL597" s="89">
        <f t="shared" si="137"/>
        <v>68.865979063380294</v>
      </c>
      <c r="AM597" s="89">
        <f t="shared" si="129"/>
        <v>82.432464999999993</v>
      </c>
      <c r="AN597" s="90">
        <f t="shared" si="130"/>
        <v>11705.410029999999</v>
      </c>
      <c r="AO597" s="93">
        <f t="shared" si="131"/>
        <v>0.19699837454040825</v>
      </c>
    </row>
    <row r="598" spans="2:41" x14ac:dyDescent="0.25">
      <c r="B598" s="91">
        <v>40219</v>
      </c>
      <c r="C598" s="89">
        <v>107.050003</v>
      </c>
      <c r="D598" s="89">
        <v>107.599998</v>
      </c>
      <c r="E598" s="89">
        <v>106.110001</v>
      </c>
      <c r="F598" s="89">
        <v>107.010002</v>
      </c>
      <c r="G598" s="89">
        <v>82.271049000000005</v>
      </c>
      <c r="H598" s="89">
        <v>240511500</v>
      </c>
      <c r="J598" s="89">
        <v>0</v>
      </c>
      <c r="K598" s="89">
        <f t="shared" si="148"/>
        <v>88</v>
      </c>
      <c r="L598" s="89">
        <f t="shared" si="149"/>
        <v>112.621376</v>
      </c>
      <c r="M598" s="89">
        <f>+SPY__2[[#This Row],[Adj Close]]</f>
        <v>82.271049000000005</v>
      </c>
      <c r="N598" s="89">
        <f t="shared" si="144"/>
        <v>7239.8523120000009</v>
      </c>
      <c r="O598" s="90">
        <f t="shared" si="145"/>
        <v>-2670.8287759999994</v>
      </c>
      <c r="P598" s="93">
        <f t="shared" si="146"/>
        <v>-0.26948993235529273</v>
      </c>
      <c r="Q598" s="96"/>
      <c r="R598" s="96"/>
      <c r="T598" s="90">
        <f t="shared" si="140"/>
        <v>95</v>
      </c>
      <c r="U598" s="89">
        <f t="shared" si="141"/>
        <v>103.31428490526316</v>
      </c>
      <c r="V598" s="89">
        <f t="shared" si="142"/>
        <v>82.271049000000005</v>
      </c>
      <c r="W598" s="90">
        <f t="shared" si="147"/>
        <v>7815.7496550000005</v>
      </c>
      <c r="X598" s="93">
        <f t="shared" si="143"/>
        <v>-0.20368176505852331</v>
      </c>
      <c r="AB598" s="89">
        <f t="shared" si="132"/>
        <v>195</v>
      </c>
      <c r="AC598" s="89">
        <f t="shared" si="133"/>
        <v>51.179276000000002</v>
      </c>
      <c r="AD598" s="89">
        <f t="shared" si="134"/>
        <v>82.271049000000005</v>
      </c>
      <c r="AE598" s="89">
        <f t="shared" si="135"/>
        <v>16042.854555000002</v>
      </c>
      <c r="AF598" s="90">
        <f t="shared" si="138"/>
        <v>6062.895735000001</v>
      </c>
      <c r="AG598" s="93">
        <f t="shared" si="139"/>
        <v>0.60750708939298015</v>
      </c>
      <c r="AK598" s="90">
        <f t="shared" si="136"/>
        <v>142</v>
      </c>
      <c r="AL598" s="89">
        <f t="shared" si="137"/>
        <v>68.865979063380294</v>
      </c>
      <c r="AM598" s="89">
        <f t="shared" si="129"/>
        <v>82.271049000000005</v>
      </c>
      <c r="AN598" s="90">
        <f t="shared" si="130"/>
        <v>11682.488958</v>
      </c>
      <c r="AO598" s="93">
        <f t="shared" si="131"/>
        <v>0.19465445955952299</v>
      </c>
    </row>
    <row r="599" spans="2:41" x14ac:dyDescent="0.25">
      <c r="B599" s="91">
        <v>40220</v>
      </c>
      <c r="C599" s="89">
        <v>106.870003</v>
      </c>
      <c r="D599" s="89">
        <v>108.25</v>
      </c>
      <c r="E599" s="89">
        <v>106.25</v>
      </c>
      <c r="F599" s="89">
        <v>108.129997</v>
      </c>
      <c r="G599" s="89">
        <v>83.132126</v>
      </c>
      <c r="H599" s="89">
        <v>223591600</v>
      </c>
      <c r="J599" s="89">
        <v>0</v>
      </c>
      <c r="K599" s="89">
        <f t="shared" si="148"/>
        <v>88</v>
      </c>
      <c r="L599" s="89">
        <f t="shared" si="149"/>
        <v>112.621376</v>
      </c>
      <c r="M599" s="89">
        <f>+SPY__2[[#This Row],[Adj Close]]</f>
        <v>83.132126</v>
      </c>
      <c r="N599" s="89">
        <f t="shared" si="144"/>
        <v>7315.6270880000002</v>
      </c>
      <c r="O599" s="90">
        <f t="shared" si="145"/>
        <v>-2595.0540000000001</v>
      </c>
      <c r="P599" s="93">
        <f t="shared" si="146"/>
        <v>-0.26184416358045559</v>
      </c>
      <c r="Q599" s="96"/>
      <c r="R599" s="96"/>
      <c r="T599" s="90">
        <f t="shared" si="140"/>
        <v>95</v>
      </c>
      <c r="U599" s="89">
        <f t="shared" si="141"/>
        <v>103.31428490526316</v>
      </c>
      <c r="V599" s="89">
        <f t="shared" si="142"/>
        <v>83.132126</v>
      </c>
      <c r="W599" s="90">
        <f t="shared" si="147"/>
        <v>7897.5519699999995</v>
      </c>
      <c r="X599" s="93">
        <f t="shared" si="143"/>
        <v>-0.19534722544679806</v>
      </c>
      <c r="AB599" s="89">
        <f t="shared" si="132"/>
        <v>195</v>
      </c>
      <c r="AC599" s="89">
        <f t="shared" si="133"/>
        <v>51.179276000000002</v>
      </c>
      <c r="AD599" s="89">
        <f t="shared" si="134"/>
        <v>83.132126</v>
      </c>
      <c r="AE599" s="89">
        <f t="shared" si="135"/>
        <v>16210.764569999999</v>
      </c>
      <c r="AF599" s="90">
        <f t="shared" si="138"/>
        <v>6230.8057499999995</v>
      </c>
      <c r="AG599" s="93">
        <f t="shared" si="139"/>
        <v>0.62433180961762713</v>
      </c>
      <c r="AK599" s="90">
        <f t="shared" si="136"/>
        <v>142</v>
      </c>
      <c r="AL599" s="89">
        <f t="shared" si="137"/>
        <v>68.865979063380294</v>
      </c>
      <c r="AM599" s="89">
        <f t="shared" si="129"/>
        <v>83.132126</v>
      </c>
      <c r="AN599" s="90">
        <f t="shared" si="130"/>
        <v>11804.761892</v>
      </c>
      <c r="AO599" s="93">
        <f t="shared" si="131"/>
        <v>0.20715812264122424</v>
      </c>
    </row>
    <row r="600" spans="2:41" x14ac:dyDescent="0.25">
      <c r="B600" s="91">
        <v>40221</v>
      </c>
      <c r="C600" s="89">
        <v>106.989998</v>
      </c>
      <c r="D600" s="89">
        <v>108.099998</v>
      </c>
      <c r="E600" s="89">
        <v>106.510002</v>
      </c>
      <c r="F600" s="89">
        <v>108.040001</v>
      </c>
      <c r="G600" s="89">
        <v>83.062881000000004</v>
      </c>
      <c r="H600" s="89">
        <v>304622100</v>
      </c>
      <c r="J600" s="89">
        <v>0</v>
      </c>
      <c r="K600" s="89">
        <f t="shared" si="148"/>
        <v>88</v>
      </c>
      <c r="L600" s="89">
        <f t="shared" si="149"/>
        <v>112.621376</v>
      </c>
      <c r="M600" s="89">
        <f>+SPY__2[[#This Row],[Adj Close]]</f>
        <v>83.062881000000004</v>
      </c>
      <c r="N600" s="89">
        <f t="shared" si="144"/>
        <v>7309.5335279999999</v>
      </c>
      <c r="O600" s="90">
        <f t="shared" si="145"/>
        <v>-2601.1475599999994</v>
      </c>
      <c r="P600" s="93">
        <f t="shared" si="146"/>
        <v>-0.26245901133369209</v>
      </c>
      <c r="Q600" s="96"/>
      <c r="R600" s="96"/>
      <c r="T600" s="90">
        <f t="shared" si="140"/>
        <v>95</v>
      </c>
      <c r="U600" s="89">
        <f t="shared" si="141"/>
        <v>103.31428490526316</v>
      </c>
      <c r="V600" s="89">
        <f t="shared" si="142"/>
        <v>83.062881000000004</v>
      </c>
      <c r="W600" s="90">
        <f t="shared" si="147"/>
        <v>7890.9736950000006</v>
      </c>
      <c r="X600" s="93">
        <f t="shared" si="143"/>
        <v>-0.19601746190116143</v>
      </c>
      <c r="AB600" s="89">
        <f t="shared" si="132"/>
        <v>195</v>
      </c>
      <c r="AC600" s="89">
        <f t="shared" si="133"/>
        <v>51.179276000000002</v>
      </c>
      <c r="AD600" s="89">
        <f t="shared" si="134"/>
        <v>83.062881000000004</v>
      </c>
      <c r="AE600" s="89">
        <f t="shared" si="135"/>
        <v>16197.261795</v>
      </c>
      <c r="AF600" s="90">
        <f t="shared" si="138"/>
        <v>6217.3029750000005</v>
      </c>
      <c r="AG600" s="93">
        <f t="shared" si="139"/>
        <v>0.62297882056791898</v>
      </c>
      <c r="AK600" s="90">
        <f t="shared" si="136"/>
        <v>142</v>
      </c>
      <c r="AL600" s="89">
        <f t="shared" si="137"/>
        <v>68.865979063380294</v>
      </c>
      <c r="AM600" s="89">
        <f t="shared" si="129"/>
        <v>83.062881000000004</v>
      </c>
      <c r="AN600" s="90">
        <f t="shared" si="130"/>
        <v>11794.929102</v>
      </c>
      <c r="AO600" s="93">
        <f t="shared" si="131"/>
        <v>0.20615261889406522</v>
      </c>
    </row>
    <row r="601" spans="2:41" x14ac:dyDescent="0.25">
      <c r="B601" s="91">
        <v>40225</v>
      </c>
      <c r="C601" s="89">
        <v>108.860001</v>
      </c>
      <c r="D601" s="89">
        <v>109.849998</v>
      </c>
      <c r="E601" s="89">
        <v>107.82</v>
      </c>
      <c r="F601" s="89">
        <v>109.739998</v>
      </c>
      <c r="G601" s="89">
        <v>84.369881000000007</v>
      </c>
      <c r="H601" s="89">
        <v>159317500</v>
      </c>
      <c r="J601" s="89">
        <v>0</v>
      </c>
      <c r="K601" s="89">
        <f t="shared" si="148"/>
        <v>88</v>
      </c>
      <c r="L601" s="89">
        <f t="shared" si="149"/>
        <v>112.621376</v>
      </c>
      <c r="M601" s="89">
        <f>+SPY__2[[#This Row],[Adj Close]]</f>
        <v>84.369881000000007</v>
      </c>
      <c r="N601" s="89">
        <f t="shared" si="144"/>
        <v>7424.5495280000005</v>
      </c>
      <c r="O601" s="90">
        <f t="shared" si="145"/>
        <v>-2486.1315599999994</v>
      </c>
      <c r="P601" s="93">
        <f t="shared" si="146"/>
        <v>-0.25085375444178548</v>
      </c>
      <c r="Q601" s="96"/>
      <c r="R601" s="96"/>
      <c r="T601" s="90">
        <f t="shared" si="140"/>
        <v>95</v>
      </c>
      <c r="U601" s="89">
        <f t="shared" si="141"/>
        <v>103.31428490526316</v>
      </c>
      <c r="V601" s="89">
        <f t="shared" si="142"/>
        <v>84.369881000000007</v>
      </c>
      <c r="W601" s="90">
        <f t="shared" si="147"/>
        <v>8015.1386950000006</v>
      </c>
      <c r="X601" s="93">
        <f t="shared" si="143"/>
        <v>-0.18336674277554887</v>
      </c>
      <c r="AB601" s="89">
        <f t="shared" si="132"/>
        <v>195</v>
      </c>
      <c r="AC601" s="89">
        <f t="shared" si="133"/>
        <v>51.179276000000002</v>
      </c>
      <c r="AD601" s="89">
        <f t="shared" si="134"/>
        <v>84.369881000000007</v>
      </c>
      <c r="AE601" s="89">
        <f t="shared" si="135"/>
        <v>16452.126795</v>
      </c>
      <c r="AF601" s="90">
        <f t="shared" si="138"/>
        <v>6472.1679750000012</v>
      </c>
      <c r="AG601" s="93">
        <f t="shared" si="139"/>
        <v>0.64851650109313796</v>
      </c>
      <c r="AK601" s="90">
        <f t="shared" si="136"/>
        <v>142</v>
      </c>
      <c r="AL601" s="89">
        <f t="shared" si="137"/>
        <v>68.865979063380294</v>
      </c>
      <c r="AM601" s="89">
        <f t="shared" si="129"/>
        <v>84.369881000000007</v>
      </c>
      <c r="AN601" s="90">
        <f t="shared" si="130"/>
        <v>11980.523102000001</v>
      </c>
      <c r="AO601" s="93">
        <f t="shared" si="131"/>
        <v>0.2251315111972898</v>
      </c>
    </row>
    <row r="602" spans="2:41" x14ac:dyDescent="0.25">
      <c r="B602" s="91">
        <v>40226</v>
      </c>
      <c r="C602" s="89">
        <v>110.269997</v>
      </c>
      <c r="D602" s="89">
        <v>110.410004</v>
      </c>
      <c r="E602" s="89">
        <v>109.739998</v>
      </c>
      <c r="F602" s="89">
        <v>110.260002</v>
      </c>
      <c r="G602" s="89">
        <v>84.769699000000003</v>
      </c>
      <c r="H602" s="89">
        <v>168845100</v>
      </c>
      <c r="J602" s="89">
        <v>0</v>
      </c>
      <c r="K602" s="89">
        <f t="shared" si="148"/>
        <v>88</v>
      </c>
      <c r="L602" s="89">
        <f t="shared" si="149"/>
        <v>112.621376</v>
      </c>
      <c r="M602" s="89">
        <f>+SPY__2[[#This Row],[Adj Close]]</f>
        <v>84.769699000000003</v>
      </c>
      <c r="N602" s="89">
        <f t="shared" si="144"/>
        <v>7459.7335120000007</v>
      </c>
      <c r="O602" s="90">
        <f t="shared" si="145"/>
        <v>-2450.9475759999996</v>
      </c>
      <c r="P602" s="93">
        <f t="shared" si="146"/>
        <v>-0.24730364686718087</v>
      </c>
      <c r="Q602" s="96"/>
      <c r="R602" s="96"/>
      <c r="T602" s="90">
        <f t="shared" si="140"/>
        <v>95</v>
      </c>
      <c r="U602" s="89">
        <f t="shared" si="141"/>
        <v>103.31428490526316</v>
      </c>
      <c r="V602" s="89">
        <f t="shared" si="142"/>
        <v>84.769699000000003</v>
      </c>
      <c r="W602" s="90">
        <f t="shared" si="147"/>
        <v>8053.1214049999999</v>
      </c>
      <c r="X602" s="93">
        <f t="shared" si="143"/>
        <v>-0.17949682294435976</v>
      </c>
      <c r="AB602" s="89">
        <f t="shared" si="132"/>
        <v>195</v>
      </c>
      <c r="AC602" s="89">
        <f t="shared" si="133"/>
        <v>51.179276000000002</v>
      </c>
      <c r="AD602" s="89">
        <f t="shared" si="134"/>
        <v>84.769699000000003</v>
      </c>
      <c r="AE602" s="89">
        <f t="shared" si="135"/>
        <v>16530.091305000002</v>
      </c>
      <c r="AF602" s="90">
        <f t="shared" si="138"/>
        <v>6550.1324850000001</v>
      </c>
      <c r="AG602" s="93">
        <f t="shared" si="139"/>
        <v>0.6563286084781661</v>
      </c>
      <c r="AK602" s="90">
        <f t="shared" si="136"/>
        <v>142</v>
      </c>
      <c r="AL602" s="89">
        <f t="shared" si="137"/>
        <v>68.865979063380294</v>
      </c>
      <c r="AM602" s="89">
        <f t="shared" si="129"/>
        <v>84.769699000000003</v>
      </c>
      <c r="AN602" s="90">
        <f t="shared" si="130"/>
        <v>12037.297258000001</v>
      </c>
      <c r="AO602" s="93">
        <f t="shared" si="131"/>
        <v>0.23093725164326551</v>
      </c>
    </row>
    <row r="603" spans="2:41" x14ac:dyDescent="0.25">
      <c r="B603" s="91">
        <v>40227</v>
      </c>
      <c r="C603" s="89">
        <v>110.08000199999999</v>
      </c>
      <c r="D603" s="89">
        <v>111.139999</v>
      </c>
      <c r="E603" s="89">
        <v>110.040001</v>
      </c>
      <c r="F603" s="89">
        <v>110.910004</v>
      </c>
      <c r="G603" s="89">
        <v>85.269394000000005</v>
      </c>
      <c r="H603" s="89">
        <v>193708600</v>
      </c>
      <c r="J603" s="89">
        <v>0</v>
      </c>
      <c r="K603" s="89">
        <f t="shared" si="148"/>
        <v>88</v>
      </c>
      <c r="L603" s="89">
        <f t="shared" si="149"/>
        <v>112.621376</v>
      </c>
      <c r="M603" s="89">
        <f>+SPY__2[[#This Row],[Adj Close]]</f>
        <v>85.269394000000005</v>
      </c>
      <c r="N603" s="89">
        <f t="shared" si="144"/>
        <v>7503.7066720000003</v>
      </c>
      <c r="O603" s="90">
        <f t="shared" si="145"/>
        <v>-2406.9744159999991</v>
      </c>
      <c r="P603" s="93">
        <f t="shared" si="146"/>
        <v>-0.24286670054537418</v>
      </c>
      <c r="Q603" s="96"/>
      <c r="R603" s="96"/>
      <c r="T603" s="90">
        <f t="shared" si="140"/>
        <v>95</v>
      </c>
      <c r="U603" s="89">
        <f t="shared" si="141"/>
        <v>103.31428490526316</v>
      </c>
      <c r="V603" s="89">
        <f t="shared" si="142"/>
        <v>85.269394000000005</v>
      </c>
      <c r="W603" s="90">
        <f t="shared" si="147"/>
        <v>8100.5924300000006</v>
      </c>
      <c r="X603" s="93">
        <f t="shared" si="143"/>
        <v>-0.17466017329365358</v>
      </c>
      <c r="AB603" s="89">
        <f t="shared" si="132"/>
        <v>195</v>
      </c>
      <c r="AC603" s="89">
        <f t="shared" si="133"/>
        <v>51.179276000000002</v>
      </c>
      <c r="AD603" s="89">
        <f t="shared" si="134"/>
        <v>85.269394000000005</v>
      </c>
      <c r="AE603" s="89">
        <f t="shared" si="135"/>
        <v>16627.53183</v>
      </c>
      <c r="AF603" s="90">
        <f t="shared" si="138"/>
        <v>6647.573010000001</v>
      </c>
      <c r="AG603" s="93">
        <f t="shared" si="139"/>
        <v>0.66609222842464599</v>
      </c>
      <c r="AK603" s="90">
        <f t="shared" si="136"/>
        <v>142</v>
      </c>
      <c r="AL603" s="89">
        <f t="shared" si="137"/>
        <v>68.865979063380294</v>
      </c>
      <c r="AM603" s="89">
        <f t="shared" si="129"/>
        <v>85.269394000000005</v>
      </c>
      <c r="AN603" s="90">
        <f t="shared" si="130"/>
        <v>12108.253948000001</v>
      </c>
      <c r="AO603" s="93">
        <f t="shared" si="131"/>
        <v>0.23819330182647902</v>
      </c>
    </row>
    <row r="604" spans="2:41" x14ac:dyDescent="0.25">
      <c r="B604" s="91">
        <v>40228</v>
      </c>
      <c r="C604" s="89">
        <v>110.620003</v>
      </c>
      <c r="D604" s="89">
        <v>111.57</v>
      </c>
      <c r="E604" s="89">
        <v>110.360001</v>
      </c>
      <c r="F604" s="89">
        <v>111.139999</v>
      </c>
      <c r="G604" s="89">
        <v>85.446235999999999</v>
      </c>
      <c r="H604" s="89">
        <v>222684900</v>
      </c>
      <c r="J604" s="89">
        <v>0</v>
      </c>
      <c r="K604" s="89">
        <f t="shared" si="148"/>
        <v>88</v>
      </c>
      <c r="L604" s="89">
        <f t="shared" si="149"/>
        <v>112.621376</v>
      </c>
      <c r="M604" s="89">
        <f>+SPY__2[[#This Row],[Adj Close]]</f>
        <v>85.446235999999999</v>
      </c>
      <c r="N604" s="89">
        <f t="shared" si="144"/>
        <v>7519.2687679999999</v>
      </c>
      <c r="O604" s="90">
        <f t="shared" si="145"/>
        <v>-2391.4123199999999</v>
      </c>
      <c r="P604" s="93">
        <f t="shared" si="146"/>
        <v>-0.2412964657792851</v>
      </c>
      <c r="Q604" s="96"/>
      <c r="R604" s="96"/>
      <c r="T604" s="90">
        <f t="shared" si="140"/>
        <v>95</v>
      </c>
      <c r="U604" s="89">
        <f t="shared" si="141"/>
        <v>103.31428490526316</v>
      </c>
      <c r="V604" s="89">
        <f t="shared" si="142"/>
        <v>85.446235999999999</v>
      </c>
      <c r="W604" s="90">
        <f t="shared" si="147"/>
        <v>8117.3924200000001</v>
      </c>
      <c r="X604" s="93">
        <f t="shared" si="143"/>
        <v>-0.17294848356786052</v>
      </c>
      <c r="AB604" s="89">
        <f t="shared" si="132"/>
        <v>195</v>
      </c>
      <c r="AC604" s="89">
        <f t="shared" si="133"/>
        <v>51.179276000000002</v>
      </c>
      <c r="AD604" s="89">
        <f t="shared" si="134"/>
        <v>85.446235999999999</v>
      </c>
      <c r="AE604" s="89">
        <f t="shared" si="135"/>
        <v>16662.016019999999</v>
      </c>
      <c r="AF604" s="90">
        <f t="shared" si="138"/>
        <v>6682.0571999999993</v>
      </c>
      <c r="AG604" s="93">
        <f t="shared" si="139"/>
        <v>0.66954757234158602</v>
      </c>
      <c r="AK604" s="90">
        <f t="shared" si="136"/>
        <v>142</v>
      </c>
      <c r="AL604" s="89">
        <f t="shared" si="137"/>
        <v>68.865979063380294</v>
      </c>
      <c r="AM604" s="89">
        <f t="shared" si="129"/>
        <v>85.446235999999999</v>
      </c>
      <c r="AN604" s="90">
        <f t="shared" si="130"/>
        <v>12133.365512</v>
      </c>
      <c r="AO604" s="93">
        <f t="shared" si="131"/>
        <v>0.24076121710779996</v>
      </c>
    </row>
    <row r="605" spans="2:41" x14ac:dyDescent="0.25">
      <c r="B605" s="91">
        <v>40231</v>
      </c>
      <c r="C605" s="89">
        <v>111.550003</v>
      </c>
      <c r="D605" s="89">
        <v>111.58000199999999</v>
      </c>
      <c r="E605" s="89">
        <v>110.83000199999999</v>
      </c>
      <c r="F605" s="89">
        <v>111.160004</v>
      </c>
      <c r="G605" s="89">
        <v>85.461617000000004</v>
      </c>
      <c r="H605" s="89">
        <v>132346900</v>
      </c>
      <c r="J605" s="89">
        <v>0</v>
      </c>
      <c r="K605" s="89">
        <f t="shared" si="148"/>
        <v>88</v>
      </c>
      <c r="L605" s="89">
        <f t="shared" si="149"/>
        <v>112.621376</v>
      </c>
      <c r="M605" s="89">
        <f>+SPY__2[[#This Row],[Adj Close]]</f>
        <v>85.461617000000004</v>
      </c>
      <c r="N605" s="89">
        <f t="shared" si="144"/>
        <v>7520.6222960000005</v>
      </c>
      <c r="O605" s="90">
        <f t="shared" si="145"/>
        <v>-2390.0587919999994</v>
      </c>
      <c r="P605" s="93">
        <f t="shared" si="146"/>
        <v>-0.24115989312721586</v>
      </c>
      <c r="Q605" s="96"/>
      <c r="R605" s="96"/>
      <c r="T605" s="90">
        <f t="shared" si="140"/>
        <v>95</v>
      </c>
      <c r="U605" s="89">
        <f t="shared" si="141"/>
        <v>103.31428490526316</v>
      </c>
      <c r="V605" s="89">
        <f t="shared" si="142"/>
        <v>85.461617000000004</v>
      </c>
      <c r="W605" s="90">
        <f t="shared" si="147"/>
        <v>8118.853615</v>
      </c>
      <c r="X605" s="93">
        <f t="shared" si="143"/>
        <v>-0.17279960773704872</v>
      </c>
      <c r="AB605" s="89">
        <f t="shared" si="132"/>
        <v>195</v>
      </c>
      <c r="AC605" s="89">
        <f t="shared" si="133"/>
        <v>51.179276000000002</v>
      </c>
      <c r="AD605" s="89">
        <f t="shared" si="134"/>
        <v>85.461617000000004</v>
      </c>
      <c r="AE605" s="89">
        <f t="shared" si="135"/>
        <v>16665.015315000001</v>
      </c>
      <c r="AF605" s="90">
        <f t="shared" si="138"/>
        <v>6685.0564950000007</v>
      </c>
      <c r="AG605" s="93">
        <f t="shared" si="139"/>
        <v>0.6698481041427784</v>
      </c>
      <c r="AK605" s="90">
        <f t="shared" si="136"/>
        <v>142</v>
      </c>
      <c r="AL605" s="89">
        <f t="shared" si="137"/>
        <v>68.865979063380294</v>
      </c>
      <c r="AM605" s="89">
        <f t="shared" si="129"/>
        <v>85.461617000000004</v>
      </c>
      <c r="AN605" s="90">
        <f t="shared" si="130"/>
        <v>12135.549614000001</v>
      </c>
      <c r="AO605" s="93">
        <f t="shared" si="131"/>
        <v>0.24098456396511914</v>
      </c>
    </row>
    <row r="606" spans="2:41" x14ac:dyDescent="0.25">
      <c r="B606" s="91">
        <v>40232</v>
      </c>
      <c r="C606" s="89">
        <v>110.860001</v>
      </c>
      <c r="D606" s="89">
        <v>111.199997</v>
      </c>
      <c r="E606" s="89">
        <v>109.519997</v>
      </c>
      <c r="F606" s="89">
        <v>109.80999799999999</v>
      </c>
      <c r="G606" s="89">
        <v>84.423691000000005</v>
      </c>
      <c r="H606" s="89">
        <v>207497000</v>
      </c>
      <c r="J606" s="89">
        <v>0</v>
      </c>
      <c r="K606" s="89">
        <f t="shared" si="148"/>
        <v>88</v>
      </c>
      <c r="L606" s="89">
        <f t="shared" si="149"/>
        <v>112.621376</v>
      </c>
      <c r="M606" s="89">
        <f>+SPY__2[[#This Row],[Adj Close]]</f>
        <v>84.423691000000005</v>
      </c>
      <c r="N606" s="89">
        <f t="shared" si="144"/>
        <v>7429.2848080000003</v>
      </c>
      <c r="O606" s="90">
        <f t="shared" si="145"/>
        <v>-2481.3962799999995</v>
      </c>
      <c r="P606" s="93">
        <f t="shared" si="146"/>
        <v>-0.25037595882330543</v>
      </c>
      <c r="Q606" s="96"/>
      <c r="R606" s="96"/>
      <c r="T606" s="90">
        <f t="shared" si="140"/>
        <v>95</v>
      </c>
      <c r="U606" s="89">
        <f t="shared" si="141"/>
        <v>103.31428490526316</v>
      </c>
      <c r="V606" s="89">
        <f t="shared" si="142"/>
        <v>84.423691000000005</v>
      </c>
      <c r="W606" s="90">
        <f t="shared" si="147"/>
        <v>8020.2506450000001</v>
      </c>
      <c r="X606" s="93">
        <f t="shared" si="143"/>
        <v>-0.18284590482899243</v>
      </c>
      <c r="AB606" s="89">
        <f t="shared" si="132"/>
        <v>195</v>
      </c>
      <c r="AC606" s="89">
        <f t="shared" si="133"/>
        <v>51.179276000000002</v>
      </c>
      <c r="AD606" s="89">
        <f t="shared" si="134"/>
        <v>84.423691000000005</v>
      </c>
      <c r="AE606" s="89">
        <f t="shared" si="135"/>
        <v>16462.619745</v>
      </c>
      <c r="AF606" s="90">
        <f t="shared" si="138"/>
        <v>6482.660925000001</v>
      </c>
      <c r="AG606" s="93">
        <f t="shared" si="139"/>
        <v>0.6495679032270798</v>
      </c>
      <c r="AK606" s="90">
        <f t="shared" si="136"/>
        <v>142</v>
      </c>
      <c r="AL606" s="89">
        <f t="shared" si="137"/>
        <v>68.865979063380294</v>
      </c>
      <c r="AM606" s="89">
        <f t="shared" si="129"/>
        <v>84.423691000000005</v>
      </c>
      <c r="AN606" s="90">
        <f t="shared" si="130"/>
        <v>11988.164122</v>
      </c>
      <c r="AO606" s="93">
        <f t="shared" si="131"/>
        <v>0.22591288395538944</v>
      </c>
    </row>
    <row r="607" spans="2:41" x14ac:dyDescent="0.25">
      <c r="B607" s="91">
        <v>40233</v>
      </c>
      <c r="C607" s="89">
        <v>110.139999</v>
      </c>
      <c r="D607" s="89">
        <v>111</v>
      </c>
      <c r="E607" s="89">
        <v>109.860001</v>
      </c>
      <c r="F607" s="89">
        <v>110.82</v>
      </c>
      <c r="G607" s="89">
        <v>85.200210999999996</v>
      </c>
      <c r="H607" s="89">
        <v>176350700</v>
      </c>
      <c r="J607" s="89">
        <v>0</v>
      </c>
      <c r="K607" s="89">
        <f t="shared" si="148"/>
        <v>88</v>
      </c>
      <c r="L607" s="89">
        <f t="shared" si="149"/>
        <v>112.621376</v>
      </c>
      <c r="M607" s="89">
        <f>+SPY__2[[#This Row],[Adj Close]]</f>
        <v>85.200210999999996</v>
      </c>
      <c r="N607" s="89">
        <f t="shared" si="144"/>
        <v>7497.6185679999999</v>
      </c>
      <c r="O607" s="90">
        <f t="shared" si="145"/>
        <v>-2413.0625200000004</v>
      </c>
      <c r="P607" s="93">
        <f t="shared" si="146"/>
        <v>-0.24348099778145138</v>
      </c>
      <c r="Q607" s="96"/>
      <c r="R607" s="96"/>
      <c r="T607" s="90">
        <f t="shared" si="140"/>
        <v>95</v>
      </c>
      <c r="U607" s="89">
        <f t="shared" si="141"/>
        <v>103.31428490526316</v>
      </c>
      <c r="V607" s="89">
        <f t="shared" si="142"/>
        <v>85.200210999999996</v>
      </c>
      <c r="W607" s="90">
        <f t="shared" si="147"/>
        <v>8094.0200449999993</v>
      </c>
      <c r="X607" s="93">
        <f t="shared" si="143"/>
        <v>-0.17532980963739297</v>
      </c>
      <c r="AB607" s="89">
        <f t="shared" si="132"/>
        <v>195</v>
      </c>
      <c r="AC607" s="89">
        <f t="shared" si="133"/>
        <v>51.179276000000002</v>
      </c>
      <c r="AD607" s="89">
        <f t="shared" si="134"/>
        <v>85.200210999999996</v>
      </c>
      <c r="AE607" s="89">
        <f t="shared" si="135"/>
        <v>16614.041144999999</v>
      </c>
      <c r="AF607" s="90">
        <f t="shared" si="138"/>
        <v>6634.0823249999985</v>
      </c>
      <c r="AG607" s="93">
        <f t="shared" si="139"/>
        <v>0.66474045080278188</v>
      </c>
      <c r="AK607" s="90">
        <f t="shared" si="136"/>
        <v>142</v>
      </c>
      <c r="AL607" s="89">
        <f t="shared" si="137"/>
        <v>68.865979063380294</v>
      </c>
      <c r="AM607" s="89">
        <f t="shared" si="129"/>
        <v>85.200210999999996</v>
      </c>
      <c r="AN607" s="90">
        <f t="shared" si="130"/>
        <v>12098.429962</v>
      </c>
      <c r="AO607" s="93">
        <f t="shared" si="131"/>
        <v>0.23718869837872525</v>
      </c>
    </row>
    <row r="608" spans="2:41" x14ac:dyDescent="0.25">
      <c r="B608" s="91">
        <v>40234</v>
      </c>
      <c r="C608" s="89">
        <v>109.239998</v>
      </c>
      <c r="D608" s="89">
        <v>110.75</v>
      </c>
      <c r="E608" s="89">
        <v>108.94000200000001</v>
      </c>
      <c r="F608" s="89">
        <v>110.66999800000001</v>
      </c>
      <c r="G608" s="89">
        <v>85.084900000000005</v>
      </c>
      <c r="H608" s="89">
        <v>259634700</v>
      </c>
      <c r="J608" s="89">
        <v>0</v>
      </c>
      <c r="K608" s="89">
        <f t="shared" si="148"/>
        <v>88</v>
      </c>
      <c r="L608" s="89">
        <f t="shared" si="149"/>
        <v>112.621376</v>
      </c>
      <c r="M608" s="89">
        <f>+SPY__2[[#This Row],[Adj Close]]</f>
        <v>85.084900000000005</v>
      </c>
      <c r="N608" s="89">
        <f t="shared" si="144"/>
        <v>7487.4712</v>
      </c>
      <c r="O608" s="90">
        <f t="shared" si="145"/>
        <v>-2423.2098879999994</v>
      </c>
      <c r="P608" s="93">
        <f t="shared" si="146"/>
        <v>-0.24450487978410063</v>
      </c>
      <c r="Q608" s="96"/>
      <c r="R608" s="96"/>
      <c r="T608" s="90">
        <f t="shared" si="140"/>
        <v>95</v>
      </c>
      <c r="U608" s="89">
        <f t="shared" si="141"/>
        <v>103.31428490526316</v>
      </c>
      <c r="V608" s="89">
        <f t="shared" si="142"/>
        <v>85.084900000000005</v>
      </c>
      <c r="W608" s="90">
        <f t="shared" si="147"/>
        <v>8083.0655000000006</v>
      </c>
      <c r="X608" s="93">
        <f t="shared" si="143"/>
        <v>-0.17644592828551331</v>
      </c>
      <c r="AB608" s="89">
        <f t="shared" si="132"/>
        <v>195</v>
      </c>
      <c r="AC608" s="89">
        <f t="shared" si="133"/>
        <v>51.179276000000002</v>
      </c>
      <c r="AD608" s="89">
        <f t="shared" si="134"/>
        <v>85.084900000000005</v>
      </c>
      <c r="AE608" s="89">
        <f t="shared" si="135"/>
        <v>16591.555500000002</v>
      </c>
      <c r="AF608" s="90">
        <f t="shared" si="138"/>
        <v>6611.5966800000006</v>
      </c>
      <c r="AG608" s="93">
        <f t="shared" si="139"/>
        <v>0.66248737086472276</v>
      </c>
      <c r="AK608" s="90">
        <f t="shared" si="136"/>
        <v>142</v>
      </c>
      <c r="AL608" s="89">
        <f t="shared" si="137"/>
        <v>68.865979063380294</v>
      </c>
      <c r="AM608" s="89">
        <f t="shared" si="129"/>
        <v>85.084900000000005</v>
      </c>
      <c r="AN608" s="90">
        <f t="shared" si="130"/>
        <v>12082.0558</v>
      </c>
      <c r="AO608" s="93">
        <f t="shared" si="131"/>
        <v>0.23551427217338694</v>
      </c>
    </row>
    <row r="609" spans="2:41" x14ac:dyDescent="0.25">
      <c r="B609" s="91">
        <v>40235</v>
      </c>
      <c r="C609" s="89">
        <v>110.769997</v>
      </c>
      <c r="D609" s="89">
        <v>111.120003</v>
      </c>
      <c r="E609" s="89">
        <v>110.110001</v>
      </c>
      <c r="F609" s="89">
        <v>110.739998</v>
      </c>
      <c r="G609" s="89">
        <v>85.138687000000004</v>
      </c>
      <c r="H609" s="89">
        <v>173589300</v>
      </c>
      <c r="J609" s="89">
        <v>0</v>
      </c>
      <c r="K609" s="89">
        <f t="shared" si="148"/>
        <v>88</v>
      </c>
      <c r="L609" s="89">
        <f t="shared" si="149"/>
        <v>112.621376</v>
      </c>
      <c r="M609" s="89">
        <f>+SPY__2[[#This Row],[Adj Close]]</f>
        <v>85.138687000000004</v>
      </c>
      <c r="N609" s="89">
        <f t="shared" si="144"/>
        <v>7492.2044560000004</v>
      </c>
      <c r="O609" s="90">
        <f t="shared" si="145"/>
        <v>-2418.4766319999994</v>
      </c>
      <c r="P609" s="93">
        <f t="shared" si="146"/>
        <v>-0.24402728838972798</v>
      </c>
      <c r="Q609" s="96"/>
      <c r="R609" s="96"/>
      <c r="T609" s="90">
        <f t="shared" si="140"/>
        <v>95</v>
      </c>
      <c r="U609" s="89">
        <f t="shared" si="141"/>
        <v>103.31428490526316</v>
      </c>
      <c r="V609" s="89">
        <f t="shared" si="142"/>
        <v>85.138687000000004</v>
      </c>
      <c r="W609" s="90">
        <f t="shared" si="147"/>
        <v>8088.1752650000008</v>
      </c>
      <c r="X609" s="93">
        <f t="shared" si="143"/>
        <v>-0.17592531296064007</v>
      </c>
      <c r="AB609" s="89">
        <f t="shared" si="132"/>
        <v>195</v>
      </c>
      <c r="AC609" s="89">
        <f t="shared" si="133"/>
        <v>51.179276000000002</v>
      </c>
      <c r="AD609" s="89">
        <f t="shared" si="134"/>
        <v>85.138687000000004</v>
      </c>
      <c r="AE609" s="89">
        <f t="shared" si="135"/>
        <v>16602.043965000001</v>
      </c>
      <c r="AF609" s="90">
        <f t="shared" si="138"/>
        <v>6622.0851450000009</v>
      </c>
      <c r="AG609" s="93">
        <f t="shared" si="139"/>
        <v>0.66353832359801257</v>
      </c>
      <c r="AK609" s="90">
        <f t="shared" si="136"/>
        <v>142</v>
      </c>
      <c r="AL609" s="89">
        <f t="shared" si="137"/>
        <v>68.865979063380294</v>
      </c>
      <c r="AM609" s="89">
        <f t="shared" si="129"/>
        <v>85.138687000000004</v>
      </c>
      <c r="AN609" s="90">
        <f t="shared" si="130"/>
        <v>12089.693554000001</v>
      </c>
      <c r="AO609" s="93">
        <f t="shared" si="131"/>
        <v>0.23629531094944944</v>
      </c>
    </row>
    <row r="610" spans="2:41" x14ac:dyDescent="0.25">
      <c r="B610" s="91">
        <v>40238</v>
      </c>
      <c r="C610" s="89">
        <v>111.199997</v>
      </c>
      <c r="D610" s="89">
        <v>112</v>
      </c>
      <c r="E610" s="89">
        <v>111.16999800000001</v>
      </c>
      <c r="F610" s="89">
        <v>111.889999</v>
      </c>
      <c r="G610" s="89">
        <v>86.022835000000001</v>
      </c>
      <c r="H610" s="89">
        <v>147709700</v>
      </c>
      <c r="J610" s="89">
        <v>0</v>
      </c>
      <c r="K610" s="89">
        <f t="shared" si="148"/>
        <v>88</v>
      </c>
      <c r="L610" s="89">
        <f t="shared" si="149"/>
        <v>112.621376</v>
      </c>
      <c r="M610" s="89">
        <f>+SPY__2[[#This Row],[Adj Close]]</f>
        <v>86.022835000000001</v>
      </c>
      <c r="N610" s="89">
        <f t="shared" si="144"/>
        <v>7570.0094799999997</v>
      </c>
      <c r="O610" s="90">
        <f t="shared" si="145"/>
        <v>-2340.6716079999997</v>
      </c>
      <c r="P610" s="93">
        <f t="shared" si="146"/>
        <v>-0.23617666507644164</v>
      </c>
      <c r="Q610" s="96"/>
      <c r="R610" s="96"/>
      <c r="T610" s="90">
        <f t="shared" si="140"/>
        <v>95</v>
      </c>
      <c r="U610" s="89">
        <f t="shared" si="141"/>
        <v>103.31428490526316</v>
      </c>
      <c r="V610" s="89">
        <f t="shared" si="142"/>
        <v>86.022835000000001</v>
      </c>
      <c r="W610" s="90">
        <f t="shared" si="147"/>
        <v>8172.1693249999998</v>
      </c>
      <c r="X610" s="93">
        <f t="shared" si="143"/>
        <v>-0.16736746444229889</v>
      </c>
      <c r="AB610" s="89">
        <f t="shared" si="132"/>
        <v>195</v>
      </c>
      <c r="AC610" s="89">
        <f t="shared" si="133"/>
        <v>51.179276000000002</v>
      </c>
      <c r="AD610" s="89">
        <f t="shared" si="134"/>
        <v>86.022835000000001</v>
      </c>
      <c r="AE610" s="89">
        <f t="shared" si="135"/>
        <v>16774.452825</v>
      </c>
      <c r="AF610" s="90">
        <f t="shared" si="138"/>
        <v>6794.4940049999996</v>
      </c>
      <c r="AG610" s="93">
        <f t="shared" si="139"/>
        <v>0.68081383175486887</v>
      </c>
      <c r="AK610" s="90">
        <f t="shared" si="136"/>
        <v>142</v>
      </c>
      <c r="AL610" s="89">
        <f t="shared" si="137"/>
        <v>68.865979063380294</v>
      </c>
      <c r="AM610" s="89">
        <f t="shared" si="129"/>
        <v>86.022835000000001</v>
      </c>
      <c r="AN610" s="90">
        <f t="shared" si="130"/>
        <v>12215.24257</v>
      </c>
      <c r="AO610" s="93">
        <f t="shared" si="131"/>
        <v>0.24913398705665002</v>
      </c>
    </row>
    <row r="611" spans="2:41" x14ac:dyDescent="0.25">
      <c r="B611" s="91">
        <v>40239</v>
      </c>
      <c r="C611" s="89">
        <v>112.370003</v>
      </c>
      <c r="D611" s="89">
        <v>112.739998</v>
      </c>
      <c r="E611" s="89">
        <v>112</v>
      </c>
      <c r="F611" s="89">
        <v>112.199997</v>
      </c>
      <c r="G611" s="89">
        <v>86.261168999999995</v>
      </c>
      <c r="H611" s="89">
        <v>160992400</v>
      </c>
      <c r="J611" s="89">
        <v>0</v>
      </c>
      <c r="K611" s="89">
        <f t="shared" si="148"/>
        <v>88</v>
      </c>
      <c r="L611" s="89">
        <f t="shared" si="149"/>
        <v>112.621376</v>
      </c>
      <c r="M611" s="89">
        <f>+SPY__2[[#This Row],[Adj Close]]</f>
        <v>86.261168999999995</v>
      </c>
      <c r="N611" s="89">
        <f t="shared" si="144"/>
        <v>7590.9828719999996</v>
      </c>
      <c r="O611" s="90">
        <f t="shared" si="145"/>
        <v>-2319.6982160000002</v>
      </c>
      <c r="P611" s="93">
        <f t="shared" si="146"/>
        <v>-0.2340604238399645</v>
      </c>
      <c r="Q611" s="96"/>
      <c r="R611" s="96"/>
      <c r="T611" s="90">
        <f t="shared" si="140"/>
        <v>95</v>
      </c>
      <c r="U611" s="89">
        <f t="shared" si="141"/>
        <v>103.31428490526316</v>
      </c>
      <c r="V611" s="89">
        <f t="shared" si="142"/>
        <v>86.261168999999995</v>
      </c>
      <c r="W611" s="90">
        <f t="shared" si="147"/>
        <v>8194.8110550000001</v>
      </c>
      <c r="X611" s="93">
        <f t="shared" si="143"/>
        <v>-0.16506058112777411</v>
      </c>
      <c r="AB611" s="89">
        <f t="shared" si="132"/>
        <v>195</v>
      </c>
      <c r="AC611" s="89">
        <f t="shared" si="133"/>
        <v>51.179276000000002</v>
      </c>
      <c r="AD611" s="89">
        <f t="shared" si="134"/>
        <v>86.261168999999995</v>
      </c>
      <c r="AE611" s="89">
        <f t="shared" si="135"/>
        <v>16820.927954999999</v>
      </c>
      <c r="AF611" s="90">
        <f t="shared" si="138"/>
        <v>6840.9691349999985</v>
      </c>
      <c r="AG611" s="93">
        <f t="shared" si="139"/>
        <v>0.68547067762349734</v>
      </c>
      <c r="AK611" s="90">
        <f t="shared" si="136"/>
        <v>142</v>
      </c>
      <c r="AL611" s="89">
        <f t="shared" si="137"/>
        <v>68.865979063380294</v>
      </c>
      <c r="AM611" s="89">
        <f t="shared" si="129"/>
        <v>86.261168999999995</v>
      </c>
      <c r="AN611" s="90">
        <f t="shared" si="130"/>
        <v>12249.085997999999</v>
      </c>
      <c r="AO611" s="93">
        <f t="shared" si="131"/>
        <v>0.25259482509658615</v>
      </c>
    </row>
    <row r="612" spans="2:41" x14ac:dyDescent="0.25">
      <c r="B612" s="91">
        <v>40240</v>
      </c>
      <c r="C612" s="89">
        <v>112.489998</v>
      </c>
      <c r="D612" s="89">
        <v>112.970001</v>
      </c>
      <c r="E612" s="89">
        <v>112.019997</v>
      </c>
      <c r="F612" s="89">
        <v>112.300003</v>
      </c>
      <c r="G612" s="89">
        <v>86.338058000000004</v>
      </c>
      <c r="H612" s="89">
        <v>150785000</v>
      </c>
      <c r="J612" s="89">
        <v>0</v>
      </c>
      <c r="K612" s="89">
        <f t="shared" si="148"/>
        <v>88</v>
      </c>
      <c r="L612" s="89">
        <f t="shared" si="149"/>
        <v>112.621376</v>
      </c>
      <c r="M612" s="89">
        <f>+SPY__2[[#This Row],[Adj Close]]</f>
        <v>86.338058000000004</v>
      </c>
      <c r="N612" s="89">
        <f t="shared" si="144"/>
        <v>7597.7491040000004</v>
      </c>
      <c r="O612" s="90">
        <f t="shared" si="145"/>
        <v>-2312.9319839999994</v>
      </c>
      <c r="P612" s="93">
        <f t="shared" si="146"/>
        <v>-0.23337770264856283</v>
      </c>
      <c r="Q612" s="96"/>
      <c r="R612" s="96"/>
      <c r="T612" s="90">
        <f t="shared" si="140"/>
        <v>95</v>
      </c>
      <c r="U612" s="89">
        <f t="shared" si="141"/>
        <v>103.31428490526316</v>
      </c>
      <c r="V612" s="89">
        <f t="shared" si="142"/>
        <v>86.338058000000004</v>
      </c>
      <c r="W612" s="90">
        <f t="shared" si="147"/>
        <v>8202.1155099999996</v>
      </c>
      <c r="X612" s="93">
        <f t="shared" si="143"/>
        <v>-0.1643163568409729</v>
      </c>
      <c r="AB612" s="89">
        <f t="shared" si="132"/>
        <v>195</v>
      </c>
      <c r="AC612" s="89">
        <f t="shared" si="133"/>
        <v>51.179276000000002</v>
      </c>
      <c r="AD612" s="89">
        <f t="shared" si="134"/>
        <v>86.338058000000004</v>
      </c>
      <c r="AE612" s="89">
        <f t="shared" si="135"/>
        <v>16835.921310000002</v>
      </c>
      <c r="AF612" s="90">
        <f t="shared" si="138"/>
        <v>6855.9624900000008</v>
      </c>
      <c r="AG612" s="93">
        <f t="shared" si="139"/>
        <v>0.6869730240029186</v>
      </c>
      <c r="AK612" s="90">
        <f t="shared" si="136"/>
        <v>142</v>
      </c>
      <c r="AL612" s="89">
        <f t="shared" si="137"/>
        <v>68.865979063380294</v>
      </c>
      <c r="AM612" s="89">
        <f t="shared" si="129"/>
        <v>86.338058000000004</v>
      </c>
      <c r="AN612" s="90">
        <f t="shared" si="130"/>
        <v>12260.004236000001</v>
      </c>
      <c r="AO612" s="93">
        <f t="shared" si="131"/>
        <v>0.2537113270478506</v>
      </c>
    </row>
    <row r="613" spans="2:41" x14ac:dyDescent="0.25">
      <c r="B613" s="91">
        <v>40241</v>
      </c>
      <c r="C613" s="89">
        <v>112.449997</v>
      </c>
      <c r="D613" s="89">
        <v>112.800003</v>
      </c>
      <c r="E613" s="89">
        <v>112.029999</v>
      </c>
      <c r="F613" s="89">
        <v>112.639999</v>
      </c>
      <c r="G613" s="89">
        <v>86.599463999999998</v>
      </c>
      <c r="H613" s="89">
        <v>135770400</v>
      </c>
      <c r="J613" s="89">
        <v>0</v>
      </c>
      <c r="K613" s="89">
        <f t="shared" si="148"/>
        <v>88</v>
      </c>
      <c r="L613" s="89">
        <f t="shared" si="149"/>
        <v>112.621376</v>
      </c>
      <c r="M613" s="89">
        <f>+SPY__2[[#This Row],[Adj Close]]</f>
        <v>86.599463999999998</v>
      </c>
      <c r="N613" s="89">
        <f t="shared" si="144"/>
        <v>7620.7528320000001</v>
      </c>
      <c r="O613" s="90">
        <f t="shared" si="145"/>
        <v>-2289.9282560000001</v>
      </c>
      <c r="P613" s="93">
        <f t="shared" si="146"/>
        <v>-0.23105659799432743</v>
      </c>
      <c r="Q613" s="96"/>
      <c r="R613" s="96"/>
      <c r="T613" s="90">
        <f t="shared" si="140"/>
        <v>95</v>
      </c>
      <c r="U613" s="89">
        <f t="shared" si="141"/>
        <v>103.31428490526316</v>
      </c>
      <c r="V613" s="89">
        <f t="shared" si="142"/>
        <v>86.599463999999998</v>
      </c>
      <c r="W613" s="90">
        <f t="shared" si="147"/>
        <v>8226.9490800000003</v>
      </c>
      <c r="X613" s="93">
        <f t="shared" si="143"/>
        <v>-0.16178615494062865</v>
      </c>
      <c r="AB613" s="89">
        <f t="shared" si="132"/>
        <v>195</v>
      </c>
      <c r="AC613" s="89">
        <f t="shared" si="133"/>
        <v>51.179276000000002</v>
      </c>
      <c r="AD613" s="89">
        <f t="shared" si="134"/>
        <v>86.599463999999998</v>
      </c>
      <c r="AE613" s="89">
        <f t="shared" si="135"/>
        <v>16886.895479999999</v>
      </c>
      <c r="AF613" s="90">
        <f t="shared" si="138"/>
        <v>6906.9366599999994</v>
      </c>
      <c r="AG613" s="93">
        <f t="shared" si="139"/>
        <v>0.69208067734291512</v>
      </c>
      <c r="AK613" s="90">
        <f t="shared" si="136"/>
        <v>142</v>
      </c>
      <c r="AL613" s="89">
        <f t="shared" si="137"/>
        <v>68.865979063380294</v>
      </c>
      <c r="AM613" s="89">
        <f t="shared" si="129"/>
        <v>86.599463999999998</v>
      </c>
      <c r="AN613" s="90">
        <f t="shared" si="130"/>
        <v>12297.123888</v>
      </c>
      <c r="AO613" s="93">
        <f t="shared" si="131"/>
        <v>0.25750719263424449</v>
      </c>
    </row>
    <row r="614" spans="2:41" x14ac:dyDescent="0.25">
      <c r="B614" s="91">
        <v>40242</v>
      </c>
      <c r="C614" s="89">
        <v>113.370003</v>
      </c>
      <c r="D614" s="89">
        <v>114.339996</v>
      </c>
      <c r="E614" s="89">
        <v>113.099998</v>
      </c>
      <c r="F614" s="89">
        <v>114.25</v>
      </c>
      <c r="G614" s="89">
        <v>87.837249999999997</v>
      </c>
      <c r="H614" s="89">
        <v>176118800</v>
      </c>
      <c r="J614" s="89">
        <v>0</v>
      </c>
      <c r="K614" s="89">
        <f t="shared" si="148"/>
        <v>88</v>
      </c>
      <c r="L614" s="89">
        <f t="shared" si="149"/>
        <v>112.621376</v>
      </c>
      <c r="M614" s="89">
        <f>+SPY__2[[#This Row],[Adj Close]]</f>
        <v>87.837249999999997</v>
      </c>
      <c r="N614" s="89">
        <f t="shared" si="144"/>
        <v>7729.6779999999999</v>
      </c>
      <c r="O614" s="90">
        <f t="shared" si="145"/>
        <v>-2181.0030879999999</v>
      </c>
      <c r="P614" s="93">
        <f t="shared" si="146"/>
        <v>-0.22006591359707772</v>
      </c>
      <c r="Q614" s="96"/>
      <c r="R614" s="96"/>
      <c r="T614" s="90">
        <f t="shared" si="140"/>
        <v>95</v>
      </c>
      <c r="U614" s="89">
        <f t="shared" si="141"/>
        <v>103.31428490526316</v>
      </c>
      <c r="V614" s="89">
        <f t="shared" si="142"/>
        <v>87.837249999999997</v>
      </c>
      <c r="W614" s="90">
        <f t="shared" si="147"/>
        <v>8344.5387499999997</v>
      </c>
      <c r="X614" s="93">
        <f t="shared" si="143"/>
        <v>-0.14980537221406753</v>
      </c>
      <c r="AB614" s="89">
        <f t="shared" si="132"/>
        <v>195</v>
      </c>
      <c r="AC614" s="89">
        <f t="shared" si="133"/>
        <v>51.179276000000002</v>
      </c>
      <c r="AD614" s="89">
        <f t="shared" si="134"/>
        <v>87.837249999999997</v>
      </c>
      <c r="AE614" s="89">
        <f t="shared" si="135"/>
        <v>17128.263749999998</v>
      </c>
      <c r="AF614" s="90">
        <f t="shared" si="138"/>
        <v>7148.3049299999993</v>
      </c>
      <c r="AG614" s="93">
        <f t="shared" si="139"/>
        <v>0.71626597453234764</v>
      </c>
      <c r="AK614" s="90">
        <f t="shared" si="136"/>
        <v>142</v>
      </c>
      <c r="AL614" s="89">
        <f t="shared" si="137"/>
        <v>68.865979063380294</v>
      </c>
      <c r="AM614" s="89">
        <f t="shared" si="129"/>
        <v>87.837249999999997</v>
      </c>
      <c r="AN614" s="90">
        <f t="shared" si="130"/>
        <v>12472.889499999999</v>
      </c>
      <c r="AO614" s="93">
        <f t="shared" si="131"/>
        <v>0.27548103134001245</v>
      </c>
    </row>
    <row r="615" spans="2:41" x14ac:dyDescent="0.25">
      <c r="B615" s="91">
        <v>40245</v>
      </c>
      <c r="C615" s="89">
        <v>114.260002</v>
      </c>
      <c r="D615" s="89">
        <v>114.519997</v>
      </c>
      <c r="E615" s="89">
        <v>114.07</v>
      </c>
      <c r="F615" s="89">
        <v>114.269997</v>
      </c>
      <c r="G615" s="89">
        <v>87.852608000000004</v>
      </c>
      <c r="H615" s="89">
        <v>114631200</v>
      </c>
      <c r="J615" s="89">
        <v>0</v>
      </c>
      <c r="K615" s="89">
        <f t="shared" si="148"/>
        <v>88</v>
      </c>
      <c r="L615" s="89">
        <f t="shared" si="149"/>
        <v>112.621376</v>
      </c>
      <c r="M615" s="89">
        <f>+SPY__2[[#This Row],[Adj Close]]</f>
        <v>87.852608000000004</v>
      </c>
      <c r="N615" s="89">
        <f t="shared" si="144"/>
        <v>7731.0295040000001</v>
      </c>
      <c r="O615" s="90">
        <f t="shared" si="145"/>
        <v>-2179.6515839999993</v>
      </c>
      <c r="P615" s="93">
        <f t="shared" si="146"/>
        <v>-0.219929545169116</v>
      </c>
      <c r="Q615" s="96"/>
      <c r="R615" s="96"/>
      <c r="T615" s="90">
        <f t="shared" si="140"/>
        <v>95</v>
      </c>
      <c r="U615" s="89">
        <f t="shared" si="141"/>
        <v>103.31428490526316</v>
      </c>
      <c r="V615" s="89">
        <f t="shared" si="142"/>
        <v>87.852608000000004</v>
      </c>
      <c r="W615" s="90">
        <f t="shared" si="147"/>
        <v>8345.9977600000002</v>
      </c>
      <c r="X615" s="93">
        <f t="shared" si="143"/>
        <v>-0.14965671900493882</v>
      </c>
      <c r="AB615" s="89">
        <f t="shared" si="132"/>
        <v>195</v>
      </c>
      <c r="AC615" s="89">
        <f t="shared" si="133"/>
        <v>51.179276000000002</v>
      </c>
      <c r="AD615" s="89">
        <f t="shared" si="134"/>
        <v>87.852608000000004</v>
      </c>
      <c r="AE615" s="89">
        <f t="shared" si="135"/>
        <v>17131.258560000002</v>
      </c>
      <c r="AF615" s="90">
        <f t="shared" si="138"/>
        <v>7151.2997400000004</v>
      </c>
      <c r="AG615" s="93">
        <f t="shared" si="139"/>
        <v>0.71656605693288822</v>
      </c>
      <c r="AK615" s="90">
        <f t="shared" si="136"/>
        <v>142</v>
      </c>
      <c r="AL615" s="89">
        <f t="shared" si="137"/>
        <v>68.865979063380294</v>
      </c>
      <c r="AM615" s="89">
        <f t="shared" si="129"/>
        <v>87.852608000000004</v>
      </c>
      <c r="AN615" s="90">
        <f t="shared" si="130"/>
        <v>12475.070336000001</v>
      </c>
      <c r="AO615" s="93">
        <f t="shared" si="131"/>
        <v>0.27570404421529404</v>
      </c>
    </row>
    <row r="616" spans="2:41" x14ac:dyDescent="0.25">
      <c r="B616" s="91">
        <v>40246</v>
      </c>
      <c r="C616" s="89">
        <v>113.93</v>
      </c>
      <c r="D616" s="89">
        <v>114.989998</v>
      </c>
      <c r="E616" s="89">
        <v>113.870003</v>
      </c>
      <c r="F616" s="89">
        <v>114.459999</v>
      </c>
      <c r="G616" s="89">
        <v>87.998671999999999</v>
      </c>
      <c r="H616" s="89">
        <v>154556700</v>
      </c>
      <c r="J616" s="89">
        <v>0</v>
      </c>
      <c r="K616" s="89">
        <f t="shared" si="148"/>
        <v>88</v>
      </c>
      <c r="L616" s="89">
        <f t="shared" si="149"/>
        <v>112.621376</v>
      </c>
      <c r="M616" s="89">
        <f>+SPY__2[[#This Row],[Adj Close]]</f>
        <v>87.998671999999999</v>
      </c>
      <c r="N616" s="89">
        <f t="shared" si="144"/>
        <v>7743.8831360000004</v>
      </c>
      <c r="O616" s="90">
        <f t="shared" si="145"/>
        <v>-2166.7979519999999</v>
      </c>
      <c r="P616" s="93">
        <f t="shared" si="146"/>
        <v>-0.21863259777610955</v>
      </c>
      <c r="Q616" s="96"/>
      <c r="R616" s="96"/>
      <c r="T616" s="90">
        <f t="shared" si="140"/>
        <v>95</v>
      </c>
      <c r="U616" s="89">
        <f t="shared" si="141"/>
        <v>103.31428490526316</v>
      </c>
      <c r="V616" s="89">
        <f t="shared" si="142"/>
        <v>87.998671999999999</v>
      </c>
      <c r="W616" s="90">
        <f t="shared" si="147"/>
        <v>8359.8738400000002</v>
      </c>
      <c r="X616" s="93">
        <f t="shared" si="143"/>
        <v>-0.14824293580802717</v>
      </c>
      <c r="AB616" s="89">
        <f t="shared" si="132"/>
        <v>195</v>
      </c>
      <c r="AC616" s="89">
        <f t="shared" si="133"/>
        <v>51.179276000000002</v>
      </c>
      <c r="AD616" s="89">
        <f t="shared" si="134"/>
        <v>87.998671999999999</v>
      </c>
      <c r="AE616" s="89">
        <f t="shared" si="135"/>
        <v>17159.741040000001</v>
      </c>
      <c r="AF616" s="90">
        <f t="shared" si="138"/>
        <v>7179.7822199999991</v>
      </c>
      <c r="AG616" s="93">
        <f t="shared" si="139"/>
        <v>0.71942002462090304</v>
      </c>
      <c r="AK616" s="90">
        <f t="shared" si="136"/>
        <v>142</v>
      </c>
      <c r="AL616" s="89">
        <f t="shared" si="137"/>
        <v>68.865979063380294</v>
      </c>
      <c r="AM616" s="89">
        <f t="shared" si="129"/>
        <v>87.998671999999999</v>
      </c>
      <c r="AN616" s="90">
        <f t="shared" si="130"/>
        <v>12495.811424</v>
      </c>
      <c r="AO616" s="93">
        <f t="shared" si="131"/>
        <v>0.27782503344664677</v>
      </c>
    </row>
    <row r="617" spans="2:41" x14ac:dyDescent="0.25">
      <c r="B617" s="91">
        <v>40247</v>
      </c>
      <c r="C617" s="89">
        <v>114.510002</v>
      </c>
      <c r="D617" s="89">
        <v>115.279999</v>
      </c>
      <c r="E617" s="89">
        <v>114.410004</v>
      </c>
      <c r="F617" s="89">
        <v>114.970001</v>
      </c>
      <c r="G617" s="89">
        <v>88.390784999999994</v>
      </c>
      <c r="H617" s="89">
        <v>186088800</v>
      </c>
      <c r="J617" s="89">
        <v>0</v>
      </c>
      <c r="K617" s="89">
        <f t="shared" si="148"/>
        <v>88</v>
      </c>
      <c r="L617" s="89">
        <f t="shared" si="149"/>
        <v>112.621376</v>
      </c>
      <c r="M617" s="89">
        <f>+SPY__2[[#This Row],[Adj Close]]</f>
        <v>88.390784999999994</v>
      </c>
      <c r="N617" s="89">
        <f t="shared" si="144"/>
        <v>7778.389079999999</v>
      </c>
      <c r="O617" s="90">
        <f t="shared" si="145"/>
        <v>-2132.2920080000004</v>
      </c>
      <c r="P617" s="93">
        <f t="shared" si="146"/>
        <v>-0.21515090527752034</v>
      </c>
      <c r="Q617" s="96"/>
      <c r="R617" s="96"/>
      <c r="T617" s="90">
        <f t="shared" si="140"/>
        <v>95</v>
      </c>
      <c r="U617" s="89">
        <f t="shared" si="141"/>
        <v>103.31428490526316</v>
      </c>
      <c r="V617" s="89">
        <f t="shared" si="142"/>
        <v>88.390784999999994</v>
      </c>
      <c r="W617" s="90">
        <f t="shared" si="147"/>
        <v>8397.1245749999998</v>
      </c>
      <c r="X617" s="93">
        <f t="shared" si="143"/>
        <v>-0.14444759424069642</v>
      </c>
      <c r="AB617" s="89">
        <f t="shared" si="132"/>
        <v>195</v>
      </c>
      <c r="AC617" s="89">
        <f t="shared" si="133"/>
        <v>51.179276000000002</v>
      </c>
      <c r="AD617" s="89">
        <f t="shared" si="134"/>
        <v>88.390784999999994</v>
      </c>
      <c r="AE617" s="89">
        <f t="shared" si="135"/>
        <v>17236.203074999998</v>
      </c>
      <c r="AF617" s="90">
        <f t="shared" si="138"/>
        <v>7256.2442549999987</v>
      </c>
      <c r="AG617" s="93">
        <f t="shared" si="139"/>
        <v>0.72708158278753277</v>
      </c>
      <c r="AK617" s="90">
        <f t="shared" si="136"/>
        <v>142</v>
      </c>
      <c r="AL617" s="89">
        <f t="shared" si="137"/>
        <v>68.865979063380294</v>
      </c>
      <c r="AM617" s="89">
        <f t="shared" si="129"/>
        <v>88.390784999999994</v>
      </c>
      <c r="AN617" s="90">
        <f t="shared" si="130"/>
        <v>12551.491469999999</v>
      </c>
      <c r="AO617" s="93">
        <f t="shared" si="131"/>
        <v>0.28351888991007002</v>
      </c>
    </row>
    <row r="618" spans="2:41" x14ac:dyDescent="0.25">
      <c r="B618" s="91">
        <v>40248</v>
      </c>
      <c r="C618" s="89">
        <v>114.699997</v>
      </c>
      <c r="D618" s="89">
        <v>115.480003</v>
      </c>
      <c r="E618" s="89">
        <v>114.349998</v>
      </c>
      <c r="F618" s="89">
        <v>115.449997</v>
      </c>
      <c r="G618" s="89">
        <v>88.759810999999999</v>
      </c>
      <c r="H618" s="89">
        <v>160791100</v>
      </c>
      <c r="J618" s="89">
        <v>0</v>
      </c>
      <c r="K618" s="89">
        <f t="shared" si="148"/>
        <v>88</v>
      </c>
      <c r="L618" s="89">
        <f t="shared" si="149"/>
        <v>112.621376</v>
      </c>
      <c r="M618" s="89">
        <f>+SPY__2[[#This Row],[Adj Close]]</f>
        <v>88.759810999999999</v>
      </c>
      <c r="N618" s="89">
        <f t="shared" si="144"/>
        <v>7810.8633680000003</v>
      </c>
      <c r="O618" s="90">
        <f t="shared" si="145"/>
        <v>-2099.81772</v>
      </c>
      <c r="P618" s="93">
        <f t="shared" si="146"/>
        <v>-0.21187420938632462</v>
      </c>
      <c r="Q618" s="96"/>
      <c r="R618" s="96"/>
      <c r="T618" s="90">
        <f t="shared" si="140"/>
        <v>95</v>
      </c>
      <c r="U618" s="89">
        <f t="shared" si="141"/>
        <v>103.31428490526316</v>
      </c>
      <c r="V618" s="89">
        <f t="shared" si="142"/>
        <v>88.759810999999999</v>
      </c>
      <c r="W618" s="90">
        <f t="shared" si="147"/>
        <v>8432.1820449999996</v>
      </c>
      <c r="X618" s="93">
        <f t="shared" si="143"/>
        <v>-0.14087571644723951</v>
      </c>
      <c r="AB618" s="89">
        <f t="shared" si="132"/>
        <v>195</v>
      </c>
      <c r="AC618" s="89">
        <f t="shared" si="133"/>
        <v>51.179276000000002</v>
      </c>
      <c r="AD618" s="89">
        <f t="shared" si="134"/>
        <v>88.759810999999999</v>
      </c>
      <c r="AE618" s="89">
        <f t="shared" si="135"/>
        <v>17308.163144999999</v>
      </c>
      <c r="AF618" s="90">
        <f t="shared" si="138"/>
        <v>7328.2043249999997</v>
      </c>
      <c r="AG618" s="93">
        <f t="shared" si="139"/>
        <v>0.73429204039541318</v>
      </c>
      <c r="AK618" s="90">
        <f t="shared" si="136"/>
        <v>142</v>
      </c>
      <c r="AL618" s="89">
        <f t="shared" si="137"/>
        <v>68.865979063380294</v>
      </c>
      <c r="AM618" s="89">
        <f t="shared" si="129"/>
        <v>88.759810999999999</v>
      </c>
      <c r="AN618" s="90">
        <f t="shared" si="130"/>
        <v>12603.893162</v>
      </c>
      <c r="AO618" s="93">
        <f t="shared" si="131"/>
        <v>0.28887750101266363</v>
      </c>
    </row>
    <row r="619" spans="2:41" x14ac:dyDescent="0.25">
      <c r="B619" s="91">
        <v>40249</v>
      </c>
      <c r="C619" s="89">
        <v>115.949997</v>
      </c>
      <c r="D619" s="89">
        <v>115.970001</v>
      </c>
      <c r="E619" s="89">
        <v>115.139999</v>
      </c>
      <c r="F619" s="89">
        <v>115.459999</v>
      </c>
      <c r="G619" s="89">
        <v>88.767525000000006</v>
      </c>
      <c r="H619" s="89">
        <v>162074800</v>
      </c>
      <c r="J619" s="89">
        <v>0</v>
      </c>
      <c r="K619" s="89">
        <f t="shared" si="148"/>
        <v>88</v>
      </c>
      <c r="L619" s="89">
        <f t="shared" si="149"/>
        <v>112.621376</v>
      </c>
      <c r="M619" s="89">
        <f>+SPY__2[[#This Row],[Adj Close]]</f>
        <v>88.767525000000006</v>
      </c>
      <c r="N619" s="89">
        <f t="shared" si="144"/>
        <v>7811.5422000000008</v>
      </c>
      <c r="O619" s="90">
        <f t="shared" si="145"/>
        <v>-2099.1388879999995</v>
      </c>
      <c r="P619" s="93">
        <f t="shared" si="146"/>
        <v>-0.21180571439652796</v>
      </c>
      <c r="Q619" s="96"/>
      <c r="R619" s="96"/>
      <c r="T619" s="90">
        <f t="shared" si="140"/>
        <v>95</v>
      </c>
      <c r="U619" s="89">
        <f t="shared" si="141"/>
        <v>103.31428490526316</v>
      </c>
      <c r="V619" s="89">
        <f t="shared" si="142"/>
        <v>88.767525000000006</v>
      </c>
      <c r="W619" s="90">
        <f t="shared" si="147"/>
        <v>8432.9148750000004</v>
      </c>
      <c r="X619" s="93">
        <f t="shared" si="143"/>
        <v>-0.14080105107054852</v>
      </c>
      <c r="AB619" s="89">
        <f t="shared" si="132"/>
        <v>195</v>
      </c>
      <c r="AC619" s="89">
        <f t="shared" si="133"/>
        <v>51.179276000000002</v>
      </c>
      <c r="AD619" s="89">
        <f t="shared" si="134"/>
        <v>88.767525000000006</v>
      </c>
      <c r="AE619" s="89">
        <f t="shared" si="135"/>
        <v>17309.667375000001</v>
      </c>
      <c r="AF619" s="90">
        <f t="shared" si="138"/>
        <v>7329.7085550000011</v>
      </c>
      <c r="AG619" s="93">
        <f t="shared" si="139"/>
        <v>0.73444276546624065</v>
      </c>
      <c r="AK619" s="90">
        <f t="shared" si="136"/>
        <v>142</v>
      </c>
      <c r="AL619" s="89">
        <f t="shared" si="137"/>
        <v>68.865979063380294</v>
      </c>
      <c r="AM619" s="89">
        <f t="shared" si="129"/>
        <v>88.767525000000006</v>
      </c>
      <c r="AN619" s="90">
        <f t="shared" si="130"/>
        <v>12604.98855</v>
      </c>
      <c r="AO619" s="93">
        <f t="shared" si="131"/>
        <v>0.28898951568383957</v>
      </c>
    </row>
    <row r="620" spans="2:41" x14ac:dyDescent="0.25">
      <c r="B620" s="91">
        <v>40252</v>
      </c>
      <c r="C620" s="89">
        <v>115.260002</v>
      </c>
      <c r="D620" s="89">
        <v>115.57</v>
      </c>
      <c r="E620" s="89">
        <v>114.599998</v>
      </c>
      <c r="F620" s="89">
        <v>115.489998</v>
      </c>
      <c r="G620" s="89">
        <v>88.790588</v>
      </c>
      <c r="H620" s="89">
        <v>146816800</v>
      </c>
      <c r="J620" s="89">
        <v>0</v>
      </c>
      <c r="K620" s="89">
        <f t="shared" si="148"/>
        <v>88</v>
      </c>
      <c r="L620" s="89">
        <f t="shared" si="149"/>
        <v>112.621376</v>
      </c>
      <c r="M620" s="89">
        <f>+SPY__2[[#This Row],[Adj Close]]</f>
        <v>88.790588</v>
      </c>
      <c r="N620" s="89">
        <f t="shared" si="144"/>
        <v>7813.5717439999999</v>
      </c>
      <c r="O620" s="90">
        <f t="shared" si="145"/>
        <v>-2097.109344</v>
      </c>
      <c r="P620" s="93">
        <f t="shared" si="146"/>
        <v>-0.21160093089255094</v>
      </c>
      <c r="Q620" s="96"/>
      <c r="R620" s="96"/>
      <c r="T620" s="90">
        <f t="shared" si="140"/>
        <v>95</v>
      </c>
      <c r="U620" s="89">
        <f t="shared" si="141"/>
        <v>103.31428490526316</v>
      </c>
      <c r="V620" s="89">
        <f t="shared" si="142"/>
        <v>88.790588</v>
      </c>
      <c r="W620" s="90">
        <f t="shared" si="147"/>
        <v>8435.1058599999997</v>
      </c>
      <c r="X620" s="93">
        <f t="shared" si="143"/>
        <v>-0.14057781959756155</v>
      </c>
      <c r="AB620" s="89">
        <f t="shared" si="132"/>
        <v>195</v>
      </c>
      <c r="AC620" s="89">
        <f t="shared" si="133"/>
        <v>51.179276000000002</v>
      </c>
      <c r="AD620" s="89">
        <f t="shared" si="134"/>
        <v>88.790588</v>
      </c>
      <c r="AE620" s="89">
        <f t="shared" si="135"/>
        <v>17314.164659999999</v>
      </c>
      <c r="AF620" s="90">
        <f t="shared" si="138"/>
        <v>7334.2058399999996</v>
      </c>
      <c r="AG620" s="93">
        <f t="shared" si="139"/>
        <v>0.73489339708517942</v>
      </c>
      <c r="AK620" s="90">
        <f t="shared" si="136"/>
        <v>142</v>
      </c>
      <c r="AL620" s="89">
        <f t="shared" si="137"/>
        <v>68.865979063380294</v>
      </c>
      <c r="AM620" s="89">
        <f t="shared" si="129"/>
        <v>88.790588</v>
      </c>
      <c r="AN620" s="90">
        <f t="shared" si="130"/>
        <v>12608.263496</v>
      </c>
      <c r="AO620" s="93">
        <f t="shared" si="131"/>
        <v>0.28932441254167385</v>
      </c>
    </row>
    <row r="621" spans="2:41" x14ac:dyDescent="0.25">
      <c r="B621" s="91">
        <v>40253</v>
      </c>
      <c r="C621" s="89">
        <v>115.80999799999999</v>
      </c>
      <c r="D621" s="89">
        <v>116.519997</v>
      </c>
      <c r="E621" s="89">
        <v>115.489998</v>
      </c>
      <c r="F621" s="89">
        <v>116.410004</v>
      </c>
      <c r="G621" s="89">
        <v>89.497924999999995</v>
      </c>
      <c r="H621" s="89">
        <v>168673000</v>
      </c>
      <c r="J621" s="89">
        <v>0</v>
      </c>
      <c r="K621" s="89">
        <f t="shared" si="148"/>
        <v>88</v>
      </c>
      <c r="L621" s="89">
        <f t="shared" si="149"/>
        <v>112.621376</v>
      </c>
      <c r="M621" s="89">
        <f>+SPY__2[[#This Row],[Adj Close]]</f>
        <v>89.497924999999995</v>
      </c>
      <c r="N621" s="89">
        <f t="shared" si="144"/>
        <v>7875.8173999999999</v>
      </c>
      <c r="O621" s="90">
        <f t="shared" si="145"/>
        <v>-2034.8636880000004</v>
      </c>
      <c r="P621" s="93">
        <f t="shared" si="146"/>
        <v>-0.20532026708677409</v>
      </c>
      <c r="Q621" s="96"/>
      <c r="R621" s="96"/>
      <c r="T621" s="90">
        <f t="shared" si="140"/>
        <v>95</v>
      </c>
      <c r="U621" s="89">
        <f t="shared" si="141"/>
        <v>103.31428490526316</v>
      </c>
      <c r="V621" s="89">
        <f t="shared" si="142"/>
        <v>89.497924999999995</v>
      </c>
      <c r="W621" s="90">
        <f t="shared" si="147"/>
        <v>8502.3028749999994</v>
      </c>
      <c r="X621" s="93">
        <f t="shared" si="143"/>
        <v>-0.13373136074970127</v>
      </c>
      <c r="AB621" s="89">
        <f t="shared" si="132"/>
        <v>195</v>
      </c>
      <c r="AC621" s="89">
        <f t="shared" si="133"/>
        <v>51.179276000000002</v>
      </c>
      <c r="AD621" s="89">
        <f t="shared" si="134"/>
        <v>89.497924999999995</v>
      </c>
      <c r="AE621" s="89">
        <f t="shared" si="135"/>
        <v>17452.095375000001</v>
      </c>
      <c r="AF621" s="90">
        <f t="shared" si="138"/>
        <v>7472.1365549999991</v>
      </c>
      <c r="AG621" s="93">
        <f t="shared" si="139"/>
        <v>0.74871416703901783</v>
      </c>
      <c r="AK621" s="90">
        <f t="shared" si="136"/>
        <v>142</v>
      </c>
      <c r="AL621" s="89">
        <f t="shared" si="137"/>
        <v>68.865979063380294</v>
      </c>
      <c r="AM621" s="89">
        <f t="shared" ref="AM621:AM684" si="150">+AD621</f>
        <v>89.497924999999995</v>
      </c>
      <c r="AN621" s="90">
        <f t="shared" ref="AN621:AN684" si="151">+AM621*AK621</f>
        <v>12708.70535</v>
      </c>
      <c r="AO621" s="93">
        <f t="shared" ref="AO621:AO684" si="152">+AN621/(AL621*AK621)-1</f>
        <v>0.29959562351725588</v>
      </c>
    </row>
    <row r="622" spans="2:41" x14ac:dyDescent="0.25">
      <c r="B622" s="91">
        <v>40254</v>
      </c>
      <c r="C622" s="89">
        <v>116.760002</v>
      </c>
      <c r="D622" s="89">
        <v>117.480003</v>
      </c>
      <c r="E622" s="89">
        <v>116.41999800000001</v>
      </c>
      <c r="F622" s="89">
        <v>117.099998</v>
      </c>
      <c r="G622" s="89">
        <v>90.028373999999999</v>
      </c>
      <c r="H622" s="89">
        <v>177468100</v>
      </c>
      <c r="J622" s="89">
        <v>0</v>
      </c>
      <c r="K622" s="89">
        <f t="shared" si="148"/>
        <v>88</v>
      </c>
      <c r="L622" s="89">
        <f t="shared" si="149"/>
        <v>112.621376</v>
      </c>
      <c r="M622" s="89">
        <f>+SPY__2[[#This Row],[Adj Close]]</f>
        <v>90.028373999999999</v>
      </c>
      <c r="N622" s="89">
        <f t="shared" si="144"/>
        <v>7922.4969119999996</v>
      </c>
      <c r="O622" s="90">
        <f t="shared" si="145"/>
        <v>-1988.1841759999998</v>
      </c>
      <c r="P622" s="93">
        <f t="shared" si="146"/>
        <v>-0.20061024649530124</v>
      </c>
      <c r="Q622" s="96"/>
      <c r="R622" s="96"/>
      <c r="T622" s="90">
        <f t="shared" si="140"/>
        <v>95</v>
      </c>
      <c r="U622" s="89">
        <f t="shared" si="141"/>
        <v>103.31428490526316</v>
      </c>
      <c r="V622" s="89">
        <f t="shared" si="142"/>
        <v>90.028373999999999</v>
      </c>
      <c r="W622" s="90">
        <f t="shared" si="147"/>
        <v>8552.6955299999991</v>
      </c>
      <c r="X622" s="93">
        <f t="shared" si="143"/>
        <v>-0.12859703687100044</v>
      </c>
      <c r="AB622" s="89">
        <f t="shared" ref="AB622:AB685" si="153">+AB621</f>
        <v>195</v>
      </c>
      <c r="AC622" s="89">
        <f t="shared" ref="AC622:AC685" si="154">+AC621</f>
        <v>51.179276000000002</v>
      </c>
      <c r="AD622" s="89">
        <f t="shared" ref="AD622:AD685" si="155">+V622</f>
        <v>90.028373999999999</v>
      </c>
      <c r="AE622" s="89">
        <f t="shared" ref="AE622:AE685" si="156">+AB622*AD622</f>
        <v>17555.532930000001</v>
      </c>
      <c r="AF622" s="90">
        <f t="shared" si="138"/>
        <v>7575.5741099999996</v>
      </c>
      <c r="AG622" s="93">
        <f t="shared" si="139"/>
        <v>0.75907869427461216</v>
      </c>
      <c r="AK622" s="90">
        <f t="shared" ref="AK622:AK685" si="157">+AK621</f>
        <v>142</v>
      </c>
      <c r="AL622" s="89">
        <f t="shared" ref="AL622:AL685" si="158">+AL621</f>
        <v>68.865979063380294</v>
      </c>
      <c r="AM622" s="89">
        <f t="shared" si="150"/>
        <v>90.028373999999999</v>
      </c>
      <c r="AN622" s="90">
        <f t="shared" si="151"/>
        <v>12784.029108000001</v>
      </c>
      <c r="AO622" s="93">
        <f t="shared" si="152"/>
        <v>0.30729825124744203</v>
      </c>
    </row>
    <row r="623" spans="2:41" x14ac:dyDescent="0.25">
      <c r="B623" s="91">
        <v>40255</v>
      </c>
      <c r="C623" s="89">
        <v>117.110001</v>
      </c>
      <c r="D623" s="89">
        <v>117.269997</v>
      </c>
      <c r="E623" s="89">
        <v>116.57</v>
      </c>
      <c r="F623" s="89">
        <v>117.040001</v>
      </c>
      <c r="G623" s="89">
        <v>89.982230999999999</v>
      </c>
      <c r="H623" s="89">
        <v>196509100</v>
      </c>
      <c r="J623" s="89">
        <v>0</v>
      </c>
      <c r="K623" s="89">
        <f t="shared" si="148"/>
        <v>88</v>
      </c>
      <c r="L623" s="89">
        <f t="shared" si="149"/>
        <v>112.621376</v>
      </c>
      <c r="M623" s="89">
        <f>+SPY__2[[#This Row],[Adj Close]]</f>
        <v>89.982230999999999</v>
      </c>
      <c r="N623" s="89">
        <f t="shared" si="144"/>
        <v>7918.4363279999998</v>
      </c>
      <c r="O623" s="90">
        <f t="shared" si="145"/>
        <v>-1992.24476</v>
      </c>
      <c r="P623" s="93">
        <f t="shared" si="146"/>
        <v>-0.20101996445150871</v>
      </c>
      <c r="Q623" s="96"/>
      <c r="R623" s="96"/>
      <c r="T623" s="90">
        <f t="shared" si="140"/>
        <v>95</v>
      </c>
      <c r="U623" s="89">
        <f t="shared" si="141"/>
        <v>103.31428490526316</v>
      </c>
      <c r="V623" s="89">
        <f t="shared" si="142"/>
        <v>89.982230999999999</v>
      </c>
      <c r="W623" s="90">
        <f t="shared" si="147"/>
        <v>8548.3119449999995</v>
      </c>
      <c r="X623" s="93">
        <f t="shared" si="143"/>
        <v>-0.12904366436343584</v>
      </c>
      <c r="AB623" s="89">
        <f t="shared" si="153"/>
        <v>195</v>
      </c>
      <c r="AC623" s="89">
        <f t="shared" si="154"/>
        <v>51.179276000000002</v>
      </c>
      <c r="AD623" s="89">
        <f t="shared" si="155"/>
        <v>89.982230999999999</v>
      </c>
      <c r="AE623" s="89">
        <f t="shared" si="156"/>
        <v>17546.535045000001</v>
      </c>
      <c r="AF623" s="90">
        <f t="shared" si="138"/>
        <v>7566.5762249999998</v>
      </c>
      <c r="AG623" s="93">
        <f t="shared" si="139"/>
        <v>0.75817709887103524</v>
      </c>
      <c r="AK623" s="90">
        <f t="shared" si="157"/>
        <v>142</v>
      </c>
      <c r="AL623" s="89">
        <f t="shared" si="158"/>
        <v>68.865979063380294</v>
      </c>
      <c r="AM623" s="89">
        <f t="shared" si="150"/>
        <v>89.982230999999999</v>
      </c>
      <c r="AN623" s="90">
        <f t="shared" si="151"/>
        <v>12777.476801999999</v>
      </c>
      <c r="AO623" s="93">
        <f t="shared" si="152"/>
        <v>0.30662821067548496</v>
      </c>
    </row>
    <row r="624" spans="2:41" x14ac:dyDescent="0.25">
      <c r="B624" s="91">
        <v>40256</v>
      </c>
      <c r="C624" s="89">
        <v>115.970001</v>
      </c>
      <c r="D624" s="89">
        <v>117.290001</v>
      </c>
      <c r="E624" s="89">
        <v>115.519997</v>
      </c>
      <c r="F624" s="89">
        <v>115.970001</v>
      </c>
      <c r="G624" s="89">
        <v>89.526779000000005</v>
      </c>
      <c r="H624" s="89">
        <v>226641100</v>
      </c>
      <c r="J624" s="89">
        <v>0</v>
      </c>
      <c r="K624" s="89">
        <f t="shared" si="148"/>
        <v>88</v>
      </c>
      <c r="L624" s="89">
        <f t="shared" si="149"/>
        <v>112.621376</v>
      </c>
      <c r="M624" s="89">
        <f>+SPY__2[[#This Row],[Adj Close]]</f>
        <v>89.526779000000005</v>
      </c>
      <c r="N624" s="89">
        <f t="shared" si="144"/>
        <v>7878.3565520000002</v>
      </c>
      <c r="O624" s="90">
        <f t="shared" si="145"/>
        <v>-2032.3245359999994</v>
      </c>
      <c r="P624" s="93">
        <f t="shared" si="146"/>
        <v>-0.20506406350424977</v>
      </c>
      <c r="Q624" s="96"/>
      <c r="R624" s="96"/>
      <c r="T624" s="90">
        <f t="shared" si="140"/>
        <v>95</v>
      </c>
      <c r="U624" s="89">
        <f t="shared" si="141"/>
        <v>103.31428490526316</v>
      </c>
      <c r="V624" s="89">
        <f t="shared" si="142"/>
        <v>89.526779000000005</v>
      </c>
      <c r="W624" s="90">
        <f t="shared" si="147"/>
        <v>8505.0440049999997</v>
      </c>
      <c r="X624" s="93">
        <f t="shared" si="143"/>
        <v>-0.1334520770085762</v>
      </c>
      <c r="AB624" s="89">
        <f t="shared" si="153"/>
        <v>195</v>
      </c>
      <c r="AC624" s="89">
        <f t="shared" si="154"/>
        <v>51.179276000000002</v>
      </c>
      <c r="AD624" s="89">
        <f t="shared" si="155"/>
        <v>89.526779000000005</v>
      </c>
      <c r="AE624" s="89">
        <f t="shared" si="156"/>
        <v>17457.721905000002</v>
      </c>
      <c r="AF624" s="90">
        <f t="shared" si="138"/>
        <v>7477.7630850000005</v>
      </c>
      <c r="AG624" s="93">
        <f t="shared" si="139"/>
        <v>0.7492779499264508</v>
      </c>
      <c r="AK624" s="90">
        <f t="shared" si="157"/>
        <v>142</v>
      </c>
      <c r="AL624" s="89">
        <f t="shared" si="158"/>
        <v>68.865979063380294</v>
      </c>
      <c r="AM624" s="89">
        <f t="shared" si="150"/>
        <v>89.526779000000005</v>
      </c>
      <c r="AN624" s="90">
        <f t="shared" si="151"/>
        <v>12712.802618000002</v>
      </c>
      <c r="AO624" s="93">
        <f t="shared" si="152"/>
        <v>0.30001461124374207</v>
      </c>
    </row>
    <row r="625" spans="2:41" x14ac:dyDescent="0.25">
      <c r="B625" s="91">
        <v>40259</v>
      </c>
      <c r="C625" s="89">
        <v>115.30999799999999</v>
      </c>
      <c r="D625" s="89">
        <v>116.800003</v>
      </c>
      <c r="E625" s="89">
        <v>115.239998</v>
      </c>
      <c r="F625" s="89">
        <v>116.589996</v>
      </c>
      <c r="G625" s="89">
        <v>90.005402000000004</v>
      </c>
      <c r="H625" s="89">
        <v>184477800</v>
      </c>
      <c r="J625" s="89">
        <v>0</v>
      </c>
      <c r="K625" s="89">
        <f t="shared" si="148"/>
        <v>88</v>
      </c>
      <c r="L625" s="89">
        <f t="shared" si="149"/>
        <v>112.621376</v>
      </c>
      <c r="M625" s="89">
        <f>+SPY__2[[#This Row],[Adj Close]]</f>
        <v>90.005402000000004</v>
      </c>
      <c r="N625" s="89">
        <f t="shared" si="144"/>
        <v>7920.4753760000003</v>
      </c>
      <c r="O625" s="90">
        <f t="shared" si="145"/>
        <v>-1990.2057119999995</v>
      </c>
      <c r="P625" s="93">
        <f t="shared" si="146"/>
        <v>-0.20081422198215726</v>
      </c>
      <c r="Q625" s="96"/>
      <c r="R625" s="96"/>
      <c r="T625" s="90">
        <f t="shared" si="140"/>
        <v>95</v>
      </c>
      <c r="U625" s="89">
        <f t="shared" si="141"/>
        <v>103.31428490526316</v>
      </c>
      <c r="V625" s="89">
        <f t="shared" si="142"/>
        <v>90.005402000000004</v>
      </c>
      <c r="W625" s="90">
        <f t="shared" si="147"/>
        <v>8550.5131899999997</v>
      </c>
      <c r="X625" s="93">
        <f t="shared" si="143"/>
        <v>-0.12881938753645839</v>
      </c>
      <c r="AB625" s="89">
        <f t="shared" si="153"/>
        <v>195</v>
      </c>
      <c r="AC625" s="89">
        <f t="shared" si="154"/>
        <v>51.179276000000002</v>
      </c>
      <c r="AD625" s="89">
        <f t="shared" si="155"/>
        <v>90.005402000000004</v>
      </c>
      <c r="AE625" s="89">
        <f t="shared" si="156"/>
        <v>17551.053390000001</v>
      </c>
      <c r="AF625" s="90">
        <f t="shared" si="138"/>
        <v>7571.0945700000002</v>
      </c>
      <c r="AG625" s="93">
        <f t="shared" si="139"/>
        <v>0.75862984071912232</v>
      </c>
      <c r="AK625" s="90">
        <f t="shared" si="157"/>
        <v>142</v>
      </c>
      <c r="AL625" s="89">
        <f t="shared" si="158"/>
        <v>68.865979063380294</v>
      </c>
      <c r="AM625" s="89">
        <f t="shared" si="150"/>
        <v>90.005402000000004</v>
      </c>
      <c r="AN625" s="90">
        <f t="shared" si="151"/>
        <v>12780.767084000001</v>
      </c>
      <c r="AO625" s="93">
        <f t="shared" si="152"/>
        <v>0.30696467579679965</v>
      </c>
    </row>
    <row r="626" spans="2:41" x14ac:dyDescent="0.25">
      <c r="B626" s="91">
        <v>40260</v>
      </c>
      <c r="C626" s="89">
        <v>116.760002</v>
      </c>
      <c r="D626" s="89">
        <v>117.510002</v>
      </c>
      <c r="E626" s="89">
        <v>116.379997</v>
      </c>
      <c r="F626" s="89">
        <v>117.410004</v>
      </c>
      <c r="G626" s="89">
        <v>90.638428000000005</v>
      </c>
      <c r="H626" s="89">
        <v>182941600</v>
      </c>
      <c r="J626" s="89">
        <v>0</v>
      </c>
      <c r="K626" s="89">
        <f t="shared" si="148"/>
        <v>88</v>
      </c>
      <c r="L626" s="89">
        <f t="shared" si="149"/>
        <v>112.621376</v>
      </c>
      <c r="M626" s="89">
        <f>+SPY__2[[#This Row],[Adj Close]]</f>
        <v>90.638428000000005</v>
      </c>
      <c r="N626" s="89">
        <f t="shared" si="144"/>
        <v>7976.1816640000006</v>
      </c>
      <c r="O626" s="90">
        <f t="shared" si="145"/>
        <v>-1934.4994239999994</v>
      </c>
      <c r="P626" s="93">
        <f t="shared" si="146"/>
        <v>-0.19519338850912271</v>
      </c>
      <c r="Q626" s="96"/>
      <c r="R626" s="96"/>
      <c r="T626" s="90">
        <f t="shared" si="140"/>
        <v>95</v>
      </c>
      <c r="U626" s="89">
        <f t="shared" si="141"/>
        <v>103.31428490526316</v>
      </c>
      <c r="V626" s="89">
        <f t="shared" si="142"/>
        <v>90.638428000000005</v>
      </c>
      <c r="W626" s="90">
        <f t="shared" si="147"/>
        <v>8610.6506600000012</v>
      </c>
      <c r="X626" s="93">
        <f t="shared" si="143"/>
        <v>-0.12269219998847813</v>
      </c>
      <c r="AB626" s="89">
        <f t="shared" si="153"/>
        <v>195</v>
      </c>
      <c r="AC626" s="89">
        <f t="shared" si="154"/>
        <v>51.179276000000002</v>
      </c>
      <c r="AD626" s="89">
        <f t="shared" si="155"/>
        <v>90.638428000000005</v>
      </c>
      <c r="AE626" s="89">
        <f t="shared" si="156"/>
        <v>17674.493460000002</v>
      </c>
      <c r="AF626" s="90">
        <f t="shared" ref="AF626:AF689" si="159">+(AD626-AC626)*AB626</f>
        <v>7694.5346400000008</v>
      </c>
      <c r="AG626" s="93">
        <f t="shared" ref="AG626:AG689" si="160">+AD626/AC626-1</f>
        <v>0.77099863624487375</v>
      </c>
      <c r="AK626" s="90">
        <f t="shared" si="157"/>
        <v>142</v>
      </c>
      <c r="AL626" s="89">
        <f t="shared" si="158"/>
        <v>68.865979063380294</v>
      </c>
      <c r="AM626" s="89">
        <f t="shared" si="150"/>
        <v>90.638428000000005</v>
      </c>
      <c r="AN626" s="90">
        <f t="shared" si="151"/>
        <v>12870.656776</v>
      </c>
      <c r="AO626" s="93">
        <f t="shared" si="152"/>
        <v>0.31615681985123012</v>
      </c>
    </row>
    <row r="627" spans="2:41" x14ac:dyDescent="0.25">
      <c r="B627" s="91">
        <v>40261</v>
      </c>
      <c r="C627" s="89">
        <v>116.970001</v>
      </c>
      <c r="D627" s="89">
        <v>117.43</v>
      </c>
      <c r="E627" s="89">
        <v>115.58000199999999</v>
      </c>
      <c r="F627" s="89">
        <v>116.839996</v>
      </c>
      <c r="G627" s="89">
        <v>90.198409999999996</v>
      </c>
      <c r="H627" s="89">
        <v>196072600</v>
      </c>
      <c r="J627" s="89">
        <v>0</v>
      </c>
      <c r="K627" s="89">
        <f t="shared" si="148"/>
        <v>88</v>
      </c>
      <c r="L627" s="89">
        <f t="shared" si="149"/>
        <v>112.621376</v>
      </c>
      <c r="M627" s="89">
        <f>+SPY__2[[#This Row],[Adj Close]]</f>
        <v>90.198409999999996</v>
      </c>
      <c r="N627" s="89">
        <f t="shared" si="144"/>
        <v>7937.4600799999998</v>
      </c>
      <c r="O627" s="90">
        <f t="shared" si="145"/>
        <v>-1973.2210080000002</v>
      </c>
      <c r="P627" s="93">
        <f t="shared" si="146"/>
        <v>-0.1991004443064166</v>
      </c>
      <c r="Q627" s="96"/>
      <c r="R627" s="96"/>
      <c r="T627" s="90">
        <f t="shared" si="140"/>
        <v>95</v>
      </c>
      <c r="U627" s="89">
        <f t="shared" si="141"/>
        <v>103.31428490526316</v>
      </c>
      <c r="V627" s="89">
        <f t="shared" si="142"/>
        <v>90.198409999999996</v>
      </c>
      <c r="W627" s="90">
        <f t="shared" si="147"/>
        <v>8568.8489499999996</v>
      </c>
      <c r="X627" s="93">
        <f t="shared" si="143"/>
        <v>-0.12695122380501522</v>
      </c>
      <c r="AB627" s="89">
        <f t="shared" si="153"/>
        <v>195</v>
      </c>
      <c r="AC627" s="89">
        <f t="shared" si="154"/>
        <v>51.179276000000002</v>
      </c>
      <c r="AD627" s="89">
        <f t="shared" si="155"/>
        <v>90.198409999999996</v>
      </c>
      <c r="AE627" s="89">
        <f t="shared" si="156"/>
        <v>17588.68995</v>
      </c>
      <c r="AF627" s="90">
        <f t="shared" si="159"/>
        <v>7608.7311299999992</v>
      </c>
      <c r="AG627" s="93">
        <f t="shared" si="160"/>
        <v>0.76240105467689689</v>
      </c>
      <c r="AK627" s="90">
        <f t="shared" si="157"/>
        <v>142</v>
      </c>
      <c r="AL627" s="89">
        <f t="shared" si="158"/>
        <v>68.865979063380294</v>
      </c>
      <c r="AM627" s="89">
        <f t="shared" si="150"/>
        <v>90.198409999999996</v>
      </c>
      <c r="AN627" s="90">
        <f t="shared" si="151"/>
        <v>12808.174219999999</v>
      </c>
      <c r="AO627" s="93">
        <f t="shared" si="152"/>
        <v>0.30976733688758795</v>
      </c>
    </row>
    <row r="628" spans="2:41" x14ac:dyDescent="0.25">
      <c r="B628" s="91">
        <v>40262</v>
      </c>
      <c r="C628" s="89">
        <v>117.629997</v>
      </c>
      <c r="D628" s="89">
        <v>118.16999800000001</v>
      </c>
      <c r="E628" s="89">
        <v>116.510002</v>
      </c>
      <c r="F628" s="89">
        <v>116.650002</v>
      </c>
      <c r="G628" s="89">
        <v>90.051734999999994</v>
      </c>
      <c r="H628" s="89">
        <v>223396300</v>
      </c>
      <c r="J628" s="89">
        <v>0</v>
      </c>
      <c r="K628" s="89">
        <f t="shared" si="148"/>
        <v>88</v>
      </c>
      <c r="L628" s="89">
        <f t="shared" si="149"/>
        <v>112.621376</v>
      </c>
      <c r="M628" s="89">
        <f>+SPY__2[[#This Row],[Adj Close]]</f>
        <v>90.051734999999994</v>
      </c>
      <c r="N628" s="89">
        <f t="shared" si="144"/>
        <v>7924.5526799999998</v>
      </c>
      <c r="O628" s="90">
        <f t="shared" si="145"/>
        <v>-1986.1284080000005</v>
      </c>
      <c r="P628" s="93">
        <f t="shared" si="146"/>
        <v>-0.20040281695723561</v>
      </c>
      <c r="Q628" s="96"/>
      <c r="R628" s="96"/>
      <c r="T628" s="90">
        <f t="shared" si="140"/>
        <v>95</v>
      </c>
      <c r="U628" s="89">
        <f t="shared" si="141"/>
        <v>103.31428490526316</v>
      </c>
      <c r="V628" s="89">
        <f t="shared" si="142"/>
        <v>90.051734999999994</v>
      </c>
      <c r="W628" s="90">
        <f t="shared" si="147"/>
        <v>8554.9148249999998</v>
      </c>
      <c r="X628" s="93">
        <f t="shared" si="143"/>
        <v>-0.12837092099533598</v>
      </c>
      <c r="AB628" s="89">
        <f t="shared" si="153"/>
        <v>195</v>
      </c>
      <c r="AC628" s="89">
        <f t="shared" si="154"/>
        <v>51.179276000000002</v>
      </c>
      <c r="AD628" s="89">
        <f t="shared" si="155"/>
        <v>90.051734999999994</v>
      </c>
      <c r="AE628" s="89">
        <f t="shared" si="156"/>
        <v>17560.088324999997</v>
      </c>
      <c r="AF628" s="90">
        <f t="shared" si="159"/>
        <v>7580.1295049999981</v>
      </c>
      <c r="AG628" s="93">
        <f t="shared" si="160"/>
        <v>0.75953514856286741</v>
      </c>
      <c r="AK628" s="90">
        <f t="shared" si="157"/>
        <v>142</v>
      </c>
      <c r="AL628" s="89">
        <f t="shared" si="158"/>
        <v>68.865979063380294</v>
      </c>
      <c r="AM628" s="89">
        <f t="shared" si="150"/>
        <v>90.051734999999994</v>
      </c>
      <c r="AN628" s="90">
        <f t="shared" si="151"/>
        <v>12787.346369999999</v>
      </c>
      <c r="AO628" s="93">
        <f t="shared" si="152"/>
        <v>0.3076374753508051</v>
      </c>
    </row>
    <row r="629" spans="2:41" x14ac:dyDescent="0.25">
      <c r="B629" s="91">
        <v>40263</v>
      </c>
      <c r="C629" s="89">
        <v>116.870003</v>
      </c>
      <c r="D629" s="89">
        <v>117.41999800000001</v>
      </c>
      <c r="E629" s="89">
        <v>116.120003</v>
      </c>
      <c r="F629" s="89">
        <v>116.58000199999999</v>
      </c>
      <c r="G629" s="89">
        <v>89.997696000000005</v>
      </c>
      <c r="H629" s="89">
        <v>205808500</v>
      </c>
      <c r="J629" s="89">
        <v>0</v>
      </c>
      <c r="K629" s="89">
        <f t="shared" si="148"/>
        <v>88</v>
      </c>
      <c r="L629" s="89">
        <f t="shared" si="149"/>
        <v>112.621376</v>
      </c>
      <c r="M629" s="89">
        <f>+SPY__2[[#This Row],[Adj Close]]</f>
        <v>89.997696000000005</v>
      </c>
      <c r="N629" s="89">
        <f t="shared" si="144"/>
        <v>7919.7972480000008</v>
      </c>
      <c r="O629" s="90">
        <f t="shared" si="145"/>
        <v>-1990.8838399999995</v>
      </c>
      <c r="P629" s="93">
        <f t="shared" si="146"/>
        <v>-0.20088264593748162</v>
      </c>
      <c r="Q629" s="96"/>
      <c r="R629" s="96"/>
      <c r="T629" s="90">
        <f t="shared" si="140"/>
        <v>95</v>
      </c>
      <c r="U629" s="89">
        <f t="shared" si="141"/>
        <v>103.31428490526316</v>
      </c>
      <c r="V629" s="89">
        <f t="shared" si="142"/>
        <v>89.997696000000005</v>
      </c>
      <c r="W629" s="90">
        <f t="shared" si="147"/>
        <v>8549.7811199999996</v>
      </c>
      <c r="X629" s="93">
        <f t="shared" si="143"/>
        <v>-0.12889397547952031</v>
      </c>
      <c r="AB629" s="89">
        <f t="shared" si="153"/>
        <v>195</v>
      </c>
      <c r="AC629" s="89">
        <f t="shared" si="154"/>
        <v>51.179276000000002</v>
      </c>
      <c r="AD629" s="89">
        <f t="shared" si="155"/>
        <v>89.997696000000005</v>
      </c>
      <c r="AE629" s="89">
        <f t="shared" si="156"/>
        <v>17549.550719999999</v>
      </c>
      <c r="AF629" s="90">
        <f t="shared" si="159"/>
        <v>7569.5919000000004</v>
      </c>
      <c r="AG629" s="93">
        <f t="shared" si="160"/>
        <v>0.75847927196156517</v>
      </c>
      <c r="AK629" s="90">
        <f t="shared" si="157"/>
        <v>142</v>
      </c>
      <c r="AL629" s="89">
        <f t="shared" si="158"/>
        <v>68.865979063380294</v>
      </c>
      <c r="AM629" s="89">
        <f t="shared" si="150"/>
        <v>89.997696000000005</v>
      </c>
      <c r="AN629" s="90">
        <f t="shared" si="151"/>
        <v>12779.672832</v>
      </c>
      <c r="AO629" s="93">
        <f t="shared" si="152"/>
        <v>0.30685277729328875</v>
      </c>
    </row>
    <row r="630" spans="2:41" x14ac:dyDescent="0.25">
      <c r="B630" s="91">
        <v>40266</v>
      </c>
      <c r="C630" s="89">
        <v>117.16999800000001</v>
      </c>
      <c r="D630" s="89">
        <v>117.529999</v>
      </c>
      <c r="E630" s="89">
        <v>116.69000200000001</v>
      </c>
      <c r="F630" s="89">
        <v>117.32</v>
      </c>
      <c r="G630" s="89">
        <v>90.568946999999994</v>
      </c>
      <c r="H630" s="89">
        <v>134513500</v>
      </c>
      <c r="J630" s="89">
        <v>0</v>
      </c>
      <c r="K630" s="89">
        <f t="shared" si="148"/>
        <v>88</v>
      </c>
      <c r="L630" s="89">
        <f t="shared" si="149"/>
        <v>112.621376</v>
      </c>
      <c r="M630" s="89">
        <f>+SPY__2[[#This Row],[Adj Close]]</f>
        <v>90.568946999999994</v>
      </c>
      <c r="N630" s="89">
        <f t="shared" si="144"/>
        <v>7970.0673359999992</v>
      </c>
      <c r="O630" s="90">
        <f t="shared" si="145"/>
        <v>-1940.6137520000002</v>
      </c>
      <c r="P630" s="93">
        <f t="shared" si="146"/>
        <v>-0.19581033177928853</v>
      </c>
      <c r="Q630" s="96"/>
      <c r="R630" s="96"/>
      <c r="T630" s="90">
        <f t="shared" si="140"/>
        <v>95</v>
      </c>
      <c r="U630" s="89">
        <f t="shared" si="141"/>
        <v>103.31428490526316</v>
      </c>
      <c r="V630" s="89">
        <f t="shared" si="142"/>
        <v>90.568946999999994</v>
      </c>
      <c r="W630" s="90">
        <f t="shared" si="147"/>
        <v>8604.0499650000002</v>
      </c>
      <c r="X630" s="93">
        <f t="shared" si="143"/>
        <v>-0.12336472073489491</v>
      </c>
      <c r="AB630" s="89">
        <f t="shared" si="153"/>
        <v>195</v>
      </c>
      <c r="AC630" s="89">
        <f t="shared" si="154"/>
        <v>51.179276000000002</v>
      </c>
      <c r="AD630" s="89">
        <f t="shared" si="155"/>
        <v>90.568946999999994</v>
      </c>
      <c r="AE630" s="89">
        <f t="shared" si="156"/>
        <v>17660.944664999999</v>
      </c>
      <c r="AF630" s="90">
        <f t="shared" si="159"/>
        <v>7680.9858449999983</v>
      </c>
      <c r="AG630" s="93">
        <f t="shared" si="160"/>
        <v>0.76964103595369338</v>
      </c>
      <c r="AK630" s="90">
        <f t="shared" si="157"/>
        <v>142</v>
      </c>
      <c r="AL630" s="89">
        <f t="shared" si="158"/>
        <v>68.865979063380294</v>
      </c>
      <c r="AM630" s="89">
        <f t="shared" si="150"/>
        <v>90.568946999999994</v>
      </c>
      <c r="AN630" s="90">
        <f t="shared" si="151"/>
        <v>12860.790473999999</v>
      </c>
      <c r="AO630" s="93">
        <f t="shared" si="152"/>
        <v>0.31514788915794756</v>
      </c>
    </row>
    <row r="631" spans="2:41" x14ac:dyDescent="0.25">
      <c r="B631" s="91">
        <v>40267</v>
      </c>
      <c r="C631" s="89">
        <v>117.459999</v>
      </c>
      <c r="D631" s="89">
        <v>117.83000199999999</v>
      </c>
      <c r="E631" s="89">
        <v>116.910004</v>
      </c>
      <c r="F631" s="89">
        <v>117.400002</v>
      </c>
      <c r="G631" s="89">
        <v>90.630722000000006</v>
      </c>
      <c r="H631" s="89">
        <v>145772500</v>
      </c>
      <c r="J631" s="89">
        <v>0</v>
      </c>
      <c r="K631" s="89">
        <f t="shared" si="148"/>
        <v>88</v>
      </c>
      <c r="L631" s="89">
        <f t="shared" si="149"/>
        <v>112.621376</v>
      </c>
      <c r="M631" s="89">
        <f>+SPY__2[[#This Row],[Adj Close]]</f>
        <v>90.630722000000006</v>
      </c>
      <c r="N631" s="89">
        <f t="shared" si="144"/>
        <v>7975.5035360000002</v>
      </c>
      <c r="O631" s="90">
        <f t="shared" si="145"/>
        <v>-1935.1775519999992</v>
      </c>
      <c r="P631" s="93">
        <f t="shared" si="146"/>
        <v>-0.19526181246444718</v>
      </c>
      <c r="Q631" s="96"/>
      <c r="R631" s="96"/>
      <c r="T631" s="90">
        <f t="shared" si="140"/>
        <v>95</v>
      </c>
      <c r="U631" s="89">
        <f t="shared" si="141"/>
        <v>103.31428490526316</v>
      </c>
      <c r="V631" s="89">
        <f t="shared" si="142"/>
        <v>90.630722000000006</v>
      </c>
      <c r="W631" s="90">
        <f t="shared" si="147"/>
        <v>8609.9185900000011</v>
      </c>
      <c r="X631" s="93">
        <f t="shared" si="143"/>
        <v>-0.12276678793154006</v>
      </c>
      <c r="AB631" s="89">
        <f t="shared" si="153"/>
        <v>195</v>
      </c>
      <c r="AC631" s="89">
        <f t="shared" si="154"/>
        <v>51.179276000000002</v>
      </c>
      <c r="AD631" s="89">
        <f t="shared" si="155"/>
        <v>90.630722000000006</v>
      </c>
      <c r="AE631" s="89">
        <f t="shared" si="156"/>
        <v>17672.99079</v>
      </c>
      <c r="AF631" s="90">
        <f t="shared" si="159"/>
        <v>7693.0319700000009</v>
      </c>
      <c r="AG631" s="93">
        <f t="shared" si="160"/>
        <v>0.7708480674873166</v>
      </c>
      <c r="AK631" s="90">
        <f t="shared" si="157"/>
        <v>142</v>
      </c>
      <c r="AL631" s="89">
        <f t="shared" si="158"/>
        <v>68.865979063380294</v>
      </c>
      <c r="AM631" s="89">
        <f t="shared" si="150"/>
        <v>90.630722000000006</v>
      </c>
      <c r="AN631" s="90">
        <f t="shared" si="151"/>
        <v>12869.562524000001</v>
      </c>
      <c r="AO631" s="93">
        <f t="shared" si="152"/>
        <v>0.31604492134771944</v>
      </c>
    </row>
    <row r="632" spans="2:41" x14ac:dyDescent="0.25">
      <c r="B632" s="91">
        <v>40268</v>
      </c>
      <c r="C632" s="89">
        <v>116.949997</v>
      </c>
      <c r="D632" s="89">
        <v>117.519997</v>
      </c>
      <c r="E632" s="89">
        <v>116.610001</v>
      </c>
      <c r="F632" s="89">
        <v>117</v>
      </c>
      <c r="G632" s="89">
        <v>90.321915000000004</v>
      </c>
      <c r="H632" s="89">
        <v>161078700</v>
      </c>
      <c r="J632" s="89">
        <v>0</v>
      </c>
      <c r="K632" s="89">
        <f t="shared" si="148"/>
        <v>88</v>
      </c>
      <c r="L632" s="89">
        <f t="shared" si="149"/>
        <v>112.621376</v>
      </c>
      <c r="M632" s="89">
        <f>+SPY__2[[#This Row],[Adj Close]]</f>
        <v>90.321915000000004</v>
      </c>
      <c r="N632" s="89">
        <f t="shared" si="144"/>
        <v>7948.32852</v>
      </c>
      <c r="O632" s="90">
        <f t="shared" si="145"/>
        <v>-1962.3525679999993</v>
      </c>
      <c r="P632" s="93">
        <f t="shared" si="146"/>
        <v>-0.19800380524563999</v>
      </c>
      <c r="Q632" s="96"/>
      <c r="R632" s="96"/>
      <c r="T632" s="90">
        <f t="shared" si="140"/>
        <v>95</v>
      </c>
      <c r="U632" s="89">
        <f t="shared" si="141"/>
        <v>103.31428490526316</v>
      </c>
      <c r="V632" s="89">
        <f t="shared" si="142"/>
        <v>90.321915000000004</v>
      </c>
      <c r="W632" s="90">
        <f t="shared" si="147"/>
        <v>8580.5819250000004</v>
      </c>
      <c r="X632" s="93">
        <f t="shared" si="143"/>
        <v>-0.12575579376246826</v>
      </c>
      <c r="AB632" s="89">
        <f t="shared" si="153"/>
        <v>195</v>
      </c>
      <c r="AC632" s="89">
        <f t="shared" si="154"/>
        <v>51.179276000000002</v>
      </c>
      <c r="AD632" s="89">
        <f t="shared" si="155"/>
        <v>90.321915000000004</v>
      </c>
      <c r="AE632" s="89">
        <f t="shared" si="156"/>
        <v>17612.773424999999</v>
      </c>
      <c r="AF632" s="90">
        <f t="shared" si="159"/>
        <v>7632.8146050000005</v>
      </c>
      <c r="AG632" s="93">
        <f t="shared" si="160"/>
        <v>0.76481423848199803</v>
      </c>
      <c r="AK632" s="90">
        <f t="shared" si="157"/>
        <v>142</v>
      </c>
      <c r="AL632" s="89">
        <f t="shared" si="158"/>
        <v>68.865979063380294</v>
      </c>
      <c r="AM632" s="89">
        <f t="shared" si="150"/>
        <v>90.321915000000004</v>
      </c>
      <c r="AN632" s="90">
        <f t="shared" si="151"/>
        <v>12825.711930000001</v>
      </c>
      <c r="AO632" s="93">
        <f t="shared" si="152"/>
        <v>0.31156074782401499</v>
      </c>
    </row>
    <row r="633" spans="2:41" x14ac:dyDescent="0.25">
      <c r="B633" s="91">
        <v>40269</v>
      </c>
      <c r="C633" s="89">
        <v>117.800003</v>
      </c>
      <c r="D633" s="89">
        <v>118.25</v>
      </c>
      <c r="E633" s="89">
        <v>117.099998</v>
      </c>
      <c r="F633" s="89">
        <v>117.800003</v>
      </c>
      <c r="G633" s="89">
        <v>90.939491000000004</v>
      </c>
      <c r="H633" s="89">
        <v>161215200</v>
      </c>
      <c r="J633" s="89">
        <v>0</v>
      </c>
      <c r="K633" s="89">
        <f t="shared" si="148"/>
        <v>88</v>
      </c>
      <c r="L633" s="89">
        <f t="shared" si="149"/>
        <v>112.621376</v>
      </c>
      <c r="M633" s="89">
        <f>+SPY__2[[#This Row],[Adj Close]]</f>
        <v>90.939491000000004</v>
      </c>
      <c r="N633" s="89">
        <f t="shared" si="144"/>
        <v>8002.6752080000006</v>
      </c>
      <c r="O633" s="90">
        <f t="shared" si="145"/>
        <v>-1908.0058799999995</v>
      </c>
      <c r="P633" s="93">
        <f t="shared" si="146"/>
        <v>-0.19252015709699721</v>
      </c>
      <c r="Q633" s="96"/>
      <c r="R633" s="96"/>
      <c r="T633" s="90">
        <f t="shared" si="140"/>
        <v>95</v>
      </c>
      <c r="U633" s="89">
        <f t="shared" si="141"/>
        <v>103.31428490526316</v>
      </c>
      <c r="V633" s="89">
        <f t="shared" si="142"/>
        <v>90.939491000000004</v>
      </c>
      <c r="W633" s="90">
        <f t="shared" si="147"/>
        <v>8639.2516450000003</v>
      </c>
      <c r="X633" s="93">
        <f t="shared" si="143"/>
        <v>-0.11977814991034941</v>
      </c>
      <c r="AB633" s="89">
        <f t="shared" si="153"/>
        <v>195</v>
      </c>
      <c r="AC633" s="89">
        <f t="shared" si="154"/>
        <v>51.179276000000002</v>
      </c>
      <c r="AD633" s="89">
        <f t="shared" si="155"/>
        <v>90.939491000000004</v>
      </c>
      <c r="AE633" s="89">
        <f t="shared" si="156"/>
        <v>17733.200745000002</v>
      </c>
      <c r="AF633" s="90">
        <f t="shared" si="159"/>
        <v>7753.2419250000003</v>
      </c>
      <c r="AG633" s="93">
        <f t="shared" si="160"/>
        <v>0.77688115400460145</v>
      </c>
      <c r="AK633" s="90">
        <f t="shared" si="157"/>
        <v>142</v>
      </c>
      <c r="AL633" s="89">
        <f t="shared" si="158"/>
        <v>68.865979063380294</v>
      </c>
      <c r="AM633" s="89">
        <f t="shared" si="150"/>
        <v>90.939491000000004</v>
      </c>
      <c r="AN633" s="90">
        <f t="shared" si="151"/>
        <v>12913.407722</v>
      </c>
      <c r="AO633" s="93">
        <f t="shared" si="152"/>
        <v>0.32052854307501422</v>
      </c>
    </row>
    <row r="634" spans="2:41" x14ac:dyDescent="0.25">
      <c r="B634" s="91">
        <v>40273</v>
      </c>
      <c r="C634" s="89">
        <v>118.25</v>
      </c>
      <c r="D634" s="89">
        <v>118.839996</v>
      </c>
      <c r="E634" s="89">
        <v>117.91999800000001</v>
      </c>
      <c r="F634" s="89">
        <v>118.760002</v>
      </c>
      <c r="G634" s="89">
        <v>91.680610999999999</v>
      </c>
      <c r="H634" s="89">
        <v>105847600</v>
      </c>
      <c r="J634" s="89">
        <v>0</v>
      </c>
      <c r="K634" s="89">
        <f t="shared" si="148"/>
        <v>88</v>
      </c>
      <c r="L634" s="89">
        <f t="shared" si="149"/>
        <v>112.621376</v>
      </c>
      <c r="M634" s="89">
        <f>+SPY__2[[#This Row],[Adj Close]]</f>
        <v>91.680610999999999</v>
      </c>
      <c r="N634" s="89">
        <f t="shared" si="144"/>
        <v>8067.8937679999999</v>
      </c>
      <c r="O634" s="90">
        <f t="shared" si="145"/>
        <v>-1842.7873199999999</v>
      </c>
      <c r="P634" s="93">
        <f t="shared" si="146"/>
        <v>-0.18593952359452615</v>
      </c>
      <c r="Q634" s="96"/>
      <c r="R634" s="96"/>
      <c r="T634" s="90">
        <f t="shared" si="140"/>
        <v>95</v>
      </c>
      <c r="U634" s="89">
        <f t="shared" si="141"/>
        <v>103.31428490526316</v>
      </c>
      <c r="V634" s="89">
        <f t="shared" si="142"/>
        <v>91.680610999999999</v>
      </c>
      <c r="W634" s="90">
        <f t="shared" si="147"/>
        <v>8709.6580450000001</v>
      </c>
      <c r="X634" s="93">
        <f t="shared" si="143"/>
        <v>-0.11260469852674271</v>
      </c>
      <c r="AB634" s="89">
        <f t="shared" si="153"/>
        <v>195</v>
      </c>
      <c r="AC634" s="89">
        <f t="shared" si="154"/>
        <v>51.179276000000002</v>
      </c>
      <c r="AD634" s="89">
        <f t="shared" si="155"/>
        <v>91.680610999999999</v>
      </c>
      <c r="AE634" s="89">
        <f t="shared" si="156"/>
        <v>17877.719144999999</v>
      </c>
      <c r="AF634" s="90">
        <f t="shared" si="159"/>
        <v>7897.7603249999993</v>
      </c>
      <c r="AG634" s="93">
        <f t="shared" si="160"/>
        <v>0.79136201535949824</v>
      </c>
      <c r="AK634" s="90">
        <f t="shared" si="157"/>
        <v>142</v>
      </c>
      <c r="AL634" s="89">
        <f t="shared" si="158"/>
        <v>68.865979063380294</v>
      </c>
      <c r="AM634" s="89">
        <f t="shared" si="150"/>
        <v>91.680610999999999</v>
      </c>
      <c r="AN634" s="90">
        <f t="shared" si="151"/>
        <v>13018.646762</v>
      </c>
      <c r="AO634" s="93">
        <f t="shared" si="152"/>
        <v>0.33129031557980815</v>
      </c>
    </row>
    <row r="635" spans="2:41" x14ac:dyDescent="0.25">
      <c r="B635" s="91">
        <v>40274</v>
      </c>
      <c r="C635" s="89">
        <v>118.41999800000001</v>
      </c>
      <c r="D635" s="89">
        <v>119.25</v>
      </c>
      <c r="E635" s="89">
        <v>118.290001</v>
      </c>
      <c r="F635" s="89">
        <v>119.040001</v>
      </c>
      <c r="G635" s="89">
        <v>91.896773999999994</v>
      </c>
      <c r="H635" s="89">
        <v>110384200</v>
      </c>
      <c r="J635" s="89">
        <v>0</v>
      </c>
      <c r="K635" s="89">
        <f t="shared" si="148"/>
        <v>88</v>
      </c>
      <c r="L635" s="89">
        <f t="shared" si="149"/>
        <v>112.621376</v>
      </c>
      <c r="M635" s="89">
        <f>+SPY__2[[#This Row],[Adj Close]]</f>
        <v>91.896773999999994</v>
      </c>
      <c r="N635" s="89">
        <f t="shared" si="144"/>
        <v>8086.916111999999</v>
      </c>
      <c r="O635" s="90">
        <f t="shared" si="145"/>
        <v>-1823.7649760000004</v>
      </c>
      <c r="P635" s="93">
        <f t="shared" si="146"/>
        <v>-0.18402014551837842</v>
      </c>
      <c r="Q635" s="96"/>
      <c r="R635" s="96"/>
      <c r="T635" s="90">
        <f t="shared" si="140"/>
        <v>95</v>
      </c>
      <c r="U635" s="89">
        <f t="shared" si="141"/>
        <v>103.31428490526316</v>
      </c>
      <c r="V635" s="89">
        <f t="shared" si="142"/>
        <v>91.896773999999994</v>
      </c>
      <c r="W635" s="90">
        <f t="shared" si="147"/>
        <v>8730.1935299999986</v>
      </c>
      <c r="X635" s="93">
        <f t="shared" si="143"/>
        <v>-0.11051241283558</v>
      </c>
      <c r="AB635" s="89">
        <f t="shared" si="153"/>
        <v>195</v>
      </c>
      <c r="AC635" s="89">
        <f t="shared" si="154"/>
        <v>51.179276000000002</v>
      </c>
      <c r="AD635" s="89">
        <f t="shared" si="155"/>
        <v>91.896773999999994</v>
      </c>
      <c r="AE635" s="89">
        <f t="shared" si="156"/>
        <v>17919.870929999997</v>
      </c>
      <c r="AF635" s="90">
        <f t="shared" si="159"/>
        <v>7939.9121099999984</v>
      </c>
      <c r="AG635" s="93">
        <f t="shared" si="160"/>
        <v>0.79558565853881924</v>
      </c>
      <c r="AK635" s="90">
        <f t="shared" si="157"/>
        <v>142</v>
      </c>
      <c r="AL635" s="89">
        <f t="shared" si="158"/>
        <v>68.865979063380294</v>
      </c>
      <c r="AM635" s="89">
        <f t="shared" si="150"/>
        <v>91.896773999999994</v>
      </c>
      <c r="AN635" s="90">
        <f t="shared" si="151"/>
        <v>13049.341907999999</v>
      </c>
      <c r="AO635" s="93">
        <f t="shared" si="152"/>
        <v>0.33442920945658061</v>
      </c>
    </row>
    <row r="636" spans="2:41" x14ac:dyDescent="0.25">
      <c r="B636" s="91">
        <v>40275</v>
      </c>
      <c r="C636" s="89">
        <v>118.800003</v>
      </c>
      <c r="D636" s="89">
        <v>119.360001</v>
      </c>
      <c r="E636" s="89">
        <v>117.80999799999999</v>
      </c>
      <c r="F636" s="89">
        <v>118.360001</v>
      </c>
      <c r="G636" s="89">
        <v>91.371841000000003</v>
      </c>
      <c r="H636" s="89">
        <v>184576300</v>
      </c>
      <c r="J636" s="89">
        <v>0</v>
      </c>
      <c r="K636" s="89">
        <f t="shared" si="148"/>
        <v>88</v>
      </c>
      <c r="L636" s="89">
        <f t="shared" si="149"/>
        <v>112.621376</v>
      </c>
      <c r="M636" s="89">
        <f>+SPY__2[[#This Row],[Adj Close]]</f>
        <v>91.371841000000003</v>
      </c>
      <c r="N636" s="89">
        <f t="shared" si="144"/>
        <v>8040.7220080000006</v>
      </c>
      <c r="O636" s="90">
        <f t="shared" si="145"/>
        <v>-1869.9590799999996</v>
      </c>
      <c r="P636" s="93">
        <f t="shared" si="146"/>
        <v>-0.18868118784128507</v>
      </c>
      <c r="Q636" s="96"/>
      <c r="R636" s="96"/>
      <c r="T636" s="90">
        <f t="shared" si="140"/>
        <v>95</v>
      </c>
      <c r="U636" s="89">
        <f t="shared" si="141"/>
        <v>103.31428490526316</v>
      </c>
      <c r="V636" s="89">
        <f t="shared" si="142"/>
        <v>91.371841000000003</v>
      </c>
      <c r="W636" s="90">
        <f t="shared" si="147"/>
        <v>8680.3248949999997</v>
      </c>
      <c r="X636" s="93">
        <f t="shared" si="143"/>
        <v>-0.11559334622713702</v>
      </c>
      <c r="AB636" s="89">
        <f t="shared" si="153"/>
        <v>195</v>
      </c>
      <c r="AC636" s="89">
        <f t="shared" si="154"/>
        <v>51.179276000000002</v>
      </c>
      <c r="AD636" s="89">
        <f t="shared" si="155"/>
        <v>91.371841000000003</v>
      </c>
      <c r="AE636" s="89">
        <f t="shared" si="156"/>
        <v>17817.508995</v>
      </c>
      <c r="AF636" s="90">
        <f t="shared" si="159"/>
        <v>7837.5501750000003</v>
      </c>
      <c r="AG636" s="93">
        <f t="shared" si="160"/>
        <v>0.78532890930305466</v>
      </c>
      <c r="AK636" s="90">
        <f t="shared" si="157"/>
        <v>142</v>
      </c>
      <c r="AL636" s="89">
        <f t="shared" si="158"/>
        <v>68.865979063380294</v>
      </c>
      <c r="AM636" s="89">
        <f t="shared" si="150"/>
        <v>91.371841000000003</v>
      </c>
      <c r="AN636" s="90">
        <f t="shared" si="151"/>
        <v>12974.801422</v>
      </c>
      <c r="AO636" s="93">
        <f t="shared" si="152"/>
        <v>0.32680667933155516</v>
      </c>
    </row>
    <row r="637" spans="2:41" x14ac:dyDescent="0.25">
      <c r="B637" s="91">
        <v>40276</v>
      </c>
      <c r="C637" s="89">
        <v>117.949997</v>
      </c>
      <c r="D637" s="89">
        <v>118.970001</v>
      </c>
      <c r="E637" s="89">
        <v>117.599998</v>
      </c>
      <c r="F637" s="89">
        <v>118.769997</v>
      </c>
      <c r="G637" s="89">
        <v>91.688316</v>
      </c>
      <c r="H637" s="89">
        <v>158704000</v>
      </c>
      <c r="J637" s="89">
        <v>0</v>
      </c>
      <c r="K637" s="89">
        <f t="shared" si="148"/>
        <v>88</v>
      </c>
      <c r="L637" s="89">
        <f t="shared" si="149"/>
        <v>112.621376</v>
      </c>
      <c r="M637" s="89">
        <f>+SPY__2[[#This Row],[Adj Close]]</f>
        <v>91.688316</v>
      </c>
      <c r="N637" s="89">
        <f t="shared" si="144"/>
        <v>8068.5718079999997</v>
      </c>
      <c r="O637" s="90">
        <f t="shared" si="145"/>
        <v>-1842.1092799999997</v>
      </c>
      <c r="P637" s="93">
        <f t="shared" si="146"/>
        <v>-0.18587110851851074</v>
      </c>
      <c r="Q637" s="96"/>
      <c r="R637" s="96"/>
      <c r="T637" s="90">
        <f t="shared" si="140"/>
        <v>95</v>
      </c>
      <c r="U637" s="89">
        <f t="shared" si="141"/>
        <v>103.31428490526316</v>
      </c>
      <c r="V637" s="89">
        <f t="shared" si="142"/>
        <v>91.688316</v>
      </c>
      <c r="W637" s="90">
        <f t="shared" si="147"/>
        <v>8710.3900200000007</v>
      </c>
      <c r="X637" s="93">
        <f t="shared" si="143"/>
        <v>-0.11253012026288434</v>
      </c>
      <c r="AB637" s="89">
        <f t="shared" si="153"/>
        <v>195</v>
      </c>
      <c r="AC637" s="89">
        <f t="shared" si="154"/>
        <v>51.179276000000002</v>
      </c>
      <c r="AD637" s="89">
        <f t="shared" si="155"/>
        <v>91.688316</v>
      </c>
      <c r="AE637" s="89">
        <f t="shared" si="156"/>
        <v>17879.22162</v>
      </c>
      <c r="AF637" s="90">
        <f t="shared" si="159"/>
        <v>7899.2627999999995</v>
      </c>
      <c r="AG637" s="93">
        <f t="shared" si="160"/>
        <v>0.79151256457789665</v>
      </c>
      <c r="AK637" s="90">
        <f t="shared" si="157"/>
        <v>142</v>
      </c>
      <c r="AL637" s="89">
        <f t="shared" si="158"/>
        <v>68.865979063380294</v>
      </c>
      <c r="AM637" s="89">
        <f t="shared" si="150"/>
        <v>91.688316</v>
      </c>
      <c r="AN637" s="90">
        <f t="shared" si="151"/>
        <v>13019.740872</v>
      </c>
      <c r="AO637" s="93">
        <f t="shared" si="152"/>
        <v>0.33140219956236083</v>
      </c>
    </row>
    <row r="638" spans="2:41" x14ac:dyDescent="0.25">
      <c r="B638" s="91">
        <v>40277</v>
      </c>
      <c r="C638" s="89">
        <v>119.019997</v>
      </c>
      <c r="D638" s="89">
        <v>119.599998</v>
      </c>
      <c r="E638" s="89">
        <v>118.800003</v>
      </c>
      <c r="F638" s="89">
        <v>119.550003</v>
      </c>
      <c r="G638" s="89">
        <v>92.290465999999995</v>
      </c>
      <c r="H638" s="89">
        <v>133006500</v>
      </c>
      <c r="J638" s="89">
        <v>0</v>
      </c>
      <c r="K638" s="89">
        <f t="shared" si="148"/>
        <v>88</v>
      </c>
      <c r="L638" s="89">
        <f t="shared" si="149"/>
        <v>112.621376</v>
      </c>
      <c r="M638" s="89">
        <f>+SPY__2[[#This Row],[Adj Close]]</f>
        <v>92.290465999999995</v>
      </c>
      <c r="N638" s="89">
        <f t="shared" si="144"/>
        <v>8121.5610079999997</v>
      </c>
      <c r="O638" s="90">
        <f t="shared" si="145"/>
        <v>-1789.1200800000001</v>
      </c>
      <c r="P638" s="93">
        <f t="shared" si="146"/>
        <v>-0.18052443259084316</v>
      </c>
      <c r="Q638" s="96"/>
      <c r="R638" s="96"/>
      <c r="T638" s="90">
        <f t="shared" si="140"/>
        <v>95</v>
      </c>
      <c r="U638" s="89">
        <f t="shared" si="141"/>
        <v>103.31428490526316</v>
      </c>
      <c r="V638" s="89">
        <f t="shared" si="142"/>
        <v>92.290465999999995</v>
      </c>
      <c r="W638" s="90">
        <f t="shared" si="147"/>
        <v>8767.5942699999996</v>
      </c>
      <c r="X638" s="93">
        <f t="shared" si="143"/>
        <v>-0.10670178780574013</v>
      </c>
      <c r="AB638" s="89">
        <f t="shared" si="153"/>
        <v>195</v>
      </c>
      <c r="AC638" s="89">
        <f t="shared" si="154"/>
        <v>51.179276000000002</v>
      </c>
      <c r="AD638" s="89">
        <f t="shared" si="155"/>
        <v>92.290465999999995</v>
      </c>
      <c r="AE638" s="89">
        <f t="shared" si="156"/>
        <v>17996.640869999999</v>
      </c>
      <c r="AF638" s="90">
        <f t="shared" si="159"/>
        <v>8016.6820499999985</v>
      </c>
      <c r="AG638" s="93">
        <f t="shared" si="160"/>
        <v>0.80327806903716237</v>
      </c>
      <c r="AK638" s="90">
        <f t="shared" si="157"/>
        <v>142</v>
      </c>
      <c r="AL638" s="89">
        <f t="shared" si="158"/>
        <v>68.865979063380294</v>
      </c>
      <c r="AM638" s="89">
        <f t="shared" si="150"/>
        <v>92.290465999999995</v>
      </c>
      <c r="AN638" s="90">
        <f t="shared" si="151"/>
        <v>13105.246171999999</v>
      </c>
      <c r="AO638" s="93">
        <f t="shared" si="152"/>
        <v>0.34014599451292415</v>
      </c>
    </row>
    <row r="639" spans="2:41" x14ac:dyDescent="0.25">
      <c r="B639" s="91">
        <v>40280</v>
      </c>
      <c r="C639" s="89">
        <v>119.699997</v>
      </c>
      <c r="D639" s="89">
        <v>120.050003</v>
      </c>
      <c r="E639" s="89">
        <v>119.55999799999999</v>
      </c>
      <c r="F639" s="89">
        <v>119.739998</v>
      </c>
      <c r="G639" s="89">
        <v>92.437156999999999</v>
      </c>
      <c r="H639" s="89">
        <v>110279000</v>
      </c>
      <c r="J639" s="89">
        <v>0</v>
      </c>
      <c r="K639" s="89">
        <f t="shared" si="148"/>
        <v>88</v>
      </c>
      <c r="L639" s="89">
        <f t="shared" si="149"/>
        <v>112.621376</v>
      </c>
      <c r="M639" s="89">
        <f>+SPY__2[[#This Row],[Adj Close]]</f>
        <v>92.437156999999999</v>
      </c>
      <c r="N639" s="89">
        <f t="shared" si="144"/>
        <v>8134.4698159999998</v>
      </c>
      <c r="O639" s="90">
        <f t="shared" si="145"/>
        <v>-1776.211272</v>
      </c>
      <c r="P639" s="93">
        <f t="shared" si="146"/>
        <v>-0.17922191787107977</v>
      </c>
      <c r="Q639" s="96"/>
      <c r="R639" s="96"/>
      <c r="T639" s="90">
        <f t="shared" si="140"/>
        <v>95</v>
      </c>
      <c r="U639" s="89">
        <f t="shared" si="141"/>
        <v>103.31428490526316</v>
      </c>
      <c r="V639" s="89">
        <f t="shared" si="142"/>
        <v>92.437156999999999</v>
      </c>
      <c r="W639" s="90">
        <f t="shared" si="147"/>
        <v>8781.5299149999992</v>
      </c>
      <c r="X639" s="93">
        <f t="shared" si="143"/>
        <v>-0.10528193574816158</v>
      </c>
      <c r="AB639" s="89">
        <f t="shared" si="153"/>
        <v>195</v>
      </c>
      <c r="AC639" s="89">
        <f t="shared" si="154"/>
        <v>51.179276000000002</v>
      </c>
      <c r="AD639" s="89">
        <f t="shared" si="155"/>
        <v>92.437156999999999</v>
      </c>
      <c r="AE639" s="89">
        <f t="shared" si="156"/>
        <v>18025.245615</v>
      </c>
      <c r="AF639" s="90">
        <f t="shared" si="159"/>
        <v>8045.286795</v>
      </c>
      <c r="AG639" s="93">
        <f t="shared" si="160"/>
        <v>0.8061442877777325</v>
      </c>
      <c r="AK639" s="90">
        <f t="shared" si="157"/>
        <v>142</v>
      </c>
      <c r="AL639" s="89">
        <f t="shared" si="158"/>
        <v>68.865979063380294</v>
      </c>
      <c r="AM639" s="89">
        <f t="shared" si="150"/>
        <v>92.437156999999999</v>
      </c>
      <c r="AN639" s="90">
        <f t="shared" si="151"/>
        <v>13126.076294</v>
      </c>
      <c r="AO639" s="93">
        <f t="shared" si="152"/>
        <v>0.34227608838503776</v>
      </c>
    </row>
    <row r="640" spans="2:41" x14ac:dyDescent="0.25">
      <c r="B640" s="91">
        <v>40281</v>
      </c>
      <c r="C640" s="89">
        <v>119.620003</v>
      </c>
      <c r="D640" s="89">
        <v>120.040001</v>
      </c>
      <c r="E640" s="89">
        <v>119</v>
      </c>
      <c r="F640" s="89">
        <v>119.83000199999999</v>
      </c>
      <c r="G640" s="89">
        <v>92.506645000000006</v>
      </c>
      <c r="H640" s="89">
        <v>125043600</v>
      </c>
      <c r="J640" s="89">
        <v>0</v>
      </c>
      <c r="K640" s="89">
        <f t="shared" si="148"/>
        <v>88</v>
      </c>
      <c r="L640" s="89">
        <f t="shared" si="149"/>
        <v>112.621376</v>
      </c>
      <c r="M640" s="89">
        <f>+SPY__2[[#This Row],[Adj Close]]</f>
        <v>92.506645000000006</v>
      </c>
      <c r="N640" s="89">
        <f t="shared" si="144"/>
        <v>8140.5847600000006</v>
      </c>
      <c r="O640" s="90">
        <f t="shared" si="145"/>
        <v>-1770.0963279999992</v>
      </c>
      <c r="P640" s="93">
        <f t="shared" si="146"/>
        <v>-0.17860491244575094</v>
      </c>
      <c r="Q640" s="96"/>
      <c r="R640" s="96"/>
      <c r="T640" s="90">
        <f t="shared" si="140"/>
        <v>95</v>
      </c>
      <c r="U640" s="89">
        <f t="shared" si="141"/>
        <v>103.31428490526316</v>
      </c>
      <c r="V640" s="89">
        <f t="shared" si="142"/>
        <v>92.506645000000006</v>
      </c>
      <c r="W640" s="90">
        <f t="shared" si="147"/>
        <v>8788.1312749999997</v>
      </c>
      <c r="X640" s="93">
        <f t="shared" si="143"/>
        <v>-0.10460934724731941</v>
      </c>
      <c r="AB640" s="89">
        <f t="shared" si="153"/>
        <v>195</v>
      </c>
      <c r="AC640" s="89">
        <f t="shared" si="154"/>
        <v>51.179276000000002</v>
      </c>
      <c r="AD640" s="89">
        <f t="shared" si="155"/>
        <v>92.506645000000006</v>
      </c>
      <c r="AE640" s="89">
        <f t="shared" si="156"/>
        <v>18038.795775000002</v>
      </c>
      <c r="AF640" s="90">
        <f t="shared" si="159"/>
        <v>8058.8369550000007</v>
      </c>
      <c r="AG640" s="93">
        <f t="shared" si="160"/>
        <v>0.80750202484302447</v>
      </c>
      <c r="AK640" s="90">
        <f t="shared" si="157"/>
        <v>142</v>
      </c>
      <c r="AL640" s="89">
        <f t="shared" si="158"/>
        <v>68.865979063380294</v>
      </c>
      <c r="AM640" s="89">
        <f t="shared" si="150"/>
        <v>92.506645000000006</v>
      </c>
      <c r="AN640" s="90">
        <f t="shared" si="151"/>
        <v>13135.943590000001</v>
      </c>
      <c r="AO640" s="93">
        <f t="shared" si="152"/>
        <v>0.34328512072502737</v>
      </c>
    </row>
    <row r="641" spans="2:41" x14ac:dyDescent="0.25">
      <c r="B641" s="91">
        <v>40282</v>
      </c>
      <c r="C641" s="89">
        <v>120.269997</v>
      </c>
      <c r="D641" s="89">
        <v>121.19000200000001</v>
      </c>
      <c r="E641" s="89">
        <v>120.08000199999999</v>
      </c>
      <c r="F641" s="89">
        <v>121.19000200000001</v>
      </c>
      <c r="G641" s="89">
        <v>93.556511</v>
      </c>
      <c r="H641" s="89">
        <v>161609000</v>
      </c>
      <c r="J641" s="89">
        <v>0</v>
      </c>
      <c r="K641" s="89">
        <f t="shared" si="148"/>
        <v>88</v>
      </c>
      <c r="L641" s="89">
        <f t="shared" si="149"/>
        <v>112.621376</v>
      </c>
      <c r="M641" s="89">
        <f>+SPY__2[[#This Row],[Adj Close]]</f>
        <v>93.556511</v>
      </c>
      <c r="N641" s="89">
        <f t="shared" si="144"/>
        <v>8232.972968</v>
      </c>
      <c r="O641" s="90">
        <f t="shared" si="145"/>
        <v>-1677.7081199999998</v>
      </c>
      <c r="P641" s="93">
        <f t="shared" si="146"/>
        <v>-0.16928282779993731</v>
      </c>
      <c r="Q641" s="96"/>
      <c r="R641" s="96"/>
      <c r="T641" s="90">
        <f t="shared" si="140"/>
        <v>95</v>
      </c>
      <c r="U641" s="89">
        <f t="shared" si="141"/>
        <v>103.31428490526316</v>
      </c>
      <c r="V641" s="89">
        <f t="shared" si="142"/>
        <v>93.556511</v>
      </c>
      <c r="W641" s="90">
        <f t="shared" si="147"/>
        <v>8887.8685449999994</v>
      </c>
      <c r="X641" s="93">
        <f t="shared" si="143"/>
        <v>-9.4447480464205147E-2</v>
      </c>
      <c r="AB641" s="89">
        <f t="shared" si="153"/>
        <v>195</v>
      </c>
      <c r="AC641" s="89">
        <f t="shared" si="154"/>
        <v>51.179276000000002</v>
      </c>
      <c r="AD641" s="89">
        <f t="shared" si="155"/>
        <v>93.556511</v>
      </c>
      <c r="AE641" s="89">
        <f t="shared" si="156"/>
        <v>18243.519645</v>
      </c>
      <c r="AF641" s="90">
        <f t="shared" si="159"/>
        <v>8263.5608250000005</v>
      </c>
      <c r="AG641" s="93">
        <f t="shared" si="160"/>
        <v>0.82801552331455408</v>
      </c>
      <c r="AK641" s="90">
        <f t="shared" si="157"/>
        <v>142</v>
      </c>
      <c r="AL641" s="89">
        <f t="shared" si="158"/>
        <v>68.865979063380294</v>
      </c>
      <c r="AM641" s="89">
        <f t="shared" si="150"/>
        <v>93.556511</v>
      </c>
      <c r="AN641" s="90">
        <f t="shared" si="151"/>
        <v>13285.024562000001</v>
      </c>
      <c r="AO641" s="93">
        <f t="shared" si="152"/>
        <v>0.35853018097507872</v>
      </c>
    </row>
    <row r="642" spans="2:41" x14ac:dyDescent="0.25">
      <c r="B642" s="91">
        <v>40283</v>
      </c>
      <c r="C642" s="89">
        <v>120.989998</v>
      </c>
      <c r="D642" s="89">
        <v>121.57</v>
      </c>
      <c r="E642" s="89">
        <v>120.949997</v>
      </c>
      <c r="F642" s="89">
        <v>121.290001</v>
      </c>
      <c r="G642" s="89">
        <v>93.633728000000005</v>
      </c>
      <c r="H642" s="89">
        <v>144615300</v>
      </c>
      <c r="J642" s="89">
        <v>0</v>
      </c>
      <c r="K642" s="89">
        <f t="shared" si="148"/>
        <v>88</v>
      </c>
      <c r="L642" s="89">
        <f t="shared" si="149"/>
        <v>112.621376</v>
      </c>
      <c r="M642" s="89">
        <f>+SPY__2[[#This Row],[Adj Close]]</f>
        <v>93.633728000000005</v>
      </c>
      <c r="N642" s="89">
        <f t="shared" si="144"/>
        <v>8239.7680639999999</v>
      </c>
      <c r="O642" s="90">
        <f t="shared" si="145"/>
        <v>-1670.9130239999995</v>
      </c>
      <c r="P642" s="93">
        <f t="shared" si="146"/>
        <v>-0.16859719419517649</v>
      </c>
      <c r="Q642" s="96"/>
      <c r="R642" s="96"/>
      <c r="T642" s="90">
        <f t="shared" ref="T642:T705" si="161">+T641</f>
        <v>95</v>
      </c>
      <c r="U642" s="89">
        <f t="shared" ref="U642:U705" si="162">+U641</f>
        <v>103.31428490526316</v>
      </c>
      <c r="V642" s="89">
        <f t="shared" si="142"/>
        <v>93.633728000000005</v>
      </c>
      <c r="W642" s="90">
        <f t="shared" si="147"/>
        <v>8895.2041600000011</v>
      </c>
      <c r="X642" s="93">
        <f t="shared" si="143"/>
        <v>-9.3700081398617852E-2</v>
      </c>
      <c r="AB642" s="89">
        <f t="shared" si="153"/>
        <v>195</v>
      </c>
      <c r="AC642" s="89">
        <f t="shared" si="154"/>
        <v>51.179276000000002</v>
      </c>
      <c r="AD642" s="89">
        <f t="shared" si="155"/>
        <v>93.633728000000005</v>
      </c>
      <c r="AE642" s="89">
        <f t="shared" si="156"/>
        <v>18258.576960000002</v>
      </c>
      <c r="AF642" s="90">
        <f t="shared" si="159"/>
        <v>8278.6181400000005</v>
      </c>
      <c r="AG642" s="93">
        <f t="shared" si="160"/>
        <v>0.82952427853805522</v>
      </c>
      <c r="AK642" s="90">
        <f t="shared" si="157"/>
        <v>142</v>
      </c>
      <c r="AL642" s="89">
        <f t="shared" si="158"/>
        <v>68.865979063380294</v>
      </c>
      <c r="AM642" s="89">
        <f t="shared" si="150"/>
        <v>93.633728000000005</v>
      </c>
      <c r="AN642" s="90">
        <f t="shared" si="151"/>
        <v>13295.989376000001</v>
      </c>
      <c r="AO642" s="93">
        <f t="shared" si="152"/>
        <v>0.35965144580061681</v>
      </c>
    </row>
    <row r="643" spans="2:41" x14ac:dyDescent="0.25">
      <c r="B643" s="91">
        <v>40284</v>
      </c>
      <c r="C643" s="89">
        <v>120.860001</v>
      </c>
      <c r="D643" s="89">
        <v>121.290001</v>
      </c>
      <c r="E643" s="89">
        <v>118.75</v>
      </c>
      <c r="F643" s="89">
        <v>119.360001</v>
      </c>
      <c r="G643" s="89">
        <v>92.143799000000001</v>
      </c>
      <c r="H643" s="89">
        <v>366786700</v>
      </c>
      <c r="J643" s="89">
        <v>0</v>
      </c>
      <c r="K643" s="89">
        <f t="shared" si="148"/>
        <v>88</v>
      </c>
      <c r="L643" s="89">
        <f t="shared" si="149"/>
        <v>112.621376</v>
      </c>
      <c r="M643" s="89">
        <f>+SPY__2[[#This Row],[Adj Close]]</f>
        <v>92.143799000000001</v>
      </c>
      <c r="N643" s="89">
        <f t="shared" si="144"/>
        <v>8108.6543120000006</v>
      </c>
      <c r="O643" s="90">
        <f t="shared" si="145"/>
        <v>-1802.0267759999997</v>
      </c>
      <c r="P643" s="93">
        <f t="shared" si="146"/>
        <v>-0.18182673420718987</v>
      </c>
      <c r="Q643" s="96"/>
      <c r="R643" s="96"/>
      <c r="T643" s="90">
        <f t="shared" si="161"/>
        <v>95</v>
      </c>
      <c r="U643" s="89">
        <f t="shared" si="162"/>
        <v>103.31428490526316</v>
      </c>
      <c r="V643" s="89">
        <f t="shared" ref="V643:V706" si="163">+M643</f>
        <v>92.143799000000001</v>
      </c>
      <c r="W643" s="90">
        <f t="shared" si="147"/>
        <v>8753.6609050000006</v>
      </c>
      <c r="X643" s="93">
        <f t="shared" ref="X643:X706" si="164">+W643/(U643*T643)-1</f>
        <v>-0.10812140756243183</v>
      </c>
      <c r="AB643" s="89">
        <f t="shared" si="153"/>
        <v>195</v>
      </c>
      <c r="AC643" s="89">
        <f t="shared" si="154"/>
        <v>51.179276000000002</v>
      </c>
      <c r="AD643" s="89">
        <f t="shared" si="155"/>
        <v>92.143799000000001</v>
      </c>
      <c r="AE643" s="89">
        <f t="shared" si="156"/>
        <v>17968.040805000001</v>
      </c>
      <c r="AF643" s="90">
        <f t="shared" si="159"/>
        <v>7988.0819849999998</v>
      </c>
      <c r="AG643" s="93">
        <f t="shared" si="160"/>
        <v>0.80041231923640344</v>
      </c>
      <c r="AK643" s="90">
        <f t="shared" si="157"/>
        <v>142</v>
      </c>
      <c r="AL643" s="89">
        <f t="shared" si="158"/>
        <v>68.865979063380294</v>
      </c>
      <c r="AM643" s="89">
        <f t="shared" si="150"/>
        <v>92.143799000000001</v>
      </c>
      <c r="AN643" s="90">
        <f t="shared" si="151"/>
        <v>13084.419458</v>
      </c>
      <c r="AO643" s="93">
        <f t="shared" si="152"/>
        <v>0.33801624914380657</v>
      </c>
    </row>
    <row r="644" spans="2:41" x14ac:dyDescent="0.25">
      <c r="B644" s="91">
        <v>40287</v>
      </c>
      <c r="C644" s="89">
        <v>119.010002</v>
      </c>
      <c r="D644" s="89">
        <v>119.93</v>
      </c>
      <c r="E644" s="89">
        <v>118.470001</v>
      </c>
      <c r="F644" s="89">
        <v>119.80999799999999</v>
      </c>
      <c r="G644" s="89">
        <v>92.491187999999994</v>
      </c>
      <c r="H644" s="89">
        <v>217947800</v>
      </c>
      <c r="J644" s="89">
        <v>0</v>
      </c>
      <c r="K644" s="89">
        <f t="shared" si="148"/>
        <v>88</v>
      </c>
      <c r="L644" s="89">
        <f t="shared" si="149"/>
        <v>112.621376</v>
      </c>
      <c r="M644" s="89">
        <f>+SPY__2[[#This Row],[Adj Close]]</f>
        <v>92.491187999999994</v>
      </c>
      <c r="N644" s="89">
        <f t="shared" ref="N644:N707" si="165">+K644*M644</f>
        <v>8139.2245439999997</v>
      </c>
      <c r="O644" s="90">
        <f t="shared" ref="O644:O707" si="166">+(M644-L644)*K644</f>
        <v>-1771.4565440000003</v>
      </c>
      <c r="P644" s="93">
        <f t="shared" ref="P644:P707" si="167">+M644/L644-1</f>
        <v>-0.17874215992530584</v>
      </c>
      <c r="Q644" s="96"/>
      <c r="R644" s="96"/>
      <c r="T644" s="90">
        <f t="shared" si="161"/>
        <v>95</v>
      </c>
      <c r="U644" s="89">
        <f t="shared" si="162"/>
        <v>103.31428490526316</v>
      </c>
      <c r="V644" s="89">
        <f t="shared" si="163"/>
        <v>92.491187999999994</v>
      </c>
      <c r="W644" s="90">
        <f t="shared" ref="W644:W707" si="168">+V644*T644</f>
        <v>8786.6628599999985</v>
      </c>
      <c r="X644" s="93">
        <f t="shared" si="164"/>
        <v>-0.1047589586976061</v>
      </c>
      <c r="AB644" s="89">
        <f t="shared" si="153"/>
        <v>195</v>
      </c>
      <c r="AC644" s="89">
        <f t="shared" si="154"/>
        <v>51.179276000000002</v>
      </c>
      <c r="AD644" s="89">
        <f t="shared" si="155"/>
        <v>92.491187999999994</v>
      </c>
      <c r="AE644" s="89">
        <f t="shared" si="156"/>
        <v>18035.781660000001</v>
      </c>
      <c r="AF644" s="90">
        <f t="shared" si="159"/>
        <v>8055.8228399999989</v>
      </c>
      <c r="AG644" s="93">
        <f t="shared" si="160"/>
        <v>0.80720000806576464</v>
      </c>
      <c r="AK644" s="90">
        <f t="shared" si="157"/>
        <v>142</v>
      </c>
      <c r="AL644" s="89">
        <f t="shared" si="158"/>
        <v>68.865979063380294</v>
      </c>
      <c r="AM644" s="89">
        <f t="shared" si="150"/>
        <v>92.491187999999994</v>
      </c>
      <c r="AN644" s="90">
        <f t="shared" si="151"/>
        <v>13133.748695999999</v>
      </c>
      <c r="AO644" s="93">
        <f t="shared" si="152"/>
        <v>0.34306067027488885</v>
      </c>
    </row>
    <row r="645" spans="2:41" x14ac:dyDescent="0.25">
      <c r="B645" s="91">
        <v>40288</v>
      </c>
      <c r="C645" s="89">
        <v>120.55999799999999</v>
      </c>
      <c r="D645" s="89">
        <v>120.980003</v>
      </c>
      <c r="E645" s="89">
        <v>119.870003</v>
      </c>
      <c r="F645" s="89">
        <v>120.879997</v>
      </c>
      <c r="G645" s="89">
        <v>93.317245</v>
      </c>
      <c r="H645" s="89">
        <v>157708000</v>
      </c>
      <c r="J645" s="89">
        <v>0</v>
      </c>
      <c r="K645" s="89">
        <f t="shared" ref="K645:K708" si="169">+$K$3</f>
        <v>88</v>
      </c>
      <c r="L645" s="89">
        <f t="shared" ref="L645:L708" si="170">+$L$3</f>
        <v>112.621376</v>
      </c>
      <c r="M645" s="89">
        <f>+SPY__2[[#This Row],[Adj Close]]</f>
        <v>93.317245</v>
      </c>
      <c r="N645" s="89">
        <f t="shared" si="165"/>
        <v>8211.9175599999999</v>
      </c>
      <c r="O645" s="90">
        <f t="shared" si="166"/>
        <v>-1698.763528</v>
      </c>
      <c r="P645" s="93">
        <f t="shared" si="167"/>
        <v>-0.17140734455242312</v>
      </c>
      <c r="Q645" s="96"/>
      <c r="R645" s="96"/>
      <c r="T645" s="90">
        <f t="shared" si="161"/>
        <v>95</v>
      </c>
      <c r="U645" s="89">
        <f t="shared" si="162"/>
        <v>103.31428490526316</v>
      </c>
      <c r="V645" s="89">
        <f t="shared" si="163"/>
        <v>93.317245</v>
      </c>
      <c r="W645" s="90">
        <f t="shared" si="168"/>
        <v>8865.1382749999993</v>
      </c>
      <c r="X645" s="93">
        <f t="shared" si="164"/>
        <v>-9.6763384796499596E-2</v>
      </c>
      <c r="AB645" s="89">
        <f t="shared" si="153"/>
        <v>195</v>
      </c>
      <c r="AC645" s="89">
        <f t="shared" si="154"/>
        <v>51.179276000000002</v>
      </c>
      <c r="AD645" s="89">
        <f t="shared" si="155"/>
        <v>93.317245</v>
      </c>
      <c r="AE645" s="89">
        <f t="shared" si="156"/>
        <v>18196.862775000001</v>
      </c>
      <c r="AF645" s="90">
        <f t="shared" si="159"/>
        <v>8216.9039549999998</v>
      </c>
      <c r="AG645" s="93">
        <f t="shared" si="160"/>
        <v>0.82334046694994267</v>
      </c>
      <c r="AK645" s="90">
        <f t="shared" si="157"/>
        <v>142</v>
      </c>
      <c r="AL645" s="89">
        <f t="shared" si="158"/>
        <v>68.865979063380294</v>
      </c>
      <c r="AM645" s="89">
        <f t="shared" si="150"/>
        <v>93.317245</v>
      </c>
      <c r="AN645" s="90">
        <f t="shared" si="151"/>
        <v>13251.048790000001</v>
      </c>
      <c r="AO645" s="93">
        <f t="shared" si="152"/>
        <v>0.35505580940214587</v>
      </c>
    </row>
    <row r="646" spans="2:41" x14ac:dyDescent="0.25">
      <c r="B646" s="91">
        <v>40289</v>
      </c>
      <c r="C646" s="89">
        <v>120.949997</v>
      </c>
      <c r="D646" s="89">
        <v>121.230003</v>
      </c>
      <c r="E646" s="89">
        <v>119.989998</v>
      </c>
      <c r="F646" s="89">
        <v>120.660004</v>
      </c>
      <c r="G646" s="89">
        <v>93.147385</v>
      </c>
      <c r="H646" s="89">
        <v>192910100</v>
      </c>
      <c r="J646" s="89">
        <v>0</v>
      </c>
      <c r="K646" s="89">
        <f t="shared" si="169"/>
        <v>88</v>
      </c>
      <c r="L646" s="89">
        <f t="shared" si="170"/>
        <v>112.621376</v>
      </c>
      <c r="M646" s="89">
        <f>+SPY__2[[#This Row],[Adj Close]]</f>
        <v>93.147385</v>
      </c>
      <c r="N646" s="89">
        <f t="shared" si="165"/>
        <v>8196.9698800000006</v>
      </c>
      <c r="O646" s="90">
        <f t="shared" si="166"/>
        <v>-1713.7112079999997</v>
      </c>
      <c r="P646" s="93">
        <f t="shared" si="167"/>
        <v>-0.17291558398291984</v>
      </c>
      <c r="Q646" s="96"/>
      <c r="R646" s="96"/>
      <c r="T646" s="90">
        <f t="shared" si="161"/>
        <v>95</v>
      </c>
      <c r="U646" s="89">
        <f t="shared" si="162"/>
        <v>103.31428490526316</v>
      </c>
      <c r="V646" s="89">
        <f t="shared" si="163"/>
        <v>93.147385</v>
      </c>
      <c r="W646" s="90">
        <f t="shared" si="168"/>
        <v>8849.0015750000002</v>
      </c>
      <c r="X646" s="93">
        <f t="shared" si="164"/>
        <v>-9.8407494322648392E-2</v>
      </c>
      <c r="AB646" s="89">
        <f t="shared" si="153"/>
        <v>195</v>
      </c>
      <c r="AC646" s="89">
        <f t="shared" si="154"/>
        <v>51.179276000000002</v>
      </c>
      <c r="AD646" s="89">
        <f t="shared" si="155"/>
        <v>93.147385</v>
      </c>
      <c r="AE646" s="89">
        <f t="shared" si="156"/>
        <v>18163.740075000002</v>
      </c>
      <c r="AF646" s="90">
        <f t="shared" si="159"/>
        <v>8183.7812549999999</v>
      </c>
      <c r="AG646" s="93">
        <f t="shared" si="160"/>
        <v>0.82002154543960337</v>
      </c>
      <c r="AK646" s="90">
        <f t="shared" si="157"/>
        <v>142</v>
      </c>
      <c r="AL646" s="89">
        <f t="shared" si="158"/>
        <v>68.865979063380294</v>
      </c>
      <c r="AM646" s="89">
        <f t="shared" si="150"/>
        <v>93.147385</v>
      </c>
      <c r="AN646" s="90">
        <f t="shared" si="151"/>
        <v>13226.928669999999</v>
      </c>
      <c r="AO646" s="93">
        <f t="shared" si="152"/>
        <v>0.35258927945063401</v>
      </c>
    </row>
    <row r="647" spans="2:41" x14ac:dyDescent="0.25">
      <c r="B647" s="91">
        <v>40290</v>
      </c>
      <c r="C647" s="89">
        <v>119.80999799999999</v>
      </c>
      <c r="D647" s="89">
        <v>121.16999800000001</v>
      </c>
      <c r="E647" s="89">
        <v>119.120003</v>
      </c>
      <c r="F647" s="89">
        <v>121.019997</v>
      </c>
      <c r="G647" s="89">
        <v>93.425278000000006</v>
      </c>
      <c r="H647" s="89">
        <v>115360300</v>
      </c>
      <c r="J647" s="89">
        <v>0</v>
      </c>
      <c r="K647" s="89">
        <f t="shared" si="169"/>
        <v>88</v>
      </c>
      <c r="L647" s="89">
        <f t="shared" si="170"/>
        <v>112.621376</v>
      </c>
      <c r="M647" s="89">
        <f>+SPY__2[[#This Row],[Adj Close]]</f>
        <v>93.425278000000006</v>
      </c>
      <c r="N647" s="89">
        <f t="shared" si="165"/>
        <v>8221.4244639999997</v>
      </c>
      <c r="O647" s="90">
        <f t="shared" si="166"/>
        <v>-1689.2566239999992</v>
      </c>
      <c r="P647" s="93">
        <f t="shared" si="167"/>
        <v>-0.17044808616083673</v>
      </c>
      <c r="Q647" s="96"/>
      <c r="R647" s="96"/>
      <c r="T647" s="90">
        <f t="shared" si="161"/>
        <v>95</v>
      </c>
      <c r="U647" s="89">
        <f t="shared" si="162"/>
        <v>103.31428490526316</v>
      </c>
      <c r="V647" s="89">
        <f t="shared" si="163"/>
        <v>93.425278000000006</v>
      </c>
      <c r="W647" s="90">
        <f t="shared" si="168"/>
        <v>8875.4014100000004</v>
      </c>
      <c r="X647" s="93">
        <f t="shared" si="164"/>
        <v>-9.5717711392293459E-2</v>
      </c>
      <c r="AB647" s="89">
        <f t="shared" si="153"/>
        <v>195</v>
      </c>
      <c r="AC647" s="89">
        <f t="shared" si="154"/>
        <v>51.179276000000002</v>
      </c>
      <c r="AD647" s="89">
        <f t="shared" si="155"/>
        <v>93.425278000000006</v>
      </c>
      <c r="AE647" s="89">
        <f t="shared" si="156"/>
        <v>18217.929210000002</v>
      </c>
      <c r="AF647" s="90">
        <f t="shared" si="159"/>
        <v>8237.9703900000004</v>
      </c>
      <c r="AG647" s="93">
        <f t="shared" si="160"/>
        <v>0.82545134089040273</v>
      </c>
      <c r="AK647" s="90">
        <f t="shared" si="157"/>
        <v>142</v>
      </c>
      <c r="AL647" s="89">
        <f t="shared" si="158"/>
        <v>68.865979063380294</v>
      </c>
      <c r="AM647" s="89">
        <f t="shared" si="150"/>
        <v>93.425278000000006</v>
      </c>
      <c r="AN647" s="90">
        <f t="shared" si="151"/>
        <v>13266.389476</v>
      </c>
      <c r="AO647" s="93">
        <f t="shared" si="152"/>
        <v>0.35662455207406185</v>
      </c>
    </row>
    <row r="648" spans="2:41" x14ac:dyDescent="0.25">
      <c r="B648" s="91">
        <v>40291</v>
      </c>
      <c r="C648" s="89">
        <v>120.94000200000001</v>
      </c>
      <c r="D648" s="89">
        <v>121.860001</v>
      </c>
      <c r="E648" s="89">
        <v>120.629997</v>
      </c>
      <c r="F648" s="89">
        <v>121.80999799999999</v>
      </c>
      <c r="G648" s="89">
        <v>94.035149000000004</v>
      </c>
      <c r="H648" s="89">
        <v>177335500</v>
      </c>
      <c r="J648" s="89">
        <v>0</v>
      </c>
      <c r="K648" s="89">
        <f t="shared" si="169"/>
        <v>88</v>
      </c>
      <c r="L648" s="89">
        <f t="shared" si="170"/>
        <v>112.621376</v>
      </c>
      <c r="M648" s="89">
        <f>+SPY__2[[#This Row],[Adj Close]]</f>
        <v>94.035149000000004</v>
      </c>
      <c r="N648" s="89">
        <f t="shared" si="165"/>
        <v>8275.0931120000005</v>
      </c>
      <c r="O648" s="90">
        <f t="shared" si="166"/>
        <v>-1635.5879759999993</v>
      </c>
      <c r="P648" s="93">
        <f t="shared" si="167"/>
        <v>-0.16503285308820947</v>
      </c>
      <c r="Q648" s="96"/>
      <c r="R648" s="96"/>
      <c r="T648" s="90">
        <f t="shared" si="161"/>
        <v>95</v>
      </c>
      <c r="U648" s="89">
        <f t="shared" si="162"/>
        <v>103.31428490526316</v>
      </c>
      <c r="V648" s="89">
        <f t="shared" si="163"/>
        <v>94.035149000000004</v>
      </c>
      <c r="W648" s="90">
        <f t="shared" si="168"/>
        <v>8933.3391549999997</v>
      </c>
      <c r="X648" s="93">
        <f t="shared" si="164"/>
        <v>-8.9814645804032978E-2</v>
      </c>
      <c r="AB648" s="89">
        <f t="shared" si="153"/>
        <v>195</v>
      </c>
      <c r="AC648" s="89">
        <f t="shared" si="154"/>
        <v>51.179276000000002</v>
      </c>
      <c r="AD648" s="89">
        <f t="shared" si="155"/>
        <v>94.035149000000004</v>
      </c>
      <c r="AE648" s="89">
        <f t="shared" si="156"/>
        <v>18336.854055</v>
      </c>
      <c r="AF648" s="90">
        <f t="shared" si="159"/>
        <v>8356.895235</v>
      </c>
      <c r="AG648" s="93">
        <f t="shared" si="160"/>
        <v>0.83736770719460751</v>
      </c>
      <c r="AK648" s="90">
        <f t="shared" si="157"/>
        <v>142</v>
      </c>
      <c r="AL648" s="89">
        <f t="shared" si="158"/>
        <v>68.865979063380294</v>
      </c>
      <c r="AM648" s="89">
        <f t="shared" si="150"/>
        <v>94.035149000000004</v>
      </c>
      <c r="AN648" s="90">
        <f t="shared" si="151"/>
        <v>13352.991158000001</v>
      </c>
      <c r="AO648" s="93">
        <f t="shared" si="152"/>
        <v>0.36548046334250839</v>
      </c>
    </row>
    <row r="649" spans="2:41" x14ac:dyDescent="0.25">
      <c r="B649" s="91">
        <v>40294</v>
      </c>
      <c r="C649" s="89">
        <v>121.849998</v>
      </c>
      <c r="D649" s="89">
        <v>122.120003</v>
      </c>
      <c r="E649" s="89">
        <v>121.230003</v>
      </c>
      <c r="F649" s="89">
        <v>121.349998</v>
      </c>
      <c r="G649" s="89">
        <v>93.680046000000004</v>
      </c>
      <c r="H649" s="89">
        <v>143457300</v>
      </c>
      <c r="J649" s="89">
        <v>0</v>
      </c>
      <c r="K649" s="89">
        <f t="shared" si="169"/>
        <v>88</v>
      </c>
      <c r="L649" s="89">
        <f t="shared" si="170"/>
        <v>112.621376</v>
      </c>
      <c r="M649" s="89">
        <f>+SPY__2[[#This Row],[Adj Close]]</f>
        <v>93.680046000000004</v>
      </c>
      <c r="N649" s="89">
        <f t="shared" si="165"/>
        <v>8243.8440480000008</v>
      </c>
      <c r="O649" s="90">
        <f t="shared" si="166"/>
        <v>-1666.8370399999994</v>
      </c>
      <c r="P649" s="93">
        <f t="shared" si="167"/>
        <v>-0.16818592235989016</v>
      </c>
      <c r="Q649" s="96"/>
      <c r="R649" s="96"/>
      <c r="T649" s="90">
        <f t="shared" si="161"/>
        <v>95</v>
      </c>
      <c r="U649" s="89">
        <f t="shared" si="162"/>
        <v>103.31428490526316</v>
      </c>
      <c r="V649" s="89">
        <f t="shared" si="163"/>
        <v>93.680046000000004</v>
      </c>
      <c r="W649" s="90">
        <f t="shared" si="168"/>
        <v>8899.6043700000009</v>
      </c>
      <c r="X649" s="93">
        <f t="shared" si="164"/>
        <v>-9.3251760045549692E-2</v>
      </c>
      <c r="AB649" s="89">
        <f t="shared" si="153"/>
        <v>195</v>
      </c>
      <c r="AC649" s="89">
        <f t="shared" si="154"/>
        <v>51.179276000000002</v>
      </c>
      <c r="AD649" s="89">
        <f t="shared" si="155"/>
        <v>93.680046000000004</v>
      </c>
      <c r="AE649" s="89">
        <f t="shared" si="156"/>
        <v>18267.608970000001</v>
      </c>
      <c r="AF649" s="90">
        <f t="shared" si="159"/>
        <v>8287.6501500000013</v>
      </c>
      <c r="AG649" s="93">
        <f t="shared" si="160"/>
        <v>0.83042929329441861</v>
      </c>
      <c r="AK649" s="90">
        <f t="shared" si="157"/>
        <v>142</v>
      </c>
      <c r="AL649" s="89">
        <f t="shared" si="158"/>
        <v>68.865979063380294</v>
      </c>
      <c r="AM649" s="89">
        <f t="shared" si="150"/>
        <v>93.680046000000004</v>
      </c>
      <c r="AN649" s="90">
        <f t="shared" si="151"/>
        <v>13302.566532000001</v>
      </c>
      <c r="AO649" s="93">
        <f t="shared" si="152"/>
        <v>0.36032402754024995</v>
      </c>
    </row>
    <row r="650" spans="2:41" x14ac:dyDescent="0.25">
      <c r="B650" s="91">
        <v>40295</v>
      </c>
      <c r="C650" s="89">
        <v>120.650002</v>
      </c>
      <c r="D650" s="89">
        <v>121.339996</v>
      </c>
      <c r="E650" s="89">
        <v>118.25</v>
      </c>
      <c r="F650" s="89">
        <v>118.480003</v>
      </c>
      <c r="G650" s="89">
        <v>91.464455000000001</v>
      </c>
      <c r="H650" s="89">
        <v>355853300</v>
      </c>
      <c r="J650" s="89">
        <v>0</v>
      </c>
      <c r="K650" s="89">
        <f t="shared" si="169"/>
        <v>88</v>
      </c>
      <c r="L650" s="89">
        <f t="shared" si="170"/>
        <v>112.621376</v>
      </c>
      <c r="M650" s="89">
        <f>+SPY__2[[#This Row],[Adj Close]]</f>
        <v>91.464455000000001</v>
      </c>
      <c r="N650" s="89">
        <f t="shared" si="165"/>
        <v>8048.8720400000002</v>
      </c>
      <c r="O650" s="90">
        <f t="shared" si="166"/>
        <v>-1861.8090479999996</v>
      </c>
      <c r="P650" s="93">
        <f t="shared" si="167"/>
        <v>-0.18785883951551074</v>
      </c>
      <c r="Q650" s="96"/>
      <c r="R650" s="96"/>
      <c r="T650" s="90">
        <f t="shared" si="161"/>
        <v>95</v>
      </c>
      <c r="U650" s="89">
        <f t="shared" si="162"/>
        <v>103.31428490526316</v>
      </c>
      <c r="V650" s="89">
        <f t="shared" si="163"/>
        <v>91.464455000000001</v>
      </c>
      <c r="W650" s="90">
        <f t="shared" si="168"/>
        <v>8689.1232249999994</v>
      </c>
      <c r="X650" s="93">
        <f t="shared" si="164"/>
        <v>-0.11469691646348024</v>
      </c>
      <c r="AB650" s="89">
        <f t="shared" si="153"/>
        <v>195</v>
      </c>
      <c r="AC650" s="89">
        <f t="shared" si="154"/>
        <v>51.179276000000002</v>
      </c>
      <c r="AD650" s="89">
        <f t="shared" si="155"/>
        <v>91.464455000000001</v>
      </c>
      <c r="AE650" s="89">
        <f t="shared" si="156"/>
        <v>17835.568725000001</v>
      </c>
      <c r="AF650" s="90">
        <f t="shared" si="159"/>
        <v>7855.6099050000003</v>
      </c>
      <c r="AG650" s="93">
        <f t="shared" si="160"/>
        <v>0.78713850895428839</v>
      </c>
      <c r="AK650" s="90">
        <f t="shared" si="157"/>
        <v>142</v>
      </c>
      <c r="AL650" s="89">
        <f t="shared" si="158"/>
        <v>68.865979063380294</v>
      </c>
      <c r="AM650" s="89">
        <f t="shared" si="150"/>
        <v>91.464455000000001</v>
      </c>
      <c r="AN650" s="90">
        <f t="shared" si="151"/>
        <v>12987.95261</v>
      </c>
      <c r="AO650" s="93">
        <f t="shared" si="152"/>
        <v>0.32815152334974251</v>
      </c>
    </row>
    <row r="651" spans="2:41" x14ac:dyDescent="0.25">
      <c r="B651" s="91">
        <v>40296</v>
      </c>
      <c r="C651" s="89">
        <v>119.050003</v>
      </c>
      <c r="D651" s="89">
        <v>119.68</v>
      </c>
      <c r="E651" s="89">
        <v>118.269997</v>
      </c>
      <c r="F651" s="89">
        <v>119.379997</v>
      </c>
      <c r="G651" s="89">
        <v>92.159210000000002</v>
      </c>
      <c r="H651" s="89">
        <v>300674100</v>
      </c>
      <c r="J651" s="89">
        <v>0</v>
      </c>
      <c r="K651" s="89">
        <f t="shared" si="169"/>
        <v>88</v>
      </c>
      <c r="L651" s="89">
        <f t="shared" si="170"/>
        <v>112.621376</v>
      </c>
      <c r="M651" s="89">
        <f>+SPY__2[[#This Row],[Adj Close]]</f>
        <v>92.159210000000002</v>
      </c>
      <c r="N651" s="89">
        <f t="shared" si="165"/>
        <v>8110.0104799999999</v>
      </c>
      <c r="O651" s="90">
        <f t="shared" si="166"/>
        <v>-1800.6706079999997</v>
      </c>
      <c r="P651" s="93">
        <f t="shared" si="167"/>
        <v>-0.1816898951758501</v>
      </c>
      <c r="Q651" s="96"/>
      <c r="R651" s="96"/>
      <c r="T651" s="90">
        <f t="shared" si="161"/>
        <v>95</v>
      </c>
      <c r="U651" s="89">
        <f t="shared" si="162"/>
        <v>103.31428490526316</v>
      </c>
      <c r="V651" s="89">
        <f t="shared" si="163"/>
        <v>92.159210000000002</v>
      </c>
      <c r="W651" s="90">
        <f t="shared" si="168"/>
        <v>8755.1249499999994</v>
      </c>
      <c r="X651" s="93">
        <f t="shared" si="164"/>
        <v>-0.10797224135551164</v>
      </c>
      <c r="AB651" s="89">
        <f t="shared" si="153"/>
        <v>195</v>
      </c>
      <c r="AC651" s="89">
        <f t="shared" si="154"/>
        <v>51.179276000000002</v>
      </c>
      <c r="AD651" s="89">
        <f t="shared" si="155"/>
        <v>92.159210000000002</v>
      </c>
      <c r="AE651" s="89">
        <f t="shared" si="156"/>
        <v>17971.04595</v>
      </c>
      <c r="AF651" s="90">
        <f t="shared" si="159"/>
        <v>7991.0871299999999</v>
      </c>
      <c r="AG651" s="93">
        <f t="shared" si="160"/>
        <v>0.80071343721235921</v>
      </c>
      <c r="AK651" s="90">
        <f t="shared" si="157"/>
        <v>142</v>
      </c>
      <c r="AL651" s="89">
        <f t="shared" si="158"/>
        <v>68.865979063380294</v>
      </c>
      <c r="AM651" s="89">
        <f t="shared" si="150"/>
        <v>92.159210000000002</v>
      </c>
      <c r="AN651" s="90">
        <f t="shared" si="151"/>
        <v>13086.607820000001</v>
      </c>
      <c r="AO651" s="93">
        <f t="shared" si="152"/>
        <v>0.33824003162987015</v>
      </c>
    </row>
    <row r="652" spans="2:41" x14ac:dyDescent="0.25">
      <c r="B652" s="91">
        <v>40297</v>
      </c>
      <c r="C652" s="89">
        <v>120.099998</v>
      </c>
      <c r="D652" s="89">
        <v>121.110001</v>
      </c>
      <c r="E652" s="89">
        <v>120.07</v>
      </c>
      <c r="F652" s="89">
        <v>120.860001</v>
      </c>
      <c r="G652" s="89">
        <v>93.301795999999996</v>
      </c>
      <c r="H652" s="89">
        <v>193775000</v>
      </c>
      <c r="J652" s="89">
        <v>0</v>
      </c>
      <c r="K652" s="89">
        <f t="shared" si="169"/>
        <v>88</v>
      </c>
      <c r="L652" s="89">
        <f t="shared" si="170"/>
        <v>112.621376</v>
      </c>
      <c r="M652" s="89">
        <f>+SPY__2[[#This Row],[Adj Close]]</f>
        <v>93.301795999999996</v>
      </c>
      <c r="N652" s="89">
        <f t="shared" si="165"/>
        <v>8210.558047999999</v>
      </c>
      <c r="O652" s="90">
        <f t="shared" si="166"/>
        <v>-1700.1230400000002</v>
      </c>
      <c r="P652" s="93">
        <f t="shared" si="167"/>
        <v>-0.17154452099750583</v>
      </c>
      <c r="Q652" s="96"/>
      <c r="R652" s="96"/>
      <c r="T652" s="90">
        <f t="shared" si="161"/>
        <v>95</v>
      </c>
      <c r="U652" s="89">
        <f t="shared" si="162"/>
        <v>103.31428490526316</v>
      </c>
      <c r="V652" s="89">
        <f t="shared" si="163"/>
        <v>93.301795999999996</v>
      </c>
      <c r="W652" s="90">
        <f t="shared" si="168"/>
        <v>8863.670619999999</v>
      </c>
      <c r="X652" s="93">
        <f t="shared" si="164"/>
        <v>-9.6912918813157334E-2</v>
      </c>
      <c r="AB652" s="89">
        <f t="shared" si="153"/>
        <v>195</v>
      </c>
      <c r="AC652" s="89">
        <f t="shared" si="154"/>
        <v>51.179276000000002</v>
      </c>
      <c r="AD652" s="89">
        <f t="shared" si="155"/>
        <v>93.301795999999996</v>
      </c>
      <c r="AE652" s="89">
        <f t="shared" si="156"/>
        <v>18193.85022</v>
      </c>
      <c r="AF652" s="90">
        <f t="shared" si="159"/>
        <v>8213.8913999999986</v>
      </c>
      <c r="AG652" s="93">
        <f t="shared" si="160"/>
        <v>0.82303860648595317</v>
      </c>
      <c r="AK652" s="90">
        <f t="shared" si="157"/>
        <v>142</v>
      </c>
      <c r="AL652" s="89">
        <f t="shared" si="158"/>
        <v>68.865979063380294</v>
      </c>
      <c r="AM652" s="89">
        <f t="shared" si="150"/>
        <v>93.301795999999996</v>
      </c>
      <c r="AN652" s="90">
        <f t="shared" si="151"/>
        <v>13248.855031999999</v>
      </c>
      <c r="AO652" s="93">
        <f t="shared" si="152"/>
        <v>0.35483147511967239</v>
      </c>
    </row>
    <row r="653" spans="2:41" x14ac:dyDescent="0.25">
      <c r="B653" s="91">
        <v>40298</v>
      </c>
      <c r="C653" s="89">
        <v>120.879997</v>
      </c>
      <c r="D653" s="89">
        <v>121.010002</v>
      </c>
      <c r="E653" s="89">
        <v>118.779999</v>
      </c>
      <c r="F653" s="89">
        <v>118.80999799999999</v>
      </c>
      <c r="G653" s="89">
        <v>91.719200000000001</v>
      </c>
      <c r="H653" s="89">
        <v>270000900</v>
      </c>
      <c r="J653" s="89">
        <v>0</v>
      </c>
      <c r="K653" s="89">
        <f t="shared" si="169"/>
        <v>88</v>
      </c>
      <c r="L653" s="89">
        <f t="shared" si="170"/>
        <v>112.621376</v>
      </c>
      <c r="M653" s="89">
        <f>+SPY__2[[#This Row],[Adj Close]]</f>
        <v>91.719200000000001</v>
      </c>
      <c r="N653" s="89">
        <f t="shared" si="165"/>
        <v>8071.2896000000001</v>
      </c>
      <c r="O653" s="90">
        <f t="shared" si="166"/>
        <v>-1839.3914879999998</v>
      </c>
      <c r="P653" s="93">
        <f t="shared" si="167"/>
        <v>-0.18559687993867169</v>
      </c>
      <c r="Q653" s="96"/>
      <c r="R653" s="96"/>
      <c r="T653" s="90">
        <f t="shared" si="161"/>
        <v>95</v>
      </c>
      <c r="U653" s="89">
        <f t="shared" si="162"/>
        <v>103.31428490526316</v>
      </c>
      <c r="V653" s="89">
        <f t="shared" si="163"/>
        <v>91.719200000000001</v>
      </c>
      <c r="W653" s="90">
        <f t="shared" si="168"/>
        <v>8713.3240000000005</v>
      </c>
      <c r="X653" s="93">
        <f t="shared" si="164"/>
        <v>-0.11223118773841956</v>
      </c>
      <c r="AB653" s="89">
        <f t="shared" si="153"/>
        <v>195</v>
      </c>
      <c r="AC653" s="89">
        <f t="shared" si="154"/>
        <v>51.179276000000002</v>
      </c>
      <c r="AD653" s="89">
        <f t="shared" si="155"/>
        <v>91.719200000000001</v>
      </c>
      <c r="AE653" s="89">
        <f t="shared" si="156"/>
        <v>17885.243999999999</v>
      </c>
      <c r="AF653" s="90">
        <f t="shared" si="159"/>
        <v>7905.2851799999999</v>
      </c>
      <c r="AG653" s="93">
        <f t="shared" si="160"/>
        <v>0.79211601195765247</v>
      </c>
      <c r="AK653" s="90">
        <f t="shared" si="157"/>
        <v>142</v>
      </c>
      <c r="AL653" s="89">
        <f t="shared" si="158"/>
        <v>68.865979063380294</v>
      </c>
      <c r="AM653" s="89">
        <f t="shared" si="150"/>
        <v>91.719200000000001</v>
      </c>
      <c r="AN653" s="90">
        <f t="shared" si="151"/>
        <v>13024.126400000001</v>
      </c>
      <c r="AO653" s="93">
        <f t="shared" si="152"/>
        <v>0.33185066483389325</v>
      </c>
    </row>
    <row r="654" spans="2:41" x14ac:dyDescent="0.25">
      <c r="B654" s="91">
        <v>40301</v>
      </c>
      <c r="C654" s="89">
        <v>119.379997</v>
      </c>
      <c r="D654" s="89">
        <v>120.68</v>
      </c>
      <c r="E654" s="89">
        <v>119.199997</v>
      </c>
      <c r="F654" s="89">
        <v>120.349998</v>
      </c>
      <c r="G654" s="89">
        <v>92.908057999999997</v>
      </c>
      <c r="H654" s="89">
        <v>182747900</v>
      </c>
      <c r="J654" s="89">
        <v>0</v>
      </c>
      <c r="K654" s="89">
        <f t="shared" si="169"/>
        <v>88</v>
      </c>
      <c r="L654" s="89">
        <f t="shared" si="170"/>
        <v>112.621376</v>
      </c>
      <c r="M654" s="89">
        <f>+SPY__2[[#This Row],[Adj Close]]</f>
        <v>92.908057999999997</v>
      </c>
      <c r="N654" s="89">
        <f t="shared" si="165"/>
        <v>8175.9091039999994</v>
      </c>
      <c r="O654" s="90">
        <f t="shared" si="166"/>
        <v>-1734.771984</v>
      </c>
      <c r="P654" s="93">
        <f t="shared" si="167"/>
        <v>-0.17504064237325601</v>
      </c>
      <c r="Q654" s="96"/>
      <c r="R654" s="96"/>
      <c r="T654" s="90">
        <f t="shared" si="161"/>
        <v>95</v>
      </c>
      <c r="U654" s="89">
        <f t="shared" si="162"/>
        <v>103.31428490526316</v>
      </c>
      <c r="V654" s="89">
        <f t="shared" si="163"/>
        <v>92.908057999999997</v>
      </c>
      <c r="W654" s="90">
        <f t="shared" si="168"/>
        <v>8826.2655099999993</v>
      </c>
      <c r="X654" s="93">
        <f t="shared" si="164"/>
        <v>-0.10072398908636349</v>
      </c>
      <c r="AB654" s="89">
        <f t="shared" si="153"/>
        <v>195</v>
      </c>
      <c r="AC654" s="89">
        <f t="shared" si="154"/>
        <v>51.179276000000002</v>
      </c>
      <c r="AD654" s="89">
        <f t="shared" si="155"/>
        <v>92.908057999999997</v>
      </c>
      <c r="AE654" s="89">
        <f t="shared" si="156"/>
        <v>18117.071309999999</v>
      </c>
      <c r="AF654" s="90">
        <f t="shared" si="159"/>
        <v>8137.1124899999995</v>
      </c>
      <c r="AG654" s="93">
        <f t="shared" si="160"/>
        <v>0.81534529718630622</v>
      </c>
      <c r="AK654" s="90">
        <f t="shared" si="157"/>
        <v>142</v>
      </c>
      <c r="AL654" s="89">
        <f t="shared" si="158"/>
        <v>68.865979063380294</v>
      </c>
      <c r="AM654" s="89">
        <f t="shared" si="150"/>
        <v>92.908057999999997</v>
      </c>
      <c r="AN654" s="90">
        <f t="shared" si="151"/>
        <v>13192.944235999999</v>
      </c>
      <c r="AO654" s="93">
        <f t="shared" si="152"/>
        <v>0.34911402209925391</v>
      </c>
    </row>
    <row r="655" spans="2:41" x14ac:dyDescent="0.25">
      <c r="B655" s="91">
        <v>40302</v>
      </c>
      <c r="C655" s="89">
        <v>119.010002</v>
      </c>
      <c r="D655" s="89">
        <v>119.029999</v>
      </c>
      <c r="E655" s="89">
        <v>116.91999800000001</v>
      </c>
      <c r="F655" s="89">
        <v>117.519997</v>
      </c>
      <c r="G655" s="89">
        <v>90.723365999999999</v>
      </c>
      <c r="H655" s="89">
        <v>360353400</v>
      </c>
      <c r="J655" s="89">
        <v>0</v>
      </c>
      <c r="K655" s="89">
        <f t="shared" si="169"/>
        <v>88</v>
      </c>
      <c r="L655" s="89">
        <f t="shared" si="170"/>
        <v>112.621376</v>
      </c>
      <c r="M655" s="89">
        <f>+SPY__2[[#This Row],[Adj Close]]</f>
        <v>90.723365999999999</v>
      </c>
      <c r="N655" s="89">
        <f t="shared" si="165"/>
        <v>7983.6562080000003</v>
      </c>
      <c r="O655" s="90">
        <f t="shared" si="166"/>
        <v>-1927.0248799999999</v>
      </c>
      <c r="P655" s="93">
        <f t="shared" si="167"/>
        <v>-0.19443919775940222</v>
      </c>
      <c r="Q655" s="96"/>
      <c r="R655" s="96"/>
      <c r="T655" s="90">
        <f t="shared" si="161"/>
        <v>95</v>
      </c>
      <c r="U655" s="89">
        <f t="shared" si="162"/>
        <v>103.31428490526316</v>
      </c>
      <c r="V655" s="89">
        <f t="shared" si="163"/>
        <v>90.723365999999999</v>
      </c>
      <c r="W655" s="90">
        <f t="shared" si="168"/>
        <v>8618.7197699999997</v>
      </c>
      <c r="X655" s="93">
        <f t="shared" si="164"/>
        <v>-0.12187006779177489</v>
      </c>
      <c r="AB655" s="89">
        <f t="shared" si="153"/>
        <v>195</v>
      </c>
      <c r="AC655" s="89">
        <f t="shared" si="154"/>
        <v>51.179276000000002</v>
      </c>
      <c r="AD655" s="89">
        <f t="shared" si="155"/>
        <v>90.723365999999999</v>
      </c>
      <c r="AE655" s="89">
        <f t="shared" si="156"/>
        <v>17691.056369999998</v>
      </c>
      <c r="AF655" s="90">
        <f t="shared" si="159"/>
        <v>7711.0975499999995</v>
      </c>
      <c r="AG655" s="93">
        <f t="shared" si="160"/>
        <v>0.77265825331331373</v>
      </c>
      <c r="AK655" s="90">
        <f t="shared" si="157"/>
        <v>142</v>
      </c>
      <c r="AL655" s="89">
        <f t="shared" si="158"/>
        <v>68.865979063380294</v>
      </c>
      <c r="AM655" s="89">
        <f t="shared" si="150"/>
        <v>90.723365999999999</v>
      </c>
      <c r="AN655" s="90">
        <f t="shared" si="151"/>
        <v>12882.717972</v>
      </c>
      <c r="AO655" s="93">
        <f t="shared" si="152"/>
        <v>0.31739020099465121</v>
      </c>
    </row>
    <row r="656" spans="2:41" x14ac:dyDescent="0.25">
      <c r="B656" s="91">
        <v>40303</v>
      </c>
      <c r="C656" s="89">
        <v>116.55999799999999</v>
      </c>
      <c r="D656" s="89">
        <v>117.800003</v>
      </c>
      <c r="E656" s="89">
        <v>115.970001</v>
      </c>
      <c r="F656" s="89">
        <v>116.82</v>
      </c>
      <c r="G656" s="89">
        <v>90.182961000000006</v>
      </c>
      <c r="H656" s="89">
        <v>328973200</v>
      </c>
      <c r="J656" s="89">
        <v>0</v>
      </c>
      <c r="K656" s="89">
        <f t="shared" si="169"/>
        <v>88</v>
      </c>
      <c r="L656" s="89">
        <f t="shared" si="170"/>
        <v>112.621376</v>
      </c>
      <c r="M656" s="89">
        <f>+SPY__2[[#This Row],[Adj Close]]</f>
        <v>90.182961000000006</v>
      </c>
      <c r="N656" s="89">
        <f t="shared" si="165"/>
        <v>7936.1005680000007</v>
      </c>
      <c r="O656" s="90">
        <f t="shared" si="166"/>
        <v>-1974.5805199999993</v>
      </c>
      <c r="P656" s="93">
        <f t="shared" si="167"/>
        <v>-0.1992376207514992</v>
      </c>
      <c r="Q656" s="96"/>
      <c r="R656" s="96"/>
      <c r="T656" s="90">
        <f t="shared" si="161"/>
        <v>95</v>
      </c>
      <c r="U656" s="89">
        <f t="shared" si="162"/>
        <v>103.31428490526316</v>
      </c>
      <c r="V656" s="89">
        <f t="shared" si="163"/>
        <v>90.182961000000006</v>
      </c>
      <c r="W656" s="90">
        <f t="shared" si="168"/>
        <v>8567.381295000001</v>
      </c>
      <c r="X656" s="93">
        <f t="shared" si="164"/>
        <v>-0.12710075782167274</v>
      </c>
      <c r="AB656" s="89">
        <f t="shared" si="153"/>
        <v>195</v>
      </c>
      <c r="AC656" s="89">
        <f t="shared" si="154"/>
        <v>51.179276000000002</v>
      </c>
      <c r="AD656" s="89">
        <f t="shared" si="155"/>
        <v>90.182961000000006</v>
      </c>
      <c r="AE656" s="89">
        <f t="shared" si="156"/>
        <v>17585.677395000002</v>
      </c>
      <c r="AF656" s="90">
        <f t="shared" si="159"/>
        <v>7605.7185750000008</v>
      </c>
      <c r="AG656" s="93">
        <f t="shared" si="160"/>
        <v>0.76209919421290762</v>
      </c>
      <c r="AK656" s="90">
        <f t="shared" si="157"/>
        <v>142</v>
      </c>
      <c r="AL656" s="89">
        <f t="shared" si="158"/>
        <v>68.865979063380294</v>
      </c>
      <c r="AM656" s="89">
        <f t="shared" si="150"/>
        <v>90.182961000000006</v>
      </c>
      <c r="AN656" s="90">
        <f t="shared" si="151"/>
        <v>12805.980462000001</v>
      </c>
      <c r="AO656" s="93">
        <f t="shared" si="152"/>
        <v>0.30954300260511491</v>
      </c>
    </row>
    <row r="657" spans="2:41" x14ac:dyDescent="0.25">
      <c r="B657" s="91">
        <v>40304</v>
      </c>
      <c r="C657" s="89">
        <v>116.260002</v>
      </c>
      <c r="D657" s="89">
        <v>117</v>
      </c>
      <c r="E657" s="89">
        <v>105</v>
      </c>
      <c r="F657" s="89">
        <v>112.94000200000001</v>
      </c>
      <c r="G657" s="89">
        <v>87.187668000000002</v>
      </c>
      <c r="H657" s="89">
        <v>647356600</v>
      </c>
      <c r="J657" s="89">
        <v>0</v>
      </c>
      <c r="K657" s="89">
        <f t="shared" si="169"/>
        <v>88</v>
      </c>
      <c r="L657" s="89">
        <f t="shared" si="170"/>
        <v>112.621376</v>
      </c>
      <c r="M657" s="89">
        <f>+SPY__2[[#This Row],[Adj Close]]</f>
        <v>87.187668000000002</v>
      </c>
      <c r="N657" s="89">
        <f t="shared" si="165"/>
        <v>7672.514784</v>
      </c>
      <c r="O657" s="90">
        <f t="shared" si="166"/>
        <v>-2238.1663039999994</v>
      </c>
      <c r="P657" s="93">
        <f t="shared" si="167"/>
        <v>-0.22583375291028229</v>
      </c>
      <c r="Q657" s="96"/>
      <c r="R657" s="96"/>
      <c r="T657" s="90">
        <f t="shared" si="161"/>
        <v>95</v>
      </c>
      <c r="U657" s="89">
        <f t="shared" si="162"/>
        <v>103.31428490526316</v>
      </c>
      <c r="V657" s="89">
        <f t="shared" si="163"/>
        <v>87.187668000000002</v>
      </c>
      <c r="W657" s="90">
        <f t="shared" si="168"/>
        <v>8282.8284600000006</v>
      </c>
      <c r="X657" s="93">
        <f t="shared" si="164"/>
        <v>-0.15609280865710773</v>
      </c>
      <c r="AB657" s="89">
        <f t="shared" si="153"/>
        <v>195</v>
      </c>
      <c r="AC657" s="89">
        <f t="shared" si="154"/>
        <v>51.179276000000002</v>
      </c>
      <c r="AD657" s="89">
        <f t="shared" si="155"/>
        <v>87.187668000000002</v>
      </c>
      <c r="AE657" s="89">
        <f t="shared" si="156"/>
        <v>17001.595260000002</v>
      </c>
      <c r="AF657" s="90">
        <f t="shared" si="159"/>
        <v>7021.6364400000002</v>
      </c>
      <c r="AG657" s="93">
        <f t="shared" si="160"/>
        <v>0.70357368869383774</v>
      </c>
      <c r="AK657" s="90">
        <f t="shared" si="157"/>
        <v>142</v>
      </c>
      <c r="AL657" s="89">
        <f t="shared" si="158"/>
        <v>68.865979063380294</v>
      </c>
      <c r="AM657" s="89">
        <f t="shared" si="150"/>
        <v>87.187668000000002</v>
      </c>
      <c r="AN657" s="90">
        <f t="shared" si="151"/>
        <v>12380.648856</v>
      </c>
      <c r="AO657" s="93">
        <f t="shared" si="152"/>
        <v>0.2660484783024355</v>
      </c>
    </row>
    <row r="658" spans="2:41" x14ac:dyDescent="0.25">
      <c r="B658" s="91">
        <v>40305</v>
      </c>
      <c r="C658" s="89">
        <v>112.639999</v>
      </c>
      <c r="D658" s="89">
        <v>113.769997</v>
      </c>
      <c r="E658" s="89">
        <v>109.410004</v>
      </c>
      <c r="F658" s="89">
        <v>111.260002</v>
      </c>
      <c r="G658" s="89">
        <v>85.890738999999996</v>
      </c>
      <c r="H658" s="89">
        <v>637558800</v>
      </c>
      <c r="J658" s="89">
        <v>0</v>
      </c>
      <c r="K658" s="89">
        <f t="shared" si="169"/>
        <v>88</v>
      </c>
      <c r="L658" s="89">
        <f t="shared" si="170"/>
        <v>112.621376</v>
      </c>
      <c r="M658" s="89">
        <f>+SPY__2[[#This Row],[Adj Close]]</f>
        <v>85.890738999999996</v>
      </c>
      <c r="N658" s="89">
        <f t="shared" si="165"/>
        <v>7558.3850320000001</v>
      </c>
      <c r="O658" s="90">
        <f t="shared" si="166"/>
        <v>-2352.2960560000001</v>
      </c>
      <c r="P658" s="93">
        <f t="shared" si="167"/>
        <v>-0.2373495862810272</v>
      </c>
      <c r="Q658" s="96"/>
      <c r="R658" s="96"/>
      <c r="T658" s="90">
        <f t="shared" si="161"/>
        <v>95</v>
      </c>
      <c r="U658" s="89">
        <f t="shared" si="162"/>
        <v>103.31428490526316</v>
      </c>
      <c r="V658" s="89">
        <f t="shared" si="163"/>
        <v>85.890738999999996</v>
      </c>
      <c r="W658" s="90">
        <f t="shared" si="168"/>
        <v>8159.6202049999993</v>
      </c>
      <c r="X658" s="93">
        <f t="shared" si="164"/>
        <v>-0.16864604852310761</v>
      </c>
      <c r="AB658" s="89">
        <f t="shared" si="153"/>
        <v>195</v>
      </c>
      <c r="AC658" s="89">
        <f t="shared" si="154"/>
        <v>51.179276000000002</v>
      </c>
      <c r="AD658" s="89">
        <f t="shared" si="155"/>
        <v>85.890738999999996</v>
      </c>
      <c r="AE658" s="89">
        <f t="shared" si="156"/>
        <v>16748.694104999999</v>
      </c>
      <c r="AF658" s="90">
        <f t="shared" si="159"/>
        <v>6768.7352849999988</v>
      </c>
      <c r="AG658" s="93">
        <f t="shared" si="160"/>
        <v>0.67823278703669021</v>
      </c>
      <c r="AK658" s="90">
        <f t="shared" si="157"/>
        <v>142</v>
      </c>
      <c r="AL658" s="89">
        <f t="shared" si="158"/>
        <v>68.865979063380294</v>
      </c>
      <c r="AM658" s="89">
        <f t="shared" si="150"/>
        <v>85.890738999999996</v>
      </c>
      <c r="AN658" s="90">
        <f t="shared" si="151"/>
        <v>12196.484938</v>
      </c>
      <c r="AO658" s="93">
        <f t="shared" si="152"/>
        <v>0.24721582656874874</v>
      </c>
    </row>
    <row r="659" spans="2:41" x14ac:dyDescent="0.25">
      <c r="B659" s="91">
        <v>40308</v>
      </c>
      <c r="C659" s="89">
        <v>115.80999799999999</v>
      </c>
      <c r="D659" s="89">
        <v>116.650002</v>
      </c>
      <c r="E659" s="89">
        <v>114.910004</v>
      </c>
      <c r="F659" s="89">
        <v>116.160004</v>
      </c>
      <c r="G659" s="89">
        <v>89.673469999999995</v>
      </c>
      <c r="H659" s="89">
        <v>396159600</v>
      </c>
      <c r="J659" s="89">
        <v>0</v>
      </c>
      <c r="K659" s="89">
        <f t="shared" si="169"/>
        <v>88</v>
      </c>
      <c r="L659" s="89">
        <f t="shared" si="170"/>
        <v>112.621376</v>
      </c>
      <c r="M659" s="89">
        <f>+SPY__2[[#This Row],[Adj Close]]</f>
        <v>89.673469999999995</v>
      </c>
      <c r="N659" s="89">
        <f t="shared" si="165"/>
        <v>7891.2653599999994</v>
      </c>
      <c r="O659" s="90">
        <f t="shared" si="166"/>
        <v>-2019.4157280000004</v>
      </c>
      <c r="P659" s="93">
        <f t="shared" si="167"/>
        <v>-0.2037615487844866</v>
      </c>
      <c r="Q659" s="96"/>
      <c r="R659" s="96"/>
      <c r="T659" s="90">
        <f t="shared" si="161"/>
        <v>95</v>
      </c>
      <c r="U659" s="89">
        <f t="shared" si="162"/>
        <v>103.31428490526316</v>
      </c>
      <c r="V659" s="89">
        <f t="shared" si="163"/>
        <v>89.673469999999995</v>
      </c>
      <c r="W659" s="90">
        <f t="shared" si="168"/>
        <v>8518.9796499999993</v>
      </c>
      <c r="X659" s="93">
        <f t="shared" si="164"/>
        <v>-0.13203222495099765</v>
      </c>
      <c r="AB659" s="89">
        <f t="shared" si="153"/>
        <v>195</v>
      </c>
      <c r="AC659" s="89">
        <f t="shared" si="154"/>
        <v>51.179276000000002</v>
      </c>
      <c r="AD659" s="89">
        <f t="shared" si="155"/>
        <v>89.673469999999995</v>
      </c>
      <c r="AE659" s="89">
        <f t="shared" si="156"/>
        <v>17486.326649999999</v>
      </c>
      <c r="AF659" s="90">
        <f t="shared" si="159"/>
        <v>7506.3678299999983</v>
      </c>
      <c r="AG659" s="93">
        <f t="shared" si="160"/>
        <v>0.7521441686670205</v>
      </c>
      <c r="AK659" s="90">
        <f t="shared" si="157"/>
        <v>142</v>
      </c>
      <c r="AL659" s="89">
        <f t="shared" si="158"/>
        <v>68.865979063380294</v>
      </c>
      <c r="AM659" s="89">
        <f t="shared" si="150"/>
        <v>89.673469999999995</v>
      </c>
      <c r="AN659" s="90">
        <f t="shared" si="151"/>
        <v>12733.632739999999</v>
      </c>
      <c r="AO659" s="93">
        <f t="shared" si="152"/>
        <v>0.30214470511585523</v>
      </c>
    </row>
    <row r="660" spans="2:41" x14ac:dyDescent="0.25">
      <c r="B660" s="91">
        <v>40309</v>
      </c>
      <c r="C660" s="89">
        <v>115.07</v>
      </c>
      <c r="D660" s="89">
        <v>117.360001</v>
      </c>
      <c r="E660" s="89">
        <v>114.910004</v>
      </c>
      <c r="F660" s="89">
        <v>115.83000199999999</v>
      </c>
      <c r="G660" s="89">
        <v>89.418700999999999</v>
      </c>
      <c r="H660" s="89">
        <v>317849800</v>
      </c>
      <c r="J660" s="89">
        <v>0</v>
      </c>
      <c r="K660" s="89">
        <f t="shared" si="169"/>
        <v>88</v>
      </c>
      <c r="L660" s="89">
        <f t="shared" si="170"/>
        <v>112.621376</v>
      </c>
      <c r="M660" s="89">
        <f>+SPY__2[[#This Row],[Adj Close]]</f>
        <v>89.418700999999999</v>
      </c>
      <c r="N660" s="89">
        <f t="shared" si="165"/>
        <v>7868.8456879999994</v>
      </c>
      <c r="O660" s="90">
        <f t="shared" si="166"/>
        <v>-2041.8353999999999</v>
      </c>
      <c r="P660" s="93">
        <f t="shared" si="167"/>
        <v>-0.20602372146474213</v>
      </c>
      <c r="Q660" s="96"/>
      <c r="R660" s="96"/>
      <c r="T660" s="90">
        <f t="shared" si="161"/>
        <v>95</v>
      </c>
      <c r="U660" s="89">
        <f t="shared" si="162"/>
        <v>103.31428490526316</v>
      </c>
      <c r="V660" s="89">
        <f t="shared" si="163"/>
        <v>89.418700999999999</v>
      </c>
      <c r="W660" s="90">
        <f t="shared" si="168"/>
        <v>8494.7765949999994</v>
      </c>
      <c r="X660" s="93">
        <f t="shared" si="164"/>
        <v>-0.13449818597694507</v>
      </c>
      <c r="AB660" s="89">
        <f t="shared" si="153"/>
        <v>195</v>
      </c>
      <c r="AC660" s="89">
        <f t="shared" si="154"/>
        <v>51.179276000000002</v>
      </c>
      <c r="AD660" s="89">
        <f t="shared" si="155"/>
        <v>89.418700999999999</v>
      </c>
      <c r="AE660" s="89">
        <f t="shared" si="156"/>
        <v>17436.646694999999</v>
      </c>
      <c r="AF660" s="90">
        <f t="shared" si="159"/>
        <v>7456.6878749999996</v>
      </c>
      <c r="AG660" s="93">
        <f t="shared" si="160"/>
        <v>0.74716619672384565</v>
      </c>
      <c r="AK660" s="90">
        <f t="shared" si="157"/>
        <v>142</v>
      </c>
      <c r="AL660" s="89">
        <f t="shared" si="158"/>
        <v>68.865979063380294</v>
      </c>
      <c r="AM660" s="89">
        <f t="shared" si="150"/>
        <v>89.418700999999999</v>
      </c>
      <c r="AN660" s="90">
        <f t="shared" si="151"/>
        <v>12697.455542</v>
      </c>
      <c r="AO660" s="93">
        <f t="shared" si="152"/>
        <v>0.29844521512870914</v>
      </c>
    </row>
    <row r="661" spans="2:41" x14ac:dyDescent="0.25">
      <c r="B661" s="91">
        <v>40310</v>
      </c>
      <c r="C661" s="89">
        <v>116.290001</v>
      </c>
      <c r="D661" s="89">
        <v>117.620003</v>
      </c>
      <c r="E661" s="89">
        <v>116.089996</v>
      </c>
      <c r="F661" s="89">
        <v>117.449997</v>
      </c>
      <c r="G661" s="89">
        <v>90.669303999999997</v>
      </c>
      <c r="H661" s="89">
        <v>235607100</v>
      </c>
      <c r="J661" s="89">
        <v>0</v>
      </c>
      <c r="K661" s="89">
        <f t="shared" si="169"/>
        <v>88</v>
      </c>
      <c r="L661" s="89">
        <f t="shared" si="170"/>
        <v>112.621376</v>
      </c>
      <c r="M661" s="89">
        <f>+SPY__2[[#This Row],[Adj Close]]</f>
        <v>90.669303999999997</v>
      </c>
      <c r="N661" s="89">
        <f t="shared" si="165"/>
        <v>7978.8987520000001</v>
      </c>
      <c r="O661" s="90">
        <f t="shared" si="166"/>
        <v>-1931.7823360000002</v>
      </c>
      <c r="P661" s="93">
        <f t="shared" si="167"/>
        <v>-0.19491923096375596</v>
      </c>
      <c r="Q661" s="96"/>
      <c r="R661" s="96"/>
      <c r="T661" s="90">
        <f t="shared" si="161"/>
        <v>95</v>
      </c>
      <c r="U661" s="89">
        <f t="shared" si="162"/>
        <v>103.31428490526316</v>
      </c>
      <c r="V661" s="89">
        <f t="shared" si="163"/>
        <v>90.669303999999997</v>
      </c>
      <c r="W661" s="90">
        <f t="shared" si="168"/>
        <v>8613.5838800000001</v>
      </c>
      <c r="X661" s="93">
        <f t="shared" si="164"/>
        <v>-0.12239334489764242</v>
      </c>
      <c r="AB661" s="89">
        <f t="shared" si="153"/>
        <v>195</v>
      </c>
      <c r="AC661" s="89">
        <f t="shared" si="154"/>
        <v>51.179276000000002</v>
      </c>
      <c r="AD661" s="89">
        <f t="shared" si="155"/>
        <v>90.669303999999997</v>
      </c>
      <c r="AE661" s="89">
        <f t="shared" si="156"/>
        <v>17680.514279999999</v>
      </c>
      <c r="AF661" s="90">
        <f t="shared" si="159"/>
        <v>7700.5554599999987</v>
      </c>
      <c r="AG661" s="93">
        <f t="shared" si="160"/>
        <v>0.77160192731135924</v>
      </c>
      <c r="AK661" s="90">
        <f t="shared" si="157"/>
        <v>142</v>
      </c>
      <c r="AL661" s="89">
        <f t="shared" si="158"/>
        <v>68.865979063380294</v>
      </c>
      <c r="AM661" s="89">
        <f t="shared" si="150"/>
        <v>90.669303999999997</v>
      </c>
      <c r="AN661" s="90">
        <f t="shared" si="151"/>
        <v>12875.041168</v>
      </c>
      <c r="AO661" s="93">
        <f t="shared" si="152"/>
        <v>0.31660516895509727</v>
      </c>
    </row>
    <row r="662" spans="2:41" x14ac:dyDescent="0.25">
      <c r="B662" s="91">
        <v>40311</v>
      </c>
      <c r="C662" s="89">
        <v>117.129997</v>
      </c>
      <c r="D662" s="89">
        <v>117.68</v>
      </c>
      <c r="E662" s="89">
        <v>115.889999</v>
      </c>
      <c r="F662" s="89">
        <v>115.989998</v>
      </c>
      <c r="G662" s="89">
        <v>89.542229000000006</v>
      </c>
      <c r="H662" s="89">
        <v>234452500</v>
      </c>
      <c r="J662" s="89">
        <v>0</v>
      </c>
      <c r="K662" s="89">
        <f t="shared" si="169"/>
        <v>88</v>
      </c>
      <c r="L662" s="89">
        <f t="shared" si="170"/>
        <v>112.621376</v>
      </c>
      <c r="M662" s="89">
        <f>+SPY__2[[#This Row],[Adj Close]]</f>
        <v>89.542229000000006</v>
      </c>
      <c r="N662" s="89">
        <f t="shared" si="165"/>
        <v>7879.7161520000009</v>
      </c>
      <c r="O662" s="90">
        <f t="shared" si="166"/>
        <v>-2030.9649359999994</v>
      </c>
      <c r="P662" s="93">
        <f t="shared" si="167"/>
        <v>-0.20492687817985811</v>
      </c>
      <c r="Q662" s="96"/>
      <c r="R662" s="96"/>
      <c r="T662" s="90">
        <f t="shared" si="161"/>
        <v>95</v>
      </c>
      <c r="U662" s="89">
        <f t="shared" si="162"/>
        <v>103.31428490526316</v>
      </c>
      <c r="V662" s="89">
        <f t="shared" si="163"/>
        <v>89.542229000000006</v>
      </c>
      <c r="W662" s="90">
        <f t="shared" si="168"/>
        <v>8506.5117550000014</v>
      </c>
      <c r="X662" s="93">
        <f t="shared" si="164"/>
        <v>-0.1333025333127148</v>
      </c>
      <c r="AB662" s="89">
        <f t="shared" si="153"/>
        <v>195</v>
      </c>
      <c r="AC662" s="89">
        <f t="shared" si="154"/>
        <v>51.179276000000002</v>
      </c>
      <c r="AD662" s="89">
        <f t="shared" si="155"/>
        <v>89.542229000000006</v>
      </c>
      <c r="AE662" s="89">
        <f t="shared" si="156"/>
        <v>17460.734655</v>
      </c>
      <c r="AF662" s="90">
        <f t="shared" si="159"/>
        <v>7480.7758350000013</v>
      </c>
      <c r="AG662" s="93">
        <f t="shared" si="160"/>
        <v>0.74957982992959882</v>
      </c>
      <c r="AK662" s="90">
        <f t="shared" si="157"/>
        <v>142</v>
      </c>
      <c r="AL662" s="89">
        <f t="shared" si="158"/>
        <v>68.865979063380294</v>
      </c>
      <c r="AM662" s="89">
        <f t="shared" si="150"/>
        <v>89.542229000000006</v>
      </c>
      <c r="AN662" s="90">
        <f t="shared" si="151"/>
        <v>12714.996518000002</v>
      </c>
      <c r="AO662" s="93">
        <f t="shared" si="152"/>
        <v>0.30023896004717354</v>
      </c>
    </row>
    <row r="663" spans="2:41" x14ac:dyDescent="0.25">
      <c r="B663" s="91">
        <v>40312</v>
      </c>
      <c r="C663" s="89">
        <v>115.120003</v>
      </c>
      <c r="D663" s="89">
        <v>115.33000199999999</v>
      </c>
      <c r="E663" s="89">
        <v>112.870003</v>
      </c>
      <c r="F663" s="89">
        <v>113.889999</v>
      </c>
      <c r="G663" s="89">
        <v>87.921051000000006</v>
      </c>
      <c r="H663" s="89">
        <v>345601400</v>
      </c>
      <c r="J663" s="89">
        <v>0</v>
      </c>
      <c r="K663" s="89">
        <f t="shared" si="169"/>
        <v>88</v>
      </c>
      <c r="L663" s="89">
        <f t="shared" si="170"/>
        <v>112.621376</v>
      </c>
      <c r="M663" s="89">
        <f>+SPY__2[[#This Row],[Adj Close]]</f>
        <v>87.921051000000006</v>
      </c>
      <c r="N663" s="89">
        <f t="shared" si="165"/>
        <v>7737.0524880000003</v>
      </c>
      <c r="O663" s="90">
        <f t="shared" si="166"/>
        <v>-2173.6285999999991</v>
      </c>
      <c r="P663" s="93">
        <f t="shared" si="167"/>
        <v>-0.21932181862171518</v>
      </c>
      <c r="Q663" s="96"/>
      <c r="R663" s="96"/>
      <c r="T663" s="90">
        <f t="shared" si="161"/>
        <v>95</v>
      </c>
      <c r="U663" s="89">
        <f t="shared" si="162"/>
        <v>103.31428490526316</v>
      </c>
      <c r="V663" s="89">
        <f t="shared" si="163"/>
        <v>87.921051000000006</v>
      </c>
      <c r="W663" s="90">
        <f t="shared" si="168"/>
        <v>8352.4998450000003</v>
      </c>
      <c r="X663" s="93">
        <f t="shared" si="164"/>
        <v>-0.1489942452718751</v>
      </c>
      <c r="AB663" s="89">
        <f t="shared" si="153"/>
        <v>195</v>
      </c>
      <c r="AC663" s="89">
        <f t="shared" si="154"/>
        <v>51.179276000000002</v>
      </c>
      <c r="AD663" s="89">
        <f t="shared" si="155"/>
        <v>87.921051000000006</v>
      </c>
      <c r="AE663" s="89">
        <f t="shared" si="156"/>
        <v>17144.604945000003</v>
      </c>
      <c r="AF663" s="90">
        <f t="shared" si="159"/>
        <v>7164.6461250000011</v>
      </c>
      <c r="AG663" s="93">
        <f t="shared" si="160"/>
        <v>0.71790337557725525</v>
      </c>
      <c r="AK663" s="90">
        <f t="shared" si="157"/>
        <v>142</v>
      </c>
      <c r="AL663" s="89">
        <f t="shared" si="158"/>
        <v>68.865979063380294</v>
      </c>
      <c r="AM663" s="89">
        <f t="shared" si="150"/>
        <v>87.921051000000006</v>
      </c>
      <c r="AN663" s="90">
        <f t="shared" si="151"/>
        <v>12484.789242000001</v>
      </c>
      <c r="AO663" s="93">
        <f t="shared" si="152"/>
        <v>0.27669790215401613</v>
      </c>
    </row>
    <row r="664" spans="2:41" x14ac:dyDescent="0.25">
      <c r="B664" s="91">
        <v>40315</v>
      </c>
      <c r="C664" s="89">
        <v>114.199997</v>
      </c>
      <c r="D664" s="89">
        <v>114.519997</v>
      </c>
      <c r="E664" s="89">
        <v>111.769997</v>
      </c>
      <c r="F664" s="89">
        <v>113.949997</v>
      </c>
      <c r="G664" s="89">
        <v>87.967406999999994</v>
      </c>
      <c r="H664" s="89">
        <v>325739800</v>
      </c>
      <c r="J664" s="89">
        <v>0</v>
      </c>
      <c r="K664" s="89">
        <f t="shared" si="169"/>
        <v>88</v>
      </c>
      <c r="L664" s="89">
        <f t="shared" si="170"/>
        <v>112.621376</v>
      </c>
      <c r="M664" s="89">
        <f>+SPY__2[[#This Row],[Adj Close]]</f>
        <v>87.967406999999994</v>
      </c>
      <c r="N664" s="89">
        <f t="shared" si="165"/>
        <v>7741.1318159999992</v>
      </c>
      <c r="O664" s="90">
        <f t="shared" si="166"/>
        <v>-2169.5492720000002</v>
      </c>
      <c r="P664" s="93">
        <f t="shared" si="167"/>
        <v>-0.21891020937268613</v>
      </c>
      <c r="Q664" s="96"/>
      <c r="R664" s="96"/>
      <c r="T664" s="90">
        <f t="shared" si="161"/>
        <v>95</v>
      </c>
      <c r="U664" s="89">
        <f t="shared" si="162"/>
        <v>103.31428490526316</v>
      </c>
      <c r="V664" s="89">
        <f t="shared" si="163"/>
        <v>87.967406999999994</v>
      </c>
      <c r="W664" s="90">
        <f t="shared" si="168"/>
        <v>8356.9036649999998</v>
      </c>
      <c r="X664" s="93">
        <f t="shared" si="164"/>
        <v>-0.1485455561090695</v>
      </c>
      <c r="AB664" s="89">
        <f t="shared" si="153"/>
        <v>195</v>
      </c>
      <c r="AC664" s="89">
        <f t="shared" si="154"/>
        <v>51.179276000000002</v>
      </c>
      <c r="AD664" s="89">
        <f t="shared" si="155"/>
        <v>87.967406999999994</v>
      </c>
      <c r="AE664" s="89">
        <f t="shared" si="156"/>
        <v>17153.644365</v>
      </c>
      <c r="AF664" s="90">
        <f t="shared" si="159"/>
        <v>7173.6855449999985</v>
      </c>
      <c r="AG664" s="93">
        <f t="shared" si="160"/>
        <v>0.71880913282165215</v>
      </c>
      <c r="AK664" s="90">
        <f t="shared" si="157"/>
        <v>142</v>
      </c>
      <c r="AL664" s="89">
        <f t="shared" si="158"/>
        <v>68.865979063380294</v>
      </c>
      <c r="AM664" s="89">
        <f t="shared" si="150"/>
        <v>87.967406999999994</v>
      </c>
      <c r="AN664" s="90">
        <f t="shared" si="151"/>
        <v>12491.371793999999</v>
      </c>
      <c r="AO664" s="93">
        <f t="shared" si="152"/>
        <v>0.27737103569005894</v>
      </c>
    </row>
    <row r="665" spans="2:41" x14ac:dyDescent="0.25">
      <c r="B665" s="91">
        <v>40316</v>
      </c>
      <c r="C665" s="89">
        <v>114.879997</v>
      </c>
      <c r="D665" s="89">
        <v>115.220001</v>
      </c>
      <c r="E665" s="89">
        <v>112.029999</v>
      </c>
      <c r="F665" s="89">
        <v>112.400002</v>
      </c>
      <c r="G665" s="89">
        <v>86.770813000000004</v>
      </c>
      <c r="H665" s="89">
        <v>360556800</v>
      </c>
      <c r="J665" s="89">
        <v>0</v>
      </c>
      <c r="K665" s="89">
        <f t="shared" si="169"/>
        <v>88</v>
      </c>
      <c r="L665" s="89">
        <f t="shared" si="170"/>
        <v>112.621376</v>
      </c>
      <c r="M665" s="89">
        <f>+SPY__2[[#This Row],[Adj Close]]</f>
        <v>86.770813000000004</v>
      </c>
      <c r="N665" s="89">
        <f t="shared" si="165"/>
        <v>7635.8315440000006</v>
      </c>
      <c r="O665" s="90">
        <f t="shared" si="166"/>
        <v>-2274.8495439999997</v>
      </c>
      <c r="P665" s="93">
        <f t="shared" si="167"/>
        <v>-0.2295351372726967</v>
      </c>
      <c r="Q665" s="96"/>
      <c r="R665" s="96"/>
      <c r="T665" s="90">
        <f t="shared" si="161"/>
        <v>95</v>
      </c>
      <c r="U665" s="89">
        <f t="shared" si="162"/>
        <v>103.31428490526316</v>
      </c>
      <c r="V665" s="89">
        <f t="shared" si="163"/>
        <v>86.770813000000004</v>
      </c>
      <c r="W665" s="90">
        <f t="shared" si="168"/>
        <v>8243.2272350000003</v>
      </c>
      <c r="X665" s="93">
        <f t="shared" si="164"/>
        <v>-0.16012763308029621</v>
      </c>
      <c r="AB665" s="89">
        <f t="shared" si="153"/>
        <v>195</v>
      </c>
      <c r="AC665" s="89">
        <f t="shared" si="154"/>
        <v>51.179276000000002</v>
      </c>
      <c r="AD665" s="89">
        <f t="shared" si="155"/>
        <v>86.770813000000004</v>
      </c>
      <c r="AE665" s="89">
        <f t="shared" si="156"/>
        <v>16920.308535</v>
      </c>
      <c r="AF665" s="90">
        <f t="shared" si="159"/>
        <v>6940.3497150000003</v>
      </c>
      <c r="AG665" s="93">
        <f t="shared" si="160"/>
        <v>0.69542869266067786</v>
      </c>
      <c r="AK665" s="90">
        <f t="shared" si="157"/>
        <v>142</v>
      </c>
      <c r="AL665" s="89">
        <f t="shared" si="158"/>
        <v>68.865979063380294</v>
      </c>
      <c r="AM665" s="89">
        <f t="shared" si="150"/>
        <v>86.770813000000004</v>
      </c>
      <c r="AN665" s="90">
        <f t="shared" si="151"/>
        <v>12321.455446</v>
      </c>
      <c r="AO665" s="93">
        <f t="shared" si="152"/>
        <v>0.25999534429244275</v>
      </c>
    </row>
    <row r="666" spans="2:41" x14ac:dyDescent="0.25">
      <c r="B666" s="91">
        <v>40317</v>
      </c>
      <c r="C666" s="89">
        <v>111.769997</v>
      </c>
      <c r="D666" s="89">
        <v>112.769997</v>
      </c>
      <c r="E666" s="89">
        <v>110.360001</v>
      </c>
      <c r="F666" s="89">
        <v>111.760002</v>
      </c>
      <c r="G666" s="89">
        <v>86.276756000000006</v>
      </c>
      <c r="H666" s="89">
        <v>394742700</v>
      </c>
      <c r="J666" s="89">
        <v>0</v>
      </c>
      <c r="K666" s="89">
        <f t="shared" si="169"/>
        <v>88</v>
      </c>
      <c r="L666" s="89">
        <f t="shared" si="170"/>
        <v>112.621376</v>
      </c>
      <c r="M666" s="89">
        <f>+SPY__2[[#This Row],[Adj Close]]</f>
        <v>86.276756000000006</v>
      </c>
      <c r="N666" s="89">
        <f t="shared" si="165"/>
        <v>7592.3545280000008</v>
      </c>
      <c r="O666" s="90">
        <f t="shared" si="166"/>
        <v>-2318.3265599999995</v>
      </c>
      <c r="P666" s="93">
        <f t="shared" si="167"/>
        <v>-0.2339220220502366</v>
      </c>
      <c r="Q666" s="96"/>
      <c r="R666" s="96"/>
      <c r="T666" s="90">
        <f t="shared" si="161"/>
        <v>95</v>
      </c>
      <c r="U666" s="89">
        <f t="shared" si="162"/>
        <v>103.31428490526316</v>
      </c>
      <c r="V666" s="89">
        <f t="shared" si="163"/>
        <v>86.276756000000006</v>
      </c>
      <c r="W666" s="90">
        <f t="shared" si="168"/>
        <v>8196.2918200000004</v>
      </c>
      <c r="X666" s="93">
        <f t="shared" si="164"/>
        <v>-0.16490971138101751</v>
      </c>
      <c r="AB666" s="89">
        <f t="shared" si="153"/>
        <v>195</v>
      </c>
      <c r="AC666" s="89">
        <f t="shared" si="154"/>
        <v>51.179276000000002</v>
      </c>
      <c r="AD666" s="89">
        <f t="shared" si="155"/>
        <v>86.276756000000006</v>
      </c>
      <c r="AE666" s="89">
        <f t="shared" si="156"/>
        <v>16823.967420000001</v>
      </c>
      <c r="AF666" s="90">
        <f t="shared" si="159"/>
        <v>6844.008600000001</v>
      </c>
      <c r="AG666" s="93">
        <f t="shared" si="160"/>
        <v>0.68577523449139854</v>
      </c>
      <c r="AK666" s="90">
        <f t="shared" si="157"/>
        <v>142</v>
      </c>
      <c r="AL666" s="89">
        <f t="shared" si="158"/>
        <v>68.865979063380294</v>
      </c>
      <c r="AM666" s="89">
        <f t="shared" si="150"/>
        <v>86.276756000000006</v>
      </c>
      <c r="AN666" s="90">
        <f t="shared" si="151"/>
        <v>12251.299352</v>
      </c>
      <c r="AO666" s="93">
        <f t="shared" si="152"/>
        <v>0.25282116327128423</v>
      </c>
    </row>
    <row r="667" spans="2:41" x14ac:dyDescent="0.25">
      <c r="B667" s="91">
        <v>40318</v>
      </c>
      <c r="C667" s="89">
        <v>109.379997</v>
      </c>
      <c r="D667" s="89">
        <v>109.889999</v>
      </c>
      <c r="E667" s="89">
        <v>107.470001</v>
      </c>
      <c r="F667" s="89">
        <v>107.540001</v>
      </c>
      <c r="G667" s="89">
        <v>83.018981999999994</v>
      </c>
      <c r="H667" s="89">
        <v>530418300</v>
      </c>
      <c r="J667" s="89">
        <v>0</v>
      </c>
      <c r="K667" s="89">
        <f t="shared" si="169"/>
        <v>88</v>
      </c>
      <c r="L667" s="89">
        <f t="shared" si="170"/>
        <v>112.621376</v>
      </c>
      <c r="M667" s="89">
        <f>+SPY__2[[#This Row],[Adj Close]]</f>
        <v>83.018981999999994</v>
      </c>
      <c r="N667" s="89">
        <f t="shared" si="165"/>
        <v>7305.670415999999</v>
      </c>
      <c r="O667" s="90">
        <f t="shared" si="166"/>
        <v>-2605.0106720000003</v>
      </c>
      <c r="P667" s="93">
        <f t="shared" si="167"/>
        <v>-0.26284880412045408</v>
      </c>
      <c r="Q667" s="96"/>
      <c r="R667" s="96"/>
      <c r="T667" s="90">
        <f t="shared" si="161"/>
        <v>95</v>
      </c>
      <c r="U667" s="89">
        <f t="shared" si="162"/>
        <v>103.31428490526316</v>
      </c>
      <c r="V667" s="89">
        <f t="shared" si="163"/>
        <v>83.018981999999994</v>
      </c>
      <c r="W667" s="90">
        <f t="shared" si="168"/>
        <v>7886.8032899999998</v>
      </c>
      <c r="X667" s="93">
        <f t="shared" si="164"/>
        <v>-0.19644236926068348</v>
      </c>
      <c r="AB667" s="89">
        <f t="shared" si="153"/>
        <v>195</v>
      </c>
      <c r="AC667" s="89">
        <f t="shared" si="154"/>
        <v>51.179276000000002</v>
      </c>
      <c r="AD667" s="89">
        <f t="shared" si="155"/>
        <v>83.018981999999994</v>
      </c>
      <c r="AE667" s="89">
        <f t="shared" si="156"/>
        <v>16188.701489999999</v>
      </c>
      <c r="AF667" s="90">
        <f t="shared" si="159"/>
        <v>6208.7426699999987</v>
      </c>
      <c r="AG667" s="93">
        <f t="shared" si="160"/>
        <v>0.6221210710366436</v>
      </c>
      <c r="AK667" s="90">
        <f t="shared" si="157"/>
        <v>142</v>
      </c>
      <c r="AL667" s="89">
        <f t="shared" si="158"/>
        <v>68.865979063380294</v>
      </c>
      <c r="AM667" s="89">
        <f t="shared" si="150"/>
        <v>83.018981999999994</v>
      </c>
      <c r="AN667" s="90">
        <f t="shared" si="151"/>
        <v>11788.695443999999</v>
      </c>
      <c r="AO667" s="93">
        <f t="shared" si="152"/>
        <v>0.20551516335219877</v>
      </c>
    </row>
    <row r="668" spans="2:41" x14ac:dyDescent="0.25">
      <c r="B668" s="91">
        <v>40319</v>
      </c>
      <c r="C668" s="89">
        <v>105.910004</v>
      </c>
      <c r="D668" s="89">
        <v>109.379997</v>
      </c>
      <c r="E668" s="89">
        <v>105.360001</v>
      </c>
      <c r="F668" s="89">
        <v>109.110001</v>
      </c>
      <c r="G668" s="89">
        <v>84.230987999999996</v>
      </c>
      <c r="H668" s="89">
        <v>500909400</v>
      </c>
      <c r="J668" s="89">
        <v>0</v>
      </c>
      <c r="K668" s="89">
        <f t="shared" si="169"/>
        <v>88</v>
      </c>
      <c r="L668" s="89">
        <f t="shared" si="170"/>
        <v>112.621376</v>
      </c>
      <c r="M668" s="89">
        <f>+SPY__2[[#This Row],[Adj Close]]</f>
        <v>84.230987999999996</v>
      </c>
      <c r="N668" s="89">
        <f t="shared" si="165"/>
        <v>7412.3269439999995</v>
      </c>
      <c r="O668" s="90">
        <f t="shared" si="166"/>
        <v>-2498.3541439999999</v>
      </c>
      <c r="P668" s="93">
        <f t="shared" si="167"/>
        <v>-0.25208702830979446</v>
      </c>
      <c r="Q668" s="96"/>
      <c r="R668" s="96"/>
      <c r="T668" s="90">
        <f t="shared" si="161"/>
        <v>95</v>
      </c>
      <c r="U668" s="89">
        <f t="shared" si="162"/>
        <v>103.31428490526316</v>
      </c>
      <c r="V668" s="89">
        <f t="shared" si="163"/>
        <v>84.230987999999996</v>
      </c>
      <c r="W668" s="90">
        <f t="shared" si="168"/>
        <v>8001.9438599999994</v>
      </c>
      <c r="X668" s="93">
        <f t="shared" si="164"/>
        <v>-0.18471111640333293</v>
      </c>
      <c r="AB668" s="89">
        <f t="shared" si="153"/>
        <v>195</v>
      </c>
      <c r="AC668" s="89">
        <f t="shared" si="154"/>
        <v>51.179276000000002</v>
      </c>
      <c r="AD668" s="89">
        <f t="shared" si="155"/>
        <v>84.230987999999996</v>
      </c>
      <c r="AE668" s="89">
        <f t="shared" si="156"/>
        <v>16425.042659999999</v>
      </c>
      <c r="AF668" s="90">
        <f t="shared" si="159"/>
        <v>6445.0838399999993</v>
      </c>
      <c r="AG668" s="93">
        <f t="shared" si="160"/>
        <v>0.64580264871273285</v>
      </c>
      <c r="AK668" s="90">
        <f t="shared" si="157"/>
        <v>142</v>
      </c>
      <c r="AL668" s="89">
        <f t="shared" si="158"/>
        <v>68.865979063380294</v>
      </c>
      <c r="AM668" s="89">
        <f t="shared" si="150"/>
        <v>84.230987999999996</v>
      </c>
      <c r="AN668" s="90">
        <f t="shared" si="151"/>
        <v>11960.800295999999</v>
      </c>
      <c r="AO668" s="93">
        <f t="shared" si="152"/>
        <v>0.22311465175683676</v>
      </c>
    </row>
    <row r="669" spans="2:41" x14ac:dyDescent="0.25">
      <c r="B669" s="91">
        <v>40322</v>
      </c>
      <c r="C669" s="89">
        <v>108.519997</v>
      </c>
      <c r="D669" s="89">
        <v>109.389999</v>
      </c>
      <c r="E669" s="89">
        <v>107.610001</v>
      </c>
      <c r="F669" s="89">
        <v>107.709999</v>
      </c>
      <c r="G669" s="89">
        <v>83.150192000000004</v>
      </c>
      <c r="H669" s="89">
        <v>269823000</v>
      </c>
      <c r="J669" s="89">
        <v>0</v>
      </c>
      <c r="K669" s="89">
        <f t="shared" si="169"/>
        <v>88</v>
      </c>
      <c r="L669" s="89">
        <f t="shared" si="170"/>
        <v>112.621376</v>
      </c>
      <c r="M669" s="89">
        <f>+SPY__2[[#This Row],[Adj Close]]</f>
        <v>83.150192000000004</v>
      </c>
      <c r="N669" s="89">
        <f t="shared" si="165"/>
        <v>7317.2168959999999</v>
      </c>
      <c r="O669" s="90">
        <f t="shared" si="166"/>
        <v>-2593.4641919999995</v>
      </c>
      <c r="P669" s="93">
        <f t="shared" si="167"/>
        <v>-0.26168374998366206</v>
      </c>
      <c r="Q669" s="96"/>
      <c r="R669" s="96"/>
      <c r="T669" s="90">
        <f t="shared" si="161"/>
        <v>95</v>
      </c>
      <c r="U669" s="89">
        <f t="shared" si="162"/>
        <v>103.31428490526316</v>
      </c>
      <c r="V669" s="89">
        <f t="shared" si="163"/>
        <v>83.150192000000004</v>
      </c>
      <c r="W669" s="90">
        <f t="shared" si="168"/>
        <v>7899.2682400000003</v>
      </c>
      <c r="X669" s="93">
        <f t="shared" si="164"/>
        <v>-0.19517236095427826</v>
      </c>
      <c r="AB669" s="89">
        <f t="shared" si="153"/>
        <v>195</v>
      </c>
      <c r="AC669" s="89">
        <f t="shared" si="154"/>
        <v>51.179276000000002</v>
      </c>
      <c r="AD669" s="89">
        <f t="shared" si="155"/>
        <v>83.150192000000004</v>
      </c>
      <c r="AE669" s="89">
        <f t="shared" si="156"/>
        <v>16214.28744</v>
      </c>
      <c r="AF669" s="90">
        <f t="shared" si="159"/>
        <v>6234.3286200000002</v>
      </c>
      <c r="AG669" s="93">
        <f t="shared" si="160"/>
        <v>0.62468480406014337</v>
      </c>
      <c r="AK669" s="90">
        <f t="shared" si="157"/>
        <v>142</v>
      </c>
      <c r="AL669" s="89">
        <f t="shared" si="158"/>
        <v>68.865979063380294</v>
      </c>
      <c r="AM669" s="89">
        <f t="shared" si="150"/>
        <v>83.150192000000004</v>
      </c>
      <c r="AN669" s="90">
        <f t="shared" si="151"/>
        <v>11807.327264000001</v>
      </c>
      <c r="AO669" s="93">
        <f t="shared" si="152"/>
        <v>0.2074204582711785</v>
      </c>
    </row>
    <row r="670" spans="2:41" x14ac:dyDescent="0.25">
      <c r="B670" s="91">
        <v>40323</v>
      </c>
      <c r="C670" s="89">
        <v>105.110001</v>
      </c>
      <c r="D670" s="89">
        <v>107.870003</v>
      </c>
      <c r="E670" s="89">
        <v>104.379997</v>
      </c>
      <c r="F670" s="89">
        <v>107.82</v>
      </c>
      <c r="G670" s="89">
        <v>83.235100000000003</v>
      </c>
      <c r="H670" s="89">
        <v>396505200</v>
      </c>
      <c r="J670" s="89">
        <v>0</v>
      </c>
      <c r="K670" s="89">
        <f t="shared" si="169"/>
        <v>88</v>
      </c>
      <c r="L670" s="89">
        <f t="shared" si="170"/>
        <v>112.621376</v>
      </c>
      <c r="M670" s="89">
        <f>+SPY__2[[#This Row],[Adj Close]]</f>
        <v>83.235100000000003</v>
      </c>
      <c r="N670" s="89">
        <f t="shared" si="165"/>
        <v>7324.6887999999999</v>
      </c>
      <c r="O670" s="90">
        <f t="shared" si="166"/>
        <v>-2585.9922879999995</v>
      </c>
      <c r="P670" s="93">
        <f t="shared" si="167"/>
        <v>-0.2609298256132121</v>
      </c>
      <c r="Q670" s="96"/>
      <c r="R670" s="96"/>
      <c r="T670" s="90">
        <f t="shared" si="161"/>
        <v>95</v>
      </c>
      <c r="U670" s="89">
        <f t="shared" si="162"/>
        <v>103.31428490526316</v>
      </c>
      <c r="V670" s="89">
        <f t="shared" si="163"/>
        <v>83.235100000000003</v>
      </c>
      <c r="W670" s="90">
        <f t="shared" si="168"/>
        <v>7907.3344999999999</v>
      </c>
      <c r="X670" s="93">
        <f t="shared" si="164"/>
        <v>-0.1943505191336834</v>
      </c>
      <c r="AB670" s="89">
        <f t="shared" si="153"/>
        <v>195</v>
      </c>
      <c r="AC670" s="89">
        <f t="shared" si="154"/>
        <v>51.179276000000002</v>
      </c>
      <c r="AD670" s="89">
        <f t="shared" si="155"/>
        <v>83.235100000000003</v>
      </c>
      <c r="AE670" s="89">
        <f t="shared" si="156"/>
        <v>16230.844500000001</v>
      </c>
      <c r="AF670" s="90">
        <f t="shared" si="159"/>
        <v>6250.8856800000003</v>
      </c>
      <c r="AG670" s="93">
        <f t="shared" si="160"/>
        <v>0.62634383495381996</v>
      </c>
      <c r="AK670" s="90">
        <f t="shared" si="157"/>
        <v>142</v>
      </c>
      <c r="AL670" s="89">
        <f t="shared" si="158"/>
        <v>68.865979063380294</v>
      </c>
      <c r="AM670" s="89">
        <f t="shared" si="150"/>
        <v>83.235100000000003</v>
      </c>
      <c r="AN670" s="90">
        <f t="shared" si="151"/>
        <v>11819.3842</v>
      </c>
      <c r="AO670" s="93">
        <f t="shared" si="152"/>
        <v>0.20865340378585495</v>
      </c>
    </row>
    <row r="671" spans="2:41" x14ac:dyDescent="0.25">
      <c r="B671" s="91">
        <v>40324</v>
      </c>
      <c r="C671" s="89">
        <v>108.480003</v>
      </c>
      <c r="D671" s="89">
        <v>109.470001</v>
      </c>
      <c r="E671" s="89">
        <v>106.849998</v>
      </c>
      <c r="F671" s="89">
        <v>107.16999800000001</v>
      </c>
      <c r="G671" s="89">
        <v>82.733345</v>
      </c>
      <c r="H671" s="89">
        <v>349719300</v>
      </c>
      <c r="J671" s="89">
        <v>0</v>
      </c>
      <c r="K671" s="89">
        <f t="shared" si="169"/>
        <v>88</v>
      </c>
      <c r="L671" s="89">
        <f t="shared" si="170"/>
        <v>112.621376</v>
      </c>
      <c r="M671" s="89">
        <f>+SPY__2[[#This Row],[Adj Close]]</f>
        <v>82.733345</v>
      </c>
      <c r="N671" s="89">
        <f t="shared" si="165"/>
        <v>7280.5343599999997</v>
      </c>
      <c r="O671" s="90">
        <f t="shared" si="166"/>
        <v>-2630.1467279999997</v>
      </c>
      <c r="P671" s="93">
        <f t="shared" si="167"/>
        <v>-0.26538506331160439</v>
      </c>
      <c r="Q671" s="96"/>
      <c r="R671" s="96"/>
      <c r="T671" s="90">
        <f t="shared" si="161"/>
        <v>95</v>
      </c>
      <c r="U671" s="89">
        <f t="shared" si="162"/>
        <v>103.31428490526316</v>
      </c>
      <c r="V671" s="89">
        <f t="shared" si="163"/>
        <v>82.733345</v>
      </c>
      <c r="W671" s="90">
        <f t="shared" si="168"/>
        <v>7859.6677749999999</v>
      </c>
      <c r="X671" s="93">
        <f t="shared" si="164"/>
        <v>-0.19920710794383778</v>
      </c>
      <c r="AB671" s="89">
        <f t="shared" si="153"/>
        <v>195</v>
      </c>
      <c r="AC671" s="89">
        <f t="shared" si="154"/>
        <v>51.179276000000002</v>
      </c>
      <c r="AD671" s="89">
        <f t="shared" si="155"/>
        <v>82.733345</v>
      </c>
      <c r="AE671" s="89">
        <f t="shared" si="156"/>
        <v>16133.002275000001</v>
      </c>
      <c r="AF671" s="90">
        <f t="shared" si="159"/>
        <v>6153.043455</v>
      </c>
      <c r="AG671" s="93">
        <f t="shared" si="160"/>
        <v>0.6165399643402536</v>
      </c>
      <c r="AK671" s="90">
        <f t="shared" si="157"/>
        <v>142</v>
      </c>
      <c r="AL671" s="89">
        <f t="shared" si="158"/>
        <v>68.865979063380294</v>
      </c>
      <c r="AM671" s="89">
        <f t="shared" si="150"/>
        <v>82.733345</v>
      </c>
      <c r="AN671" s="90">
        <f t="shared" si="151"/>
        <v>11748.13499</v>
      </c>
      <c r="AO671" s="93">
        <f t="shared" si="152"/>
        <v>0.2013674404288508</v>
      </c>
    </row>
    <row r="672" spans="2:41" x14ac:dyDescent="0.25">
      <c r="B672" s="91">
        <v>40325</v>
      </c>
      <c r="C672" s="89">
        <v>109.19000200000001</v>
      </c>
      <c r="D672" s="89">
        <v>110.800003</v>
      </c>
      <c r="E672" s="89">
        <v>108.779999</v>
      </c>
      <c r="F672" s="89">
        <v>110.760002</v>
      </c>
      <c r="G672" s="89">
        <v>85.504761000000002</v>
      </c>
      <c r="H672" s="89">
        <v>300870500</v>
      </c>
      <c r="J672" s="89">
        <v>0</v>
      </c>
      <c r="K672" s="89">
        <f t="shared" si="169"/>
        <v>88</v>
      </c>
      <c r="L672" s="89">
        <f t="shared" si="170"/>
        <v>112.621376</v>
      </c>
      <c r="M672" s="89">
        <f>+SPY__2[[#This Row],[Adj Close]]</f>
        <v>85.504761000000002</v>
      </c>
      <c r="N672" s="89">
        <f t="shared" si="165"/>
        <v>7524.4189679999999</v>
      </c>
      <c r="O672" s="90">
        <f t="shared" si="166"/>
        <v>-2386.2621199999994</v>
      </c>
      <c r="P672" s="93">
        <f t="shared" si="167"/>
        <v>-0.24077680421876568</v>
      </c>
      <c r="Q672" s="96"/>
      <c r="R672" s="96"/>
      <c r="T672" s="90">
        <f t="shared" si="161"/>
        <v>95</v>
      </c>
      <c r="U672" s="89">
        <f t="shared" si="162"/>
        <v>103.31428490526316</v>
      </c>
      <c r="V672" s="89">
        <f t="shared" si="163"/>
        <v>85.504761000000002</v>
      </c>
      <c r="W672" s="90">
        <f t="shared" si="168"/>
        <v>8122.952295</v>
      </c>
      <c r="X672" s="93">
        <f t="shared" si="164"/>
        <v>-0.17238200817625648</v>
      </c>
      <c r="AB672" s="89">
        <f t="shared" si="153"/>
        <v>195</v>
      </c>
      <c r="AC672" s="89">
        <f t="shared" si="154"/>
        <v>51.179276000000002</v>
      </c>
      <c r="AD672" s="89">
        <f t="shared" si="155"/>
        <v>85.504761000000002</v>
      </c>
      <c r="AE672" s="89">
        <f t="shared" si="156"/>
        <v>16673.428394999999</v>
      </c>
      <c r="AF672" s="90">
        <f t="shared" si="159"/>
        <v>6693.4695750000001</v>
      </c>
      <c r="AG672" s="93">
        <f t="shared" si="160"/>
        <v>0.67069110160917478</v>
      </c>
      <c r="AK672" s="90">
        <f t="shared" si="157"/>
        <v>142</v>
      </c>
      <c r="AL672" s="89">
        <f t="shared" si="158"/>
        <v>68.865979063380294</v>
      </c>
      <c r="AM672" s="89">
        <f t="shared" si="150"/>
        <v>85.504761000000002</v>
      </c>
      <c r="AN672" s="90">
        <f t="shared" si="151"/>
        <v>12141.676062</v>
      </c>
      <c r="AO672" s="93">
        <f t="shared" si="152"/>
        <v>0.24161105618358136</v>
      </c>
    </row>
    <row r="673" spans="2:41" x14ac:dyDescent="0.25">
      <c r="B673" s="91">
        <v>40326</v>
      </c>
      <c r="C673" s="89">
        <v>110.639999</v>
      </c>
      <c r="D673" s="89">
        <v>110.720001</v>
      </c>
      <c r="E673" s="89">
        <v>108.849998</v>
      </c>
      <c r="F673" s="89">
        <v>109.370003</v>
      </c>
      <c r="G673" s="89">
        <v>84.431693999999993</v>
      </c>
      <c r="H673" s="89">
        <v>297933500</v>
      </c>
      <c r="J673" s="89">
        <v>0</v>
      </c>
      <c r="K673" s="89">
        <f t="shared" si="169"/>
        <v>88</v>
      </c>
      <c r="L673" s="89">
        <f t="shared" si="170"/>
        <v>112.621376</v>
      </c>
      <c r="M673" s="89">
        <f>+SPY__2[[#This Row],[Adj Close]]</f>
        <v>84.431693999999993</v>
      </c>
      <c r="N673" s="89">
        <f t="shared" si="165"/>
        <v>7429.9890719999994</v>
      </c>
      <c r="O673" s="90">
        <f t="shared" si="166"/>
        <v>-2480.6920160000004</v>
      </c>
      <c r="P673" s="93">
        <f t="shared" si="167"/>
        <v>-0.25030489771320152</v>
      </c>
      <c r="Q673" s="96"/>
      <c r="R673" s="96"/>
      <c r="T673" s="90">
        <f t="shared" si="161"/>
        <v>95</v>
      </c>
      <c r="U673" s="89">
        <f t="shared" si="162"/>
        <v>103.31428490526316</v>
      </c>
      <c r="V673" s="89">
        <f t="shared" si="163"/>
        <v>84.431693999999993</v>
      </c>
      <c r="W673" s="90">
        <f t="shared" si="168"/>
        <v>8021.0109299999995</v>
      </c>
      <c r="X673" s="93">
        <f t="shared" si="164"/>
        <v>-0.1827684421624568</v>
      </c>
      <c r="AB673" s="89">
        <f t="shared" si="153"/>
        <v>195</v>
      </c>
      <c r="AC673" s="89">
        <f t="shared" si="154"/>
        <v>51.179276000000002</v>
      </c>
      <c r="AD673" s="89">
        <f t="shared" si="155"/>
        <v>84.431693999999993</v>
      </c>
      <c r="AE673" s="89">
        <f t="shared" si="156"/>
        <v>16464.180329999999</v>
      </c>
      <c r="AF673" s="90">
        <f t="shared" si="159"/>
        <v>6484.2215099999985</v>
      </c>
      <c r="AG673" s="93">
        <f t="shared" si="160"/>
        <v>0.64972427511479425</v>
      </c>
      <c r="AK673" s="90">
        <f t="shared" si="157"/>
        <v>142</v>
      </c>
      <c r="AL673" s="89">
        <f t="shared" si="158"/>
        <v>68.865979063380294</v>
      </c>
      <c r="AM673" s="89">
        <f t="shared" si="150"/>
        <v>84.431693999999993</v>
      </c>
      <c r="AN673" s="90">
        <f t="shared" si="151"/>
        <v>11989.300547999999</v>
      </c>
      <c r="AO673" s="93">
        <f t="shared" si="152"/>
        <v>0.22602909518347092</v>
      </c>
    </row>
    <row r="674" spans="2:41" x14ac:dyDescent="0.25">
      <c r="B674" s="91">
        <v>40330</v>
      </c>
      <c r="C674" s="89">
        <v>108.349998</v>
      </c>
      <c r="D674" s="89">
        <v>109.949997</v>
      </c>
      <c r="E674" s="89">
        <v>107.370003</v>
      </c>
      <c r="F674" s="89">
        <v>107.529999</v>
      </c>
      <c r="G674" s="89">
        <v>83.011252999999996</v>
      </c>
      <c r="H674" s="89">
        <v>277909400</v>
      </c>
      <c r="J674" s="89">
        <v>0</v>
      </c>
      <c r="K674" s="89">
        <f t="shared" si="169"/>
        <v>88</v>
      </c>
      <c r="L674" s="89">
        <f t="shared" si="170"/>
        <v>112.621376</v>
      </c>
      <c r="M674" s="89">
        <f>+SPY__2[[#This Row],[Adj Close]]</f>
        <v>83.011252999999996</v>
      </c>
      <c r="N674" s="89">
        <f t="shared" si="165"/>
        <v>7304.990264</v>
      </c>
      <c r="O674" s="90">
        <f t="shared" si="166"/>
        <v>-2605.6908240000002</v>
      </c>
      <c r="P674" s="93">
        <f t="shared" si="167"/>
        <v>-0.26291743229988596</v>
      </c>
      <c r="Q674" s="96"/>
      <c r="R674" s="96"/>
      <c r="T674" s="90">
        <f t="shared" si="161"/>
        <v>95</v>
      </c>
      <c r="U674" s="89">
        <f t="shared" si="162"/>
        <v>103.31428490526316</v>
      </c>
      <c r="V674" s="89">
        <f t="shared" si="163"/>
        <v>83.011252999999996</v>
      </c>
      <c r="W674" s="90">
        <f t="shared" si="168"/>
        <v>7886.0690349999995</v>
      </c>
      <c r="X674" s="93">
        <f t="shared" si="164"/>
        <v>-0.1965171798254286</v>
      </c>
      <c r="AB674" s="89">
        <f t="shared" si="153"/>
        <v>195</v>
      </c>
      <c r="AC674" s="89">
        <f t="shared" si="154"/>
        <v>51.179276000000002</v>
      </c>
      <c r="AD674" s="89">
        <f t="shared" si="155"/>
        <v>83.011252999999996</v>
      </c>
      <c r="AE674" s="89">
        <f t="shared" si="156"/>
        <v>16187.194335</v>
      </c>
      <c r="AF674" s="90">
        <f t="shared" si="159"/>
        <v>6207.2355149999994</v>
      </c>
      <c r="AG674" s="93">
        <f t="shared" si="160"/>
        <v>0.62197005287843443</v>
      </c>
      <c r="AK674" s="90">
        <f t="shared" si="157"/>
        <v>142</v>
      </c>
      <c r="AL674" s="89">
        <f t="shared" si="158"/>
        <v>68.865979063380294</v>
      </c>
      <c r="AM674" s="89">
        <f t="shared" si="150"/>
        <v>83.011252999999996</v>
      </c>
      <c r="AN674" s="90">
        <f t="shared" si="151"/>
        <v>11787.597926</v>
      </c>
      <c r="AO674" s="93">
        <f t="shared" si="152"/>
        <v>0.20540293086665073</v>
      </c>
    </row>
    <row r="675" spans="2:41" x14ac:dyDescent="0.25">
      <c r="B675" s="91">
        <v>40331</v>
      </c>
      <c r="C675" s="89">
        <v>108.08000199999999</v>
      </c>
      <c r="D675" s="89">
        <v>110.339996</v>
      </c>
      <c r="E675" s="89">
        <v>107.510002</v>
      </c>
      <c r="F675" s="89">
        <v>110.33000199999999</v>
      </c>
      <c r="G675" s="89">
        <v>85.172791000000004</v>
      </c>
      <c r="H675" s="89">
        <v>240243700</v>
      </c>
      <c r="J675" s="89">
        <v>0</v>
      </c>
      <c r="K675" s="89">
        <f t="shared" si="169"/>
        <v>88</v>
      </c>
      <c r="L675" s="89">
        <f t="shared" si="170"/>
        <v>112.621376</v>
      </c>
      <c r="M675" s="89">
        <f>+SPY__2[[#This Row],[Adj Close]]</f>
        <v>85.172791000000004</v>
      </c>
      <c r="N675" s="89">
        <f t="shared" si="165"/>
        <v>7495.2056080000002</v>
      </c>
      <c r="O675" s="90">
        <f t="shared" si="166"/>
        <v>-2415.4754799999996</v>
      </c>
      <c r="P675" s="93">
        <f t="shared" si="167"/>
        <v>-0.24372446843483775</v>
      </c>
      <c r="Q675" s="96"/>
      <c r="R675" s="96"/>
      <c r="T675" s="90">
        <f t="shared" si="161"/>
        <v>95</v>
      </c>
      <c r="U675" s="89">
        <f t="shared" si="162"/>
        <v>103.31428490526316</v>
      </c>
      <c r="V675" s="89">
        <f t="shared" si="163"/>
        <v>85.172791000000004</v>
      </c>
      <c r="W675" s="90">
        <f t="shared" si="168"/>
        <v>8091.4151449999999</v>
      </c>
      <c r="X675" s="93">
        <f t="shared" si="164"/>
        <v>-0.17559521340053308</v>
      </c>
      <c r="AB675" s="89">
        <f t="shared" si="153"/>
        <v>195</v>
      </c>
      <c r="AC675" s="89">
        <f t="shared" si="154"/>
        <v>51.179276000000002</v>
      </c>
      <c r="AD675" s="89">
        <f t="shared" si="155"/>
        <v>85.172791000000004</v>
      </c>
      <c r="AE675" s="89">
        <f t="shared" si="156"/>
        <v>16608.694245000002</v>
      </c>
      <c r="AF675" s="90">
        <f t="shared" si="159"/>
        <v>6628.7354250000008</v>
      </c>
      <c r="AG675" s="93">
        <f t="shared" si="160"/>
        <v>0.66420468706903946</v>
      </c>
      <c r="AK675" s="90">
        <f t="shared" si="157"/>
        <v>142</v>
      </c>
      <c r="AL675" s="89">
        <f t="shared" si="158"/>
        <v>68.865979063380294</v>
      </c>
      <c r="AM675" s="89">
        <f t="shared" si="150"/>
        <v>85.172791000000004</v>
      </c>
      <c r="AN675" s="90">
        <f t="shared" si="151"/>
        <v>12094.536322</v>
      </c>
      <c r="AO675" s="93">
        <f t="shared" si="152"/>
        <v>0.23679053370622749</v>
      </c>
    </row>
    <row r="676" spans="2:41" x14ac:dyDescent="0.25">
      <c r="B676" s="91">
        <v>40332</v>
      </c>
      <c r="C676" s="89">
        <v>110.650002</v>
      </c>
      <c r="D676" s="89">
        <v>111.05999799999999</v>
      </c>
      <c r="E676" s="89">
        <v>109.58000199999999</v>
      </c>
      <c r="F676" s="89">
        <v>110.709999</v>
      </c>
      <c r="G676" s="89">
        <v>85.466164000000006</v>
      </c>
      <c r="H676" s="89">
        <v>226618300</v>
      </c>
      <c r="J676" s="89">
        <v>0</v>
      </c>
      <c r="K676" s="89">
        <f t="shared" si="169"/>
        <v>88</v>
      </c>
      <c r="L676" s="89">
        <f t="shared" si="170"/>
        <v>112.621376</v>
      </c>
      <c r="M676" s="89">
        <f>+SPY__2[[#This Row],[Adj Close]]</f>
        <v>85.466164000000006</v>
      </c>
      <c r="N676" s="89">
        <f t="shared" si="165"/>
        <v>7521.0224320000007</v>
      </c>
      <c r="O676" s="90">
        <f t="shared" si="166"/>
        <v>-2389.6586559999992</v>
      </c>
      <c r="P676" s="93">
        <f t="shared" si="167"/>
        <v>-0.24111951890909233</v>
      </c>
      <c r="Q676" s="96"/>
      <c r="R676" s="96"/>
      <c r="T676" s="90">
        <f t="shared" si="161"/>
        <v>95</v>
      </c>
      <c r="U676" s="89">
        <f t="shared" si="162"/>
        <v>103.31428490526316</v>
      </c>
      <c r="V676" s="89">
        <f t="shared" si="163"/>
        <v>85.466164000000006</v>
      </c>
      <c r="W676" s="90">
        <f t="shared" si="168"/>
        <v>8119.2855800000007</v>
      </c>
      <c r="X676" s="93">
        <f t="shared" si="164"/>
        <v>-0.17275559639820837</v>
      </c>
      <c r="AB676" s="89">
        <f t="shared" si="153"/>
        <v>195</v>
      </c>
      <c r="AC676" s="89">
        <f t="shared" si="154"/>
        <v>51.179276000000002</v>
      </c>
      <c r="AD676" s="89">
        <f t="shared" si="155"/>
        <v>85.466164000000006</v>
      </c>
      <c r="AE676" s="89">
        <f t="shared" si="156"/>
        <v>16665.901980000002</v>
      </c>
      <c r="AF676" s="90">
        <f t="shared" si="159"/>
        <v>6685.9431600000007</v>
      </c>
      <c r="AG676" s="93">
        <f t="shared" si="160"/>
        <v>0.66993694869775022</v>
      </c>
      <c r="AK676" s="90">
        <f t="shared" si="157"/>
        <v>142</v>
      </c>
      <c r="AL676" s="89">
        <f t="shared" si="158"/>
        <v>68.865979063380294</v>
      </c>
      <c r="AM676" s="89">
        <f t="shared" si="150"/>
        <v>85.466164000000006</v>
      </c>
      <c r="AN676" s="90">
        <f t="shared" si="151"/>
        <v>12136.195288000001</v>
      </c>
      <c r="AO676" s="93">
        <f t="shared" si="152"/>
        <v>0.24105059076183122</v>
      </c>
    </row>
    <row r="677" spans="2:41" x14ac:dyDescent="0.25">
      <c r="B677" s="91">
        <v>40333</v>
      </c>
      <c r="C677" s="89">
        <v>108.610001</v>
      </c>
      <c r="D677" s="89">
        <v>109.33000199999999</v>
      </c>
      <c r="E677" s="89">
        <v>106.459999</v>
      </c>
      <c r="F677" s="89">
        <v>106.82</v>
      </c>
      <c r="G677" s="89">
        <v>82.463165000000004</v>
      </c>
      <c r="H677" s="89">
        <v>398475600</v>
      </c>
      <c r="J677" s="89">
        <v>0</v>
      </c>
      <c r="K677" s="89">
        <f t="shared" si="169"/>
        <v>88</v>
      </c>
      <c r="L677" s="89">
        <f t="shared" si="170"/>
        <v>112.621376</v>
      </c>
      <c r="M677" s="89">
        <f>+SPY__2[[#This Row],[Adj Close]]</f>
        <v>82.463165000000004</v>
      </c>
      <c r="N677" s="89">
        <f t="shared" si="165"/>
        <v>7256.7585200000003</v>
      </c>
      <c r="O677" s="90">
        <f t="shared" si="166"/>
        <v>-2653.9225679999995</v>
      </c>
      <c r="P677" s="93">
        <f t="shared" si="167"/>
        <v>-0.26778407502319979</v>
      </c>
      <c r="Q677" s="96"/>
      <c r="R677" s="96"/>
      <c r="T677" s="90">
        <f t="shared" si="161"/>
        <v>95</v>
      </c>
      <c r="U677" s="89">
        <f t="shared" si="162"/>
        <v>103.31428490526316</v>
      </c>
      <c r="V677" s="89">
        <f t="shared" si="163"/>
        <v>82.463165000000004</v>
      </c>
      <c r="W677" s="90">
        <f t="shared" si="168"/>
        <v>7834.0006750000002</v>
      </c>
      <c r="X677" s="93">
        <f t="shared" si="164"/>
        <v>-0.20182223517670539</v>
      </c>
      <c r="AB677" s="89">
        <f t="shared" si="153"/>
        <v>195</v>
      </c>
      <c r="AC677" s="89">
        <f t="shared" si="154"/>
        <v>51.179276000000002</v>
      </c>
      <c r="AD677" s="89">
        <f t="shared" si="155"/>
        <v>82.463165000000004</v>
      </c>
      <c r="AE677" s="89">
        <f t="shared" si="156"/>
        <v>16080.317175</v>
      </c>
      <c r="AF677" s="90">
        <f t="shared" si="159"/>
        <v>6100.3583550000003</v>
      </c>
      <c r="AG677" s="93">
        <f t="shared" si="160"/>
        <v>0.6112608744211232</v>
      </c>
      <c r="AK677" s="90">
        <f t="shared" si="157"/>
        <v>142</v>
      </c>
      <c r="AL677" s="89">
        <f t="shared" si="158"/>
        <v>68.865979063380294</v>
      </c>
      <c r="AM677" s="89">
        <f t="shared" si="150"/>
        <v>82.463165000000004</v>
      </c>
      <c r="AN677" s="90">
        <f t="shared" si="151"/>
        <v>11709.76943</v>
      </c>
      <c r="AO677" s="93">
        <f t="shared" si="152"/>
        <v>0.1974441679556409</v>
      </c>
    </row>
    <row r="678" spans="2:41" x14ac:dyDescent="0.25">
      <c r="B678" s="91">
        <v>40336</v>
      </c>
      <c r="C678" s="89">
        <v>107.199997</v>
      </c>
      <c r="D678" s="89">
        <v>107.610001</v>
      </c>
      <c r="E678" s="89">
        <v>105.410004</v>
      </c>
      <c r="F678" s="89">
        <v>105.489998</v>
      </c>
      <c r="G678" s="89">
        <v>81.436385999999999</v>
      </c>
      <c r="H678" s="89">
        <v>264609100</v>
      </c>
      <c r="J678" s="89">
        <v>0</v>
      </c>
      <c r="K678" s="89">
        <f t="shared" si="169"/>
        <v>88</v>
      </c>
      <c r="L678" s="89">
        <f t="shared" si="170"/>
        <v>112.621376</v>
      </c>
      <c r="M678" s="89">
        <f>+SPY__2[[#This Row],[Adj Close]]</f>
        <v>81.436385999999999</v>
      </c>
      <c r="N678" s="89">
        <f t="shared" si="165"/>
        <v>7166.4019680000001</v>
      </c>
      <c r="O678" s="90">
        <f t="shared" si="166"/>
        <v>-2744.2791200000001</v>
      </c>
      <c r="P678" s="93">
        <f t="shared" si="167"/>
        <v>-0.27690116306161983</v>
      </c>
      <c r="Q678" s="96"/>
      <c r="R678" s="96"/>
      <c r="T678" s="90">
        <f t="shared" si="161"/>
        <v>95</v>
      </c>
      <c r="U678" s="89">
        <f t="shared" si="162"/>
        <v>103.31428490526316</v>
      </c>
      <c r="V678" s="89">
        <f t="shared" si="163"/>
        <v>81.436385999999999</v>
      </c>
      <c r="W678" s="90">
        <f t="shared" si="168"/>
        <v>7736.4566699999996</v>
      </c>
      <c r="X678" s="93">
        <f t="shared" si="164"/>
        <v>-0.21176063818594593</v>
      </c>
      <c r="AB678" s="89">
        <f t="shared" si="153"/>
        <v>195</v>
      </c>
      <c r="AC678" s="89">
        <f t="shared" si="154"/>
        <v>51.179276000000002</v>
      </c>
      <c r="AD678" s="89">
        <f t="shared" si="155"/>
        <v>81.436385999999999</v>
      </c>
      <c r="AE678" s="89">
        <f t="shared" si="156"/>
        <v>15880.09527</v>
      </c>
      <c r="AF678" s="90">
        <f t="shared" si="159"/>
        <v>5900.1364499999991</v>
      </c>
      <c r="AG678" s="93">
        <f t="shared" si="160"/>
        <v>0.5911984765083429</v>
      </c>
      <c r="AK678" s="90">
        <f t="shared" si="157"/>
        <v>142</v>
      </c>
      <c r="AL678" s="89">
        <f t="shared" si="158"/>
        <v>68.865979063380294</v>
      </c>
      <c r="AM678" s="89">
        <f t="shared" si="150"/>
        <v>81.436385999999999</v>
      </c>
      <c r="AN678" s="90">
        <f t="shared" si="151"/>
        <v>11563.966812000001</v>
      </c>
      <c r="AO678" s="93">
        <f t="shared" si="152"/>
        <v>0.18253435306641963</v>
      </c>
    </row>
    <row r="679" spans="2:41" x14ac:dyDescent="0.25">
      <c r="B679" s="91">
        <v>40337</v>
      </c>
      <c r="C679" s="89">
        <v>105.57</v>
      </c>
      <c r="D679" s="89">
        <v>106.83000199999999</v>
      </c>
      <c r="E679" s="89">
        <v>104.650002</v>
      </c>
      <c r="F679" s="89">
        <v>106.620003</v>
      </c>
      <c r="G679" s="89">
        <v>82.308762000000002</v>
      </c>
      <c r="H679" s="89">
        <v>357774300</v>
      </c>
      <c r="J679" s="89">
        <v>0</v>
      </c>
      <c r="K679" s="89">
        <f t="shared" si="169"/>
        <v>88</v>
      </c>
      <c r="L679" s="89">
        <f t="shared" si="170"/>
        <v>112.621376</v>
      </c>
      <c r="M679" s="89">
        <f>+SPY__2[[#This Row],[Adj Close]]</f>
        <v>82.308762000000002</v>
      </c>
      <c r="N679" s="89">
        <f t="shared" si="165"/>
        <v>7243.1710560000001</v>
      </c>
      <c r="O679" s="90">
        <f t="shared" si="166"/>
        <v>-2667.5100319999997</v>
      </c>
      <c r="P679" s="93">
        <f t="shared" si="167"/>
        <v>-0.26915506697414171</v>
      </c>
      <c r="Q679" s="96"/>
      <c r="R679" s="96"/>
      <c r="T679" s="90">
        <f t="shared" si="161"/>
        <v>95</v>
      </c>
      <c r="U679" s="89">
        <f t="shared" si="162"/>
        <v>103.31428490526316</v>
      </c>
      <c r="V679" s="89">
        <f t="shared" si="163"/>
        <v>82.308762000000002</v>
      </c>
      <c r="W679" s="90">
        <f t="shared" si="168"/>
        <v>7819.3323900000005</v>
      </c>
      <c r="X679" s="93">
        <f t="shared" si="164"/>
        <v>-0.20331673325256761</v>
      </c>
      <c r="AB679" s="89">
        <f t="shared" si="153"/>
        <v>195</v>
      </c>
      <c r="AC679" s="89">
        <f t="shared" si="154"/>
        <v>51.179276000000002</v>
      </c>
      <c r="AD679" s="89">
        <f t="shared" si="155"/>
        <v>82.308762000000002</v>
      </c>
      <c r="AE679" s="89">
        <f t="shared" si="156"/>
        <v>16050.20859</v>
      </c>
      <c r="AF679" s="90">
        <f t="shared" si="159"/>
        <v>6070.2497700000004</v>
      </c>
      <c r="AG679" s="93">
        <f t="shared" si="160"/>
        <v>0.60824396968804328</v>
      </c>
      <c r="AK679" s="90">
        <f t="shared" si="157"/>
        <v>142</v>
      </c>
      <c r="AL679" s="89">
        <f t="shared" si="158"/>
        <v>68.865979063380294</v>
      </c>
      <c r="AM679" s="89">
        <f t="shared" si="150"/>
        <v>82.308762000000002</v>
      </c>
      <c r="AN679" s="90">
        <f t="shared" si="151"/>
        <v>11687.844204000001</v>
      </c>
      <c r="AO679" s="93">
        <f t="shared" si="152"/>
        <v>0.19520208845426779</v>
      </c>
    </row>
    <row r="680" spans="2:41" x14ac:dyDescent="0.25">
      <c r="B680" s="91">
        <v>40338</v>
      </c>
      <c r="C680" s="89">
        <v>107.239998</v>
      </c>
      <c r="D680" s="89">
        <v>108.279999</v>
      </c>
      <c r="E680" s="89">
        <v>105.599998</v>
      </c>
      <c r="F680" s="89">
        <v>106.050003</v>
      </c>
      <c r="G680" s="89">
        <v>81.868690000000001</v>
      </c>
      <c r="H680" s="89">
        <v>268023300</v>
      </c>
      <c r="J680" s="89">
        <v>0</v>
      </c>
      <c r="K680" s="89">
        <f t="shared" si="169"/>
        <v>88</v>
      </c>
      <c r="L680" s="89">
        <f t="shared" si="170"/>
        <v>112.621376</v>
      </c>
      <c r="M680" s="89">
        <f>+SPY__2[[#This Row],[Adj Close]]</f>
        <v>81.868690000000001</v>
      </c>
      <c r="N680" s="89">
        <f t="shared" si="165"/>
        <v>7204.4447200000004</v>
      </c>
      <c r="O680" s="90">
        <f t="shared" si="166"/>
        <v>-2706.2363679999999</v>
      </c>
      <c r="P680" s="93">
        <f t="shared" si="167"/>
        <v>-0.27306260225412271</v>
      </c>
      <c r="Q680" s="96"/>
      <c r="R680" s="96"/>
      <c r="T680" s="90">
        <f t="shared" si="161"/>
        <v>95</v>
      </c>
      <c r="U680" s="89">
        <f t="shared" si="162"/>
        <v>103.31428490526316</v>
      </c>
      <c r="V680" s="89">
        <f t="shared" si="163"/>
        <v>81.868690000000001</v>
      </c>
      <c r="W680" s="90">
        <f t="shared" si="168"/>
        <v>7777.5255500000003</v>
      </c>
      <c r="X680" s="93">
        <f t="shared" si="164"/>
        <v>-0.20757627974609982</v>
      </c>
      <c r="AB680" s="89">
        <f t="shared" si="153"/>
        <v>195</v>
      </c>
      <c r="AC680" s="89">
        <f t="shared" si="154"/>
        <v>51.179276000000002</v>
      </c>
      <c r="AD680" s="89">
        <f t="shared" si="155"/>
        <v>81.868690000000001</v>
      </c>
      <c r="AE680" s="89">
        <f t="shared" si="156"/>
        <v>15964.394550000001</v>
      </c>
      <c r="AF680" s="90">
        <f t="shared" si="159"/>
        <v>5984.4357300000001</v>
      </c>
      <c r="AG680" s="93">
        <f t="shared" si="160"/>
        <v>0.59964533300549228</v>
      </c>
      <c r="AK680" s="90">
        <f t="shared" si="157"/>
        <v>142</v>
      </c>
      <c r="AL680" s="89">
        <f t="shared" si="158"/>
        <v>68.865979063380294</v>
      </c>
      <c r="AM680" s="89">
        <f t="shared" si="150"/>
        <v>81.868690000000001</v>
      </c>
      <c r="AN680" s="90">
        <f t="shared" si="151"/>
        <v>11625.35398</v>
      </c>
      <c r="AO680" s="93">
        <f t="shared" si="152"/>
        <v>0.18881182135888563</v>
      </c>
    </row>
    <row r="681" spans="2:41" x14ac:dyDescent="0.25">
      <c r="B681" s="91">
        <v>40339</v>
      </c>
      <c r="C681" s="89">
        <v>107.860001</v>
      </c>
      <c r="D681" s="89">
        <v>109.279999</v>
      </c>
      <c r="E681" s="89">
        <v>106.040001</v>
      </c>
      <c r="F681" s="89">
        <v>109.150002</v>
      </c>
      <c r="G681" s="89">
        <v>84.261864000000003</v>
      </c>
      <c r="H681" s="89">
        <v>317890600</v>
      </c>
      <c r="J681" s="89">
        <v>0</v>
      </c>
      <c r="K681" s="89">
        <f t="shared" si="169"/>
        <v>88</v>
      </c>
      <c r="L681" s="89">
        <f t="shared" si="170"/>
        <v>112.621376</v>
      </c>
      <c r="M681" s="89">
        <f>+SPY__2[[#This Row],[Adj Close]]</f>
        <v>84.261864000000003</v>
      </c>
      <c r="N681" s="89">
        <f t="shared" si="165"/>
        <v>7415.0440319999998</v>
      </c>
      <c r="O681" s="90">
        <f t="shared" si="166"/>
        <v>-2495.6370559999996</v>
      </c>
      <c r="P681" s="93">
        <f t="shared" si="167"/>
        <v>-0.25181287076442749</v>
      </c>
      <c r="Q681" s="96"/>
      <c r="R681" s="96"/>
      <c r="T681" s="90">
        <f t="shared" si="161"/>
        <v>95</v>
      </c>
      <c r="U681" s="89">
        <f t="shared" si="162"/>
        <v>103.31428490526316</v>
      </c>
      <c r="V681" s="89">
        <f t="shared" si="163"/>
        <v>84.261864000000003</v>
      </c>
      <c r="W681" s="90">
        <f t="shared" si="168"/>
        <v>8004.8770800000002</v>
      </c>
      <c r="X681" s="93">
        <f t="shared" si="164"/>
        <v>-0.18441226131249711</v>
      </c>
      <c r="AB681" s="89">
        <f t="shared" si="153"/>
        <v>195</v>
      </c>
      <c r="AC681" s="89">
        <f t="shared" si="154"/>
        <v>51.179276000000002</v>
      </c>
      <c r="AD681" s="89">
        <f t="shared" si="155"/>
        <v>84.261864000000003</v>
      </c>
      <c r="AE681" s="89">
        <f t="shared" si="156"/>
        <v>16431.063480000001</v>
      </c>
      <c r="AF681" s="90">
        <f t="shared" si="159"/>
        <v>6451.10466</v>
      </c>
      <c r="AG681" s="93">
        <f t="shared" si="160"/>
        <v>0.64640593977921834</v>
      </c>
      <c r="AK681" s="90">
        <f t="shared" si="157"/>
        <v>142</v>
      </c>
      <c r="AL681" s="89">
        <f t="shared" si="158"/>
        <v>68.865979063380294</v>
      </c>
      <c r="AM681" s="89">
        <f t="shared" si="150"/>
        <v>84.261864000000003</v>
      </c>
      <c r="AN681" s="90">
        <f t="shared" si="151"/>
        <v>11965.184688000001</v>
      </c>
      <c r="AO681" s="93">
        <f t="shared" si="152"/>
        <v>0.22356300086070413</v>
      </c>
    </row>
    <row r="682" spans="2:41" x14ac:dyDescent="0.25">
      <c r="B682" s="91">
        <v>40340</v>
      </c>
      <c r="C682" s="89">
        <v>108.19000200000001</v>
      </c>
      <c r="D682" s="89">
        <v>109.75</v>
      </c>
      <c r="E682" s="89">
        <v>108.120003</v>
      </c>
      <c r="F682" s="89">
        <v>109.68</v>
      </c>
      <c r="G682" s="89">
        <v>84.671020999999996</v>
      </c>
      <c r="H682" s="89">
        <v>214128200</v>
      </c>
      <c r="J682" s="89">
        <v>0</v>
      </c>
      <c r="K682" s="89">
        <f t="shared" si="169"/>
        <v>88</v>
      </c>
      <c r="L682" s="89">
        <f t="shared" si="170"/>
        <v>112.621376</v>
      </c>
      <c r="M682" s="89">
        <f>+SPY__2[[#This Row],[Adj Close]]</f>
        <v>84.671020999999996</v>
      </c>
      <c r="N682" s="89">
        <f t="shared" si="165"/>
        <v>7451.0498479999997</v>
      </c>
      <c r="O682" s="90">
        <f t="shared" si="166"/>
        <v>-2459.6312400000002</v>
      </c>
      <c r="P682" s="93">
        <f t="shared" si="167"/>
        <v>-0.24817983932286536</v>
      </c>
      <c r="Q682" s="96"/>
      <c r="R682" s="96"/>
      <c r="T682" s="90">
        <f t="shared" si="161"/>
        <v>95</v>
      </c>
      <c r="U682" s="89">
        <f t="shared" si="162"/>
        <v>103.31428490526316</v>
      </c>
      <c r="V682" s="89">
        <f t="shared" si="163"/>
        <v>84.671020999999996</v>
      </c>
      <c r="W682" s="90">
        <f t="shared" si="168"/>
        <v>8043.7469949999995</v>
      </c>
      <c r="X682" s="93">
        <f t="shared" si="164"/>
        <v>-0.18045194739874171</v>
      </c>
      <c r="AB682" s="89">
        <f t="shared" si="153"/>
        <v>195</v>
      </c>
      <c r="AC682" s="89">
        <f t="shared" si="154"/>
        <v>51.179276000000002</v>
      </c>
      <c r="AD682" s="89">
        <f t="shared" si="155"/>
        <v>84.671020999999996</v>
      </c>
      <c r="AE682" s="89">
        <f t="shared" si="156"/>
        <v>16510.849094999998</v>
      </c>
      <c r="AF682" s="90">
        <f t="shared" si="159"/>
        <v>6530.8902749999988</v>
      </c>
      <c r="AG682" s="93">
        <f t="shared" si="160"/>
        <v>0.65440052336809118</v>
      </c>
      <c r="AK682" s="90">
        <f t="shared" si="157"/>
        <v>142</v>
      </c>
      <c r="AL682" s="89">
        <f t="shared" si="158"/>
        <v>68.865979063380294</v>
      </c>
      <c r="AM682" s="89">
        <f t="shared" si="150"/>
        <v>84.671020999999996</v>
      </c>
      <c r="AN682" s="90">
        <f t="shared" si="151"/>
        <v>12023.284981999999</v>
      </c>
      <c r="AO682" s="93">
        <f t="shared" si="152"/>
        <v>0.22950435253485102</v>
      </c>
    </row>
    <row r="683" spans="2:41" x14ac:dyDescent="0.25">
      <c r="B683" s="91">
        <v>40343</v>
      </c>
      <c r="C683" s="89">
        <v>110.519997</v>
      </c>
      <c r="D683" s="89">
        <v>111.120003</v>
      </c>
      <c r="E683" s="89">
        <v>109.400002</v>
      </c>
      <c r="F683" s="89">
        <v>109.510002</v>
      </c>
      <c r="G683" s="89">
        <v>84.539756999999994</v>
      </c>
      <c r="H683" s="89">
        <v>207196100</v>
      </c>
      <c r="J683" s="89">
        <v>0</v>
      </c>
      <c r="K683" s="89">
        <f t="shared" si="169"/>
        <v>88</v>
      </c>
      <c r="L683" s="89">
        <f t="shared" si="170"/>
        <v>112.621376</v>
      </c>
      <c r="M683" s="89">
        <f>+SPY__2[[#This Row],[Adj Close]]</f>
        <v>84.539756999999994</v>
      </c>
      <c r="N683" s="89">
        <f t="shared" si="165"/>
        <v>7439.4986159999999</v>
      </c>
      <c r="O683" s="90">
        <f t="shared" si="166"/>
        <v>-2471.1824720000004</v>
      </c>
      <c r="P683" s="93">
        <f t="shared" si="167"/>
        <v>-0.24934537294234449</v>
      </c>
      <c r="Q683" s="96"/>
      <c r="R683" s="96"/>
      <c r="T683" s="90">
        <f t="shared" si="161"/>
        <v>95</v>
      </c>
      <c r="U683" s="89">
        <f t="shared" si="162"/>
        <v>103.31428490526316</v>
      </c>
      <c r="V683" s="89">
        <f t="shared" si="163"/>
        <v>84.539756999999994</v>
      </c>
      <c r="W683" s="90">
        <f t="shared" si="168"/>
        <v>8031.2769149999995</v>
      </c>
      <c r="X683" s="93">
        <f t="shared" si="164"/>
        <v>-0.18172247838214228</v>
      </c>
      <c r="AB683" s="89">
        <f t="shared" si="153"/>
        <v>195</v>
      </c>
      <c r="AC683" s="89">
        <f t="shared" si="154"/>
        <v>51.179276000000002</v>
      </c>
      <c r="AD683" s="89">
        <f t="shared" si="155"/>
        <v>84.539756999999994</v>
      </c>
      <c r="AE683" s="89">
        <f t="shared" si="156"/>
        <v>16485.252614999998</v>
      </c>
      <c r="AF683" s="90">
        <f t="shared" si="159"/>
        <v>6505.2937949999987</v>
      </c>
      <c r="AG683" s="93">
        <f t="shared" si="160"/>
        <v>0.65183573523001748</v>
      </c>
      <c r="AK683" s="90">
        <f t="shared" si="157"/>
        <v>142</v>
      </c>
      <c r="AL683" s="89">
        <f t="shared" si="158"/>
        <v>68.865979063380294</v>
      </c>
      <c r="AM683" s="89">
        <f t="shared" si="150"/>
        <v>84.539756999999994</v>
      </c>
      <c r="AN683" s="90">
        <f t="shared" si="151"/>
        <v>12004.645493999999</v>
      </c>
      <c r="AO683" s="93">
        <f t="shared" si="152"/>
        <v>0.22759827348413153</v>
      </c>
    </row>
    <row r="684" spans="2:41" x14ac:dyDescent="0.25">
      <c r="B684" s="91">
        <v>40344</v>
      </c>
      <c r="C684" s="89">
        <v>110.279999</v>
      </c>
      <c r="D684" s="89">
        <v>112.099998</v>
      </c>
      <c r="E684" s="89">
        <v>110.089996</v>
      </c>
      <c r="F684" s="89">
        <v>112</v>
      </c>
      <c r="G684" s="89">
        <v>86.462006000000002</v>
      </c>
      <c r="H684" s="89">
        <v>238268700</v>
      </c>
      <c r="J684" s="89">
        <v>0</v>
      </c>
      <c r="K684" s="89">
        <f t="shared" si="169"/>
        <v>88</v>
      </c>
      <c r="L684" s="89">
        <f t="shared" si="170"/>
        <v>112.621376</v>
      </c>
      <c r="M684" s="89">
        <f>+SPY__2[[#This Row],[Adj Close]]</f>
        <v>86.462006000000002</v>
      </c>
      <c r="N684" s="89">
        <f t="shared" si="165"/>
        <v>7608.6565280000004</v>
      </c>
      <c r="O684" s="90">
        <f t="shared" si="166"/>
        <v>-2302.0245599999998</v>
      </c>
      <c r="P684" s="93">
        <f t="shared" si="167"/>
        <v>-0.2322771300538895</v>
      </c>
      <c r="Q684" s="96"/>
      <c r="R684" s="96"/>
      <c r="T684" s="90">
        <f t="shared" si="161"/>
        <v>95</v>
      </c>
      <c r="U684" s="89">
        <f t="shared" si="162"/>
        <v>103.31428490526316</v>
      </c>
      <c r="V684" s="89">
        <f t="shared" si="163"/>
        <v>86.462006000000002</v>
      </c>
      <c r="W684" s="90">
        <f t="shared" si="168"/>
        <v>8213.8905699999996</v>
      </c>
      <c r="X684" s="93">
        <f t="shared" si="164"/>
        <v>-0.1631166389112243</v>
      </c>
      <c r="AB684" s="89">
        <f t="shared" si="153"/>
        <v>195</v>
      </c>
      <c r="AC684" s="89">
        <f t="shared" si="154"/>
        <v>51.179276000000002</v>
      </c>
      <c r="AD684" s="89">
        <f t="shared" si="155"/>
        <v>86.462006000000002</v>
      </c>
      <c r="AE684" s="89">
        <f t="shared" si="156"/>
        <v>16860.09117</v>
      </c>
      <c r="AF684" s="90">
        <f t="shared" si="159"/>
        <v>6880.1323499999999</v>
      </c>
      <c r="AG684" s="93">
        <f t="shared" si="160"/>
        <v>0.68939486365535929</v>
      </c>
      <c r="AK684" s="90">
        <f t="shared" si="157"/>
        <v>142</v>
      </c>
      <c r="AL684" s="89">
        <f t="shared" si="158"/>
        <v>68.865979063380294</v>
      </c>
      <c r="AM684" s="89">
        <f t="shared" si="150"/>
        <v>86.462006000000002</v>
      </c>
      <c r="AN684" s="90">
        <f t="shared" si="151"/>
        <v>12277.604852</v>
      </c>
      <c r="AO684" s="93">
        <f t="shared" si="152"/>
        <v>0.2555111707687383</v>
      </c>
    </row>
    <row r="685" spans="2:41" x14ac:dyDescent="0.25">
      <c r="B685" s="91">
        <v>40345</v>
      </c>
      <c r="C685" s="89">
        <v>111.41999800000001</v>
      </c>
      <c r="D685" s="89">
        <v>112.41999800000001</v>
      </c>
      <c r="E685" s="89">
        <v>111.199997</v>
      </c>
      <c r="F685" s="89">
        <v>111.959999</v>
      </c>
      <c r="G685" s="89">
        <v>86.431145000000001</v>
      </c>
      <c r="H685" s="89">
        <v>216374000</v>
      </c>
      <c r="J685" s="89">
        <v>0</v>
      </c>
      <c r="K685" s="89">
        <f t="shared" si="169"/>
        <v>88</v>
      </c>
      <c r="L685" s="89">
        <f t="shared" si="170"/>
        <v>112.621376</v>
      </c>
      <c r="M685" s="89">
        <f>+SPY__2[[#This Row],[Adj Close]]</f>
        <v>86.431145000000001</v>
      </c>
      <c r="N685" s="89">
        <f t="shared" si="165"/>
        <v>7605.9407600000004</v>
      </c>
      <c r="O685" s="90">
        <f t="shared" si="166"/>
        <v>-2304.7403279999999</v>
      </c>
      <c r="P685" s="93">
        <f t="shared" si="167"/>
        <v>-0.23255115440962115</v>
      </c>
      <c r="Q685" s="96"/>
      <c r="R685" s="96"/>
      <c r="T685" s="90">
        <f t="shared" si="161"/>
        <v>95</v>
      </c>
      <c r="U685" s="89">
        <f t="shared" si="162"/>
        <v>103.31428490526316</v>
      </c>
      <c r="V685" s="89">
        <f t="shared" si="163"/>
        <v>86.431145000000001</v>
      </c>
      <c r="W685" s="90">
        <f t="shared" si="168"/>
        <v>8210.958775000001</v>
      </c>
      <c r="X685" s="93">
        <f t="shared" si="164"/>
        <v>-0.16341534881400577</v>
      </c>
      <c r="AB685" s="89">
        <f t="shared" si="153"/>
        <v>195</v>
      </c>
      <c r="AC685" s="89">
        <f t="shared" si="154"/>
        <v>51.179276000000002</v>
      </c>
      <c r="AD685" s="89">
        <f t="shared" si="155"/>
        <v>86.431145000000001</v>
      </c>
      <c r="AE685" s="89">
        <f t="shared" si="156"/>
        <v>16854.073274999999</v>
      </c>
      <c r="AF685" s="90">
        <f t="shared" si="159"/>
        <v>6874.1144549999999</v>
      </c>
      <c r="AG685" s="93">
        <f t="shared" si="160"/>
        <v>0.68879186567625528</v>
      </c>
      <c r="AK685" s="90">
        <f t="shared" si="157"/>
        <v>142</v>
      </c>
      <c r="AL685" s="89">
        <f t="shared" si="158"/>
        <v>68.865979063380294</v>
      </c>
      <c r="AM685" s="89">
        <f t="shared" ref="AM685:AM748" si="171">+AD685</f>
        <v>86.431145000000001</v>
      </c>
      <c r="AN685" s="90">
        <f t="shared" ref="AN685:AN748" si="172">+AM685*AK685</f>
        <v>12273.222589999999</v>
      </c>
      <c r="AO685" s="93">
        <f t="shared" ref="AO685:AO748" si="173">+AN685/(AL685*AK685)-1</f>
        <v>0.25506303947924325</v>
      </c>
    </row>
    <row r="686" spans="2:41" x14ac:dyDescent="0.25">
      <c r="B686" s="91">
        <v>40346</v>
      </c>
      <c r="C686" s="89">
        <v>112.279999</v>
      </c>
      <c r="D686" s="89">
        <v>112.33000199999999</v>
      </c>
      <c r="E686" s="89">
        <v>111.050003</v>
      </c>
      <c r="F686" s="89">
        <v>112.139999</v>
      </c>
      <c r="G686" s="89">
        <v>86.570091000000005</v>
      </c>
      <c r="H686" s="89">
        <v>263185800</v>
      </c>
      <c r="J686" s="89">
        <v>0</v>
      </c>
      <c r="K686" s="89">
        <f t="shared" si="169"/>
        <v>88</v>
      </c>
      <c r="L686" s="89">
        <f t="shared" si="170"/>
        <v>112.621376</v>
      </c>
      <c r="M686" s="89">
        <f>+SPY__2[[#This Row],[Adj Close]]</f>
        <v>86.570091000000005</v>
      </c>
      <c r="N686" s="89">
        <f t="shared" si="165"/>
        <v>7618.1680080000006</v>
      </c>
      <c r="O686" s="90">
        <f t="shared" si="166"/>
        <v>-2292.5130799999993</v>
      </c>
      <c r="P686" s="93">
        <f t="shared" si="167"/>
        <v>-0.23131740993823402</v>
      </c>
      <c r="Q686" s="96"/>
      <c r="R686" s="96"/>
      <c r="T686" s="90">
        <f t="shared" si="161"/>
        <v>95</v>
      </c>
      <c r="U686" s="89">
        <f t="shared" si="162"/>
        <v>103.31428490526316</v>
      </c>
      <c r="V686" s="89">
        <f t="shared" si="163"/>
        <v>86.570091000000005</v>
      </c>
      <c r="W686" s="90">
        <f t="shared" si="168"/>
        <v>8224.1586450000013</v>
      </c>
      <c r="X686" s="93">
        <f t="shared" si="164"/>
        <v>-0.16207046218843013</v>
      </c>
      <c r="AB686" s="89">
        <f t="shared" ref="AB686:AB749" si="174">+AB685</f>
        <v>195</v>
      </c>
      <c r="AC686" s="89">
        <f t="shared" ref="AC686:AC749" si="175">+AC685</f>
        <v>51.179276000000002</v>
      </c>
      <c r="AD686" s="89">
        <f t="shared" ref="AD686:AD749" si="176">+V686</f>
        <v>86.570091000000005</v>
      </c>
      <c r="AE686" s="89">
        <f t="shared" ref="AE686:AE749" si="177">+AB686*AD686</f>
        <v>16881.167745000002</v>
      </c>
      <c r="AF686" s="90">
        <f t="shared" si="159"/>
        <v>6901.2089250000008</v>
      </c>
      <c r="AG686" s="93">
        <f t="shared" si="160"/>
        <v>0.69150675363207559</v>
      </c>
      <c r="AK686" s="90">
        <f t="shared" ref="AK686:AK749" si="178">+AK685</f>
        <v>142</v>
      </c>
      <c r="AL686" s="89">
        <f t="shared" ref="AL686:AL749" si="179">+AL685</f>
        <v>68.865979063380294</v>
      </c>
      <c r="AM686" s="89">
        <f t="shared" si="171"/>
        <v>86.570091000000005</v>
      </c>
      <c r="AN686" s="90">
        <f t="shared" si="172"/>
        <v>12292.952922</v>
      </c>
      <c r="AO686" s="93">
        <f t="shared" si="173"/>
        <v>0.25708066853047806</v>
      </c>
    </row>
    <row r="687" spans="2:41" x14ac:dyDescent="0.25">
      <c r="B687" s="91">
        <v>40347</v>
      </c>
      <c r="C687" s="89">
        <v>111.83000199999999</v>
      </c>
      <c r="D687" s="89">
        <v>112.129997</v>
      </c>
      <c r="E687" s="89">
        <v>111.370003</v>
      </c>
      <c r="F687" s="89">
        <v>111.730003</v>
      </c>
      <c r="G687" s="89">
        <v>86.663962999999995</v>
      </c>
      <c r="H687" s="89">
        <v>174006600</v>
      </c>
      <c r="J687" s="89">
        <v>0</v>
      </c>
      <c r="K687" s="89">
        <f t="shared" si="169"/>
        <v>88</v>
      </c>
      <c r="L687" s="89">
        <f t="shared" si="170"/>
        <v>112.621376</v>
      </c>
      <c r="M687" s="89">
        <f>+SPY__2[[#This Row],[Adj Close]]</f>
        <v>86.663962999999995</v>
      </c>
      <c r="N687" s="89">
        <f t="shared" si="165"/>
        <v>7626.4287439999998</v>
      </c>
      <c r="O687" s="90">
        <f t="shared" si="166"/>
        <v>-2284.2523440000004</v>
      </c>
      <c r="P687" s="93">
        <f t="shared" si="167"/>
        <v>-0.23048389144171</v>
      </c>
      <c r="Q687" s="96"/>
      <c r="R687" s="96"/>
      <c r="T687" s="90">
        <f t="shared" si="161"/>
        <v>95</v>
      </c>
      <c r="U687" s="89">
        <f t="shared" si="162"/>
        <v>103.31428490526316</v>
      </c>
      <c r="V687" s="89">
        <f t="shared" si="163"/>
        <v>86.663962999999995</v>
      </c>
      <c r="W687" s="90">
        <f t="shared" si="168"/>
        <v>8233.0764849999996</v>
      </c>
      <c r="X687" s="93">
        <f t="shared" si="164"/>
        <v>-0.16116185598662502</v>
      </c>
      <c r="AB687" s="89">
        <f t="shared" si="174"/>
        <v>195</v>
      </c>
      <c r="AC687" s="89">
        <f t="shared" si="175"/>
        <v>51.179276000000002</v>
      </c>
      <c r="AD687" s="89">
        <f t="shared" si="176"/>
        <v>86.663962999999995</v>
      </c>
      <c r="AE687" s="89">
        <f t="shared" si="177"/>
        <v>16899.472784999998</v>
      </c>
      <c r="AF687" s="90">
        <f t="shared" si="159"/>
        <v>6919.5139649999992</v>
      </c>
      <c r="AG687" s="93">
        <f t="shared" si="160"/>
        <v>0.69334093354505422</v>
      </c>
      <c r="AK687" s="90">
        <f t="shared" si="178"/>
        <v>142</v>
      </c>
      <c r="AL687" s="89">
        <f t="shared" si="179"/>
        <v>68.865979063380294</v>
      </c>
      <c r="AM687" s="89">
        <f t="shared" si="171"/>
        <v>86.663962999999995</v>
      </c>
      <c r="AN687" s="90">
        <f t="shared" si="172"/>
        <v>12306.282745999999</v>
      </c>
      <c r="AO687" s="93">
        <f t="shared" si="173"/>
        <v>0.25844377991401912</v>
      </c>
    </row>
    <row r="688" spans="2:41" x14ac:dyDescent="0.25">
      <c r="B688" s="91">
        <v>40350</v>
      </c>
      <c r="C688" s="89">
        <v>113.120003</v>
      </c>
      <c r="D688" s="89">
        <v>113.199997</v>
      </c>
      <c r="E688" s="89">
        <v>110.790001</v>
      </c>
      <c r="F688" s="89">
        <v>111.410004</v>
      </c>
      <c r="G688" s="89">
        <v>86.415756000000002</v>
      </c>
      <c r="H688" s="89">
        <v>213140700</v>
      </c>
      <c r="J688" s="89">
        <v>0</v>
      </c>
      <c r="K688" s="89">
        <f t="shared" si="169"/>
        <v>88</v>
      </c>
      <c r="L688" s="89">
        <f t="shared" si="170"/>
        <v>112.621376</v>
      </c>
      <c r="M688" s="89">
        <f>+SPY__2[[#This Row],[Adj Close]]</f>
        <v>86.415756000000002</v>
      </c>
      <c r="N688" s="89">
        <f t="shared" si="165"/>
        <v>7604.5865279999998</v>
      </c>
      <c r="O688" s="90">
        <f t="shared" si="166"/>
        <v>-2306.0945599999995</v>
      </c>
      <c r="P688" s="93">
        <f t="shared" si="167"/>
        <v>-0.23268779809616247</v>
      </c>
      <c r="Q688" s="96"/>
      <c r="R688" s="96"/>
      <c r="T688" s="90">
        <f t="shared" si="161"/>
        <v>95</v>
      </c>
      <c r="U688" s="89">
        <f t="shared" si="162"/>
        <v>103.31428490526316</v>
      </c>
      <c r="V688" s="89">
        <f t="shared" si="163"/>
        <v>86.415756000000002</v>
      </c>
      <c r="W688" s="90">
        <f t="shared" si="168"/>
        <v>8209.4968200000003</v>
      </c>
      <c r="X688" s="93">
        <f t="shared" si="164"/>
        <v>-0.16356430207844663</v>
      </c>
      <c r="AB688" s="89">
        <f t="shared" si="174"/>
        <v>195</v>
      </c>
      <c r="AC688" s="89">
        <f t="shared" si="175"/>
        <v>51.179276000000002</v>
      </c>
      <c r="AD688" s="89">
        <f t="shared" si="176"/>
        <v>86.415756000000002</v>
      </c>
      <c r="AE688" s="89">
        <f t="shared" si="177"/>
        <v>16851.07242</v>
      </c>
      <c r="AF688" s="90">
        <f t="shared" si="159"/>
        <v>6871.1135999999997</v>
      </c>
      <c r="AG688" s="93">
        <f t="shared" si="160"/>
        <v>0.68849117756179279</v>
      </c>
      <c r="AK688" s="90">
        <f t="shared" si="178"/>
        <v>142</v>
      </c>
      <c r="AL688" s="89">
        <f t="shared" si="179"/>
        <v>68.865979063380294</v>
      </c>
      <c r="AM688" s="89">
        <f t="shared" si="171"/>
        <v>86.415756000000002</v>
      </c>
      <c r="AN688" s="90">
        <f t="shared" si="172"/>
        <v>12271.037351999999</v>
      </c>
      <c r="AO688" s="93">
        <f t="shared" si="173"/>
        <v>0.25483957645425903</v>
      </c>
    </row>
    <row r="689" spans="2:41" x14ac:dyDescent="0.25">
      <c r="B689" s="91">
        <v>40351</v>
      </c>
      <c r="C689" s="89">
        <v>111.410004</v>
      </c>
      <c r="D689" s="89">
        <v>111.900002</v>
      </c>
      <c r="E689" s="89">
        <v>109.410004</v>
      </c>
      <c r="F689" s="89">
        <v>109.57</v>
      </c>
      <c r="G689" s="89">
        <v>84.988540999999998</v>
      </c>
      <c r="H689" s="89">
        <v>239355400</v>
      </c>
      <c r="J689" s="89">
        <v>0</v>
      </c>
      <c r="K689" s="89">
        <f t="shared" si="169"/>
        <v>88</v>
      </c>
      <c r="L689" s="89">
        <f t="shared" si="170"/>
        <v>112.621376</v>
      </c>
      <c r="M689" s="89">
        <f>+SPY__2[[#This Row],[Adj Close]]</f>
        <v>84.988540999999998</v>
      </c>
      <c r="N689" s="89">
        <f t="shared" si="165"/>
        <v>7478.9916080000003</v>
      </c>
      <c r="O689" s="90">
        <f t="shared" si="166"/>
        <v>-2431.68948</v>
      </c>
      <c r="P689" s="93">
        <f t="shared" si="167"/>
        <v>-0.2453604811221628</v>
      </c>
      <c r="Q689" s="96"/>
      <c r="R689" s="96"/>
      <c r="T689" s="90">
        <f t="shared" si="161"/>
        <v>95</v>
      </c>
      <c r="U689" s="89">
        <f t="shared" si="162"/>
        <v>103.31428490526316</v>
      </c>
      <c r="V689" s="89">
        <f t="shared" si="163"/>
        <v>84.988540999999998</v>
      </c>
      <c r="W689" s="90">
        <f t="shared" si="168"/>
        <v>8073.9113950000001</v>
      </c>
      <c r="X689" s="93">
        <f t="shared" si="164"/>
        <v>-0.17737860666671068</v>
      </c>
      <c r="AB689" s="89">
        <f t="shared" si="174"/>
        <v>195</v>
      </c>
      <c r="AC689" s="89">
        <f t="shared" si="175"/>
        <v>51.179276000000002</v>
      </c>
      <c r="AD689" s="89">
        <f t="shared" si="176"/>
        <v>84.988540999999998</v>
      </c>
      <c r="AE689" s="89">
        <f t="shared" si="177"/>
        <v>16572.765495</v>
      </c>
      <c r="AF689" s="90">
        <f t="shared" si="159"/>
        <v>6592.8066749999989</v>
      </c>
      <c r="AG689" s="93">
        <f t="shared" si="160"/>
        <v>0.66060459706385832</v>
      </c>
      <c r="AK689" s="90">
        <f t="shared" si="178"/>
        <v>142</v>
      </c>
      <c r="AL689" s="89">
        <f t="shared" si="179"/>
        <v>68.865979063380294</v>
      </c>
      <c r="AM689" s="89">
        <f t="shared" si="171"/>
        <v>84.988540999999998</v>
      </c>
      <c r="AN689" s="90">
        <f t="shared" si="172"/>
        <v>12068.372821999999</v>
      </c>
      <c r="AO689" s="93">
        <f t="shared" si="173"/>
        <v>0.23411504716692444</v>
      </c>
    </row>
    <row r="690" spans="2:41" x14ac:dyDescent="0.25">
      <c r="B690" s="91">
        <v>40352</v>
      </c>
      <c r="C690" s="89">
        <v>109.639999</v>
      </c>
      <c r="D690" s="89">
        <v>110.029999</v>
      </c>
      <c r="E690" s="89">
        <v>108.480003</v>
      </c>
      <c r="F690" s="89">
        <v>109.230003</v>
      </c>
      <c r="G690" s="89">
        <v>84.724830999999995</v>
      </c>
      <c r="H690" s="89">
        <v>254639900</v>
      </c>
      <c r="J690" s="89">
        <v>0</v>
      </c>
      <c r="K690" s="89">
        <f t="shared" si="169"/>
        <v>88</v>
      </c>
      <c r="L690" s="89">
        <f t="shared" si="170"/>
        <v>112.621376</v>
      </c>
      <c r="M690" s="89">
        <f>+SPY__2[[#This Row],[Adj Close]]</f>
        <v>84.724830999999995</v>
      </c>
      <c r="N690" s="89">
        <f t="shared" si="165"/>
        <v>7455.7851279999995</v>
      </c>
      <c r="O690" s="90">
        <f t="shared" si="166"/>
        <v>-2454.8959600000003</v>
      </c>
      <c r="P690" s="93">
        <f t="shared" si="167"/>
        <v>-0.2477020437043852</v>
      </c>
      <c r="Q690" s="96"/>
      <c r="R690" s="96"/>
      <c r="T690" s="90">
        <f t="shared" si="161"/>
        <v>95</v>
      </c>
      <c r="U690" s="89">
        <f t="shared" si="162"/>
        <v>103.31428490526316</v>
      </c>
      <c r="V690" s="89">
        <f t="shared" si="163"/>
        <v>84.724830999999995</v>
      </c>
      <c r="W690" s="90">
        <f t="shared" si="168"/>
        <v>8048.8589449999999</v>
      </c>
      <c r="X690" s="93">
        <f t="shared" si="164"/>
        <v>-0.17993110945218527</v>
      </c>
      <c r="AB690" s="89">
        <f t="shared" si="174"/>
        <v>195</v>
      </c>
      <c r="AC690" s="89">
        <f t="shared" si="175"/>
        <v>51.179276000000002</v>
      </c>
      <c r="AD690" s="89">
        <f t="shared" si="176"/>
        <v>84.724830999999995</v>
      </c>
      <c r="AE690" s="89">
        <f t="shared" si="177"/>
        <v>16521.342044999998</v>
      </c>
      <c r="AF690" s="90">
        <f t="shared" ref="AF690:AF753" si="180">+(AD690-AC690)*AB690</f>
        <v>6541.3832249999987</v>
      </c>
      <c r="AG690" s="93">
        <f t="shared" ref="AG690:AG753" si="181">+AD690/AC690-1</f>
        <v>0.65545192550203324</v>
      </c>
      <c r="AK690" s="90">
        <f t="shared" si="178"/>
        <v>142</v>
      </c>
      <c r="AL690" s="89">
        <f t="shared" si="179"/>
        <v>68.865979063380294</v>
      </c>
      <c r="AM690" s="89">
        <f t="shared" si="171"/>
        <v>84.724830999999995</v>
      </c>
      <c r="AN690" s="90">
        <f t="shared" si="172"/>
        <v>12030.926002</v>
      </c>
      <c r="AO690" s="93">
        <f t="shared" si="173"/>
        <v>0.2302857252929511</v>
      </c>
    </row>
    <row r="691" spans="2:41" x14ac:dyDescent="0.25">
      <c r="B691" s="91">
        <v>40353</v>
      </c>
      <c r="C691" s="89">
        <v>108.69000200000001</v>
      </c>
      <c r="D691" s="89">
        <v>108.83000199999999</v>
      </c>
      <c r="E691" s="89">
        <v>107.139999</v>
      </c>
      <c r="F691" s="89">
        <v>107.41999800000001</v>
      </c>
      <c r="G691" s="89">
        <v>83.320876999999996</v>
      </c>
      <c r="H691" s="89">
        <v>268523600</v>
      </c>
      <c r="J691" s="89">
        <v>0</v>
      </c>
      <c r="K691" s="89">
        <f t="shared" si="169"/>
        <v>88</v>
      </c>
      <c r="L691" s="89">
        <f t="shared" si="170"/>
        <v>112.621376</v>
      </c>
      <c r="M691" s="89">
        <f>+SPY__2[[#This Row],[Adj Close]]</f>
        <v>83.320876999999996</v>
      </c>
      <c r="N691" s="89">
        <f t="shared" si="165"/>
        <v>7332.2371759999996</v>
      </c>
      <c r="O691" s="90">
        <f t="shared" si="166"/>
        <v>-2578.4439120000002</v>
      </c>
      <c r="P691" s="93">
        <f t="shared" si="167"/>
        <v>-0.26016818512322215</v>
      </c>
      <c r="Q691" s="96"/>
      <c r="R691" s="96"/>
      <c r="T691" s="90">
        <f t="shared" si="161"/>
        <v>95</v>
      </c>
      <c r="U691" s="89">
        <f t="shared" si="162"/>
        <v>103.31428490526316</v>
      </c>
      <c r="V691" s="89">
        <f t="shared" si="163"/>
        <v>83.320876999999996</v>
      </c>
      <c r="W691" s="90">
        <f t="shared" si="168"/>
        <v>7915.4833149999995</v>
      </c>
      <c r="X691" s="93">
        <f t="shared" si="164"/>
        <v>-0.19352026608514661</v>
      </c>
      <c r="AB691" s="89">
        <f t="shared" si="174"/>
        <v>195</v>
      </c>
      <c r="AC691" s="89">
        <f t="shared" si="175"/>
        <v>51.179276000000002</v>
      </c>
      <c r="AD691" s="89">
        <f t="shared" si="176"/>
        <v>83.320876999999996</v>
      </c>
      <c r="AE691" s="89">
        <f t="shared" si="177"/>
        <v>16247.571015</v>
      </c>
      <c r="AF691" s="90">
        <f t="shared" si="180"/>
        <v>6267.6121949999988</v>
      </c>
      <c r="AG691" s="93">
        <f t="shared" si="181"/>
        <v>0.62801984537647604</v>
      </c>
      <c r="AK691" s="90">
        <f t="shared" si="178"/>
        <v>142</v>
      </c>
      <c r="AL691" s="89">
        <f t="shared" si="179"/>
        <v>68.865979063380294</v>
      </c>
      <c r="AM691" s="89">
        <f t="shared" si="171"/>
        <v>83.320876999999996</v>
      </c>
      <c r="AN691" s="90">
        <f t="shared" si="172"/>
        <v>11831.564533999999</v>
      </c>
      <c r="AO691" s="93">
        <f t="shared" si="173"/>
        <v>0.20989896801316443</v>
      </c>
    </row>
    <row r="692" spans="2:41" x14ac:dyDescent="0.25">
      <c r="B692" s="91">
        <v>40354</v>
      </c>
      <c r="C692" s="89">
        <v>107.739998</v>
      </c>
      <c r="D692" s="89">
        <v>108.41999800000001</v>
      </c>
      <c r="E692" s="89">
        <v>106.769997</v>
      </c>
      <c r="F692" s="89">
        <v>107.870003</v>
      </c>
      <c r="G692" s="89">
        <v>83.669929999999994</v>
      </c>
      <c r="H692" s="89">
        <v>238726500</v>
      </c>
      <c r="J692" s="89">
        <v>0</v>
      </c>
      <c r="K692" s="89">
        <f t="shared" si="169"/>
        <v>88</v>
      </c>
      <c r="L692" s="89">
        <f t="shared" si="170"/>
        <v>112.621376</v>
      </c>
      <c r="M692" s="89">
        <f>+SPY__2[[#This Row],[Adj Close]]</f>
        <v>83.669929999999994</v>
      </c>
      <c r="N692" s="89">
        <f t="shared" si="165"/>
        <v>7362.9538399999992</v>
      </c>
      <c r="O692" s="90">
        <f t="shared" si="166"/>
        <v>-2547.7272480000001</v>
      </c>
      <c r="P692" s="93">
        <f t="shared" si="167"/>
        <v>-0.25706883567112526</v>
      </c>
      <c r="Q692" s="96"/>
      <c r="R692" s="96"/>
      <c r="T692" s="90">
        <f t="shared" si="161"/>
        <v>95</v>
      </c>
      <c r="U692" s="89">
        <f t="shared" si="162"/>
        <v>103.31428490526316</v>
      </c>
      <c r="V692" s="89">
        <f t="shared" si="163"/>
        <v>83.669929999999994</v>
      </c>
      <c r="W692" s="90">
        <f t="shared" si="168"/>
        <v>7948.6433499999994</v>
      </c>
      <c r="X692" s="93">
        <f t="shared" si="164"/>
        <v>-0.19014171102550426</v>
      </c>
      <c r="AB692" s="89">
        <f t="shared" si="174"/>
        <v>195</v>
      </c>
      <c r="AC692" s="89">
        <f t="shared" si="175"/>
        <v>51.179276000000002</v>
      </c>
      <c r="AD692" s="89">
        <f t="shared" si="176"/>
        <v>83.669929999999994</v>
      </c>
      <c r="AE692" s="89">
        <f t="shared" si="177"/>
        <v>16315.636349999999</v>
      </c>
      <c r="AF692" s="90">
        <f t="shared" si="180"/>
        <v>6335.6775299999981</v>
      </c>
      <c r="AG692" s="93">
        <f t="shared" si="181"/>
        <v>0.63484004736604693</v>
      </c>
      <c r="AK692" s="90">
        <f t="shared" si="178"/>
        <v>142</v>
      </c>
      <c r="AL692" s="89">
        <f t="shared" si="179"/>
        <v>68.865979063380294</v>
      </c>
      <c r="AM692" s="89">
        <f t="shared" si="171"/>
        <v>83.669929999999994</v>
      </c>
      <c r="AN692" s="90">
        <f t="shared" si="172"/>
        <v>11881.13006</v>
      </c>
      <c r="AO692" s="93">
        <f t="shared" si="173"/>
        <v>0.21496755201861006</v>
      </c>
    </row>
    <row r="693" spans="2:41" x14ac:dyDescent="0.25">
      <c r="B693" s="91">
        <v>40357</v>
      </c>
      <c r="C693" s="89">
        <v>108.029999</v>
      </c>
      <c r="D693" s="89">
        <v>108.32</v>
      </c>
      <c r="E693" s="89">
        <v>107.139999</v>
      </c>
      <c r="F693" s="89">
        <v>107.529999</v>
      </c>
      <c r="G693" s="89">
        <v>83.406188999999998</v>
      </c>
      <c r="H693" s="89">
        <v>169218600</v>
      </c>
      <c r="J693" s="89">
        <v>0</v>
      </c>
      <c r="K693" s="89">
        <f t="shared" si="169"/>
        <v>88</v>
      </c>
      <c r="L693" s="89">
        <f t="shared" si="170"/>
        <v>112.621376</v>
      </c>
      <c r="M693" s="89">
        <f>+SPY__2[[#This Row],[Adj Close]]</f>
        <v>83.406188999999998</v>
      </c>
      <c r="N693" s="89">
        <f t="shared" si="165"/>
        <v>7339.7446319999999</v>
      </c>
      <c r="O693" s="90">
        <f t="shared" si="166"/>
        <v>-2570.9364559999999</v>
      </c>
      <c r="P693" s="93">
        <f t="shared" si="167"/>
        <v>-0.25941067351192726</v>
      </c>
      <c r="Q693" s="96"/>
      <c r="R693" s="96"/>
      <c r="T693" s="90">
        <f t="shared" si="161"/>
        <v>95</v>
      </c>
      <c r="U693" s="89">
        <f t="shared" si="162"/>
        <v>103.31428490526316</v>
      </c>
      <c r="V693" s="89">
        <f t="shared" si="163"/>
        <v>83.406188999999998</v>
      </c>
      <c r="W693" s="90">
        <f t="shared" si="168"/>
        <v>7923.587955</v>
      </c>
      <c r="X693" s="93">
        <f t="shared" si="164"/>
        <v>-0.19269451386629088</v>
      </c>
      <c r="AB693" s="89">
        <f t="shared" si="174"/>
        <v>195</v>
      </c>
      <c r="AC693" s="89">
        <f t="shared" si="175"/>
        <v>51.179276000000002</v>
      </c>
      <c r="AD693" s="89">
        <f t="shared" si="176"/>
        <v>83.406188999999998</v>
      </c>
      <c r="AE693" s="89">
        <f t="shared" si="177"/>
        <v>16264.206855</v>
      </c>
      <c r="AF693" s="90">
        <f t="shared" si="180"/>
        <v>6284.2480349999996</v>
      </c>
      <c r="AG693" s="93">
        <f t="shared" si="181"/>
        <v>0.62968677009029972</v>
      </c>
      <c r="AK693" s="90">
        <f t="shared" si="178"/>
        <v>142</v>
      </c>
      <c r="AL693" s="89">
        <f t="shared" si="179"/>
        <v>68.865979063380294</v>
      </c>
      <c r="AM693" s="89">
        <f t="shared" si="171"/>
        <v>83.406188999999998</v>
      </c>
      <c r="AN693" s="90">
        <f t="shared" si="172"/>
        <v>11843.678838</v>
      </c>
      <c r="AO693" s="93">
        <f t="shared" si="173"/>
        <v>0.21113777999493388</v>
      </c>
    </row>
    <row r="694" spans="2:41" x14ac:dyDescent="0.25">
      <c r="B694" s="91">
        <v>40358</v>
      </c>
      <c r="C694" s="89">
        <v>106.019997</v>
      </c>
      <c r="D694" s="89">
        <v>107.510002</v>
      </c>
      <c r="E694" s="89">
        <v>103.550003</v>
      </c>
      <c r="F694" s="89">
        <v>104.209999</v>
      </c>
      <c r="G694" s="89">
        <v>80.831017000000003</v>
      </c>
      <c r="H694" s="89">
        <v>373649500</v>
      </c>
      <c r="J694" s="89">
        <v>0</v>
      </c>
      <c r="K694" s="89">
        <f t="shared" si="169"/>
        <v>88</v>
      </c>
      <c r="L694" s="89">
        <f t="shared" si="170"/>
        <v>112.621376</v>
      </c>
      <c r="M694" s="89">
        <f>+SPY__2[[#This Row],[Adj Close]]</f>
        <v>80.831017000000003</v>
      </c>
      <c r="N694" s="89">
        <f t="shared" si="165"/>
        <v>7113.1294960000005</v>
      </c>
      <c r="O694" s="90">
        <f t="shared" si="166"/>
        <v>-2797.5515919999998</v>
      </c>
      <c r="P694" s="93">
        <f t="shared" si="167"/>
        <v>-0.28227642148502963</v>
      </c>
      <c r="Q694" s="96"/>
      <c r="R694" s="96"/>
      <c r="T694" s="90">
        <f t="shared" si="161"/>
        <v>95</v>
      </c>
      <c r="U694" s="89">
        <f t="shared" si="162"/>
        <v>103.31428490526316</v>
      </c>
      <c r="V694" s="89">
        <f t="shared" si="163"/>
        <v>80.831017000000003</v>
      </c>
      <c r="W694" s="90">
        <f t="shared" si="168"/>
        <v>7678.9466149999998</v>
      </c>
      <c r="X694" s="93">
        <f t="shared" si="164"/>
        <v>-0.2176201279995289</v>
      </c>
      <c r="AB694" s="89">
        <f t="shared" si="174"/>
        <v>195</v>
      </c>
      <c r="AC694" s="89">
        <f t="shared" si="175"/>
        <v>51.179276000000002</v>
      </c>
      <c r="AD694" s="89">
        <f t="shared" si="176"/>
        <v>80.831017000000003</v>
      </c>
      <c r="AE694" s="89">
        <f t="shared" si="177"/>
        <v>15762.048315</v>
      </c>
      <c r="AF694" s="90">
        <f t="shared" si="180"/>
        <v>5782.0894950000002</v>
      </c>
      <c r="AG694" s="93">
        <f t="shared" si="181"/>
        <v>0.57937007549696484</v>
      </c>
      <c r="AK694" s="90">
        <f t="shared" si="178"/>
        <v>142</v>
      </c>
      <c r="AL694" s="89">
        <f t="shared" si="179"/>
        <v>68.865979063380294</v>
      </c>
      <c r="AM694" s="89">
        <f t="shared" si="171"/>
        <v>80.831017000000003</v>
      </c>
      <c r="AN694" s="90">
        <f t="shared" si="172"/>
        <v>11478.004414000001</v>
      </c>
      <c r="AO694" s="93">
        <f t="shared" si="173"/>
        <v>0.17374381515156823</v>
      </c>
    </row>
    <row r="695" spans="2:41" x14ac:dyDescent="0.25">
      <c r="B695" s="91">
        <v>40359</v>
      </c>
      <c r="C695" s="89">
        <v>103.91999800000001</v>
      </c>
      <c r="D695" s="89">
        <v>104.879997</v>
      </c>
      <c r="E695" s="89">
        <v>102.879997</v>
      </c>
      <c r="F695" s="89">
        <v>103.220001</v>
      </c>
      <c r="G695" s="89">
        <v>80.063132999999993</v>
      </c>
      <c r="H695" s="89">
        <v>284101700</v>
      </c>
      <c r="J695" s="89">
        <v>0</v>
      </c>
      <c r="K695" s="89">
        <f t="shared" si="169"/>
        <v>88</v>
      </c>
      <c r="L695" s="89">
        <f t="shared" si="170"/>
        <v>112.621376</v>
      </c>
      <c r="M695" s="89">
        <f>+SPY__2[[#This Row],[Adj Close]]</f>
        <v>80.063132999999993</v>
      </c>
      <c r="N695" s="89">
        <f t="shared" si="165"/>
        <v>7045.5557039999994</v>
      </c>
      <c r="O695" s="90">
        <f t="shared" si="166"/>
        <v>-2865.1253840000004</v>
      </c>
      <c r="P695" s="93">
        <f t="shared" si="167"/>
        <v>-0.28909470081416877</v>
      </c>
      <c r="Q695" s="96"/>
      <c r="R695" s="96"/>
      <c r="T695" s="90">
        <f t="shared" si="161"/>
        <v>95</v>
      </c>
      <c r="U695" s="89">
        <f t="shared" si="162"/>
        <v>103.31428490526316</v>
      </c>
      <c r="V695" s="89">
        <f t="shared" si="163"/>
        <v>80.063132999999993</v>
      </c>
      <c r="W695" s="90">
        <f t="shared" si="168"/>
        <v>7605.9976349999997</v>
      </c>
      <c r="X695" s="93">
        <f t="shared" si="164"/>
        <v>-0.22505263358870398</v>
      </c>
      <c r="AB695" s="89">
        <f t="shared" si="174"/>
        <v>195</v>
      </c>
      <c r="AC695" s="89">
        <f t="shared" si="175"/>
        <v>51.179276000000002</v>
      </c>
      <c r="AD695" s="89">
        <f t="shared" si="176"/>
        <v>80.063132999999993</v>
      </c>
      <c r="AE695" s="89">
        <f t="shared" si="177"/>
        <v>15612.310935</v>
      </c>
      <c r="AF695" s="90">
        <f t="shared" si="180"/>
        <v>5632.3521149999988</v>
      </c>
      <c r="AG695" s="93">
        <f t="shared" si="181"/>
        <v>0.56436626809648471</v>
      </c>
      <c r="AK695" s="90">
        <f t="shared" si="178"/>
        <v>142</v>
      </c>
      <c r="AL695" s="89">
        <f t="shared" si="179"/>
        <v>68.865979063380294</v>
      </c>
      <c r="AM695" s="89">
        <f t="shared" si="171"/>
        <v>80.063132999999993</v>
      </c>
      <c r="AN695" s="90">
        <f t="shared" si="172"/>
        <v>11368.964886</v>
      </c>
      <c r="AO695" s="93">
        <f t="shared" si="173"/>
        <v>0.1625934037228236</v>
      </c>
    </row>
    <row r="696" spans="2:41" x14ac:dyDescent="0.25">
      <c r="B696" s="91">
        <v>40360</v>
      </c>
      <c r="C696" s="89">
        <v>103.150002</v>
      </c>
      <c r="D696" s="89">
        <v>103.489998</v>
      </c>
      <c r="E696" s="89">
        <v>101.129997</v>
      </c>
      <c r="F696" s="89">
        <v>102.760002</v>
      </c>
      <c r="G696" s="89">
        <v>79.706314000000006</v>
      </c>
      <c r="H696" s="89">
        <v>382924800</v>
      </c>
      <c r="J696" s="89">
        <v>0</v>
      </c>
      <c r="K696" s="89">
        <f t="shared" si="169"/>
        <v>88</v>
      </c>
      <c r="L696" s="89">
        <f t="shared" si="170"/>
        <v>112.621376</v>
      </c>
      <c r="M696" s="89">
        <f>+SPY__2[[#This Row],[Adj Close]]</f>
        <v>79.706314000000006</v>
      </c>
      <c r="N696" s="89">
        <f t="shared" si="165"/>
        <v>7014.1556320000009</v>
      </c>
      <c r="O696" s="90">
        <f t="shared" si="166"/>
        <v>-2896.5254559999994</v>
      </c>
      <c r="P696" s="93">
        <f t="shared" si="167"/>
        <v>-0.2922630069801313</v>
      </c>
      <c r="Q696" s="96"/>
      <c r="R696" s="96"/>
      <c r="T696" s="90">
        <f t="shared" si="161"/>
        <v>95</v>
      </c>
      <c r="U696" s="89">
        <f t="shared" si="162"/>
        <v>103.31428490526316</v>
      </c>
      <c r="V696" s="89">
        <f t="shared" si="163"/>
        <v>79.706314000000006</v>
      </c>
      <c r="W696" s="90">
        <f t="shared" si="168"/>
        <v>7572.099830000001</v>
      </c>
      <c r="X696" s="93">
        <f t="shared" si="164"/>
        <v>-0.22850635734362501</v>
      </c>
      <c r="AB696" s="89">
        <f t="shared" si="174"/>
        <v>195</v>
      </c>
      <c r="AC696" s="89">
        <f t="shared" si="175"/>
        <v>51.179276000000002</v>
      </c>
      <c r="AD696" s="89">
        <f t="shared" si="176"/>
        <v>79.706314000000006</v>
      </c>
      <c r="AE696" s="89">
        <f t="shared" si="177"/>
        <v>15542.731230000001</v>
      </c>
      <c r="AF696" s="90">
        <f t="shared" si="180"/>
        <v>5562.7724100000005</v>
      </c>
      <c r="AG696" s="93">
        <f t="shared" si="181"/>
        <v>0.5573943249998301</v>
      </c>
      <c r="AK696" s="90">
        <f t="shared" si="178"/>
        <v>142</v>
      </c>
      <c r="AL696" s="89">
        <f t="shared" si="179"/>
        <v>68.865979063380294</v>
      </c>
      <c r="AM696" s="89">
        <f t="shared" si="171"/>
        <v>79.706314000000006</v>
      </c>
      <c r="AN696" s="90">
        <f t="shared" si="172"/>
        <v>11318.296588000001</v>
      </c>
      <c r="AO696" s="93">
        <f t="shared" si="173"/>
        <v>0.15741204995637825</v>
      </c>
    </row>
    <row r="697" spans="2:41" x14ac:dyDescent="0.25">
      <c r="B697" s="91">
        <v>40361</v>
      </c>
      <c r="C697" s="89">
        <v>103.110001</v>
      </c>
      <c r="D697" s="89">
        <v>103.41999800000001</v>
      </c>
      <c r="E697" s="89">
        <v>101.620003</v>
      </c>
      <c r="F697" s="89">
        <v>102.199997</v>
      </c>
      <c r="G697" s="89">
        <v>79.271957</v>
      </c>
      <c r="H697" s="89">
        <v>233385200</v>
      </c>
      <c r="J697" s="89">
        <v>0</v>
      </c>
      <c r="K697" s="89">
        <f t="shared" si="169"/>
        <v>88</v>
      </c>
      <c r="L697" s="89">
        <f t="shared" si="170"/>
        <v>112.621376</v>
      </c>
      <c r="M697" s="89">
        <f>+SPY__2[[#This Row],[Adj Close]]</f>
        <v>79.271957</v>
      </c>
      <c r="N697" s="89">
        <f t="shared" si="165"/>
        <v>6975.9322160000002</v>
      </c>
      <c r="O697" s="90">
        <f t="shared" si="166"/>
        <v>-2934.7488719999997</v>
      </c>
      <c r="P697" s="93">
        <f t="shared" si="167"/>
        <v>-0.29611979700905089</v>
      </c>
      <c r="Q697" s="96"/>
      <c r="R697" s="96"/>
      <c r="T697" s="90">
        <f t="shared" si="161"/>
        <v>95</v>
      </c>
      <c r="U697" s="89">
        <f t="shared" si="162"/>
        <v>103.31428490526316</v>
      </c>
      <c r="V697" s="89">
        <f t="shared" si="163"/>
        <v>79.271957</v>
      </c>
      <c r="W697" s="90">
        <f t="shared" si="168"/>
        <v>7530.8359149999997</v>
      </c>
      <c r="X697" s="93">
        <f t="shared" si="164"/>
        <v>-0.23271058718849413</v>
      </c>
      <c r="AB697" s="89">
        <f t="shared" si="174"/>
        <v>195</v>
      </c>
      <c r="AC697" s="89">
        <f t="shared" si="175"/>
        <v>51.179276000000002</v>
      </c>
      <c r="AD697" s="89">
        <f t="shared" si="176"/>
        <v>79.271957</v>
      </c>
      <c r="AE697" s="89">
        <f t="shared" si="177"/>
        <v>15458.031615</v>
      </c>
      <c r="AF697" s="90">
        <f t="shared" si="180"/>
        <v>5478.072795</v>
      </c>
      <c r="AG697" s="93">
        <f t="shared" si="181"/>
        <v>0.54890735460970563</v>
      </c>
      <c r="AK697" s="90">
        <f t="shared" si="178"/>
        <v>142</v>
      </c>
      <c r="AL697" s="89">
        <f t="shared" si="179"/>
        <v>68.865979063380294</v>
      </c>
      <c r="AM697" s="89">
        <f t="shared" si="171"/>
        <v>79.271957</v>
      </c>
      <c r="AN697" s="90">
        <f t="shared" si="172"/>
        <v>11256.617894000001</v>
      </c>
      <c r="AO697" s="93">
        <f t="shared" si="173"/>
        <v>0.15110477013682844</v>
      </c>
    </row>
    <row r="698" spans="2:41" x14ac:dyDescent="0.25">
      <c r="B698" s="91">
        <v>40365</v>
      </c>
      <c r="C698" s="89">
        <v>103.639999</v>
      </c>
      <c r="D698" s="89">
        <v>104.370003</v>
      </c>
      <c r="E698" s="89">
        <v>101.879997</v>
      </c>
      <c r="F698" s="89">
        <v>102.870003</v>
      </c>
      <c r="G698" s="89">
        <v>79.791656000000003</v>
      </c>
      <c r="H698" s="89">
        <v>256935300</v>
      </c>
      <c r="J698" s="89">
        <v>0</v>
      </c>
      <c r="K698" s="89">
        <f t="shared" si="169"/>
        <v>88</v>
      </c>
      <c r="L698" s="89">
        <f t="shared" si="170"/>
        <v>112.621376</v>
      </c>
      <c r="M698" s="89">
        <f>+SPY__2[[#This Row],[Adj Close]]</f>
        <v>79.791656000000003</v>
      </c>
      <c r="N698" s="89">
        <f t="shared" si="165"/>
        <v>7021.6657279999999</v>
      </c>
      <c r="O698" s="90">
        <f t="shared" si="166"/>
        <v>-2889.0153599999994</v>
      </c>
      <c r="P698" s="93">
        <f t="shared" si="167"/>
        <v>-0.29150522898956588</v>
      </c>
      <c r="Q698" s="96"/>
      <c r="R698" s="96"/>
      <c r="T698" s="90">
        <f t="shared" si="161"/>
        <v>95</v>
      </c>
      <c r="U698" s="89">
        <f t="shared" si="162"/>
        <v>103.31428490526316</v>
      </c>
      <c r="V698" s="89">
        <f t="shared" si="163"/>
        <v>79.791656000000003</v>
      </c>
      <c r="W698" s="90">
        <f t="shared" si="168"/>
        <v>7580.2073200000004</v>
      </c>
      <c r="X698" s="93">
        <f t="shared" si="164"/>
        <v>-0.22768031474866102</v>
      </c>
      <c r="AB698" s="89">
        <f t="shared" si="174"/>
        <v>195</v>
      </c>
      <c r="AC698" s="89">
        <f t="shared" si="175"/>
        <v>51.179276000000002</v>
      </c>
      <c r="AD698" s="89">
        <f t="shared" si="176"/>
        <v>79.791656000000003</v>
      </c>
      <c r="AE698" s="89">
        <f t="shared" si="177"/>
        <v>15559.37292</v>
      </c>
      <c r="AF698" s="90">
        <f t="shared" si="180"/>
        <v>5579.4141</v>
      </c>
      <c r="AG698" s="93">
        <f t="shared" si="181"/>
        <v>0.55906183588841696</v>
      </c>
      <c r="AK698" s="90">
        <f t="shared" si="178"/>
        <v>142</v>
      </c>
      <c r="AL698" s="89">
        <f t="shared" si="179"/>
        <v>68.865979063380294</v>
      </c>
      <c r="AM698" s="89">
        <f t="shared" si="171"/>
        <v>79.791656000000003</v>
      </c>
      <c r="AN698" s="90">
        <f t="shared" si="172"/>
        <v>11330.415152</v>
      </c>
      <c r="AO698" s="93">
        <f t="shared" si="173"/>
        <v>0.15865129756689211</v>
      </c>
    </row>
    <row r="699" spans="2:41" x14ac:dyDescent="0.25">
      <c r="B699" s="91">
        <v>40366</v>
      </c>
      <c r="C699" s="89">
        <v>103.129997</v>
      </c>
      <c r="D699" s="89">
        <v>106.239998</v>
      </c>
      <c r="E699" s="89">
        <v>103.019997</v>
      </c>
      <c r="F699" s="89">
        <v>106.110001</v>
      </c>
      <c r="G699" s="89">
        <v>82.304771000000002</v>
      </c>
      <c r="H699" s="89">
        <v>253769400</v>
      </c>
      <c r="J699" s="89">
        <v>0</v>
      </c>
      <c r="K699" s="89">
        <f t="shared" si="169"/>
        <v>88</v>
      </c>
      <c r="L699" s="89">
        <f t="shared" si="170"/>
        <v>112.621376</v>
      </c>
      <c r="M699" s="89">
        <f>+SPY__2[[#This Row],[Adj Close]]</f>
        <v>82.304771000000002</v>
      </c>
      <c r="N699" s="89">
        <f t="shared" si="165"/>
        <v>7242.8198480000001</v>
      </c>
      <c r="O699" s="90">
        <f t="shared" si="166"/>
        <v>-2667.8612399999997</v>
      </c>
      <c r="P699" s="93">
        <f t="shared" si="167"/>
        <v>-0.26919050429644897</v>
      </c>
      <c r="Q699" s="96"/>
      <c r="R699" s="96"/>
      <c r="T699" s="90">
        <f t="shared" si="161"/>
        <v>95</v>
      </c>
      <c r="U699" s="89">
        <f t="shared" si="162"/>
        <v>103.31428490526316</v>
      </c>
      <c r="V699" s="89">
        <f t="shared" si="163"/>
        <v>82.304771000000002</v>
      </c>
      <c r="W699" s="90">
        <f t="shared" si="168"/>
        <v>7818.9532450000006</v>
      </c>
      <c r="X699" s="93">
        <f t="shared" si="164"/>
        <v>-0.20335536295419743</v>
      </c>
      <c r="AB699" s="89">
        <f t="shared" si="174"/>
        <v>195</v>
      </c>
      <c r="AC699" s="89">
        <f t="shared" si="175"/>
        <v>51.179276000000002</v>
      </c>
      <c r="AD699" s="89">
        <f t="shared" si="176"/>
        <v>82.304771000000002</v>
      </c>
      <c r="AE699" s="89">
        <f t="shared" si="177"/>
        <v>16049.430345000001</v>
      </c>
      <c r="AF699" s="90">
        <f t="shared" si="180"/>
        <v>6069.4715249999999</v>
      </c>
      <c r="AG699" s="93">
        <f t="shared" si="181"/>
        <v>0.60816598890535301</v>
      </c>
      <c r="AK699" s="90">
        <f t="shared" si="178"/>
        <v>142</v>
      </c>
      <c r="AL699" s="89">
        <f t="shared" si="179"/>
        <v>68.865979063380294</v>
      </c>
      <c r="AM699" s="89">
        <f t="shared" si="171"/>
        <v>82.304771000000002</v>
      </c>
      <c r="AN699" s="90">
        <f t="shared" si="172"/>
        <v>11687.277482</v>
      </c>
      <c r="AO699" s="93">
        <f t="shared" si="173"/>
        <v>0.1951441353102874</v>
      </c>
    </row>
    <row r="700" spans="2:41" x14ac:dyDescent="0.25">
      <c r="B700" s="91">
        <v>40367</v>
      </c>
      <c r="C700" s="89">
        <v>107</v>
      </c>
      <c r="D700" s="89">
        <v>107.279999</v>
      </c>
      <c r="E700" s="89">
        <v>105.910004</v>
      </c>
      <c r="F700" s="89">
        <v>107.160004</v>
      </c>
      <c r="G700" s="89">
        <v>83.119217000000006</v>
      </c>
      <c r="H700" s="89">
        <v>210842100</v>
      </c>
      <c r="J700" s="89">
        <v>0</v>
      </c>
      <c r="K700" s="89">
        <f t="shared" si="169"/>
        <v>88</v>
      </c>
      <c r="L700" s="89">
        <f t="shared" si="170"/>
        <v>112.621376</v>
      </c>
      <c r="M700" s="89">
        <f>+SPY__2[[#This Row],[Adj Close]]</f>
        <v>83.119217000000006</v>
      </c>
      <c r="N700" s="89">
        <f t="shared" si="165"/>
        <v>7314.4910960000007</v>
      </c>
      <c r="O700" s="90">
        <f t="shared" si="166"/>
        <v>-2596.1899919999992</v>
      </c>
      <c r="P700" s="93">
        <f t="shared" si="167"/>
        <v>-0.2619587865806221</v>
      </c>
      <c r="Q700" s="96"/>
      <c r="R700" s="96"/>
      <c r="T700" s="90">
        <f t="shared" si="161"/>
        <v>95</v>
      </c>
      <c r="U700" s="89">
        <f t="shared" si="162"/>
        <v>103.31428490526316</v>
      </c>
      <c r="V700" s="89">
        <f t="shared" si="163"/>
        <v>83.119217000000006</v>
      </c>
      <c r="W700" s="90">
        <f t="shared" si="168"/>
        <v>7896.3256150000007</v>
      </c>
      <c r="X700" s="93">
        <f t="shared" si="164"/>
        <v>-0.19547217428627195</v>
      </c>
      <c r="AB700" s="89">
        <f t="shared" si="174"/>
        <v>195</v>
      </c>
      <c r="AC700" s="89">
        <f t="shared" si="175"/>
        <v>51.179276000000002</v>
      </c>
      <c r="AD700" s="89">
        <f t="shared" si="176"/>
        <v>83.119217000000006</v>
      </c>
      <c r="AE700" s="89">
        <f t="shared" si="177"/>
        <v>16208.247315000001</v>
      </c>
      <c r="AF700" s="90">
        <f t="shared" si="180"/>
        <v>6228.2884950000007</v>
      </c>
      <c r="AG700" s="93">
        <f t="shared" si="181"/>
        <v>0.62407957861693863</v>
      </c>
      <c r="AK700" s="90">
        <f t="shared" si="178"/>
        <v>142</v>
      </c>
      <c r="AL700" s="89">
        <f t="shared" si="179"/>
        <v>68.865979063380294</v>
      </c>
      <c r="AM700" s="89">
        <f t="shared" si="171"/>
        <v>83.119217000000006</v>
      </c>
      <c r="AN700" s="90">
        <f t="shared" si="172"/>
        <v>11802.928814000001</v>
      </c>
      <c r="AO700" s="93">
        <f t="shared" si="173"/>
        <v>0.20697067159245441</v>
      </c>
    </row>
    <row r="701" spans="2:41" x14ac:dyDescent="0.25">
      <c r="B701" s="91">
        <v>40368</v>
      </c>
      <c r="C701" s="89">
        <v>107.129997</v>
      </c>
      <c r="D701" s="89">
        <v>107.970001</v>
      </c>
      <c r="E701" s="89">
        <v>106.93</v>
      </c>
      <c r="F701" s="89">
        <v>107.959999</v>
      </c>
      <c r="G701" s="89">
        <v>83.739716000000001</v>
      </c>
      <c r="H701" s="89">
        <v>144999900</v>
      </c>
      <c r="J701" s="89">
        <v>0</v>
      </c>
      <c r="K701" s="89">
        <f t="shared" si="169"/>
        <v>88</v>
      </c>
      <c r="L701" s="89">
        <f t="shared" si="170"/>
        <v>112.621376</v>
      </c>
      <c r="M701" s="89">
        <f>+SPY__2[[#This Row],[Adj Close]]</f>
        <v>83.739716000000001</v>
      </c>
      <c r="N701" s="89">
        <f t="shared" si="165"/>
        <v>7369.0950080000002</v>
      </c>
      <c r="O701" s="90">
        <f t="shared" si="166"/>
        <v>-2541.5860799999996</v>
      </c>
      <c r="P701" s="93">
        <f t="shared" si="167"/>
        <v>-0.2564491842117077</v>
      </c>
      <c r="Q701" s="96"/>
      <c r="R701" s="96"/>
      <c r="T701" s="90">
        <f t="shared" si="161"/>
        <v>95</v>
      </c>
      <c r="U701" s="89">
        <f t="shared" si="162"/>
        <v>103.31428490526316</v>
      </c>
      <c r="V701" s="89">
        <f t="shared" si="163"/>
        <v>83.739716000000001</v>
      </c>
      <c r="W701" s="90">
        <f t="shared" si="168"/>
        <v>7955.2730200000005</v>
      </c>
      <c r="X701" s="93">
        <f t="shared" si="164"/>
        <v>-0.18946623812198471</v>
      </c>
      <c r="AB701" s="89">
        <f t="shared" si="174"/>
        <v>195</v>
      </c>
      <c r="AC701" s="89">
        <f t="shared" si="175"/>
        <v>51.179276000000002</v>
      </c>
      <c r="AD701" s="89">
        <f t="shared" si="176"/>
        <v>83.739716000000001</v>
      </c>
      <c r="AE701" s="89">
        <f t="shared" si="177"/>
        <v>16329.244619999999</v>
      </c>
      <c r="AF701" s="90">
        <f t="shared" si="180"/>
        <v>6349.2857999999997</v>
      </c>
      <c r="AG701" s="93">
        <f t="shared" si="181"/>
        <v>0.63620360710065538</v>
      </c>
      <c r="AK701" s="90">
        <f t="shared" si="178"/>
        <v>142</v>
      </c>
      <c r="AL701" s="89">
        <f t="shared" si="179"/>
        <v>68.865979063380294</v>
      </c>
      <c r="AM701" s="89">
        <f t="shared" si="171"/>
        <v>83.739716000000001</v>
      </c>
      <c r="AN701" s="90">
        <f t="shared" si="172"/>
        <v>11891.039672000001</v>
      </c>
      <c r="AO701" s="93">
        <f t="shared" si="173"/>
        <v>0.21598091160412869</v>
      </c>
    </row>
    <row r="702" spans="2:41" x14ac:dyDescent="0.25">
      <c r="B702" s="91">
        <v>40371</v>
      </c>
      <c r="C702" s="89">
        <v>107.599998</v>
      </c>
      <c r="D702" s="89">
        <v>108.239998</v>
      </c>
      <c r="E702" s="89">
        <v>107.150002</v>
      </c>
      <c r="F702" s="89">
        <v>108.029999</v>
      </c>
      <c r="G702" s="89">
        <v>83.794021999999998</v>
      </c>
      <c r="H702" s="89">
        <v>131283600</v>
      </c>
      <c r="J702" s="89">
        <v>0</v>
      </c>
      <c r="K702" s="89">
        <f t="shared" si="169"/>
        <v>88</v>
      </c>
      <c r="L702" s="89">
        <f t="shared" si="170"/>
        <v>112.621376</v>
      </c>
      <c r="M702" s="89">
        <f>+SPY__2[[#This Row],[Adj Close]]</f>
        <v>83.794021999999998</v>
      </c>
      <c r="N702" s="89">
        <f t="shared" si="165"/>
        <v>7373.873936</v>
      </c>
      <c r="O702" s="90">
        <f t="shared" si="166"/>
        <v>-2536.8071519999999</v>
      </c>
      <c r="P702" s="93">
        <f t="shared" si="167"/>
        <v>-0.25596698445595267</v>
      </c>
      <c r="Q702" s="96"/>
      <c r="R702" s="96"/>
      <c r="T702" s="90">
        <f t="shared" si="161"/>
        <v>95</v>
      </c>
      <c r="U702" s="89">
        <f t="shared" si="162"/>
        <v>103.31428490526316</v>
      </c>
      <c r="V702" s="89">
        <f t="shared" si="163"/>
        <v>83.794021999999998</v>
      </c>
      <c r="W702" s="90">
        <f t="shared" si="168"/>
        <v>7960.4320900000002</v>
      </c>
      <c r="X702" s="93">
        <f t="shared" si="164"/>
        <v>-0.18894059929043494</v>
      </c>
      <c r="AB702" s="89">
        <f t="shared" si="174"/>
        <v>195</v>
      </c>
      <c r="AC702" s="89">
        <f t="shared" si="175"/>
        <v>51.179276000000002</v>
      </c>
      <c r="AD702" s="89">
        <f t="shared" si="176"/>
        <v>83.794021999999998</v>
      </c>
      <c r="AE702" s="89">
        <f t="shared" si="177"/>
        <v>16339.834289999999</v>
      </c>
      <c r="AF702" s="90">
        <f t="shared" si="180"/>
        <v>6359.875469999999</v>
      </c>
      <c r="AG702" s="93">
        <f t="shared" si="181"/>
        <v>0.63726470065735197</v>
      </c>
      <c r="AK702" s="90">
        <f t="shared" si="178"/>
        <v>142</v>
      </c>
      <c r="AL702" s="89">
        <f t="shared" si="179"/>
        <v>68.865979063380294</v>
      </c>
      <c r="AM702" s="89">
        <f t="shared" si="171"/>
        <v>83.794021999999998</v>
      </c>
      <c r="AN702" s="90">
        <f t="shared" si="172"/>
        <v>11898.751124</v>
      </c>
      <c r="AO702" s="93">
        <f t="shared" si="173"/>
        <v>0.21676948675747143</v>
      </c>
    </row>
    <row r="703" spans="2:41" x14ac:dyDescent="0.25">
      <c r="B703" s="91">
        <v>40372</v>
      </c>
      <c r="C703" s="89">
        <v>109.150002</v>
      </c>
      <c r="D703" s="89">
        <v>110.089996</v>
      </c>
      <c r="E703" s="89">
        <v>108.93</v>
      </c>
      <c r="F703" s="89">
        <v>109.660004</v>
      </c>
      <c r="G703" s="89">
        <v>85.058318999999997</v>
      </c>
      <c r="H703" s="89">
        <v>213025900</v>
      </c>
      <c r="J703" s="89">
        <v>0</v>
      </c>
      <c r="K703" s="89">
        <f t="shared" si="169"/>
        <v>88</v>
      </c>
      <c r="L703" s="89">
        <f t="shared" si="170"/>
        <v>112.621376</v>
      </c>
      <c r="M703" s="89">
        <f>+SPY__2[[#This Row],[Adj Close]]</f>
        <v>85.058318999999997</v>
      </c>
      <c r="N703" s="89">
        <f t="shared" si="165"/>
        <v>7485.1320719999994</v>
      </c>
      <c r="O703" s="90">
        <f t="shared" si="166"/>
        <v>-2425.5490159999999</v>
      </c>
      <c r="P703" s="93">
        <f t="shared" si="167"/>
        <v>-0.24474090069721754</v>
      </c>
      <c r="Q703" s="96"/>
      <c r="R703" s="96"/>
      <c r="T703" s="90">
        <f t="shared" si="161"/>
        <v>95</v>
      </c>
      <c r="U703" s="89">
        <f t="shared" si="162"/>
        <v>103.31428490526316</v>
      </c>
      <c r="V703" s="89">
        <f t="shared" si="163"/>
        <v>85.058318999999997</v>
      </c>
      <c r="W703" s="90">
        <f t="shared" si="168"/>
        <v>8080.5403049999995</v>
      </c>
      <c r="X703" s="93">
        <f t="shared" si="164"/>
        <v>-0.1767032111968202</v>
      </c>
      <c r="AB703" s="89">
        <f t="shared" si="174"/>
        <v>195</v>
      </c>
      <c r="AC703" s="89">
        <f t="shared" si="175"/>
        <v>51.179276000000002</v>
      </c>
      <c r="AD703" s="89">
        <f t="shared" si="176"/>
        <v>85.058318999999997</v>
      </c>
      <c r="AE703" s="89">
        <f t="shared" si="177"/>
        <v>16586.372205</v>
      </c>
      <c r="AF703" s="90">
        <f t="shared" si="180"/>
        <v>6606.4133849999989</v>
      </c>
      <c r="AG703" s="93">
        <f t="shared" si="181"/>
        <v>0.66196800048519622</v>
      </c>
      <c r="AK703" s="90">
        <f t="shared" si="178"/>
        <v>142</v>
      </c>
      <c r="AL703" s="89">
        <f t="shared" si="179"/>
        <v>68.865979063380294</v>
      </c>
      <c r="AM703" s="89">
        <f t="shared" si="171"/>
        <v>85.058318999999997</v>
      </c>
      <c r="AN703" s="90">
        <f t="shared" si="172"/>
        <v>12078.281298</v>
      </c>
      <c r="AO703" s="93">
        <f t="shared" si="173"/>
        <v>0.2351282905847778</v>
      </c>
    </row>
    <row r="704" spans="2:41" x14ac:dyDescent="0.25">
      <c r="B704" s="91">
        <v>40373</v>
      </c>
      <c r="C704" s="89">
        <v>109.30999799999999</v>
      </c>
      <c r="D704" s="89">
        <v>110.08000199999999</v>
      </c>
      <c r="E704" s="89">
        <v>108.860001</v>
      </c>
      <c r="F704" s="89">
        <v>109.650002</v>
      </c>
      <c r="G704" s="89">
        <v>85.050567999999998</v>
      </c>
      <c r="H704" s="89">
        <v>184426800</v>
      </c>
      <c r="J704" s="89">
        <v>0</v>
      </c>
      <c r="K704" s="89">
        <f t="shared" si="169"/>
        <v>88</v>
      </c>
      <c r="L704" s="89">
        <f t="shared" si="170"/>
        <v>112.621376</v>
      </c>
      <c r="M704" s="89">
        <f>+SPY__2[[#This Row],[Adj Close]]</f>
        <v>85.050567999999998</v>
      </c>
      <c r="N704" s="89">
        <f t="shared" si="165"/>
        <v>7484.4499839999999</v>
      </c>
      <c r="O704" s="90">
        <f t="shared" si="166"/>
        <v>-2426.231104</v>
      </c>
      <c r="P704" s="93">
        <f t="shared" si="167"/>
        <v>-0.24480972422144798</v>
      </c>
      <c r="Q704" s="96"/>
      <c r="R704" s="96"/>
      <c r="T704" s="90">
        <f t="shared" si="161"/>
        <v>95</v>
      </c>
      <c r="U704" s="89">
        <f t="shared" si="162"/>
        <v>103.31428490526316</v>
      </c>
      <c r="V704" s="89">
        <f t="shared" si="163"/>
        <v>85.050567999999998</v>
      </c>
      <c r="W704" s="90">
        <f t="shared" si="168"/>
        <v>8079.8039600000002</v>
      </c>
      <c r="X704" s="93">
        <f t="shared" si="164"/>
        <v>-0.17677823470404475</v>
      </c>
      <c r="AB704" s="89">
        <f t="shared" si="174"/>
        <v>195</v>
      </c>
      <c r="AC704" s="89">
        <f t="shared" si="175"/>
        <v>51.179276000000002</v>
      </c>
      <c r="AD704" s="89">
        <f t="shared" si="176"/>
        <v>85.050567999999998</v>
      </c>
      <c r="AE704" s="89">
        <f t="shared" si="177"/>
        <v>16584.86076</v>
      </c>
      <c r="AF704" s="90">
        <f t="shared" si="180"/>
        <v>6604.9019399999997</v>
      </c>
      <c r="AG704" s="93">
        <f t="shared" si="181"/>
        <v>0.66181655246549398</v>
      </c>
      <c r="AK704" s="90">
        <f t="shared" si="178"/>
        <v>142</v>
      </c>
      <c r="AL704" s="89">
        <f t="shared" si="179"/>
        <v>68.865979063380294</v>
      </c>
      <c r="AM704" s="89">
        <f t="shared" si="171"/>
        <v>85.050567999999998</v>
      </c>
      <c r="AN704" s="90">
        <f t="shared" si="172"/>
        <v>12077.180656</v>
      </c>
      <c r="AO704" s="93">
        <f t="shared" si="173"/>
        <v>0.2350157386381504</v>
      </c>
    </row>
    <row r="705" spans="2:41" x14ac:dyDescent="0.25">
      <c r="B705" s="91">
        <v>40374</v>
      </c>
      <c r="C705" s="89">
        <v>109.610001</v>
      </c>
      <c r="D705" s="89">
        <v>110.05999799999999</v>
      </c>
      <c r="E705" s="89">
        <v>108.16999800000001</v>
      </c>
      <c r="F705" s="89">
        <v>109.68</v>
      </c>
      <c r="G705" s="89">
        <v>85.073853</v>
      </c>
      <c r="H705" s="89">
        <v>232337900</v>
      </c>
      <c r="J705" s="89">
        <v>0</v>
      </c>
      <c r="K705" s="89">
        <f t="shared" si="169"/>
        <v>88</v>
      </c>
      <c r="L705" s="89">
        <f t="shared" si="170"/>
        <v>112.621376</v>
      </c>
      <c r="M705" s="89">
        <f>+SPY__2[[#This Row],[Adj Close]]</f>
        <v>85.073853</v>
      </c>
      <c r="N705" s="89">
        <f t="shared" si="165"/>
        <v>7486.4990639999996</v>
      </c>
      <c r="O705" s="90">
        <f t="shared" si="166"/>
        <v>-2424.1820239999997</v>
      </c>
      <c r="P705" s="93">
        <f t="shared" si="167"/>
        <v>-0.24460296951086802</v>
      </c>
      <c r="Q705" s="96"/>
      <c r="R705" s="96"/>
      <c r="T705" s="90">
        <f t="shared" si="161"/>
        <v>95</v>
      </c>
      <c r="U705" s="89">
        <f t="shared" si="162"/>
        <v>103.31428490526316</v>
      </c>
      <c r="V705" s="89">
        <f t="shared" si="163"/>
        <v>85.073853</v>
      </c>
      <c r="W705" s="90">
        <f t="shared" si="168"/>
        <v>8082.0160349999996</v>
      </c>
      <c r="X705" s="93">
        <f t="shared" si="164"/>
        <v>-0.17655285444785518</v>
      </c>
      <c r="AB705" s="89">
        <f t="shared" si="174"/>
        <v>195</v>
      </c>
      <c r="AC705" s="89">
        <f t="shared" si="175"/>
        <v>51.179276000000002</v>
      </c>
      <c r="AD705" s="89">
        <f t="shared" si="176"/>
        <v>85.073853</v>
      </c>
      <c r="AE705" s="89">
        <f t="shared" si="177"/>
        <v>16589.401334999999</v>
      </c>
      <c r="AF705" s="90">
        <f t="shared" si="180"/>
        <v>6609.4425149999997</v>
      </c>
      <c r="AG705" s="93">
        <f t="shared" si="181"/>
        <v>0.662271521777682</v>
      </c>
      <c r="AK705" s="90">
        <f t="shared" si="178"/>
        <v>142</v>
      </c>
      <c r="AL705" s="89">
        <f t="shared" si="179"/>
        <v>68.865979063380294</v>
      </c>
      <c r="AM705" s="89">
        <f t="shared" si="171"/>
        <v>85.073853</v>
      </c>
      <c r="AN705" s="90">
        <f t="shared" si="172"/>
        <v>12080.487126</v>
      </c>
      <c r="AO705" s="93">
        <f t="shared" si="173"/>
        <v>0.23535385914869389</v>
      </c>
    </row>
    <row r="706" spans="2:41" x14ac:dyDescent="0.25">
      <c r="B706" s="91">
        <v>40375</v>
      </c>
      <c r="C706" s="89">
        <v>109.089996</v>
      </c>
      <c r="D706" s="89">
        <v>109.209999</v>
      </c>
      <c r="E706" s="89">
        <v>106.449997</v>
      </c>
      <c r="F706" s="89">
        <v>106.660004</v>
      </c>
      <c r="G706" s="89">
        <v>82.731361000000007</v>
      </c>
      <c r="H706" s="89">
        <v>282693400</v>
      </c>
      <c r="J706" s="89">
        <v>0</v>
      </c>
      <c r="K706" s="89">
        <f t="shared" si="169"/>
        <v>88</v>
      </c>
      <c r="L706" s="89">
        <f t="shared" si="170"/>
        <v>112.621376</v>
      </c>
      <c r="M706" s="89">
        <f>+SPY__2[[#This Row],[Adj Close]]</f>
        <v>82.731361000000007</v>
      </c>
      <c r="N706" s="89">
        <f t="shared" si="165"/>
        <v>7280.3597680000003</v>
      </c>
      <c r="O706" s="90">
        <f t="shared" si="166"/>
        <v>-2630.3213199999991</v>
      </c>
      <c r="P706" s="93">
        <f t="shared" si="167"/>
        <v>-0.2654026798607042</v>
      </c>
      <c r="Q706" s="96"/>
      <c r="R706" s="96"/>
      <c r="T706" s="90">
        <f t="shared" ref="T706:T769" si="182">+T705</f>
        <v>95</v>
      </c>
      <c r="U706" s="89">
        <f t="shared" ref="U706:U769" si="183">+U705</f>
        <v>103.31428490526316</v>
      </c>
      <c r="V706" s="89">
        <f t="shared" si="163"/>
        <v>82.731361000000007</v>
      </c>
      <c r="W706" s="90">
        <f t="shared" si="168"/>
        <v>7859.479295000001</v>
      </c>
      <c r="X706" s="93">
        <f t="shared" si="164"/>
        <v>-0.19922631148381098</v>
      </c>
      <c r="AB706" s="89">
        <f t="shared" si="174"/>
        <v>195</v>
      </c>
      <c r="AC706" s="89">
        <f t="shared" si="175"/>
        <v>51.179276000000002</v>
      </c>
      <c r="AD706" s="89">
        <f t="shared" si="176"/>
        <v>82.731361000000007</v>
      </c>
      <c r="AE706" s="89">
        <f t="shared" si="177"/>
        <v>16132.615395000001</v>
      </c>
      <c r="AF706" s="90">
        <f t="shared" si="180"/>
        <v>6152.6565750000009</v>
      </c>
      <c r="AG706" s="93">
        <f t="shared" si="181"/>
        <v>0.61650119864923458</v>
      </c>
      <c r="AK706" s="90">
        <f t="shared" si="178"/>
        <v>142</v>
      </c>
      <c r="AL706" s="89">
        <f t="shared" si="179"/>
        <v>68.865979063380294</v>
      </c>
      <c r="AM706" s="89">
        <f t="shared" si="171"/>
        <v>82.731361000000007</v>
      </c>
      <c r="AN706" s="90">
        <f t="shared" si="172"/>
        <v>11747.853262000001</v>
      </c>
      <c r="AO706" s="93">
        <f t="shared" si="173"/>
        <v>0.20133863084787929</v>
      </c>
    </row>
    <row r="707" spans="2:41" x14ac:dyDescent="0.25">
      <c r="B707" s="91">
        <v>40378</v>
      </c>
      <c r="C707" s="89">
        <v>107.050003</v>
      </c>
      <c r="D707" s="89">
        <v>107.629997</v>
      </c>
      <c r="E707" s="89">
        <v>106.220001</v>
      </c>
      <c r="F707" s="89">
        <v>107.290001</v>
      </c>
      <c r="G707" s="89">
        <v>83.220009000000005</v>
      </c>
      <c r="H707" s="89">
        <v>186709000</v>
      </c>
      <c r="J707" s="89">
        <v>0</v>
      </c>
      <c r="K707" s="89">
        <f t="shared" si="169"/>
        <v>88</v>
      </c>
      <c r="L707" s="89">
        <f t="shared" si="170"/>
        <v>112.621376</v>
      </c>
      <c r="M707" s="89">
        <f>+SPY__2[[#This Row],[Adj Close]]</f>
        <v>83.220009000000005</v>
      </c>
      <c r="N707" s="89">
        <f t="shared" si="165"/>
        <v>7323.3607920000004</v>
      </c>
      <c r="O707" s="90">
        <f t="shared" si="166"/>
        <v>-2587.3202959999994</v>
      </c>
      <c r="P707" s="93">
        <f t="shared" si="167"/>
        <v>-0.26106382326566491</v>
      </c>
      <c r="Q707" s="96"/>
      <c r="R707" s="96"/>
      <c r="T707" s="90">
        <f t="shared" si="182"/>
        <v>95</v>
      </c>
      <c r="U707" s="89">
        <f t="shared" si="183"/>
        <v>103.31428490526316</v>
      </c>
      <c r="V707" s="89">
        <f t="shared" ref="V707:V770" si="184">+M707</f>
        <v>83.220009000000005</v>
      </c>
      <c r="W707" s="90">
        <f t="shared" si="168"/>
        <v>7905.9008550000008</v>
      </c>
      <c r="X707" s="93">
        <f t="shared" ref="X707:X770" si="185">+W707/(U707*T707)-1</f>
        <v>-0.19449658799544656</v>
      </c>
      <c r="AB707" s="89">
        <f t="shared" si="174"/>
        <v>195</v>
      </c>
      <c r="AC707" s="89">
        <f t="shared" si="175"/>
        <v>51.179276000000002</v>
      </c>
      <c r="AD707" s="89">
        <f t="shared" si="176"/>
        <v>83.220009000000005</v>
      </c>
      <c r="AE707" s="89">
        <f t="shared" si="177"/>
        <v>16227.901755000001</v>
      </c>
      <c r="AF707" s="90">
        <f t="shared" si="180"/>
        <v>6247.9429350000009</v>
      </c>
      <c r="AG707" s="93">
        <f t="shared" si="181"/>
        <v>0.62604896950867372</v>
      </c>
      <c r="AK707" s="90">
        <f t="shared" si="178"/>
        <v>142</v>
      </c>
      <c r="AL707" s="89">
        <f t="shared" si="179"/>
        <v>68.865979063380294</v>
      </c>
      <c r="AM707" s="89">
        <f t="shared" si="171"/>
        <v>83.220009000000005</v>
      </c>
      <c r="AN707" s="90">
        <f t="shared" si="172"/>
        <v>11817.241278000001</v>
      </c>
      <c r="AO707" s="93">
        <f t="shared" si="173"/>
        <v>0.20843426800639975</v>
      </c>
    </row>
    <row r="708" spans="2:41" x14ac:dyDescent="0.25">
      <c r="B708" s="91">
        <v>40379</v>
      </c>
      <c r="C708" s="89">
        <v>105.870003</v>
      </c>
      <c r="D708" s="89">
        <v>108.55999799999999</v>
      </c>
      <c r="E708" s="89">
        <v>105.82</v>
      </c>
      <c r="F708" s="89">
        <v>108.480003</v>
      </c>
      <c r="G708" s="89">
        <v>84.143066000000005</v>
      </c>
      <c r="H708" s="89">
        <v>258162400</v>
      </c>
      <c r="J708" s="89">
        <v>0</v>
      </c>
      <c r="K708" s="89">
        <f t="shared" si="169"/>
        <v>88</v>
      </c>
      <c r="L708" s="89">
        <f t="shared" si="170"/>
        <v>112.621376</v>
      </c>
      <c r="M708" s="89">
        <f>+SPY__2[[#This Row],[Adj Close]]</f>
        <v>84.143066000000005</v>
      </c>
      <c r="N708" s="89">
        <f t="shared" ref="N708:N771" si="186">+K708*M708</f>
        <v>7404.5898080000006</v>
      </c>
      <c r="O708" s="90">
        <f t="shared" ref="O708:O771" si="187">+(M708-L708)*K708</f>
        <v>-2506.0912799999996</v>
      </c>
      <c r="P708" s="93">
        <f t="shared" ref="P708:P771" si="188">+M708/L708-1</f>
        <v>-0.25286771491763693</v>
      </c>
      <c r="Q708" s="96"/>
      <c r="R708" s="96"/>
      <c r="T708" s="90">
        <f t="shared" si="182"/>
        <v>95</v>
      </c>
      <c r="U708" s="89">
        <f t="shared" si="183"/>
        <v>103.31428490526316</v>
      </c>
      <c r="V708" s="89">
        <f t="shared" si="184"/>
        <v>84.143066000000005</v>
      </c>
      <c r="W708" s="90">
        <f t="shared" ref="W708:W771" si="189">+V708*T708</f>
        <v>7993.5912700000008</v>
      </c>
      <c r="X708" s="93">
        <f t="shared" si="185"/>
        <v>-0.1855621313436252</v>
      </c>
      <c r="AB708" s="89">
        <f t="shared" si="174"/>
        <v>195</v>
      </c>
      <c r="AC708" s="89">
        <f t="shared" si="175"/>
        <v>51.179276000000002</v>
      </c>
      <c r="AD708" s="89">
        <f t="shared" si="176"/>
        <v>84.143066000000005</v>
      </c>
      <c r="AE708" s="89">
        <f t="shared" si="177"/>
        <v>16407.897870000001</v>
      </c>
      <c r="AF708" s="90">
        <f t="shared" si="180"/>
        <v>6427.9390500000009</v>
      </c>
      <c r="AG708" s="93">
        <f t="shared" si="181"/>
        <v>0.64408472679449402</v>
      </c>
      <c r="AK708" s="90">
        <f t="shared" si="178"/>
        <v>142</v>
      </c>
      <c r="AL708" s="89">
        <f t="shared" si="179"/>
        <v>68.865979063380294</v>
      </c>
      <c r="AM708" s="89">
        <f t="shared" si="171"/>
        <v>84.143066000000005</v>
      </c>
      <c r="AN708" s="90">
        <f t="shared" si="172"/>
        <v>11948.315372000001</v>
      </c>
      <c r="AO708" s="93">
        <f t="shared" si="173"/>
        <v>0.22183794007429358</v>
      </c>
    </row>
    <row r="709" spans="2:41" x14ac:dyDescent="0.25">
      <c r="B709" s="91">
        <v>40380</v>
      </c>
      <c r="C709" s="89">
        <v>109.040001</v>
      </c>
      <c r="D709" s="89">
        <v>109.07</v>
      </c>
      <c r="E709" s="89">
        <v>106.629997</v>
      </c>
      <c r="F709" s="89">
        <v>107.07</v>
      </c>
      <c r="G709" s="89">
        <v>83.049430999999998</v>
      </c>
      <c r="H709" s="89">
        <v>264527000</v>
      </c>
      <c r="J709" s="89">
        <v>0</v>
      </c>
      <c r="K709" s="89">
        <f t="shared" ref="K709:K772" si="190">+$K$3</f>
        <v>88</v>
      </c>
      <c r="L709" s="89">
        <f t="shared" ref="L709:L772" si="191">+$L$3</f>
        <v>112.621376</v>
      </c>
      <c r="M709" s="89">
        <f>+SPY__2[[#This Row],[Adj Close]]</f>
        <v>83.049430999999998</v>
      </c>
      <c r="N709" s="89">
        <f t="shared" si="186"/>
        <v>7308.3499279999996</v>
      </c>
      <c r="O709" s="90">
        <f t="shared" si="187"/>
        <v>-2602.3311599999997</v>
      </c>
      <c r="P709" s="93">
        <f t="shared" si="188"/>
        <v>-0.26257843804003955</v>
      </c>
      <c r="Q709" s="96"/>
      <c r="R709" s="96"/>
      <c r="T709" s="90">
        <f t="shared" si="182"/>
        <v>95</v>
      </c>
      <c r="U709" s="89">
        <f t="shared" si="183"/>
        <v>103.31428490526316</v>
      </c>
      <c r="V709" s="89">
        <f t="shared" si="184"/>
        <v>83.049430999999998</v>
      </c>
      <c r="W709" s="90">
        <f t="shared" si="189"/>
        <v>7889.6959449999995</v>
      </c>
      <c r="X709" s="93">
        <f t="shared" si="185"/>
        <v>-0.19614764718979161</v>
      </c>
      <c r="AB709" s="89">
        <f t="shared" si="174"/>
        <v>195</v>
      </c>
      <c r="AC709" s="89">
        <f t="shared" si="175"/>
        <v>51.179276000000002</v>
      </c>
      <c r="AD709" s="89">
        <f t="shared" si="176"/>
        <v>83.049430999999998</v>
      </c>
      <c r="AE709" s="89">
        <f t="shared" si="177"/>
        <v>16194.639045</v>
      </c>
      <c r="AF709" s="90">
        <f t="shared" si="180"/>
        <v>6214.6802249999992</v>
      </c>
      <c r="AG709" s="93">
        <f t="shared" si="181"/>
        <v>0.62271601888233041</v>
      </c>
      <c r="AK709" s="90">
        <f t="shared" si="178"/>
        <v>142</v>
      </c>
      <c r="AL709" s="89">
        <f t="shared" si="179"/>
        <v>68.865979063380294</v>
      </c>
      <c r="AM709" s="89">
        <f t="shared" si="171"/>
        <v>83.049430999999998</v>
      </c>
      <c r="AN709" s="90">
        <f t="shared" si="172"/>
        <v>11793.019201999999</v>
      </c>
      <c r="AO709" s="93">
        <f t="shared" si="173"/>
        <v>0.20595731200693557</v>
      </c>
    </row>
    <row r="710" spans="2:41" x14ac:dyDescent="0.25">
      <c r="B710" s="91">
        <v>40381</v>
      </c>
      <c r="C710" s="89">
        <v>108.339996</v>
      </c>
      <c r="D710" s="89">
        <v>109.94000200000001</v>
      </c>
      <c r="E710" s="89">
        <v>108.33000199999999</v>
      </c>
      <c r="F710" s="89">
        <v>109.459999</v>
      </c>
      <c r="G710" s="89">
        <v>84.903198000000003</v>
      </c>
      <c r="H710" s="89">
        <v>274781300</v>
      </c>
      <c r="J710" s="89">
        <v>0</v>
      </c>
      <c r="K710" s="89">
        <f t="shared" si="190"/>
        <v>88</v>
      </c>
      <c r="L710" s="89">
        <f t="shared" si="191"/>
        <v>112.621376</v>
      </c>
      <c r="M710" s="89">
        <f>+SPY__2[[#This Row],[Adj Close]]</f>
        <v>84.903198000000003</v>
      </c>
      <c r="N710" s="89">
        <f t="shared" si="186"/>
        <v>7471.4814240000005</v>
      </c>
      <c r="O710" s="90">
        <f t="shared" si="187"/>
        <v>-2439.1996639999998</v>
      </c>
      <c r="P710" s="93">
        <f t="shared" si="188"/>
        <v>-0.24611826799203729</v>
      </c>
      <c r="Q710" s="96"/>
      <c r="R710" s="96"/>
      <c r="T710" s="90">
        <f t="shared" si="182"/>
        <v>95</v>
      </c>
      <c r="U710" s="89">
        <f t="shared" si="183"/>
        <v>103.31428490526316</v>
      </c>
      <c r="V710" s="89">
        <f t="shared" si="184"/>
        <v>84.903198000000003</v>
      </c>
      <c r="W710" s="90">
        <f t="shared" si="189"/>
        <v>8065.8038100000003</v>
      </c>
      <c r="X710" s="93">
        <f t="shared" si="185"/>
        <v>-0.17820465894087834</v>
      </c>
      <c r="AB710" s="89">
        <f t="shared" si="174"/>
        <v>195</v>
      </c>
      <c r="AC710" s="89">
        <f t="shared" si="175"/>
        <v>51.179276000000002</v>
      </c>
      <c r="AD710" s="89">
        <f t="shared" si="176"/>
        <v>84.903198000000003</v>
      </c>
      <c r="AE710" s="89">
        <f t="shared" si="177"/>
        <v>16556.123610000002</v>
      </c>
      <c r="AF710" s="90">
        <f t="shared" si="180"/>
        <v>6576.1647900000007</v>
      </c>
      <c r="AG710" s="93">
        <f t="shared" si="181"/>
        <v>0.65893706663611273</v>
      </c>
      <c r="AK710" s="90">
        <f t="shared" si="178"/>
        <v>142</v>
      </c>
      <c r="AL710" s="89">
        <f t="shared" si="179"/>
        <v>68.865979063380294</v>
      </c>
      <c r="AM710" s="89">
        <f t="shared" si="171"/>
        <v>84.903198000000003</v>
      </c>
      <c r="AN710" s="90">
        <f t="shared" si="172"/>
        <v>12056.254116</v>
      </c>
      <c r="AO710" s="93">
        <f t="shared" si="173"/>
        <v>0.23287578503545237</v>
      </c>
    </row>
    <row r="711" spans="2:41" x14ac:dyDescent="0.25">
      <c r="B711" s="91">
        <v>40382</v>
      </c>
      <c r="C711" s="89">
        <v>109.239998</v>
      </c>
      <c r="D711" s="89">
        <v>110.57</v>
      </c>
      <c r="E711" s="89">
        <v>108.93</v>
      </c>
      <c r="F711" s="89">
        <v>110.410004</v>
      </c>
      <c r="G711" s="89">
        <v>85.640067999999999</v>
      </c>
      <c r="H711" s="89">
        <v>222020800</v>
      </c>
      <c r="J711" s="89">
        <v>0</v>
      </c>
      <c r="K711" s="89">
        <f t="shared" si="190"/>
        <v>88</v>
      </c>
      <c r="L711" s="89">
        <f t="shared" si="191"/>
        <v>112.621376</v>
      </c>
      <c r="M711" s="89">
        <f>+SPY__2[[#This Row],[Adj Close]]</f>
        <v>85.640067999999999</v>
      </c>
      <c r="N711" s="89">
        <f t="shared" si="186"/>
        <v>7536.3259840000001</v>
      </c>
      <c r="O711" s="90">
        <f t="shared" si="187"/>
        <v>-2374.3551039999998</v>
      </c>
      <c r="P711" s="93">
        <f t="shared" si="188"/>
        <v>-0.2395753715529102</v>
      </c>
      <c r="Q711" s="96"/>
      <c r="R711" s="96"/>
      <c r="T711" s="90">
        <f t="shared" si="182"/>
        <v>95</v>
      </c>
      <c r="U711" s="89">
        <f t="shared" si="183"/>
        <v>103.31428490526316</v>
      </c>
      <c r="V711" s="89">
        <f t="shared" si="184"/>
        <v>85.640067999999999</v>
      </c>
      <c r="W711" s="90">
        <f t="shared" si="189"/>
        <v>8135.8064599999998</v>
      </c>
      <c r="X711" s="93">
        <f t="shared" si="185"/>
        <v>-0.17107234417263806</v>
      </c>
      <c r="AB711" s="89">
        <f t="shared" si="174"/>
        <v>195</v>
      </c>
      <c r="AC711" s="89">
        <f t="shared" si="175"/>
        <v>51.179276000000002</v>
      </c>
      <c r="AD711" s="89">
        <f t="shared" si="176"/>
        <v>85.640067999999999</v>
      </c>
      <c r="AE711" s="89">
        <f t="shared" si="177"/>
        <v>16699.813259999999</v>
      </c>
      <c r="AF711" s="90">
        <f t="shared" si="180"/>
        <v>6719.8544399999992</v>
      </c>
      <c r="AG711" s="93">
        <f t="shared" si="181"/>
        <v>0.67333488656619522</v>
      </c>
      <c r="AK711" s="90">
        <f t="shared" si="178"/>
        <v>142</v>
      </c>
      <c r="AL711" s="89">
        <f t="shared" si="179"/>
        <v>68.865979063380294</v>
      </c>
      <c r="AM711" s="89">
        <f t="shared" si="171"/>
        <v>85.640067999999999</v>
      </c>
      <c r="AN711" s="90">
        <f t="shared" si="172"/>
        <v>12160.889655999999</v>
      </c>
      <c r="AO711" s="93">
        <f t="shared" si="173"/>
        <v>0.24357584346810501</v>
      </c>
    </row>
    <row r="712" spans="2:41" x14ac:dyDescent="0.25">
      <c r="B712" s="91">
        <v>40385</v>
      </c>
      <c r="C712" s="89">
        <v>110.599998</v>
      </c>
      <c r="D712" s="89">
        <v>111.66999800000001</v>
      </c>
      <c r="E712" s="89">
        <v>110.290001</v>
      </c>
      <c r="F712" s="89">
        <v>111.55999799999999</v>
      </c>
      <c r="G712" s="89">
        <v>86.532104000000004</v>
      </c>
      <c r="H712" s="89">
        <v>184445700</v>
      </c>
      <c r="J712" s="89">
        <v>0</v>
      </c>
      <c r="K712" s="89">
        <f t="shared" si="190"/>
        <v>88</v>
      </c>
      <c r="L712" s="89">
        <f t="shared" si="191"/>
        <v>112.621376</v>
      </c>
      <c r="M712" s="89">
        <f>+SPY__2[[#This Row],[Adj Close]]</f>
        <v>86.532104000000004</v>
      </c>
      <c r="N712" s="89">
        <f t="shared" si="186"/>
        <v>7614.8251520000003</v>
      </c>
      <c r="O712" s="90">
        <f t="shared" si="187"/>
        <v>-2295.8559359999995</v>
      </c>
      <c r="P712" s="93">
        <f t="shared" si="188"/>
        <v>-0.23165470825005718</v>
      </c>
      <c r="Q712" s="96"/>
      <c r="R712" s="96"/>
      <c r="T712" s="90">
        <f t="shared" si="182"/>
        <v>95</v>
      </c>
      <c r="U712" s="89">
        <f t="shared" si="183"/>
        <v>103.31428490526316</v>
      </c>
      <c r="V712" s="89">
        <f t="shared" si="184"/>
        <v>86.532104000000004</v>
      </c>
      <c r="W712" s="90">
        <f t="shared" si="189"/>
        <v>8220.5498800000005</v>
      </c>
      <c r="X712" s="93">
        <f t="shared" si="185"/>
        <v>-0.16243814609617668</v>
      </c>
      <c r="AB712" s="89">
        <f t="shared" si="174"/>
        <v>195</v>
      </c>
      <c r="AC712" s="89">
        <f t="shared" si="175"/>
        <v>51.179276000000002</v>
      </c>
      <c r="AD712" s="89">
        <f t="shared" si="176"/>
        <v>86.532104000000004</v>
      </c>
      <c r="AE712" s="89">
        <f t="shared" si="177"/>
        <v>16873.760280000002</v>
      </c>
      <c r="AF712" s="90">
        <f t="shared" si="180"/>
        <v>6893.8014600000006</v>
      </c>
      <c r="AG712" s="93">
        <f t="shared" si="181"/>
        <v>0.69076451960750673</v>
      </c>
      <c r="AK712" s="90">
        <f t="shared" si="178"/>
        <v>142</v>
      </c>
      <c r="AL712" s="89">
        <f t="shared" si="179"/>
        <v>68.865979063380294</v>
      </c>
      <c r="AM712" s="89">
        <f t="shared" si="171"/>
        <v>86.532104000000004</v>
      </c>
      <c r="AN712" s="90">
        <f t="shared" si="172"/>
        <v>12287.558768000001</v>
      </c>
      <c r="AO712" s="93">
        <f t="shared" si="173"/>
        <v>0.25652906089320004</v>
      </c>
    </row>
    <row r="713" spans="2:41" x14ac:dyDescent="0.25">
      <c r="B713" s="91">
        <v>40386</v>
      </c>
      <c r="C713" s="89">
        <v>112.16999800000001</v>
      </c>
      <c r="D713" s="89">
        <v>112.290001</v>
      </c>
      <c r="E713" s="89">
        <v>111.110001</v>
      </c>
      <c r="F713" s="89">
        <v>111.550003</v>
      </c>
      <c r="G713" s="89">
        <v>86.524322999999995</v>
      </c>
      <c r="H713" s="89">
        <v>204855600</v>
      </c>
      <c r="J713" s="89">
        <v>0</v>
      </c>
      <c r="K713" s="89">
        <f t="shared" si="190"/>
        <v>88</v>
      </c>
      <c r="L713" s="89">
        <f t="shared" si="191"/>
        <v>112.621376</v>
      </c>
      <c r="M713" s="89">
        <f>+SPY__2[[#This Row],[Adj Close]]</f>
        <v>86.524322999999995</v>
      </c>
      <c r="N713" s="89">
        <f t="shared" si="186"/>
        <v>7614.1404239999993</v>
      </c>
      <c r="O713" s="90">
        <f t="shared" si="187"/>
        <v>-2296.5406640000001</v>
      </c>
      <c r="P713" s="93">
        <f t="shared" si="188"/>
        <v>-0.23172379815355837</v>
      </c>
      <c r="Q713" s="96"/>
      <c r="R713" s="96"/>
      <c r="T713" s="90">
        <f t="shared" si="182"/>
        <v>95</v>
      </c>
      <c r="U713" s="89">
        <f t="shared" si="183"/>
        <v>103.31428490526316</v>
      </c>
      <c r="V713" s="89">
        <f t="shared" si="184"/>
        <v>86.524322999999995</v>
      </c>
      <c r="W713" s="90">
        <f t="shared" si="189"/>
        <v>8219.8106850000004</v>
      </c>
      <c r="X713" s="93">
        <f t="shared" si="185"/>
        <v>-0.16251345997950983</v>
      </c>
      <c r="AB713" s="89">
        <f t="shared" si="174"/>
        <v>195</v>
      </c>
      <c r="AC713" s="89">
        <f t="shared" si="175"/>
        <v>51.179276000000002</v>
      </c>
      <c r="AD713" s="89">
        <f t="shared" si="176"/>
        <v>86.524322999999995</v>
      </c>
      <c r="AE713" s="89">
        <f t="shared" si="177"/>
        <v>16872.242985000001</v>
      </c>
      <c r="AF713" s="90">
        <f t="shared" si="180"/>
        <v>6892.2841649999991</v>
      </c>
      <c r="AG713" s="93">
        <f t="shared" si="181"/>
        <v>0.69061248541304088</v>
      </c>
      <c r="AK713" s="90">
        <f t="shared" si="178"/>
        <v>142</v>
      </c>
      <c r="AL713" s="89">
        <f t="shared" si="179"/>
        <v>68.865979063380294</v>
      </c>
      <c r="AM713" s="89">
        <f t="shared" si="171"/>
        <v>86.524322999999995</v>
      </c>
      <c r="AN713" s="90">
        <f t="shared" si="172"/>
        <v>12286.453866</v>
      </c>
      <c r="AO713" s="93">
        <f t="shared" si="173"/>
        <v>0.25641607331782779</v>
      </c>
    </row>
    <row r="714" spans="2:41" x14ac:dyDescent="0.25">
      <c r="B714" s="91">
        <v>40387</v>
      </c>
      <c r="C714" s="89">
        <v>111.32</v>
      </c>
      <c r="D714" s="89">
        <v>111.660004</v>
      </c>
      <c r="E714" s="89">
        <v>110.459999</v>
      </c>
      <c r="F714" s="89">
        <v>110.83000199999999</v>
      </c>
      <c r="G714" s="89">
        <v>85.965857999999997</v>
      </c>
      <c r="H714" s="89">
        <v>163056200</v>
      </c>
      <c r="J714" s="89">
        <v>0</v>
      </c>
      <c r="K714" s="89">
        <f t="shared" si="190"/>
        <v>88</v>
      </c>
      <c r="L714" s="89">
        <f t="shared" si="191"/>
        <v>112.621376</v>
      </c>
      <c r="M714" s="89">
        <f>+SPY__2[[#This Row],[Adj Close]]</f>
        <v>85.965857999999997</v>
      </c>
      <c r="N714" s="89">
        <f t="shared" si="186"/>
        <v>7564.9955039999995</v>
      </c>
      <c r="O714" s="90">
        <f t="shared" si="187"/>
        <v>-2345.6855839999998</v>
      </c>
      <c r="P714" s="93">
        <f t="shared" si="188"/>
        <v>-0.23668258146659482</v>
      </c>
      <c r="Q714" s="96"/>
      <c r="R714" s="96"/>
      <c r="T714" s="90">
        <f t="shared" si="182"/>
        <v>95</v>
      </c>
      <c r="U714" s="89">
        <f t="shared" si="183"/>
        <v>103.31428490526316</v>
      </c>
      <c r="V714" s="89">
        <f t="shared" si="184"/>
        <v>85.965857999999997</v>
      </c>
      <c r="W714" s="90">
        <f t="shared" si="189"/>
        <v>8166.7565100000002</v>
      </c>
      <c r="X714" s="93">
        <f t="shared" si="185"/>
        <v>-0.16791895642670585</v>
      </c>
      <c r="AB714" s="89">
        <f t="shared" si="174"/>
        <v>195</v>
      </c>
      <c r="AC714" s="89">
        <f t="shared" si="175"/>
        <v>51.179276000000002</v>
      </c>
      <c r="AD714" s="89">
        <f t="shared" si="176"/>
        <v>85.965857999999997</v>
      </c>
      <c r="AE714" s="89">
        <f t="shared" si="177"/>
        <v>16763.34231</v>
      </c>
      <c r="AF714" s="90">
        <f t="shared" si="180"/>
        <v>6783.3834899999993</v>
      </c>
      <c r="AG714" s="93">
        <f t="shared" si="181"/>
        <v>0.67970054910507116</v>
      </c>
      <c r="AK714" s="90">
        <f t="shared" si="178"/>
        <v>142</v>
      </c>
      <c r="AL714" s="89">
        <f t="shared" si="179"/>
        <v>68.865979063380294</v>
      </c>
      <c r="AM714" s="89">
        <f t="shared" si="171"/>
        <v>85.965857999999997</v>
      </c>
      <c r="AN714" s="90">
        <f t="shared" si="172"/>
        <v>12207.151835999999</v>
      </c>
      <c r="AO714" s="93">
        <f t="shared" si="173"/>
        <v>0.24830662642408607</v>
      </c>
    </row>
    <row r="715" spans="2:41" x14ac:dyDescent="0.25">
      <c r="B715" s="91">
        <v>40388</v>
      </c>
      <c r="C715" s="89">
        <v>111.519997</v>
      </c>
      <c r="D715" s="89">
        <v>111.82</v>
      </c>
      <c r="E715" s="89">
        <v>109.410004</v>
      </c>
      <c r="F715" s="89">
        <v>110.290001</v>
      </c>
      <c r="G715" s="89">
        <v>85.546988999999996</v>
      </c>
      <c r="H715" s="89">
        <v>220149100</v>
      </c>
      <c r="J715" s="89">
        <v>0</v>
      </c>
      <c r="K715" s="89">
        <f t="shared" si="190"/>
        <v>88</v>
      </c>
      <c r="L715" s="89">
        <f t="shared" si="191"/>
        <v>112.621376</v>
      </c>
      <c r="M715" s="89">
        <f>+SPY__2[[#This Row],[Adj Close]]</f>
        <v>85.546988999999996</v>
      </c>
      <c r="N715" s="89">
        <f t="shared" si="186"/>
        <v>7528.1350320000001</v>
      </c>
      <c r="O715" s="90">
        <f t="shared" si="187"/>
        <v>-2382.5460560000001</v>
      </c>
      <c r="P715" s="93">
        <f t="shared" si="188"/>
        <v>-0.2404018487573798</v>
      </c>
      <c r="Q715" s="96"/>
      <c r="R715" s="96"/>
      <c r="T715" s="90">
        <f t="shared" si="182"/>
        <v>95</v>
      </c>
      <c r="U715" s="89">
        <f t="shared" si="183"/>
        <v>103.31428490526316</v>
      </c>
      <c r="V715" s="89">
        <f t="shared" si="184"/>
        <v>85.546988999999996</v>
      </c>
      <c r="W715" s="90">
        <f t="shared" si="189"/>
        <v>8126.9639549999993</v>
      </c>
      <c r="X715" s="93">
        <f t="shared" si="185"/>
        <v>-0.17197327476597624</v>
      </c>
      <c r="AB715" s="89">
        <f t="shared" si="174"/>
        <v>195</v>
      </c>
      <c r="AC715" s="89">
        <f t="shared" si="175"/>
        <v>51.179276000000002</v>
      </c>
      <c r="AD715" s="89">
        <f t="shared" si="176"/>
        <v>85.546988999999996</v>
      </c>
      <c r="AE715" s="89">
        <f t="shared" si="177"/>
        <v>16681.662854999999</v>
      </c>
      <c r="AF715" s="90">
        <f t="shared" si="180"/>
        <v>6701.7040349999988</v>
      </c>
      <c r="AG715" s="93">
        <f t="shared" si="181"/>
        <v>0.67151620120612865</v>
      </c>
      <c r="AK715" s="90">
        <f t="shared" si="178"/>
        <v>142</v>
      </c>
      <c r="AL715" s="89">
        <f t="shared" si="179"/>
        <v>68.865979063380294</v>
      </c>
      <c r="AM715" s="89">
        <f t="shared" si="171"/>
        <v>85.546988999999996</v>
      </c>
      <c r="AN715" s="90">
        <f t="shared" si="172"/>
        <v>12147.672438</v>
      </c>
      <c r="AO715" s="93">
        <f t="shared" si="173"/>
        <v>0.24222424720437741</v>
      </c>
    </row>
    <row r="716" spans="2:41" x14ac:dyDescent="0.25">
      <c r="B716" s="91">
        <v>40389</v>
      </c>
      <c r="C716" s="89">
        <v>109.16999800000001</v>
      </c>
      <c r="D716" s="89">
        <v>110.860001</v>
      </c>
      <c r="E716" s="89">
        <v>108.980003</v>
      </c>
      <c r="F716" s="89">
        <v>110.269997</v>
      </c>
      <c r="G716" s="89">
        <v>85.531447999999997</v>
      </c>
      <c r="H716" s="89">
        <v>220070600</v>
      </c>
      <c r="J716" s="89">
        <v>0</v>
      </c>
      <c r="K716" s="89">
        <f t="shared" si="190"/>
        <v>88</v>
      </c>
      <c r="L716" s="89">
        <f t="shared" si="191"/>
        <v>112.621376</v>
      </c>
      <c r="M716" s="89">
        <f>+SPY__2[[#This Row],[Adj Close]]</f>
        <v>85.531447999999997</v>
      </c>
      <c r="N716" s="89">
        <f t="shared" si="186"/>
        <v>7526.7674239999997</v>
      </c>
      <c r="O716" s="90">
        <f t="shared" si="187"/>
        <v>-2383.9136640000002</v>
      </c>
      <c r="P716" s="93">
        <f t="shared" si="188"/>
        <v>-0.24053984209889245</v>
      </c>
      <c r="Q716" s="96"/>
      <c r="R716" s="96"/>
      <c r="T716" s="90">
        <f t="shared" si="182"/>
        <v>95</v>
      </c>
      <c r="U716" s="89">
        <f t="shared" si="183"/>
        <v>103.31428490526316</v>
      </c>
      <c r="V716" s="89">
        <f t="shared" si="184"/>
        <v>85.531447999999997</v>
      </c>
      <c r="W716" s="90">
        <f t="shared" si="189"/>
        <v>8125.4875599999996</v>
      </c>
      <c r="X716" s="93">
        <f t="shared" si="185"/>
        <v>-0.17212369926936655</v>
      </c>
      <c r="AB716" s="89">
        <f t="shared" si="174"/>
        <v>195</v>
      </c>
      <c r="AC716" s="89">
        <f t="shared" si="175"/>
        <v>51.179276000000002</v>
      </c>
      <c r="AD716" s="89">
        <f t="shared" si="176"/>
        <v>85.531447999999997</v>
      </c>
      <c r="AE716" s="89">
        <f t="shared" si="177"/>
        <v>16678.63236</v>
      </c>
      <c r="AF716" s="90">
        <f t="shared" si="180"/>
        <v>6698.6735399999989</v>
      </c>
      <c r="AG716" s="93">
        <f t="shared" si="181"/>
        <v>0.67121254313953171</v>
      </c>
      <c r="AK716" s="90">
        <f t="shared" si="178"/>
        <v>142</v>
      </c>
      <c r="AL716" s="89">
        <f t="shared" si="179"/>
        <v>68.865979063380294</v>
      </c>
      <c r="AM716" s="89">
        <f t="shared" si="171"/>
        <v>85.531447999999997</v>
      </c>
      <c r="AN716" s="90">
        <f t="shared" si="172"/>
        <v>12145.465615999999</v>
      </c>
      <c r="AO716" s="93">
        <f t="shared" si="173"/>
        <v>0.24199857699375427</v>
      </c>
    </row>
    <row r="717" spans="2:41" x14ac:dyDescent="0.25">
      <c r="B717" s="91">
        <v>40392</v>
      </c>
      <c r="C717" s="89">
        <v>111.989998</v>
      </c>
      <c r="D717" s="89">
        <v>112.94000200000001</v>
      </c>
      <c r="E717" s="89">
        <v>111.540001</v>
      </c>
      <c r="F717" s="89">
        <v>112.760002</v>
      </c>
      <c r="G717" s="89">
        <v>87.462860000000006</v>
      </c>
      <c r="H717" s="89">
        <v>188263200</v>
      </c>
      <c r="J717" s="89">
        <v>0</v>
      </c>
      <c r="K717" s="89">
        <f t="shared" si="190"/>
        <v>88</v>
      </c>
      <c r="L717" s="89">
        <f t="shared" si="191"/>
        <v>112.621376</v>
      </c>
      <c r="M717" s="89">
        <f>+SPY__2[[#This Row],[Adj Close]]</f>
        <v>87.462860000000006</v>
      </c>
      <c r="N717" s="89">
        <f t="shared" si="186"/>
        <v>7696.7316800000008</v>
      </c>
      <c r="O717" s="90">
        <f t="shared" si="187"/>
        <v>-2213.9494079999995</v>
      </c>
      <c r="P717" s="93">
        <f t="shared" si="188"/>
        <v>-0.22339023810186787</v>
      </c>
      <c r="Q717" s="96"/>
      <c r="R717" s="96"/>
      <c r="T717" s="90">
        <f t="shared" si="182"/>
        <v>95</v>
      </c>
      <c r="U717" s="89">
        <f t="shared" si="183"/>
        <v>103.31428490526316</v>
      </c>
      <c r="V717" s="89">
        <f t="shared" si="184"/>
        <v>87.462860000000006</v>
      </c>
      <c r="W717" s="90">
        <f t="shared" si="189"/>
        <v>8308.9717000000001</v>
      </c>
      <c r="X717" s="93">
        <f t="shared" si="185"/>
        <v>-0.1534291692557187</v>
      </c>
      <c r="AB717" s="89">
        <f t="shared" si="174"/>
        <v>195</v>
      </c>
      <c r="AC717" s="89">
        <f t="shared" si="175"/>
        <v>51.179276000000002</v>
      </c>
      <c r="AD717" s="89">
        <f t="shared" si="176"/>
        <v>87.462860000000006</v>
      </c>
      <c r="AE717" s="89">
        <f t="shared" si="177"/>
        <v>17055.257700000002</v>
      </c>
      <c r="AF717" s="90">
        <f t="shared" si="180"/>
        <v>7075.2988800000012</v>
      </c>
      <c r="AG717" s="93">
        <f t="shared" si="181"/>
        <v>0.70895070887677281</v>
      </c>
      <c r="AK717" s="90">
        <f t="shared" si="178"/>
        <v>142</v>
      </c>
      <c r="AL717" s="89">
        <f t="shared" si="179"/>
        <v>68.865979063380294</v>
      </c>
      <c r="AM717" s="89">
        <f t="shared" si="171"/>
        <v>87.462860000000006</v>
      </c>
      <c r="AN717" s="90">
        <f t="shared" si="172"/>
        <v>12419.726120000001</v>
      </c>
      <c r="AO717" s="93">
        <f t="shared" si="173"/>
        <v>0.27004452981789773</v>
      </c>
    </row>
    <row r="718" spans="2:41" x14ac:dyDescent="0.25">
      <c r="B718" s="91">
        <v>40393</v>
      </c>
      <c r="C718" s="89">
        <v>112.480003</v>
      </c>
      <c r="D718" s="89">
        <v>112.769997</v>
      </c>
      <c r="E718" s="89">
        <v>111.849998</v>
      </c>
      <c r="F718" s="89">
        <v>112.220001</v>
      </c>
      <c r="G718" s="89">
        <v>87.044014000000004</v>
      </c>
      <c r="H718" s="89">
        <v>146657300</v>
      </c>
      <c r="J718" s="89">
        <v>0</v>
      </c>
      <c r="K718" s="89">
        <f t="shared" si="190"/>
        <v>88</v>
      </c>
      <c r="L718" s="89">
        <f t="shared" si="191"/>
        <v>112.621376</v>
      </c>
      <c r="M718" s="89">
        <f>+SPY__2[[#This Row],[Adj Close]]</f>
        <v>87.044014000000004</v>
      </c>
      <c r="N718" s="89">
        <f t="shared" si="186"/>
        <v>7659.8732319999999</v>
      </c>
      <c r="O718" s="90">
        <f t="shared" si="187"/>
        <v>-2250.8078559999994</v>
      </c>
      <c r="P718" s="93">
        <f t="shared" si="188"/>
        <v>-0.22710930116854544</v>
      </c>
      <c r="Q718" s="96"/>
      <c r="R718" s="96"/>
      <c r="T718" s="90">
        <f t="shared" si="182"/>
        <v>95</v>
      </c>
      <c r="U718" s="89">
        <f t="shared" si="183"/>
        <v>103.31428490526316</v>
      </c>
      <c r="V718" s="89">
        <f t="shared" si="184"/>
        <v>87.044014000000004</v>
      </c>
      <c r="W718" s="90">
        <f t="shared" si="189"/>
        <v>8269.1813300000013</v>
      </c>
      <c r="X718" s="93">
        <f t="shared" si="185"/>
        <v>-0.15748326497330567</v>
      </c>
      <c r="AB718" s="89">
        <f t="shared" si="174"/>
        <v>195</v>
      </c>
      <c r="AC718" s="89">
        <f t="shared" si="175"/>
        <v>51.179276000000002</v>
      </c>
      <c r="AD718" s="89">
        <f t="shared" si="176"/>
        <v>87.044014000000004</v>
      </c>
      <c r="AE718" s="89">
        <f t="shared" si="177"/>
        <v>16973.582730000002</v>
      </c>
      <c r="AF718" s="90">
        <f t="shared" si="180"/>
        <v>6993.6239100000003</v>
      </c>
      <c r="AG718" s="93">
        <f t="shared" si="181"/>
        <v>0.7007668103784821</v>
      </c>
      <c r="AK718" s="90">
        <f t="shared" si="178"/>
        <v>142</v>
      </c>
      <c r="AL718" s="89">
        <f t="shared" si="179"/>
        <v>68.865979063380294</v>
      </c>
      <c r="AM718" s="89">
        <f t="shared" si="171"/>
        <v>87.044014000000004</v>
      </c>
      <c r="AN718" s="90">
        <f t="shared" si="172"/>
        <v>12360.249988000001</v>
      </c>
      <c r="AO718" s="93">
        <f t="shared" si="173"/>
        <v>0.26396248458022642</v>
      </c>
    </row>
    <row r="719" spans="2:41" x14ac:dyDescent="0.25">
      <c r="B719" s="91">
        <v>40394</v>
      </c>
      <c r="C719" s="89">
        <v>112.529999</v>
      </c>
      <c r="D719" s="89">
        <v>113.110001</v>
      </c>
      <c r="E719" s="89">
        <v>112.160004</v>
      </c>
      <c r="F719" s="89">
        <v>112.970001</v>
      </c>
      <c r="G719" s="89">
        <v>87.625725000000003</v>
      </c>
      <c r="H719" s="89">
        <v>158171700</v>
      </c>
      <c r="J719" s="89">
        <v>0</v>
      </c>
      <c r="K719" s="89">
        <f t="shared" si="190"/>
        <v>88</v>
      </c>
      <c r="L719" s="89">
        <f t="shared" si="191"/>
        <v>112.621376</v>
      </c>
      <c r="M719" s="89">
        <f>+SPY__2[[#This Row],[Adj Close]]</f>
        <v>87.625725000000003</v>
      </c>
      <c r="N719" s="89">
        <f t="shared" si="186"/>
        <v>7711.0637999999999</v>
      </c>
      <c r="O719" s="90">
        <f t="shared" si="187"/>
        <v>-2199.6172879999995</v>
      </c>
      <c r="P719" s="93">
        <f t="shared" si="188"/>
        <v>-0.22194410943798093</v>
      </c>
      <c r="Q719" s="96"/>
      <c r="R719" s="96"/>
      <c r="T719" s="90">
        <f t="shared" si="182"/>
        <v>95</v>
      </c>
      <c r="U719" s="89">
        <f t="shared" si="183"/>
        <v>103.31428490526316</v>
      </c>
      <c r="V719" s="89">
        <f t="shared" si="184"/>
        <v>87.625725000000003</v>
      </c>
      <c r="W719" s="90">
        <f t="shared" si="189"/>
        <v>8324.4438750000008</v>
      </c>
      <c r="X719" s="93">
        <f t="shared" si="185"/>
        <v>-0.15185276575886097</v>
      </c>
      <c r="AB719" s="89">
        <f t="shared" si="174"/>
        <v>195</v>
      </c>
      <c r="AC719" s="89">
        <f t="shared" si="175"/>
        <v>51.179276000000002</v>
      </c>
      <c r="AD719" s="89">
        <f t="shared" si="176"/>
        <v>87.625725000000003</v>
      </c>
      <c r="AE719" s="89">
        <f t="shared" si="177"/>
        <v>17087.016374999999</v>
      </c>
      <c r="AF719" s="90">
        <f t="shared" si="180"/>
        <v>7107.0575550000003</v>
      </c>
      <c r="AG719" s="93">
        <f t="shared" si="181"/>
        <v>0.71213295397144738</v>
      </c>
      <c r="AK719" s="90">
        <f t="shared" si="178"/>
        <v>142</v>
      </c>
      <c r="AL719" s="89">
        <f t="shared" si="179"/>
        <v>68.865979063380294</v>
      </c>
      <c r="AM719" s="89">
        <f t="shared" si="171"/>
        <v>87.625725000000003</v>
      </c>
      <c r="AN719" s="90">
        <f t="shared" si="172"/>
        <v>12442.85295</v>
      </c>
      <c r="AO719" s="93">
        <f t="shared" si="173"/>
        <v>0.27240948566714374</v>
      </c>
    </row>
    <row r="720" spans="2:41" x14ac:dyDescent="0.25">
      <c r="B720" s="91">
        <v>40395</v>
      </c>
      <c r="C720" s="89">
        <v>112.25</v>
      </c>
      <c r="D720" s="89">
        <v>112.910004</v>
      </c>
      <c r="E720" s="89">
        <v>112.08000199999999</v>
      </c>
      <c r="F720" s="89">
        <v>112.849998</v>
      </c>
      <c r="G720" s="89">
        <v>87.532677000000007</v>
      </c>
      <c r="H720" s="89">
        <v>140473800</v>
      </c>
      <c r="J720" s="89">
        <v>0</v>
      </c>
      <c r="K720" s="89">
        <f t="shared" si="190"/>
        <v>88</v>
      </c>
      <c r="L720" s="89">
        <f t="shared" si="191"/>
        <v>112.621376</v>
      </c>
      <c r="M720" s="89">
        <f>+SPY__2[[#This Row],[Adj Close]]</f>
        <v>87.532677000000007</v>
      </c>
      <c r="N720" s="89">
        <f t="shared" si="186"/>
        <v>7702.8755760000004</v>
      </c>
      <c r="O720" s="90">
        <f t="shared" si="187"/>
        <v>-2207.805511999999</v>
      </c>
      <c r="P720" s="93">
        <f t="shared" si="188"/>
        <v>-0.22277031138387082</v>
      </c>
      <c r="Q720" s="96"/>
      <c r="R720" s="96"/>
      <c r="T720" s="90">
        <f t="shared" si="182"/>
        <v>95</v>
      </c>
      <c r="U720" s="89">
        <f t="shared" si="183"/>
        <v>103.31428490526316</v>
      </c>
      <c r="V720" s="89">
        <f t="shared" si="184"/>
        <v>87.532677000000007</v>
      </c>
      <c r="W720" s="90">
        <f t="shared" si="189"/>
        <v>8315.6043150000005</v>
      </c>
      <c r="X720" s="93">
        <f t="shared" si="185"/>
        <v>-0.152753396296887</v>
      </c>
      <c r="AB720" s="89">
        <f t="shared" si="174"/>
        <v>195</v>
      </c>
      <c r="AC720" s="89">
        <f t="shared" si="175"/>
        <v>51.179276000000002</v>
      </c>
      <c r="AD720" s="89">
        <f t="shared" si="176"/>
        <v>87.532677000000007</v>
      </c>
      <c r="AE720" s="89">
        <f t="shared" si="177"/>
        <v>17068.872015000001</v>
      </c>
      <c r="AF720" s="90">
        <f t="shared" si="180"/>
        <v>7088.913195000001</v>
      </c>
      <c r="AG720" s="93">
        <f t="shared" si="181"/>
        <v>0.71031487432530316</v>
      </c>
      <c r="AK720" s="90">
        <f t="shared" si="178"/>
        <v>142</v>
      </c>
      <c r="AL720" s="89">
        <f t="shared" si="179"/>
        <v>68.865979063380294</v>
      </c>
      <c r="AM720" s="89">
        <f t="shared" si="171"/>
        <v>87.532677000000007</v>
      </c>
      <c r="AN720" s="90">
        <f t="shared" si="172"/>
        <v>12429.640134000001</v>
      </c>
      <c r="AO720" s="93">
        <f t="shared" si="173"/>
        <v>0.27105833955311898</v>
      </c>
    </row>
    <row r="721" spans="2:41" x14ac:dyDescent="0.25">
      <c r="B721" s="91">
        <v>40396</v>
      </c>
      <c r="C721" s="89">
        <v>111.739998</v>
      </c>
      <c r="D721" s="89">
        <v>112.57</v>
      </c>
      <c r="E721" s="89">
        <v>110.91999800000001</v>
      </c>
      <c r="F721" s="89">
        <v>112.389999</v>
      </c>
      <c r="G721" s="89">
        <v>87.175849999999997</v>
      </c>
      <c r="H721" s="89">
        <v>239728300</v>
      </c>
      <c r="J721" s="89">
        <v>0</v>
      </c>
      <c r="K721" s="89">
        <f t="shared" si="190"/>
        <v>88</v>
      </c>
      <c r="L721" s="89">
        <f t="shared" si="191"/>
        <v>112.621376</v>
      </c>
      <c r="M721" s="89">
        <f>+SPY__2[[#This Row],[Adj Close]]</f>
        <v>87.175849999999997</v>
      </c>
      <c r="N721" s="89">
        <f t="shared" si="186"/>
        <v>7671.4748</v>
      </c>
      <c r="O721" s="90">
        <f t="shared" si="187"/>
        <v>-2239.2062880000003</v>
      </c>
      <c r="P721" s="93">
        <f t="shared" si="188"/>
        <v>-0.22593868858430566</v>
      </c>
      <c r="Q721" s="96"/>
      <c r="R721" s="96"/>
      <c r="T721" s="90">
        <f t="shared" si="182"/>
        <v>95</v>
      </c>
      <c r="U721" s="89">
        <f t="shared" si="183"/>
        <v>103.31428490526316</v>
      </c>
      <c r="V721" s="89">
        <f t="shared" si="184"/>
        <v>87.175849999999997</v>
      </c>
      <c r="W721" s="90">
        <f t="shared" si="189"/>
        <v>8281.7057499999992</v>
      </c>
      <c r="X721" s="93">
        <f t="shared" si="185"/>
        <v>-0.15620719748543721</v>
      </c>
      <c r="AB721" s="89">
        <f t="shared" si="174"/>
        <v>195</v>
      </c>
      <c r="AC721" s="89">
        <f t="shared" si="175"/>
        <v>51.179276000000002</v>
      </c>
      <c r="AD721" s="89">
        <f t="shared" si="176"/>
        <v>87.175849999999997</v>
      </c>
      <c r="AE721" s="89">
        <f t="shared" si="177"/>
        <v>16999.29075</v>
      </c>
      <c r="AF721" s="90">
        <f t="shared" si="180"/>
        <v>7019.3319299999994</v>
      </c>
      <c r="AG721" s="93">
        <f t="shared" si="181"/>
        <v>0.70334277491537778</v>
      </c>
      <c r="AK721" s="90">
        <f t="shared" si="178"/>
        <v>142</v>
      </c>
      <c r="AL721" s="89">
        <f t="shared" si="179"/>
        <v>68.865979063380294</v>
      </c>
      <c r="AM721" s="89">
        <f t="shared" si="171"/>
        <v>87.175849999999997</v>
      </c>
      <c r="AN721" s="90">
        <f t="shared" si="172"/>
        <v>12378.9707</v>
      </c>
      <c r="AO721" s="93">
        <f t="shared" si="173"/>
        <v>0.26587686961900814</v>
      </c>
    </row>
    <row r="722" spans="2:41" x14ac:dyDescent="0.25">
      <c r="B722" s="91">
        <v>40399</v>
      </c>
      <c r="C722" s="89">
        <v>112.91999800000001</v>
      </c>
      <c r="D722" s="89">
        <v>113.18</v>
      </c>
      <c r="E722" s="89">
        <v>112.32</v>
      </c>
      <c r="F722" s="89">
        <v>112.989998</v>
      </c>
      <c r="G722" s="89">
        <v>87.641250999999997</v>
      </c>
      <c r="H722" s="89">
        <v>120800400</v>
      </c>
      <c r="J722" s="89">
        <v>0</v>
      </c>
      <c r="K722" s="89">
        <f t="shared" si="190"/>
        <v>88</v>
      </c>
      <c r="L722" s="89">
        <f t="shared" si="191"/>
        <v>112.621376</v>
      </c>
      <c r="M722" s="89">
        <f>+SPY__2[[#This Row],[Adj Close]]</f>
        <v>87.641250999999997</v>
      </c>
      <c r="N722" s="89">
        <f t="shared" si="186"/>
        <v>7712.4300880000001</v>
      </c>
      <c r="O722" s="90">
        <f t="shared" si="187"/>
        <v>-2198.2510000000002</v>
      </c>
      <c r="P722" s="93">
        <f t="shared" si="188"/>
        <v>-0.2218062492861036</v>
      </c>
      <c r="Q722" s="96"/>
      <c r="R722" s="96"/>
      <c r="T722" s="90">
        <f t="shared" si="182"/>
        <v>95</v>
      </c>
      <c r="U722" s="89">
        <f t="shared" si="183"/>
        <v>103.31428490526316</v>
      </c>
      <c r="V722" s="89">
        <f t="shared" si="184"/>
        <v>87.641250999999997</v>
      </c>
      <c r="W722" s="90">
        <f t="shared" si="189"/>
        <v>8325.9188450000001</v>
      </c>
      <c r="X722" s="93">
        <f t="shared" si="185"/>
        <v>-0.15170248644352502</v>
      </c>
      <c r="AB722" s="89">
        <f t="shared" si="174"/>
        <v>195</v>
      </c>
      <c r="AC722" s="89">
        <f t="shared" si="175"/>
        <v>51.179276000000002</v>
      </c>
      <c r="AD722" s="89">
        <f t="shared" si="176"/>
        <v>87.641250999999997</v>
      </c>
      <c r="AE722" s="89">
        <f t="shared" si="177"/>
        <v>17090.043944999998</v>
      </c>
      <c r="AF722" s="90">
        <f t="shared" si="180"/>
        <v>7110.0851249999987</v>
      </c>
      <c r="AG722" s="93">
        <f t="shared" si="181"/>
        <v>0.71243631895066262</v>
      </c>
      <c r="AK722" s="90">
        <f t="shared" si="178"/>
        <v>142</v>
      </c>
      <c r="AL722" s="89">
        <f t="shared" si="179"/>
        <v>68.865979063380294</v>
      </c>
      <c r="AM722" s="89">
        <f t="shared" si="171"/>
        <v>87.641250999999997</v>
      </c>
      <c r="AN722" s="90">
        <f t="shared" si="172"/>
        <v>12445.057642</v>
      </c>
      <c r="AO722" s="93">
        <f t="shared" si="173"/>
        <v>0.27263493806339456</v>
      </c>
    </row>
    <row r="723" spans="2:41" x14ac:dyDescent="0.25">
      <c r="B723" s="91">
        <v>40400</v>
      </c>
      <c r="C723" s="89">
        <v>112.029999</v>
      </c>
      <c r="D723" s="89">
        <v>112.980003</v>
      </c>
      <c r="E723" s="89">
        <v>111.370003</v>
      </c>
      <c r="F723" s="89">
        <v>112.379997</v>
      </c>
      <c r="G723" s="89">
        <v>87.168137000000002</v>
      </c>
      <c r="H723" s="89">
        <v>242916300</v>
      </c>
      <c r="J723" s="89">
        <v>0</v>
      </c>
      <c r="K723" s="89">
        <f t="shared" si="190"/>
        <v>88</v>
      </c>
      <c r="L723" s="89">
        <f t="shared" si="191"/>
        <v>112.621376</v>
      </c>
      <c r="M723" s="89">
        <f>+SPY__2[[#This Row],[Adj Close]]</f>
        <v>87.168137000000002</v>
      </c>
      <c r="N723" s="89">
        <f t="shared" si="186"/>
        <v>7670.7960560000001</v>
      </c>
      <c r="O723" s="90">
        <f t="shared" si="187"/>
        <v>-2239.8850319999997</v>
      </c>
      <c r="P723" s="93">
        <f t="shared" si="188"/>
        <v>-0.22600717469479326</v>
      </c>
      <c r="Q723" s="96"/>
      <c r="R723" s="96"/>
      <c r="T723" s="90">
        <f t="shared" si="182"/>
        <v>95</v>
      </c>
      <c r="U723" s="89">
        <f t="shared" si="183"/>
        <v>103.31428490526316</v>
      </c>
      <c r="V723" s="89">
        <f t="shared" si="184"/>
        <v>87.168137000000002</v>
      </c>
      <c r="W723" s="90">
        <f t="shared" si="189"/>
        <v>8280.9730149999996</v>
      </c>
      <c r="X723" s="93">
        <f t="shared" si="185"/>
        <v>-0.15628185318292442</v>
      </c>
      <c r="AB723" s="89">
        <f t="shared" si="174"/>
        <v>195</v>
      </c>
      <c r="AC723" s="89">
        <f t="shared" si="175"/>
        <v>51.179276000000002</v>
      </c>
      <c r="AD723" s="89">
        <f t="shared" si="176"/>
        <v>87.168137000000002</v>
      </c>
      <c r="AE723" s="89">
        <f t="shared" si="177"/>
        <v>16997.786715000002</v>
      </c>
      <c r="AF723" s="90">
        <f t="shared" si="180"/>
        <v>7017.8278950000004</v>
      </c>
      <c r="AG723" s="93">
        <f t="shared" si="181"/>
        <v>0.70319206938370904</v>
      </c>
      <c r="AK723" s="90">
        <f t="shared" si="178"/>
        <v>142</v>
      </c>
      <c r="AL723" s="89">
        <f t="shared" si="179"/>
        <v>68.865979063380294</v>
      </c>
      <c r="AM723" s="89">
        <f t="shared" si="171"/>
        <v>87.168137000000002</v>
      </c>
      <c r="AN723" s="90">
        <f t="shared" si="172"/>
        <v>12377.875454000001</v>
      </c>
      <c r="AO723" s="93">
        <f t="shared" si="173"/>
        <v>0.26576486946879041</v>
      </c>
    </row>
    <row r="724" spans="2:41" x14ac:dyDescent="0.25">
      <c r="B724" s="91">
        <v>40401</v>
      </c>
      <c r="C724" s="89">
        <v>110.650002</v>
      </c>
      <c r="D724" s="89">
        <v>110.69000200000001</v>
      </c>
      <c r="E724" s="89">
        <v>109.120003</v>
      </c>
      <c r="F724" s="89">
        <v>109.300003</v>
      </c>
      <c r="G724" s="89">
        <v>84.779076000000003</v>
      </c>
      <c r="H724" s="89">
        <v>273406900</v>
      </c>
      <c r="J724" s="89">
        <v>0</v>
      </c>
      <c r="K724" s="89">
        <f t="shared" si="190"/>
        <v>88</v>
      </c>
      <c r="L724" s="89">
        <f t="shared" si="191"/>
        <v>112.621376</v>
      </c>
      <c r="M724" s="89">
        <f>+SPY__2[[#This Row],[Adj Close]]</f>
        <v>84.779076000000003</v>
      </c>
      <c r="N724" s="89">
        <f t="shared" si="186"/>
        <v>7460.5586880000001</v>
      </c>
      <c r="O724" s="90">
        <f t="shared" si="187"/>
        <v>-2450.1223999999993</v>
      </c>
      <c r="P724" s="93">
        <f t="shared" si="188"/>
        <v>-0.24722038558648041</v>
      </c>
      <c r="Q724" s="96"/>
      <c r="R724" s="96"/>
      <c r="T724" s="90">
        <f t="shared" si="182"/>
        <v>95</v>
      </c>
      <c r="U724" s="89">
        <f t="shared" si="183"/>
        <v>103.31428490526316</v>
      </c>
      <c r="V724" s="89">
        <f t="shared" si="184"/>
        <v>84.779076000000003</v>
      </c>
      <c r="W724" s="90">
        <f t="shared" si="189"/>
        <v>8054.0122200000005</v>
      </c>
      <c r="X724" s="93">
        <f t="shared" si="185"/>
        <v>-0.17940606105205603</v>
      </c>
      <c r="AB724" s="89">
        <f t="shared" si="174"/>
        <v>195</v>
      </c>
      <c r="AC724" s="89">
        <f t="shared" si="175"/>
        <v>51.179276000000002</v>
      </c>
      <c r="AD724" s="89">
        <f t="shared" si="176"/>
        <v>84.779076000000003</v>
      </c>
      <c r="AE724" s="89">
        <f t="shared" si="177"/>
        <v>16531.919819999999</v>
      </c>
      <c r="AF724" s="90">
        <f t="shared" si="180"/>
        <v>6551.9610000000002</v>
      </c>
      <c r="AG724" s="93">
        <f t="shared" si="181"/>
        <v>0.6565118271700443</v>
      </c>
      <c r="AK724" s="90">
        <f t="shared" si="178"/>
        <v>142</v>
      </c>
      <c r="AL724" s="89">
        <f t="shared" si="179"/>
        <v>68.865979063380294</v>
      </c>
      <c r="AM724" s="89">
        <f t="shared" si="171"/>
        <v>84.779076000000003</v>
      </c>
      <c r="AN724" s="90">
        <f t="shared" si="172"/>
        <v>12038.628792000001</v>
      </c>
      <c r="AO724" s="93">
        <f t="shared" si="173"/>
        <v>0.23107341466784659</v>
      </c>
    </row>
    <row r="725" spans="2:41" x14ac:dyDescent="0.25">
      <c r="B725" s="91">
        <v>40402</v>
      </c>
      <c r="C725" s="89">
        <v>107.650002</v>
      </c>
      <c r="D725" s="89">
        <v>109.019997</v>
      </c>
      <c r="E725" s="89">
        <v>107.599998</v>
      </c>
      <c r="F725" s="89">
        <v>108.629997</v>
      </c>
      <c r="G725" s="89">
        <v>84.259406999999996</v>
      </c>
      <c r="H725" s="89">
        <v>239542600</v>
      </c>
      <c r="J725" s="89">
        <v>0</v>
      </c>
      <c r="K725" s="89">
        <f t="shared" si="190"/>
        <v>88</v>
      </c>
      <c r="L725" s="89">
        <f t="shared" si="191"/>
        <v>112.621376</v>
      </c>
      <c r="M725" s="89">
        <f>+SPY__2[[#This Row],[Adj Close]]</f>
        <v>84.259406999999996</v>
      </c>
      <c r="N725" s="89">
        <f t="shared" si="186"/>
        <v>7414.827816</v>
      </c>
      <c r="O725" s="90">
        <f t="shared" si="187"/>
        <v>-2495.8532720000003</v>
      </c>
      <c r="P725" s="93">
        <f t="shared" si="188"/>
        <v>-0.25183468722669489</v>
      </c>
      <c r="Q725" s="96"/>
      <c r="R725" s="96"/>
      <c r="T725" s="90">
        <f t="shared" si="182"/>
        <v>95</v>
      </c>
      <c r="U725" s="89">
        <f t="shared" si="183"/>
        <v>103.31428490526316</v>
      </c>
      <c r="V725" s="89">
        <f t="shared" si="184"/>
        <v>84.259406999999996</v>
      </c>
      <c r="W725" s="90">
        <f t="shared" si="189"/>
        <v>8004.6436649999996</v>
      </c>
      <c r="X725" s="93">
        <f t="shared" si="185"/>
        <v>-0.18443604311578066</v>
      </c>
      <c r="AB725" s="89">
        <f t="shared" si="174"/>
        <v>195</v>
      </c>
      <c r="AC725" s="89">
        <f t="shared" si="175"/>
        <v>51.179276000000002</v>
      </c>
      <c r="AD725" s="89">
        <f t="shared" si="176"/>
        <v>84.259406999999996</v>
      </c>
      <c r="AE725" s="89">
        <f t="shared" si="177"/>
        <v>16430.584364999999</v>
      </c>
      <c r="AF725" s="90">
        <f t="shared" si="180"/>
        <v>6450.625544999999</v>
      </c>
      <c r="AG725" s="93">
        <f t="shared" si="181"/>
        <v>0.64635793206609637</v>
      </c>
      <c r="AK725" s="90">
        <f t="shared" si="178"/>
        <v>142</v>
      </c>
      <c r="AL725" s="89">
        <f t="shared" si="179"/>
        <v>68.865979063380294</v>
      </c>
      <c r="AM725" s="89">
        <f t="shared" si="171"/>
        <v>84.259406999999996</v>
      </c>
      <c r="AN725" s="90">
        <f t="shared" si="172"/>
        <v>11964.835793999999</v>
      </c>
      <c r="AO725" s="93">
        <f t="shared" si="173"/>
        <v>0.2235273228665271</v>
      </c>
    </row>
    <row r="726" spans="2:41" x14ac:dyDescent="0.25">
      <c r="B726" s="91">
        <v>40403</v>
      </c>
      <c r="C726" s="89">
        <v>108.290001</v>
      </c>
      <c r="D726" s="89">
        <v>108.959999</v>
      </c>
      <c r="E726" s="89">
        <v>108.18</v>
      </c>
      <c r="F726" s="89">
        <v>108.30999799999999</v>
      </c>
      <c r="G726" s="89">
        <v>84.011200000000002</v>
      </c>
      <c r="H726" s="89">
        <v>158698500</v>
      </c>
      <c r="J726" s="89">
        <v>0</v>
      </c>
      <c r="K726" s="89">
        <f t="shared" si="190"/>
        <v>88</v>
      </c>
      <c r="L726" s="89">
        <f t="shared" si="191"/>
        <v>112.621376</v>
      </c>
      <c r="M726" s="89">
        <f>+SPY__2[[#This Row],[Adj Close]]</f>
        <v>84.011200000000002</v>
      </c>
      <c r="N726" s="89">
        <f t="shared" si="186"/>
        <v>7392.9856</v>
      </c>
      <c r="O726" s="90">
        <f t="shared" si="187"/>
        <v>-2517.6954879999994</v>
      </c>
      <c r="P726" s="93">
        <f t="shared" si="188"/>
        <v>-0.25403859388114736</v>
      </c>
      <c r="Q726" s="96"/>
      <c r="R726" s="96"/>
      <c r="T726" s="90">
        <f t="shared" si="182"/>
        <v>95</v>
      </c>
      <c r="U726" s="89">
        <f t="shared" si="183"/>
        <v>103.31428490526316</v>
      </c>
      <c r="V726" s="89">
        <f t="shared" si="184"/>
        <v>84.011200000000002</v>
      </c>
      <c r="W726" s="90">
        <f t="shared" si="189"/>
        <v>7981.0640000000003</v>
      </c>
      <c r="X726" s="93">
        <f t="shared" si="185"/>
        <v>-0.18683848920760227</v>
      </c>
      <c r="AB726" s="89">
        <f t="shared" si="174"/>
        <v>195</v>
      </c>
      <c r="AC726" s="89">
        <f t="shared" si="175"/>
        <v>51.179276000000002</v>
      </c>
      <c r="AD726" s="89">
        <f t="shared" si="176"/>
        <v>84.011200000000002</v>
      </c>
      <c r="AE726" s="89">
        <f t="shared" si="177"/>
        <v>16382.184000000001</v>
      </c>
      <c r="AF726" s="90">
        <f t="shared" si="180"/>
        <v>6402.2251800000004</v>
      </c>
      <c r="AG726" s="93">
        <f t="shared" si="181"/>
        <v>0.64150817608283472</v>
      </c>
      <c r="AK726" s="90">
        <f t="shared" si="178"/>
        <v>142</v>
      </c>
      <c r="AL726" s="89">
        <f t="shared" si="179"/>
        <v>68.865979063380294</v>
      </c>
      <c r="AM726" s="89">
        <f t="shared" si="171"/>
        <v>84.011200000000002</v>
      </c>
      <c r="AN726" s="90">
        <f t="shared" si="172"/>
        <v>11929.590400000001</v>
      </c>
      <c r="AO726" s="93">
        <f t="shared" si="173"/>
        <v>0.21992311940676723</v>
      </c>
    </row>
    <row r="727" spans="2:41" x14ac:dyDescent="0.25">
      <c r="B727" s="91">
        <v>40406</v>
      </c>
      <c r="C727" s="89">
        <v>107.57</v>
      </c>
      <c r="D727" s="89">
        <v>108.610001</v>
      </c>
      <c r="E727" s="89">
        <v>107.18</v>
      </c>
      <c r="F727" s="89">
        <v>108.260002</v>
      </c>
      <c r="G727" s="89">
        <v>83.972435000000004</v>
      </c>
      <c r="H727" s="89">
        <v>147895300</v>
      </c>
      <c r="J727" s="89">
        <v>0</v>
      </c>
      <c r="K727" s="89">
        <f t="shared" si="190"/>
        <v>88</v>
      </c>
      <c r="L727" s="89">
        <f t="shared" si="191"/>
        <v>112.621376</v>
      </c>
      <c r="M727" s="89">
        <f>+SPY__2[[#This Row],[Adj Close]]</f>
        <v>83.972435000000004</v>
      </c>
      <c r="N727" s="89">
        <f t="shared" si="186"/>
        <v>7389.5742800000007</v>
      </c>
      <c r="O727" s="90">
        <f t="shared" si="187"/>
        <v>-2521.1068079999995</v>
      </c>
      <c r="P727" s="93">
        <f t="shared" si="188"/>
        <v>-0.25438280029538973</v>
      </c>
      <c r="Q727" s="96"/>
      <c r="R727" s="96"/>
      <c r="T727" s="90">
        <f t="shared" si="182"/>
        <v>95</v>
      </c>
      <c r="U727" s="89">
        <f t="shared" si="183"/>
        <v>103.31428490526316</v>
      </c>
      <c r="V727" s="89">
        <f t="shared" si="184"/>
        <v>83.972435000000004</v>
      </c>
      <c r="W727" s="90">
        <f t="shared" si="189"/>
        <v>7977.3813250000003</v>
      </c>
      <c r="X727" s="93">
        <f t="shared" si="185"/>
        <v>-0.18721370353576172</v>
      </c>
      <c r="AB727" s="89">
        <f t="shared" si="174"/>
        <v>195</v>
      </c>
      <c r="AC727" s="89">
        <f t="shared" si="175"/>
        <v>51.179276000000002</v>
      </c>
      <c r="AD727" s="89">
        <f t="shared" si="176"/>
        <v>83.972435000000004</v>
      </c>
      <c r="AE727" s="89">
        <f t="shared" si="177"/>
        <v>16374.624825000001</v>
      </c>
      <c r="AF727" s="90">
        <f t="shared" si="180"/>
        <v>6394.666005000001</v>
      </c>
      <c r="AG727" s="93">
        <f t="shared" si="181"/>
        <v>0.64075074059273529</v>
      </c>
      <c r="AK727" s="90">
        <f t="shared" si="178"/>
        <v>142</v>
      </c>
      <c r="AL727" s="89">
        <f t="shared" si="179"/>
        <v>68.865979063380294</v>
      </c>
      <c r="AM727" s="89">
        <f t="shared" si="171"/>
        <v>83.972435000000004</v>
      </c>
      <c r="AN727" s="90">
        <f t="shared" si="172"/>
        <v>11924.085770000002</v>
      </c>
      <c r="AO727" s="93">
        <f t="shared" si="173"/>
        <v>0.21936021446404763</v>
      </c>
    </row>
    <row r="728" spans="2:41" x14ac:dyDescent="0.25">
      <c r="B728" s="91">
        <v>40407</v>
      </c>
      <c r="C728" s="89">
        <v>109.19000200000001</v>
      </c>
      <c r="D728" s="89">
        <v>110.389999</v>
      </c>
      <c r="E728" s="89">
        <v>108.879997</v>
      </c>
      <c r="F728" s="89">
        <v>109.589996</v>
      </c>
      <c r="G728" s="89">
        <v>85.004020999999995</v>
      </c>
      <c r="H728" s="89">
        <v>172270300</v>
      </c>
      <c r="J728" s="89">
        <v>0</v>
      </c>
      <c r="K728" s="89">
        <f t="shared" si="190"/>
        <v>88</v>
      </c>
      <c r="L728" s="89">
        <f t="shared" si="191"/>
        <v>112.621376</v>
      </c>
      <c r="M728" s="89">
        <f>+SPY__2[[#This Row],[Adj Close]]</f>
        <v>85.004020999999995</v>
      </c>
      <c r="N728" s="89">
        <f t="shared" si="186"/>
        <v>7480.3538479999997</v>
      </c>
      <c r="O728" s="90">
        <f t="shared" si="187"/>
        <v>-2430.3272400000005</v>
      </c>
      <c r="P728" s="93">
        <f t="shared" si="188"/>
        <v>-0.24522302941850049</v>
      </c>
      <c r="Q728" s="96"/>
      <c r="R728" s="96"/>
      <c r="T728" s="90">
        <f t="shared" si="182"/>
        <v>95</v>
      </c>
      <c r="U728" s="89">
        <f t="shared" si="183"/>
        <v>103.31428490526316</v>
      </c>
      <c r="V728" s="89">
        <f t="shared" si="184"/>
        <v>85.004020999999995</v>
      </c>
      <c r="W728" s="90">
        <f t="shared" si="189"/>
        <v>8075.3819949999997</v>
      </c>
      <c r="X728" s="93">
        <f t="shared" si="185"/>
        <v>-0.17722877259474101</v>
      </c>
      <c r="AB728" s="89">
        <f t="shared" si="174"/>
        <v>195</v>
      </c>
      <c r="AC728" s="89">
        <f t="shared" si="175"/>
        <v>51.179276000000002</v>
      </c>
      <c r="AD728" s="89">
        <f t="shared" si="176"/>
        <v>85.004020999999995</v>
      </c>
      <c r="AE728" s="89">
        <f t="shared" si="177"/>
        <v>16575.784094999999</v>
      </c>
      <c r="AF728" s="90">
        <f t="shared" si="180"/>
        <v>6595.8252749999983</v>
      </c>
      <c r="AG728" s="93">
        <f t="shared" si="181"/>
        <v>0.66090706324176973</v>
      </c>
      <c r="AK728" s="90">
        <f t="shared" si="178"/>
        <v>142</v>
      </c>
      <c r="AL728" s="89">
        <f t="shared" si="179"/>
        <v>68.865979063380294</v>
      </c>
      <c r="AM728" s="89">
        <f t="shared" si="171"/>
        <v>85.004020999999995</v>
      </c>
      <c r="AN728" s="90">
        <f t="shared" si="172"/>
        <v>12070.570981999999</v>
      </c>
      <c r="AO728" s="93">
        <f t="shared" si="173"/>
        <v>0.23433983159910032</v>
      </c>
    </row>
    <row r="729" spans="2:41" x14ac:dyDescent="0.25">
      <c r="B729" s="91">
        <v>40408</v>
      </c>
      <c r="C729" s="89">
        <v>109.540001</v>
      </c>
      <c r="D729" s="89">
        <v>110.379997</v>
      </c>
      <c r="E729" s="89">
        <v>108.910004</v>
      </c>
      <c r="F729" s="89">
        <v>109.790001</v>
      </c>
      <c r="G729" s="89">
        <v>85.159156999999993</v>
      </c>
      <c r="H729" s="89">
        <v>182922100</v>
      </c>
      <c r="J729" s="89">
        <v>0</v>
      </c>
      <c r="K729" s="89">
        <f t="shared" si="190"/>
        <v>88</v>
      </c>
      <c r="L729" s="89">
        <f t="shared" si="191"/>
        <v>112.621376</v>
      </c>
      <c r="M729" s="89">
        <f>+SPY__2[[#This Row],[Adj Close]]</f>
        <v>85.159156999999993</v>
      </c>
      <c r="N729" s="89">
        <f t="shared" si="186"/>
        <v>7494.005815999999</v>
      </c>
      <c r="O729" s="90">
        <f t="shared" si="187"/>
        <v>-2416.6752720000004</v>
      </c>
      <c r="P729" s="93">
        <f t="shared" si="188"/>
        <v>-0.24384552893404543</v>
      </c>
      <c r="Q729" s="96"/>
      <c r="R729" s="96"/>
      <c r="T729" s="90">
        <f t="shared" si="182"/>
        <v>95</v>
      </c>
      <c r="U729" s="89">
        <f t="shared" si="183"/>
        <v>103.31428490526316</v>
      </c>
      <c r="V729" s="89">
        <f t="shared" si="184"/>
        <v>85.159156999999993</v>
      </c>
      <c r="W729" s="90">
        <f t="shared" si="189"/>
        <v>8090.1199149999993</v>
      </c>
      <c r="X729" s="93">
        <f t="shared" si="185"/>
        <v>-0.17572717966262852</v>
      </c>
      <c r="AB729" s="89">
        <f t="shared" si="174"/>
        <v>195</v>
      </c>
      <c r="AC729" s="89">
        <f t="shared" si="175"/>
        <v>51.179276000000002</v>
      </c>
      <c r="AD729" s="89">
        <f t="shared" si="176"/>
        <v>85.159156999999993</v>
      </c>
      <c r="AE729" s="89">
        <f t="shared" si="177"/>
        <v>16606.035614999997</v>
      </c>
      <c r="AF729" s="90">
        <f t="shared" si="180"/>
        <v>6626.0767949999981</v>
      </c>
      <c r="AG729" s="93">
        <f t="shared" si="181"/>
        <v>0.66393829017823514</v>
      </c>
      <c r="AK729" s="90">
        <f t="shared" si="178"/>
        <v>142</v>
      </c>
      <c r="AL729" s="89">
        <f t="shared" si="179"/>
        <v>68.865979063380294</v>
      </c>
      <c r="AM729" s="89">
        <f t="shared" si="171"/>
        <v>85.159156999999993</v>
      </c>
      <c r="AN729" s="90">
        <f t="shared" si="172"/>
        <v>12092.600294</v>
      </c>
      <c r="AO729" s="93">
        <f t="shared" si="173"/>
        <v>0.2365925549627983</v>
      </c>
    </row>
    <row r="730" spans="2:41" x14ac:dyDescent="0.25">
      <c r="B730" s="91">
        <v>40409</v>
      </c>
      <c r="C730" s="89">
        <v>109.220001</v>
      </c>
      <c r="D730" s="89">
        <v>109.489998</v>
      </c>
      <c r="E730" s="89">
        <v>107.43</v>
      </c>
      <c r="F730" s="89">
        <v>107.879997</v>
      </c>
      <c r="G730" s="89">
        <v>83.677666000000002</v>
      </c>
      <c r="H730" s="89">
        <v>265847600</v>
      </c>
      <c r="J730" s="89">
        <v>0</v>
      </c>
      <c r="K730" s="89">
        <f t="shared" si="190"/>
        <v>88</v>
      </c>
      <c r="L730" s="89">
        <f t="shared" si="191"/>
        <v>112.621376</v>
      </c>
      <c r="M730" s="89">
        <f>+SPY__2[[#This Row],[Adj Close]]</f>
        <v>83.677666000000002</v>
      </c>
      <c r="N730" s="89">
        <f t="shared" si="186"/>
        <v>7363.6346080000003</v>
      </c>
      <c r="O730" s="90">
        <f t="shared" si="187"/>
        <v>-2547.0464799999995</v>
      </c>
      <c r="P730" s="93">
        <f t="shared" si="188"/>
        <v>-0.25700014533653004</v>
      </c>
      <c r="Q730" s="96"/>
      <c r="R730" s="96"/>
      <c r="T730" s="90">
        <f t="shared" si="182"/>
        <v>95</v>
      </c>
      <c r="U730" s="89">
        <f t="shared" si="183"/>
        <v>103.31428490526316</v>
      </c>
      <c r="V730" s="89">
        <f t="shared" si="184"/>
        <v>83.677666000000002</v>
      </c>
      <c r="W730" s="90">
        <f t="shared" si="189"/>
        <v>7949.3782700000002</v>
      </c>
      <c r="X730" s="93">
        <f t="shared" si="185"/>
        <v>-0.19006683270633384</v>
      </c>
      <c r="AB730" s="89">
        <f t="shared" si="174"/>
        <v>195</v>
      </c>
      <c r="AC730" s="89">
        <f t="shared" si="175"/>
        <v>51.179276000000002</v>
      </c>
      <c r="AD730" s="89">
        <f t="shared" si="176"/>
        <v>83.677666000000002</v>
      </c>
      <c r="AE730" s="89">
        <f t="shared" si="177"/>
        <v>16317.14487</v>
      </c>
      <c r="AF730" s="90">
        <f t="shared" si="180"/>
        <v>6337.1860500000003</v>
      </c>
      <c r="AG730" s="93">
        <f t="shared" si="181"/>
        <v>0.6349912022983677</v>
      </c>
      <c r="AK730" s="90">
        <f t="shared" si="178"/>
        <v>142</v>
      </c>
      <c r="AL730" s="89">
        <f t="shared" si="179"/>
        <v>68.865979063380294</v>
      </c>
      <c r="AM730" s="89">
        <f t="shared" si="171"/>
        <v>83.677666000000002</v>
      </c>
      <c r="AN730" s="90">
        <f t="shared" si="172"/>
        <v>11882.228572</v>
      </c>
      <c r="AO730" s="93">
        <f t="shared" si="173"/>
        <v>0.21507988615086537</v>
      </c>
    </row>
    <row r="731" spans="2:41" x14ac:dyDescent="0.25">
      <c r="B731" s="91">
        <v>40410</v>
      </c>
      <c r="C731" s="89">
        <v>107.55999799999999</v>
      </c>
      <c r="D731" s="89">
        <v>107.94000200000001</v>
      </c>
      <c r="E731" s="89">
        <v>106.75</v>
      </c>
      <c r="F731" s="89">
        <v>107.529999</v>
      </c>
      <c r="G731" s="89">
        <v>83.406188999999998</v>
      </c>
      <c r="H731" s="89">
        <v>209714200</v>
      </c>
      <c r="J731" s="89">
        <v>0</v>
      </c>
      <c r="K731" s="89">
        <f t="shared" si="190"/>
        <v>88</v>
      </c>
      <c r="L731" s="89">
        <f t="shared" si="191"/>
        <v>112.621376</v>
      </c>
      <c r="M731" s="89">
        <f>+SPY__2[[#This Row],[Adj Close]]</f>
        <v>83.406188999999998</v>
      </c>
      <c r="N731" s="89">
        <f t="shared" si="186"/>
        <v>7339.7446319999999</v>
      </c>
      <c r="O731" s="90">
        <f t="shared" si="187"/>
        <v>-2570.9364559999999</v>
      </c>
      <c r="P731" s="93">
        <f t="shared" si="188"/>
        <v>-0.25941067351192726</v>
      </c>
      <c r="Q731" s="96"/>
      <c r="R731" s="96"/>
      <c r="T731" s="90">
        <f t="shared" si="182"/>
        <v>95</v>
      </c>
      <c r="U731" s="89">
        <f t="shared" si="183"/>
        <v>103.31428490526316</v>
      </c>
      <c r="V731" s="89">
        <f t="shared" si="184"/>
        <v>83.406188999999998</v>
      </c>
      <c r="W731" s="90">
        <f t="shared" si="189"/>
        <v>7923.587955</v>
      </c>
      <c r="X731" s="93">
        <f t="shared" si="185"/>
        <v>-0.19269451386629088</v>
      </c>
      <c r="AB731" s="89">
        <f t="shared" si="174"/>
        <v>195</v>
      </c>
      <c r="AC731" s="89">
        <f t="shared" si="175"/>
        <v>51.179276000000002</v>
      </c>
      <c r="AD731" s="89">
        <f t="shared" si="176"/>
        <v>83.406188999999998</v>
      </c>
      <c r="AE731" s="89">
        <f t="shared" si="177"/>
        <v>16264.206855</v>
      </c>
      <c r="AF731" s="90">
        <f t="shared" si="180"/>
        <v>6284.2480349999996</v>
      </c>
      <c r="AG731" s="93">
        <f t="shared" si="181"/>
        <v>0.62968677009029972</v>
      </c>
      <c r="AK731" s="90">
        <f t="shared" si="178"/>
        <v>142</v>
      </c>
      <c r="AL731" s="89">
        <f t="shared" si="179"/>
        <v>68.865979063380294</v>
      </c>
      <c r="AM731" s="89">
        <f t="shared" si="171"/>
        <v>83.406188999999998</v>
      </c>
      <c r="AN731" s="90">
        <f t="shared" si="172"/>
        <v>11843.678838</v>
      </c>
      <c r="AO731" s="93">
        <f t="shared" si="173"/>
        <v>0.21113777999493388</v>
      </c>
    </row>
    <row r="732" spans="2:41" x14ac:dyDescent="0.25">
      <c r="B732" s="91">
        <v>40413</v>
      </c>
      <c r="C732" s="89">
        <v>108.040001</v>
      </c>
      <c r="D732" s="89">
        <v>108.57</v>
      </c>
      <c r="E732" s="89">
        <v>107.07</v>
      </c>
      <c r="F732" s="89">
        <v>107.120003</v>
      </c>
      <c r="G732" s="89">
        <v>83.088181000000006</v>
      </c>
      <c r="H732" s="89">
        <v>163490300</v>
      </c>
      <c r="J732" s="89">
        <v>0</v>
      </c>
      <c r="K732" s="89">
        <f t="shared" si="190"/>
        <v>88</v>
      </c>
      <c r="L732" s="89">
        <f t="shared" si="191"/>
        <v>112.621376</v>
      </c>
      <c r="M732" s="89">
        <f>+SPY__2[[#This Row],[Adj Close]]</f>
        <v>83.088181000000006</v>
      </c>
      <c r="N732" s="89">
        <f t="shared" si="186"/>
        <v>7311.7599280000004</v>
      </c>
      <c r="O732" s="90">
        <f t="shared" si="187"/>
        <v>-2598.9211599999994</v>
      </c>
      <c r="P732" s="93">
        <f t="shared" si="188"/>
        <v>-0.2622343648154325</v>
      </c>
      <c r="Q732" s="96"/>
      <c r="R732" s="96"/>
      <c r="T732" s="90">
        <f t="shared" si="182"/>
        <v>95</v>
      </c>
      <c r="U732" s="89">
        <f t="shared" si="183"/>
        <v>103.31428490526316</v>
      </c>
      <c r="V732" s="89">
        <f t="shared" si="184"/>
        <v>83.088181000000006</v>
      </c>
      <c r="W732" s="90">
        <f t="shared" si="189"/>
        <v>7893.3771950000009</v>
      </c>
      <c r="X732" s="93">
        <f t="shared" si="185"/>
        <v>-0.19577257804968629</v>
      </c>
      <c r="AB732" s="89">
        <f t="shared" si="174"/>
        <v>195</v>
      </c>
      <c r="AC732" s="89">
        <f t="shared" si="175"/>
        <v>51.179276000000002</v>
      </c>
      <c r="AD732" s="89">
        <f t="shared" si="176"/>
        <v>83.088181000000006</v>
      </c>
      <c r="AE732" s="89">
        <f t="shared" si="177"/>
        <v>16202.195295000001</v>
      </c>
      <c r="AF732" s="90">
        <f t="shared" si="180"/>
        <v>6222.2364750000006</v>
      </c>
      <c r="AG732" s="93">
        <f t="shared" si="181"/>
        <v>0.62347316128504837</v>
      </c>
      <c r="AK732" s="90">
        <f t="shared" si="178"/>
        <v>142</v>
      </c>
      <c r="AL732" s="89">
        <f t="shared" si="179"/>
        <v>68.865979063380294</v>
      </c>
      <c r="AM732" s="89">
        <f t="shared" si="171"/>
        <v>83.088181000000006</v>
      </c>
      <c r="AN732" s="90">
        <f t="shared" si="172"/>
        <v>11798.521702</v>
      </c>
      <c r="AO732" s="93">
        <f t="shared" si="173"/>
        <v>0.20651999913528285</v>
      </c>
    </row>
    <row r="733" spans="2:41" x14ac:dyDescent="0.25">
      <c r="B733" s="91">
        <v>40414</v>
      </c>
      <c r="C733" s="89">
        <v>105.949997</v>
      </c>
      <c r="D733" s="89">
        <v>106.389999</v>
      </c>
      <c r="E733" s="89">
        <v>104.970001</v>
      </c>
      <c r="F733" s="89">
        <v>105.529999</v>
      </c>
      <c r="G733" s="89">
        <v>81.854896999999994</v>
      </c>
      <c r="H733" s="89">
        <v>280677800</v>
      </c>
      <c r="J733" s="89">
        <v>0</v>
      </c>
      <c r="K733" s="89">
        <f t="shared" si="190"/>
        <v>88</v>
      </c>
      <c r="L733" s="89">
        <f t="shared" si="191"/>
        <v>112.621376</v>
      </c>
      <c r="M733" s="89">
        <f>+SPY__2[[#This Row],[Adj Close]]</f>
        <v>81.854896999999994</v>
      </c>
      <c r="N733" s="89">
        <f t="shared" si="186"/>
        <v>7203.2309359999999</v>
      </c>
      <c r="O733" s="90">
        <f t="shared" si="187"/>
        <v>-2707.4501520000003</v>
      </c>
      <c r="P733" s="93">
        <f t="shared" si="188"/>
        <v>-0.27318507456346475</v>
      </c>
      <c r="Q733" s="96"/>
      <c r="R733" s="96"/>
      <c r="T733" s="90">
        <f t="shared" si="182"/>
        <v>95</v>
      </c>
      <c r="U733" s="89">
        <f t="shared" si="183"/>
        <v>103.31428490526316</v>
      </c>
      <c r="V733" s="89">
        <f t="shared" si="184"/>
        <v>81.854896999999994</v>
      </c>
      <c r="W733" s="90">
        <f t="shared" si="189"/>
        <v>7776.2152149999993</v>
      </c>
      <c r="X733" s="93">
        <f t="shared" si="185"/>
        <v>-0.20770978500157011</v>
      </c>
      <c r="AB733" s="89">
        <f t="shared" si="174"/>
        <v>195</v>
      </c>
      <c r="AC733" s="89">
        <f t="shared" si="175"/>
        <v>51.179276000000002</v>
      </c>
      <c r="AD733" s="89">
        <f t="shared" si="176"/>
        <v>81.854896999999994</v>
      </c>
      <c r="AE733" s="89">
        <f t="shared" si="177"/>
        <v>15961.704914999998</v>
      </c>
      <c r="AF733" s="90">
        <f t="shared" si="180"/>
        <v>5981.7460949999986</v>
      </c>
      <c r="AG733" s="93">
        <f t="shared" si="181"/>
        <v>0.59937582938844214</v>
      </c>
      <c r="AK733" s="90">
        <f t="shared" si="178"/>
        <v>142</v>
      </c>
      <c r="AL733" s="89">
        <f t="shared" si="179"/>
        <v>68.865979063380294</v>
      </c>
      <c r="AM733" s="89">
        <f t="shared" si="171"/>
        <v>81.854896999999994</v>
      </c>
      <c r="AN733" s="90">
        <f t="shared" si="172"/>
        <v>11623.395374</v>
      </c>
      <c r="AO733" s="93">
        <f t="shared" si="173"/>
        <v>0.18861153378311024</v>
      </c>
    </row>
    <row r="734" spans="2:41" x14ac:dyDescent="0.25">
      <c r="B734" s="91">
        <v>40415</v>
      </c>
      <c r="C734" s="89">
        <v>104.949997</v>
      </c>
      <c r="D734" s="89">
        <v>106.339996</v>
      </c>
      <c r="E734" s="89">
        <v>104.290001</v>
      </c>
      <c r="F734" s="89">
        <v>105.94000200000001</v>
      </c>
      <c r="G734" s="89">
        <v>82.172897000000006</v>
      </c>
      <c r="H734" s="89">
        <v>272234800</v>
      </c>
      <c r="J734" s="89">
        <v>0</v>
      </c>
      <c r="K734" s="89">
        <f t="shared" si="190"/>
        <v>88</v>
      </c>
      <c r="L734" s="89">
        <f t="shared" si="191"/>
        <v>112.621376</v>
      </c>
      <c r="M734" s="89">
        <f>+SPY__2[[#This Row],[Adj Close]]</f>
        <v>82.172897000000006</v>
      </c>
      <c r="N734" s="89">
        <f t="shared" si="186"/>
        <v>7231.2149360000003</v>
      </c>
      <c r="O734" s="90">
        <f t="shared" si="187"/>
        <v>-2679.4661519999991</v>
      </c>
      <c r="P734" s="93">
        <f t="shared" si="188"/>
        <v>-0.27036145429443159</v>
      </c>
      <c r="Q734" s="96"/>
      <c r="R734" s="96"/>
      <c r="T734" s="90">
        <f t="shared" si="182"/>
        <v>95</v>
      </c>
      <c r="U734" s="89">
        <f t="shared" si="183"/>
        <v>103.31428490526316</v>
      </c>
      <c r="V734" s="89">
        <f t="shared" si="184"/>
        <v>82.172897000000006</v>
      </c>
      <c r="W734" s="90">
        <f t="shared" si="189"/>
        <v>7806.4252150000002</v>
      </c>
      <c r="X734" s="93">
        <f t="shared" si="185"/>
        <v>-0.20463179825180355</v>
      </c>
      <c r="AB734" s="89">
        <f t="shared" si="174"/>
        <v>195</v>
      </c>
      <c r="AC734" s="89">
        <f t="shared" si="175"/>
        <v>51.179276000000002</v>
      </c>
      <c r="AD734" s="89">
        <f t="shared" si="176"/>
        <v>82.172897000000006</v>
      </c>
      <c r="AE734" s="89">
        <f t="shared" si="177"/>
        <v>16023.714915</v>
      </c>
      <c r="AF734" s="90">
        <f t="shared" si="180"/>
        <v>6043.7560950000006</v>
      </c>
      <c r="AG734" s="93">
        <f t="shared" si="181"/>
        <v>0.6055892818804236</v>
      </c>
      <c r="AK734" s="90">
        <f t="shared" si="178"/>
        <v>142</v>
      </c>
      <c r="AL734" s="89">
        <f t="shared" si="179"/>
        <v>68.865979063380294</v>
      </c>
      <c r="AM734" s="89">
        <f t="shared" si="171"/>
        <v>82.172897000000006</v>
      </c>
      <c r="AN734" s="90">
        <f t="shared" si="172"/>
        <v>11668.551374000001</v>
      </c>
      <c r="AO734" s="93">
        <f t="shared" si="173"/>
        <v>0.19322919847509601</v>
      </c>
    </row>
    <row r="735" spans="2:41" x14ac:dyDescent="0.25">
      <c r="B735" s="91">
        <v>40416</v>
      </c>
      <c r="C735" s="89">
        <v>106.44000200000001</v>
      </c>
      <c r="D735" s="89">
        <v>106.58000199999999</v>
      </c>
      <c r="E735" s="89">
        <v>104.879997</v>
      </c>
      <c r="F735" s="89">
        <v>105.230003</v>
      </c>
      <c r="G735" s="89">
        <v>81.622185000000002</v>
      </c>
      <c r="H735" s="89">
        <v>224439500</v>
      </c>
      <c r="J735" s="89">
        <v>0</v>
      </c>
      <c r="K735" s="89">
        <f t="shared" si="190"/>
        <v>88</v>
      </c>
      <c r="L735" s="89">
        <f t="shared" si="191"/>
        <v>112.621376</v>
      </c>
      <c r="M735" s="89">
        <f>+SPY__2[[#This Row],[Adj Close]]</f>
        <v>81.622185000000002</v>
      </c>
      <c r="N735" s="89">
        <f t="shared" si="186"/>
        <v>7182.7522800000006</v>
      </c>
      <c r="O735" s="90">
        <f t="shared" si="187"/>
        <v>-2727.9288079999997</v>
      </c>
      <c r="P735" s="93">
        <f t="shared" si="188"/>
        <v>-0.27525139632461959</v>
      </c>
      <c r="Q735" s="96"/>
      <c r="R735" s="96"/>
      <c r="T735" s="90">
        <f t="shared" si="182"/>
        <v>95</v>
      </c>
      <c r="U735" s="89">
        <f t="shared" si="183"/>
        <v>103.31428490526316</v>
      </c>
      <c r="V735" s="89">
        <f t="shared" si="184"/>
        <v>81.622185000000002</v>
      </c>
      <c r="W735" s="90">
        <f t="shared" si="189"/>
        <v>7754.107575</v>
      </c>
      <c r="X735" s="93">
        <f t="shared" si="185"/>
        <v>-0.2099622518333677</v>
      </c>
      <c r="AB735" s="89">
        <f t="shared" si="174"/>
        <v>195</v>
      </c>
      <c r="AC735" s="89">
        <f t="shared" si="175"/>
        <v>51.179276000000002</v>
      </c>
      <c r="AD735" s="89">
        <f t="shared" si="176"/>
        <v>81.622185000000002</v>
      </c>
      <c r="AE735" s="89">
        <f t="shared" si="177"/>
        <v>15916.326075000001</v>
      </c>
      <c r="AF735" s="90">
        <f t="shared" si="180"/>
        <v>5936.3672550000001</v>
      </c>
      <c r="AG735" s="93">
        <f t="shared" si="181"/>
        <v>0.59482883267047382</v>
      </c>
      <c r="AK735" s="90">
        <f t="shared" si="178"/>
        <v>142</v>
      </c>
      <c r="AL735" s="89">
        <f t="shared" si="179"/>
        <v>68.865979063380294</v>
      </c>
      <c r="AM735" s="89">
        <f t="shared" si="171"/>
        <v>81.622185000000002</v>
      </c>
      <c r="AN735" s="90">
        <f t="shared" si="172"/>
        <v>11590.350270000001</v>
      </c>
      <c r="AO735" s="93">
        <f t="shared" si="173"/>
        <v>0.18523233256989835</v>
      </c>
    </row>
    <row r="736" spans="2:41" x14ac:dyDescent="0.25">
      <c r="B736" s="91">
        <v>40417</v>
      </c>
      <c r="C736" s="89">
        <v>105.889999</v>
      </c>
      <c r="D736" s="89">
        <v>106.970001</v>
      </c>
      <c r="E736" s="89">
        <v>104.30999799999999</v>
      </c>
      <c r="F736" s="89">
        <v>106.860001</v>
      </c>
      <c r="G736" s="89">
        <v>82.886497000000006</v>
      </c>
      <c r="H736" s="89">
        <v>272649000</v>
      </c>
      <c r="J736" s="89">
        <v>0</v>
      </c>
      <c r="K736" s="89">
        <f t="shared" si="190"/>
        <v>88</v>
      </c>
      <c r="L736" s="89">
        <f t="shared" si="191"/>
        <v>112.621376</v>
      </c>
      <c r="M736" s="89">
        <f>+SPY__2[[#This Row],[Adj Close]]</f>
        <v>82.886497000000006</v>
      </c>
      <c r="N736" s="89">
        <f t="shared" si="186"/>
        <v>7294.0117360000004</v>
      </c>
      <c r="O736" s="90">
        <f t="shared" si="187"/>
        <v>-2616.6693519999994</v>
      </c>
      <c r="P736" s="93">
        <f t="shared" si="188"/>
        <v>-0.26402517937624903</v>
      </c>
      <c r="Q736" s="96"/>
      <c r="R736" s="96"/>
      <c r="T736" s="90">
        <f t="shared" si="182"/>
        <v>95</v>
      </c>
      <c r="U736" s="89">
        <f t="shared" si="183"/>
        <v>103.31428490526316</v>
      </c>
      <c r="V736" s="89">
        <f t="shared" si="184"/>
        <v>82.886497000000006</v>
      </c>
      <c r="W736" s="90">
        <f t="shared" si="189"/>
        <v>7874.2172150000006</v>
      </c>
      <c r="X736" s="93">
        <f t="shared" si="185"/>
        <v>-0.1977247185516986</v>
      </c>
      <c r="AB736" s="89">
        <f t="shared" si="174"/>
        <v>195</v>
      </c>
      <c r="AC736" s="89">
        <f t="shared" si="175"/>
        <v>51.179276000000002</v>
      </c>
      <c r="AD736" s="89">
        <f t="shared" si="176"/>
        <v>82.886497000000006</v>
      </c>
      <c r="AE736" s="89">
        <f t="shared" si="177"/>
        <v>16162.866915000001</v>
      </c>
      <c r="AF736" s="90">
        <f t="shared" si="180"/>
        <v>6182.9080950000007</v>
      </c>
      <c r="AG736" s="93">
        <f t="shared" si="181"/>
        <v>0.61953242558569999</v>
      </c>
      <c r="AK736" s="90">
        <f t="shared" si="178"/>
        <v>142</v>
      </c>
      <c r="AL736" s="89">
        <f t="shared" si="179"/>
        <v>68.865979063380294</v>
      </c>
      <c r="AM736" s="89">
        <f t="shared" si="171"/>
        <v>82.886497000000006</v>
      </c>
      <c r="AN736" s="90">
        <f t="shared" si="172"/>
        <v>11769.882574000001</v>
      </c>
      <c r="AO736" s="93">
        <f t="shared" si="173"/>
        <v>0.20359135421157726</v>
      </c>
    </row>
    <row r="737" spans="2:41" x14ac:dyDescent="0.25">
      <c r="B737" s="91">
        <v>40420</v>
      </c>
      <c r="C737" s="89">
        <v>106.58000199999999</v>
      </c>
      <c r="D737" s="89">
        <v>106.910004</v>
      </c>
      <c r="E737" s="89">
        <v>105.300003</v>
      </c>
      <c r="F737" s="89">
        <v>105.30999799999999</v>
      </c>
      <c r="G737" s="89">
        <v>81.684218999999999</v>
      </c>
      <c r="H737" s="89">
        <v>167238600</v>
      </c>
      <c r="J737" s="89">
        <v>0</v>
      </c>
      <c r="K737" s="89">
        <f t="shared" si="190"/>
        <v>88</v>
      </c>
      <c r="L737" s="89">
        <f t="shared" si="191"/>
        <v>112.621376</v>
      </c>
      <c r="M737" s="89">
        <f>+SPY__2[[#This Row],[Adj Close]]</f>
        <v>81.684218999999999</v>
      </c>
      <c r="N737" s="89">
        <f t="shared" si="186"/>
        <v>7188.2112719999996</v>
      </c>
      <c r="O737" s="90">
        <f t="shared" si="187"/>
        <v>-2722.4698159999998</v>
      </c>
      <c r="P737" s="93">
        <f t="shared" si="188"/>
        <v>-0.27470057726874164</v>
      </c>
      <c r="Q737" s="96"/>
      <c r="R737" s="96"/>
      <c r="T737" s="90">
        <f t="shared" si="182"/>
        <v>95</v>
      </c>
      <c r="U737" s="89">
        <f t="shared" si="183"/>
        <v>103.31428490526316</v>
      </c>
      <c r="V737" s="89">
        <f t="shared" si="184"/>
        <v>81.684218999999999</v>
      </c>
      <c r="W737" s="90">
        <f t="shared" si="189"/>
        <v>7760.0008049999997</v>
      </c>
      <c r="X737" s="93">
        <f t="shared" si="185"/>
        <v>-0.20936181211627647</v>
      </c>
      <c r="AB737" s="89">
        <f t="shared" si="174"/>
        <v>195</v>
      </c>
      <c r="AC737" s="89">
        <f t="shared" si="175"/>
        <v>51.179276000000002</v>
      </c>
      <c r="AD737" s="89">
        <f t="shared" si="176"/>
        <v>81.684218999999999</v>
      </c>
      <c r="AE737" s="89">
        <f t="shared" si="177"/>
        <v>15928.422704999999</v>
      </c>
      <c r="AF737" s="90">
        <f t="shared" si="180"/>
        <v>5948.4638849999992</v>
      </c>
      <c r="AG737" s="93">
        <f t="shared" si="181"/>
        <v>0.59604092484622084</v>
      </c>
      <c r="AK737" s="90">
        <f t="shared" si="178"/>
        <v>142</v>
      </c>
      <c r="AL737" s="89">
        <f t="shared" si="179"/>
        <v>68.865979063380294</v>
      </c>
      <c r="AM737" s="89">
        <f t="shared" si="171"/>
        <v>81.684218999999999</v>
      </c>
      <c r="AN737" s="90">
        <f t="shared" si="172"/>
        <v>11599.159098</v>
      </c>
      <c r="AO737" s="93">
        <f t="shared" si="173"/>
        <v>0.18613312568783114</v>
      </c>
    </row>
    <row r="738" spans="2:41" x14ac:dyDescent="0.25">
      <c r="B738" s="91">
        <v>40421</v>
      </c>
      <c r="C738" s="89">
        <v>104.91999800000001</v>
      </c>
      <c r="D738" s="89">
        <v>105.980003</v>
      </c>
      <c r="E738" s="89">
        <v>104.489998</v>
      </c>
      <c r="F738" s="89">
        <v>105.30999799999999</v>
      </c>
      <c r="G738" s="89">
        <v>81.684218999999999</v>
      </c>
      <c r="H738" s="89">
        <v>273933100</v>
      </c>
      <c r="J738" s="89">
        <v>0</v>
      </c>
      <c r="K738" s="89">
        <f t="shared" si="190"/>
        <v>88</v>
      </c>
      <c r="L738" s="89">
        <f t="shared" si="191"/>
        <v>112.621376</v>
      </c>
      <c r="M738" s="89">
        <f>+SPY__2[[#This Row],[Adj Close]]</f>
        <v>81.684218999999999</v>
      </c>
      <c r="N738" s="89">
        <f t="shared" si="186"/>
        <v>7188.2112719999996</v>
      </c>
      <c r="O738" s="90">
        <f t="shared" si="187"/>
        <v>-2722.4698159999998</v>
      </c>
      <c r="P738" s="93">
        <f t="shared" si="188"/>
        <v>-0.27470057726874164</v>
      </c>
      <c r="Q738" s="96"/>
      <c r="R738" s="96"/>
      <c r="T738" s="90">
        <f t="shared" si="182"/>
        <v>95</v>
      </c>
      <c r="U738" s="89">
        <f t="shared" si="183"/>
        <v>103.31428490526316</v>
      </c>
      <c r="V738" s="89">
        <f t="shared" si="184"/>
        <v>81.684218999999999</v>
      </c>
      <c r="W738" s="90">
        <f t="shared" si="189"/>
        <v>7760.0008049999997</v>
      </c>
      <c r="X738" s="93">
        <f t="shared" si="185"/>
        <v>-0.20936181211627647</v>
      </c>
      <c r="AB738" s="89">
        <f t="shared" si="174"/>
        <v>195</v>
      </c>
      <c r="AC738" s="89">
        <f t="shared" si="175"/>
        <v>51.179276000000002</v>
      </c>
      <c r="AD738" s="89">
        <f t="shared" si="176"/>
        <v>81.684218999999999</v>
      </c>
      <c r="AE738" s="89">
        <f t="shared" si="177"/>
        <v>15928.422704999999</v>
      </c>
      <c r="AF738" s="90">
        <f t="shared" si="180"/>
        <v>5948.4638849999992</v>
      </c>
      <c r="AG738" s="93">
        <f t="shared" si="181"/>
        <v>0.59604092484622084</v>
      </c>
      <c r="AK738" s="90">
        <f t="shared" si="178"/>
        <v>142</v>
      </c>
      <c r="AL738" s="89">
        <f t="shared" si="179"/>
        <v>68.865979063380294</v>
      </c>
      <c r="AM738" s="89">
        <f t="shared" si="171"/>
        <v>81.684218999999999</v>
      </c>
      <c r="AN738" s="90">
        <f t="shared" si="172"/>
        <v>11599.159098</v>
      </c>
      <c r="AO738" s="93">
        <f t="shared" si="173"/>
        <v>0.18613312568783114</v>
      </c>
    </row>
    <row r="739" spans="2:41" x14ac:dyDescent="0.25">
      <c r="B739" s="91">
        <v>40422</v>
      </c>
      <c r="C739" s="89">
        <v>106.730003</v>
      </c>
      <c r="D739" s="89">
        <v>108.610001</v>
      </c>
      <c r="E739" s="89">
        <v>106.660004</v>
      </c>
      <c r="F739" s="89">
        <v>108.459999</v>
      </c>
      <c r="G739" s="89">
        <v>84.127533</v>
      </c>
      <c r="H739" s="89">
        <v>256828100</v>
      </c>
      <c r="J739" s="89">
        <v>0</v>
      </c>
      <c r="K739" s="89">
        <f t="shared" si="190"/>
        <v>88</v>
      </c>
      <c r="L739" s="89">
        <f t="shared" si="191"/>
        <v>112.621376</v>
      </c>
      <c r="M739" s="89">
        <f>+SPY__2[[#This Row],[Adj Close]]</f>
        <v>84.127533</v>
      </c>
      <c r="N739" s="89">
        <f t="shared" si="186"/>
        <v>7403.2229040000002</v>
      </c>
      <c r="O739" s="90">
        <f t="shared" si="187"/>
        <v>-2507.4581840000001</v>
      </c>
      <c r="P739" s="93">
        <f t="shared" si="188"/>
        <v>-0.2530056372246775</v>
      </c>
      <c r="Q739" s="96"/>
      <c r="R739" s="96"/>
      <c r="T739" s="90">
        <f t="shared" si="182"/>
        <v>95</v>
      </c>
      <c r="U739" s="89">
        <f t="shared" si="183"/>
        <v>103.31428490526316</v>
      </c>
      <c r="V739" s="89">
        <f t="shared" si="184"/>
        <v>84.127533</v>
      </c>
      <c r="W739" s="90">
        <f t="shared" si="189"/>
        <v>7992.1156350000001</v>
      </c>
      <c r="X739" s="93">
        <f t="shared" si="185"/>
        <v>-0.18571247841338667</v>
      </c>
      <c r="AB739" s="89">
        <f t="shared" si="174"/>
        <v>195</v>
      </c>
      <c r="AC739" s="89">
        <f t="shared" si="175"/>
        <v>51.179276000000002</v>
      </c>
      <c r="AD739" s="89">
        <f t="shared" si="176"/>
        <v>84.127533</v>
      </c>
      <c r="AE739" s="89">
        <f t="shared" si="177"/>
        <v>16404.868934999999</v>
      </c>
      <c r="AF739" s="90">
        <f t="shared" si="180"/>
        <v>6424.9101149999997</v>
      </c>
      <c r="AG739" s="93">
        <f t="shared" si="181"/>
        <v>0.64378122504116697</v>
      </c>
      <c r="AK739" s="90">
        <f t="shared" si="178"/>
        <v>142</v>
      </c>
      <c r="AL739" s="89">
        <f t="shared" si="179"/>
        <v>68.865979063380294</v>
      </c>
      <c r="AM739" s="89">
        <f t="shared" si="171"/>
        <v>84.127533</v>
      </c>
      <c r="AN739" s="90">
        <f t="shared" si="172"/>
        <v>11946.109686</v>
      </c>
      <c r="AO739" s="93">
        <f t="shared" si="173"/>
        <v>0.22161238603133571</v>
      </c>
    </row>
    <row r="740" spans="2:41" x14ac:dyDescent="0.25">
      <c r="B740" s="91">
        <v>40423</v>
      </c>
      <c r="C740" s="89">
        <v>108.720001</v>
      </c>
      <c r="D740" s="89">
        <v>109.489998</v>
      </c>
      <c r="E740" s="89">
        <v>108.489998</v>
      </c>
      <c r="F740" s="89">
        <v>109.470001</v>
      </c>
      <c r="G740" s="89">
        <v>84.910972999999998</v>
      </c>
      <c r="H740" s="89">
        <v>156112200</v>
      </c>
      <c r="J740" s="89">
        <v>0</v>
      </c>
      <c r="K740" s="89">
        <f t="shared" si="190"/>
        <v>88</v>
      </c>
      <c r="L740" s="89">
        <f t="shared" si="191"/>
        <v>112.621376</v>
      </c>
      <c r="M740" s="89">
        <f>+SPY__2[[#This Row],[Adj Close]]</f>
        <v>84.910972999999998</v>
      </c>
      <c r="N740" s="89">
        <f t="shared" si="186"/>
        <v>7472.1656240000002</v>
      </c>
      <c r="O740" s="90">
        <f t="shared" si="187"/>
        <v>-2438.5154640000001</v>
      </c>
      <c r="P740" s="93">
        <f t="shared" si="188"/>
        <v>-0.24604923136439039</v>
      </c>
      <c r="Q740" s="96"/>
      <c r="R740" s="96"/>
      <c r="T740" s="90">
        <f t="shared" si="182"/>
        <v>95</v>
      </c>
      <c r="U740" s="89">
        <f t="shared" si="183"/>
        <v>103.31428490526316</v>
      </c>
      <c r="V740" s="89">
        <f t="shared" si="184"/>
        <v>84.910972999999998</v>
      </c>
      <c r="W740" s="90">
        <f t="shared" si="189"/>
        <v>8066.5424350000003</v>
      </c>
      <c r="X740" s="93">
        <f t="shared" si="185"/>
        <v>-0.17812940313276693</v>
      </c>
      <c r="AB740" s="89">
        <f t="shared" si="174"/>
        <v>195</v>
      </c>
      <c r="AC740" s="89">
        <f t="shared" si="175"/>
        <v>51.179276000000002</v>
      </c>
      <c r="AD740" s="89">
        <f t="shared" si="176"/>
        <v>84.910972999999998</v>
      </c>
      <c r="AE740" s="89">
        <f t="shared" si="177"/>
        <v>16557.639735000001</v>
      </c>
      <c r="AF740" s="90">
        <f t="shared" si="180"/>
        <v>6577.680914999999</v>
      </c>
      <c r="AG740" s="93">
        <f t="shared" si="181"/>
        <v>0.65908898359562551</v>
      </c>
      <c r="AK740" s="90">
        <f t="shared" si="178"/>
        <v>142</v>
      </c>
      <c r="AL740" s="89">
        <f t="shared" si="179"/>
        <v>68.865979063380294</v>
      </c>
      <c r="AM740" s="89">
        <f t="shared" si="171"/>
        <v>84.910972999999998</v>
      </c>
      <c r="AN740" s="90">
        <f t="shared" si="172"/>
        <v>12057.358166</v>
      </c>
      <c r="AO740" s="93">
        <f t="shared" si="173"/>
        <v>0.23298868548507556</v>
      </c>
    </row>
    <row r="741" spans="2:41" x14ac:dyDescent="0.25">
      <c r="B741" s="91">
        <v>40424</v>
      </c>
      <c r="C741" s="89">
        <v>110.540001</v>
      </c>
      <c r="D741" s="89">
        <v>110.989998</v>
      </c>
      <c r="E741" s="89">
        <v>109.949997</v>
      </c>
      <c r="F741" s="89">
        <v>110.889999</v>
      </c>
      <c r="G741" s="89">
        <v>86.012398000000005</v>
      </c>
      <c r="H741" s="89">
        <v>212197300</v>
      </c>
      <c r="J741" s="89">
        <v>0</v>
      </c>
      <c r="K741" s="89">
        <f t="shared" si="190"/>
        <v>88</v>
      </c>
      <c r="L741" s="89">
        <f t="shared" si="191"/>
        <v>112.621376</v>
      </c>
      <c r="M741" s="89">
        <f>+SPY__2[[#This Row],[Adj Close]]</f>
        <v>86.012398000000005</v>
      </c>
      <c r="N741" s="89">
        <f t="shared" si="186"/>
        <v>7569.0910240000003</v>
      </c>
      <c r="O741" s="90">
        <f t="shared" si="187"/>
        <v>-2341.5900639999995</v>
      </c>
      <c r="P741" s="93">
        <f t="shared" si="188"/>
        <v>-0.23626933842470543</v>
      </c>
      <c r="Q741" s="96"/>
      <c r="R741" s="96"/>
      <c r="T741" s="90">
        <f t="shared" si="182"/>
        <v>95</v>
      </c>
      <c r="U741" s="89">
        <f t="shared" si="183"/>
        <v>103.31428490526316</v>
      </c>
      <c r="V741" s="89">
        <f t="shared" si="184"/>
        <v>86.012398000000005</v>
      </c>
      <c r="W741" s="90">
        <f t="shared" si="189"/>
        <v>8171.1778100000001</v>
      </c>
      <c r="X741" s="93">
        <f t="shared" si="185"/>
        <v>-0.16746848629043498</v>
      </c>
      <c r="AB741" s="89">
        <f t="shared" si="174"/>
        <v>195</v>
      </c>
      <c r="AC741" s="89">
        <f t="shared" si="175"/>
        <v>51.179276000000002</v>
      </c>
      <c r="AD741" s="89">
        <f t="shared" si="176"/>
        <v>86.012398000000005</v>
      </c>
      <c r="AE741" s="89">
        <f t="shared" si="177"/>
        <v>16772.41761</v>
      </c>
      <c r="AF741" s="90">
        <f t="shared" si="180"/>
        <v>6792.4587900000006</v>
      </c>
      <c r="AG741" s="93">
        <f t="shared" si="181"/>
        <v>0.68060990155468404</v>
      </c>
      <c r="AK741" s="90">
        <f t="shared" si="178"/>
        <v>142</v>
      </c>
      <c r="AL741" s="89">
        <f t="shared" si="179"/>
        <v>68.865979063380294</v>
      </c>
      <c r="AM741" s="89">
        <f t="shared" si="171"/>
        <v>86.012398000000005</v>
      </c>
      <c r="AN741" s="90">
        <f t="shared" si="172"/>
        <v>12213.760516</v>
      </c>
      <c r="AO741" s="93">
        <f t="shared" si="173"/>
        <v>0.2489824318164291</v>
      </c>
    </row>
    <row r="742" spans="2:41" x14ac:dyDescent="0.25">
      <c r="B742" s="91">
        <v>40428</v>
      </c>
      <c r="C742" s="89">
        <v>110.370003</v>
      </c>
      <c r="D742" s="89">
        <v>110.510002</v>
      </c>
      <c r="E742" s="89">
        <v>109.550003</v>
      </c>
      <c r="F742" s="89">
        <v>109.639999</v>
      </c>
      <c r="G742" s="89">
        <v>85.042823999999996</v>
      </c>
      <c r="H742" s="89">
        <v>141973700</v>
      </c>
      <c r="J742" s="89">
        <v>0</v>
      </c>
      <c r="K742" s="89">
        <f t="shared" si="190"/>
        <v>88</v>
      </c>
      <c r="L742" s="89">
        <f t="shared" si="191"/>
        <v>112.621376</v>
      </c>
      <c r="M742" s="89">
        <f>+SPY__2[[#This Row],[Adj Close]]</f>
        <v>85.042823999999996</v>
      </c>
      <c r="N742" s="89">
        <f t="shared" si="186"/>
        <v>7483.7685119999996</v>
      </c>
      <c r="O742" s="90">
        <f t="shared" si="187"/>
        <v>-2426.9125760000002</v>
      </c>
      <c r="P742" s="93">
        <f t="shared" si="188"/>
        <v>-0.24487848559051528</v>
      </c>
      <c r="Q742" s="96"/>
      <c r="R742" s="96"/>
      <c r="T742" s="90">
        <f t="shared" si="182"/>
        <v>95</v>
      </c>
      <c r="U742" s="89">
        <f t="shared" si="183"/>
        <v>103.31428490526316</v>
      </c>
      <c r="V742" s="89">
        <f t="shared" si="184"/>
        <v>85.042823999999996</v>
      </c>
      <c r="W742" s="90">
        <f t="shared" si="189"/>
        <v>8079.0682799999995</v>
      </c>
      <c r="X742" s="93">
        <f t="shared" si="185"/>
        <v>-0.17685319045684422</v>
      </c>
      <c r="AB742" s="89">
        <f t="shared" si="174"/>
        <v>195</v>
      </c>
      <c r="AC742" s="89">
        <f t="shared" si="175"/>
        <v>51.179276000000002</v>
      </c>
      <c r="AD742" s="89">
        <f t="shared" si="176"/>
        <v>85.042823999999996</v>
      </c>
      <c r="AE742" s="89">
        <f t="shared" si="177"/>
        <v>16583.35068</v>
      </c>
      <c r="AF742" s="90">
        <f t="shared" si="180"/>
        <v>6603.3918599999988</v>
      </c>
      <c r="AG742" s="93">
        <f t="shared" si="181"/>
        <v>0.66166524121990311</v>
      </c>
      <c r="AK742" s="90">
        <f t="shared" si="178"/>
        <v>142</v>
      </c>
      <c r="AL742" s="89">
        <f t="shared" si="179"/>
        <v>68.865979063380294</v>
      </c>
      <c r="AM742" s="89">
        <f t="shared" si="171"/>
        <v>85.042823999999996</v>
      </c>
      <c r="AN742" s="90">
        <f t="shared" si="172"/>
        <v>12076.081007999999</v>
      </c>
      <c r="AO742" s="93">
        <f t="shared" si="173"/>
        <v>0.2349032883382296</v>
      </c>
    </row>
    <row r="743" spans="2:41" x14ac:dyDescent="0.25">
      <c r="B743" s="91">
        <v>40429</v>
      </c>
      <c r="C743" s="89">
        <v>109.860001</v>
      </c>
      <c r="D743" s="89">
        <v>110.849998</v>
      </c>
      <c r="E743" s="89">
        <v>109.80999799999999</v>
      </c>
      <c r="F743" s="89">
        <v>110.410004</v>
      </c>
      <c r="G743" s="89">
        <v>85.640067999999999</v>
      </c>
      <c r="H743" s="89">
        <v>149924400</v>
      </c>
      <c r="J743" s="89">
        <v>0</v>
      </c>
      <c r="K743" s="89">
        <f t="shared" si="190"/>
        <v>88</v>
      </c>
      <c r="L743" s="89">
        <f t="shared" si="191"/>
        <v>112.621376</v>
      </c>
      <c r="M743" s="89">
        <f>+SPY__2[[#This Row],[Adj Close]]</f>
        <v>85.640067999999999</v>
      </c>
      <c r="N743" s="89">
        <f t="shared" si="186"/>
        <v>7536.3259840000001</v>
      </c>
      <c r="O743" s="90">
        <f t="shared" si="187"/>
        <v>-2374.3551039999998</v>
      </c>
      <c r="P743" s="93">
        <f t="shared" si="188"/>
        <v>-0.2395753715529102</v>
      </c>
      <c r="Q743" s="96"/>
      <c r="R743" s="96"/>
      <c r="T743" s="90">
        <f t="shared" si="182"/>
        <v>95</v>
      </c>
      <c r="U743" s="89">
        <f t="shared" si="183"/>
        <v>103.31428490526316</v>
      </c>
      <c r="V743" s="89">
        <f t="shared" si="184"/>
        <v>85.640067999999999</v>
      </c>
      <c r="W743" s="90">
        <f t="shared" si="189"/>
        <v>8135.8064599999998</v>
      </c>
      <c r="X743" s="93">
        <f t="shared" si="185"/>
        <v>-0.17107234417263806</v>
      </c>
      <c r="AB743" s="89">
        <f t="shared" si="174"/>
        <v>195</v>
      </c>
      <c r="AC743" s="89">
        <f t="shared" si="175"/>
        <v>51.179276000000002</v>
      </c>
      <c r="AD743" s="89">
        <f t="shared" si="176"/>
        <v>85.640067999999999</v>
      </c>
      <c r="AE743" s="89">
        <f t="shared" si="177"/>
        <v>16699.813259999999</v>
      </c>
      <c r="AF743" s="90">
        <f t="shared" si="180"/>
        <v>6719.8544399999992</v>
      </c>
      <c r="AG743" s="93">
        <f t="shared" si="181"/>
        <v>0.67333488656619522</v>
      </c>
      <c r="AK743" s="90">
        <f t="shared" si="178"/>
        <v>142</v>
      </c>
      <c r="AL743" s="89">
        <f t="shared" si="179"/>
        <v>68.865979063380294</v>
      </c>
      <c r="AM743" s="89">
        <f t="shared" si="171"/>
        <v>85.640067999999999</v>
      </c>
      <c r="AN743" s="90">
        <f t="shared" si="172"/>
        <v>12160.889655999999</v>
      </c>
      <c r="AO743" s="93">
        <f t="shared" si="173"/>
        <v>0.24357584346810501</v>
      </c>
    </row>
    <row r="744" spans="2:41" x14ac:dyDescent="0.25">
      <c r="B744" s="91">
        <v>40430</v>
      </c>
      <c r="C744" s="89">
        <v>111.650002</v>
      </c>
      <c r="D744" s="89">
        <v>111.68</v>
      </c>
      <c r="E744" s="89">
        <v>110.620003</v>
      </c>
      <c r="F744" s="89">
        <v>110.91999800000001</v>
      </c>
      <c r="G744" s="89">
        <v>86.035674999999998</v>
      </c>
      <c r="H744" s="89">
        <v>147017900</v>
      </c>
      <c r="J744" s="89">
        <v>0</v>
      </c>
      <c r="K744" s="89">
        <f t="shared" si="190"/>
        <v>88</v>
      </c>
      <c r="L744" s="89">
        <f t="shared" si="191"/>
        <v>112.621376</v>
      </c>
      <c r="M744" s="89">
        <f>+SPY__2[[#This Row],[Adj Close]]</f>
        <v>86.035674999999998</v>
      </c>
      <c r="N744" s="89">
        <f t="shared" si="186"/>
        <v>7571.1394</v>
      </c>
      <c r="O744" s="90">
        <f t="shared" si="187"/>
        <v>-2339.5416880000002</v>
      </c>
      <c r="P744" s="93">
        <f t="shared" si="188"/>
        <v>-0.23606265474859767</v>
      </c>
      <c r="Q744" s="96"/>
      <c r="R744" s="96"/>
      <c r="T744" s="90">
        <f t="shared" si="182"/>
        <v>95</v>
      </c>
      <c r="U744" s="89">
        <f t="shared" si="183"/>
        <v>103.31428490526316</v>
      </c>
      <c r="V744" s="89">
        <f t="shared" si="184"/>
        <v>86.035674999999998</v>
      </c>
      <c r="W744" s="90">
        <f t="shared" si="189"/>
        <v>8173.3891249999997</v>
      </c>
      <c r="X744" s="93">
        <f t="shared" si="185"/>
        <v>-0.16724318346787437</v>
      </c>
      <c r="AB744" s="89">
        <f t="shared" si="174"/>
        <v>195</v>
      </c>
      <c r="AC744" s="89">
        <f t="shared" si="175"/>
        <v>51.179276000000002</v>
      </c>
      <c r="AD744" s="89">
        <f t="shared" si="176"/>
        <v>86.035674999999998</v>
      </c>
      <c r="AE744" s="89">
        <f t="shared" si="177"/>
        <v>16776.956624999999</v>
      </c>
      <c r="AF744" s="90">
        <f t="shared" si="180"/>
        <v>6796.9978049999991</v>
      </c>
      <c r="AG744" s="93">
        <f t="shared" si="181"/>
        <v>0.68106471455360174</v>
      </c>
      <c r="AK744" s="90">
        <f t="shared" si="178"/>
        <v>142</v>
      </c>
      <c r="AL744" s="89">
        <f t="shared" si="179"/>
        <v>68.865979063380294</v>
      </c>
      <c r="AM744" s="89">
        <f t="shared" si="171"/>
        <v>86.035674999999998</v>
      </c>
      <c r="AN744" s="90">
        <f t="shared" si="172"/>
        <v>12217.065849999999</v>
      </c>
      <c r="AO744" s="93">
        <f t="shared" si="173"/>
        <v>0.24932043615930732</v>
      </c>
    </row>
    <row r="745" spans="2:41" x14ac:dyDescent="0.25">
      <c r="B745" s="91">
        <v>40431</v>
      </c>
      <c r="C745" s="89">
        <v>111.120003</v>
      </c>
      <c r="D745" s="89">
        <v>111.610001</v>
      </c>
      <c r="E745" s="89">
        <v>110.870003</v>
      </c>
      <c r="F745" s="89">
        <v>111.480003</v>
      </c>
      <c r="G745" s="89">
        <v>86.470039</v>
      </c>
      <c r="H745" s="89">
        <v>127819000</v>
      </c>
      <c r="J745" s="89">
        <v>0</v>
      </c>
      <c r="K745" s="89">
        <f t="shared" si="190"/>
        <v>88</v>
      </c>
      <c r="L745" s="89">
        <f t="shared" si="191"/>
        <v>112.621376</v>
      </c>
      <c r="M745" s="89">
        <f>+SPY__2[[#This Row],[Adj Close]]</f>
        <v>86.470039</v>
      </c>
      <c r="N745" s="89">
        <f t="shared" si="186"/>
        <v>7609.3634320000001</v>
      </c>
      <c r="O745" s="90">
        <f t="shared" si="187"/>
        <v>-2301.3176559999997</v>
      </c>
      <c r="P745" s="93">
        <f t="shared" si="188"/>
        <v>-0.23220580256451495</v>
      </c>
      <c r="Q745" s="96"/>
      <c r="R745" s="96"/>
      <c r="T745" s="90">
        <f t="shared" si="182"/>
        <v>95</v>
      </c>
      <c r="U745" s="89">
        <f t="shared" si="183"/>
        <v>103.31428490526316</v>
      </c>
      <c r="V745" s="89">
        <f t="shared" si="184"/>
        <v>86.470039</v>
      </c>
      <c r="W745" s="90">
        <f t="shared" si="189"/>
        <v>8214.6537050000006</v>
      </c>
      <c r="X745" s="93">
        <f t="shared" si="185"/>
        <v>-0.16303888586857995</v>
      </c>
      <c r="AB745" s="89">
        <f t="shared" si="174"/>
        <v>195</v>
      </c>
      <c r="AC745" s="89">
        <f t="shared" si="175"/>
        <v>51.179276000000002</v>
      </c>
      <c r="AD745" s="89">
        <f t="shared" si="176"/>
        <v>86.470039</v>
      </c>
      <c r="AE745" s="89">
        <f t="shared" si="177"/>
        <v>16861.657605</v>
      </c>
      <c r="AF745" s="90">
        <f t="shared" si="180"/>
        <v>6881.6987849999996</v>
      </c>
      <c r="AG745" s="93">
        <f t="shared" si="181"/>
        <v>0.68955182171783735</v>
      </c>
      <c r="AK745" s="90">
        <f t="shared" si="178"/>
        <v>142</v>
      </c>
      <c r="AL745" s="89">
        <f t="shared" si="179"/>
        <v>68.865979063380294</v>
      </c>
      <c r="AM745" s="89">
        <f t="shared" si="171"/>
        <v>86.470039</v>
      </c>
      <c r="AN745" s="90">
        <f t="shared" si="172"/>
        <v>12278.745537999999</v>
      </c>
      <c r="AO745" s="93">
        <f t="shared" si="173"/>
        <v>0.25562781762556419</v>
      </c>
    </row>
    <row r="746" spans="2:41" x14ac:dyDescent="0.25">
      <c r="B746" s="91">
        <v>40434</v>
      </c>
      <c r="C746" s="89">
        <v>112.58000199999999</v>
      </c>
      <c r="D746" s="89">
        <v>112.949997</v>
      </c>
      <c r="E746" s="89">
        <v>112.129997</v>
      </c>
      <c r="F746" s="89">
        <v>112.720001</v>
      </c>
      <c r="G746" s="89">
        <v>87.431831000000003</v>
      </c>
      <c r="H746" s="89">
        <v>178503500</v>
      </c>
      <c r="J746" s="89">
        <v>0</v>
      </c>
      <c r="K746" s="89">
        <f t="shared" si="190"/>
        <v>88</v>
      </c>
      <c r="L746" s="89">
        <f t="shared" si="191"/>
        <v>112.621376</v>
      </c>
      <c r="M746" s="89">
        <f>+SPY__2[[#This Row],[Adj Close]]</f>
        <v>87.431831000000003</v>
      </c>
      <c r="N746" s="89">
        <f t="shared" si="186"/>
        <v>7694.0011279999999</v>
      </c>
      <c r="O746" s="90">
        <f t="shared" si="187"/>
        <v>-2216.6799599999995</v>
      </c>
      <c r="P746" s="93">
        <f t="shared" si="188"/>
        <v>-0.22366575418151524</v>
      </c>
      <c r="Q746" s="96"/>
      <c r="R746" s="96"/>
      <c r="T746" s="90">
        <f t="shared" si="182"/>
        <v>95</v>
      </c>
      <c r="U746" s="89">
        <f t="shared" si="183"/>
        <v>103.31428490526316</v>
      </c>
      <c r="V746" s="89">
        <f t="shared" si="184"/>
        <v>87.431831000000003</v>
      </c>
      <c r="W746" s="90">
        <f t="shared" si="189"/>
        <v>8306.0239450000008</v>
      </c>
      <c r="X746" s="93">
        <f t="shared" si="185"/>
        <v>-0.15372950526470763</v>
      </c>
      <c r="AB746" s="89">
        <f t="shared" si="174"/>
        <v>195</v>
      </c>
      <c r="AC746" s="89">
        <f t="shared" si="175"/>
        <v>51.179276000000002</v>
      </c>
      <c r="AD746" s="89">
        <f t="shared" si="176"/>
        <v>87.431831000000003</v>
      </c>
      <c r="AE746" s="89">
        <f t="shared" si="177"/>
        <v>17049.207044999999</v>
      </c>
      <c r="AF746" s="90">
        <f t="shared" si="180"/>
        <v>7069.2482250000003</v>
      </c>
      <c r="AG746" s="93">
        <f t="shared" si="181"/>
        <v>0.70834442831899391</v>
      </c>
      <c r="AK746" s="90">
        <f t="shared" si="178"/>
        <v>142</v>
      </c>
      <c r="AL746" s="89">
        <f t="shared" si="179"/>
        <v>68.865979063380294</v>
      </c>
      <c r="AM746" s="89">
        <f t="shared" si="171"/>
        <v>87.431831000000003</v>
      </c>
      <c r="AN746" s="90">
        <f t="shared" si="172"/>
        <v>12415.320002</v>
      </c>
      <c r="AO746" s="93">
        <f t="shared" si="173"/>
        <v>0.26959395900743344</v>
      </c>
    </row>
    <row r="747" spans="2:41" x14ac:dyDescent="0.25">
      <c r="B747" s="91">
        <v>40435</v>
      </c>
      <c r="C747" s="89">
        <v>112.5</v>
      </c>
      <c r="D747" s="89">
        <v>113.290001</v>
      </c>
      <c r="E747" s="89">
        <v>112.08000199999999</v>
      </c>
      <c r="F747" s="89">
        <v>112.650002</v>
      </c>
      <c r="G747" s="89">
        <v>87.377533</v>
      </c>
      <c r="H747" s="89">
        <v>209823600</v>
      </c>
      <c r="J747" s="89">
        <v>0</v>
      </c>
      <c r="K747" s="89">
        <f t="shared" si="190"/>
        <v>88</v>
      </c>
      <c r="L747" s="89">
        <f t="shared" si="191"/>
        <v>112.621376</v>
      </c>
      <c r="M747" s="89">
        <f>+SPY__2[[#This Row],[Adj Close]]</f>
        <v>87.377533</v>
      </c>
      <c r="N747" s="89">
        <f t="shared" si="186"/>
        <v>7689.2229040000002</v>
      </c>
      <c r="O747" s="90">
        <f t="shared" si="187"/>
        <v>-2221.4581840000001</v>
      </c>
      <c r="P747" s="93">
        <f t="shared" si="188"/>
        <v>-0.22414788290279808</v>
      </c>
      <c r="Q747" s="96"/>
      <c r="R747" s="96"/>
      <c r="T747" s="90">
        <f t="shared" si="182"/>
        <v>95</v>
      </c>
      <c r="U747" s="89">
        <f t="shared" si="183"/>
        <v>103.31428490526316</v>
      </c>
      <c r="V747" s="89">
        <f t="shared" si="184"/>
        <v>87.377533</v>
      </c>
      <c r="W747" s="90">
        <f t="shared" si="189"/>
        <v>8300.8656350000001</v>
      </c>
      <c r="X747" s="93">
        <f t="shared" si="185"/>
        <v>-0.15425506666262845</v>
      </c>
      <c r="AB747" s="89">
        <f t="shared" si="174"/>
        <v>195</v>
      </c>
      <c r="AC747" s="89">
        <f t="shared" si="175"/>
        <v>51.179276000000002</v>
      </c>
      <c r="AD747" s="89">
        <f t="shared" si="176"/>
        <v>87.377533</v>
      </c>
      <c r="AE747" s="89">
        <f t="shared" si="177"/>
        <v>17038.618934999999</v>
      </c>
      <c r="AF747" s="90">
        <f t="shared" si="180"/>
        <v>7058.6601149999997</v>
      </c>
      <c r="AG747" s="93">
        <f t="shared" si="181"/>
        <v>0.70728349107556743</v>
      </c>
      <c r="AK747" s="90">
        <f t="shared" si="178"/>
        <v>142</v>
      </c>
      <c r="AL747" s="89">
        <f t="shared" si="179"/>
        <v>68.865979063380294</v>
      </c>
      <c r="AM747" s="89">
        <f t="shared" si="171"/>
        <v>87.377533</v>
      </c>
      <c r="AN747" s="90">
        <f t="shared" si="172"/>
        <v>12407.609686</v>
      </c>
      <c r="AO747" s="93">
        <f t="shared" si="173"/>
        <v>0.26880550002175596</v>
      </c>
    </row>
    <row r="748" spans="2:41" x14ac:dyDescent="0.25">
      <c r="B748" s="91">
        <v>40436</v>
      </c>
      <c r="C748" s="89">
        <v>112.32</v>
      </c>
      <c r="D748" s="89">
        <v>113.209999</v>
      </c>
      <c r="E748" s="89">
        <v>111.980003</v>
      </c>
      <c r="F748" s="89">
        <v>113.08000199999999</v>
      </c>
      <c r="G748" s="89">
        <v>87.711082000000005</v>
      </c>
      <c r="H748" s="89">
        <v>168608400</v>
      </c>
      <c r="J748" s="89">
        <v>0</v>
      </c>
      <c r="K748" s="89">
        <f t="shared" si="190"/>
        <v>88</v>
      </c>
      <c r="L748" s="89">
        <f t="shared" si="191"/>
        <v>112.621376</v>
      </c>
      <c r="M748" s="89">
        <f>+SPY__2[[#This Row],[Adj Close]]</f>
        <v>87.711082000000005</v>
      </c>
      <c r="N748" s="89">
        <f t="shared" si="186"/>
        <v>7718.5752160000002</v>
      </c>
      <c r="O748" s="90">
        <f t="shared" si="187"/>
        <v>-2192.1058719999992</v>
      </c>
      <c r="P748" s="93">
        <f t="shared" si="188"/>
        <v>-0.22118619825778008</v>
      </c>
      <c r="Q748" s="96"/>
      <c r="R748" s="96"/>
      <c r="T748" s="90">
        <f t="shared" si="182"/>
        <v>95</v>
      </c>
      <c r="U748" s="89">
        <f t="shared" si="183"/>
        <v>103.31428490526316</v>
      </c>
      <c r="V748" s="89">
        <f t="shared" si="184"/>
        <v>87.711082000000005</v>
      </c>
      <c r="W748" s="90">
        <f t="shared" si="189"/>
        <v>8332.5527899999997</v>
      </c>
      <c r="X748" s="93">
        <f t="shared" si="185"/>
        <v>-0.15102657797584285</v>
      </c>
      <c r="AB748" s="89">
        <f t="shared" si="174"/>
        <v>195</v>
      </c>
      <c r="AC748" s="89">
        <f t="shared" si="175"/>
        <v>51.179276000000002</v>
      </c>
      <c r="AD748" s="89">
        <f t="shared" si="176"/>
        <v>87.711082000000005</v>
      </c>
      <c r="AE748" s="89">
        <f t="shared" si="177"/>
        <v>17103.66099</v>
      </c>
      <c r="AF748" s="90">
        <f t="shared" si="180"/>
        <v>7123.7021700000005</v>
      </c>
      <c r="AG748" s="93">
        <f t="shared" si="181"/>
        <v>0.71380075794741615</v>
      </c>
      <c r="AK748" s="90">
        <f t="shared" si="178"/>
        <v>142</v>
      </c>
      <c r="AL748" s="89">
        <f t="shared" si="179"/>
        <v>68.865979063380294</v>
      </c>
      <c r="AM748" s="89">
        <f t="shared" si="171"/>
        <v>87.711082000000005</v>
      </c>
      <c r="AN748" s="90">
        <f t="shared" si="172"/>
        <v>12454.973644000002</v>
      </c>
      <c r="AO748" s="93">
        <f t="shared" si="173"/>
        <v>0.27364895109203013</v>
      </c>
    </row>
    <row r="749" spans="2:41" x14ac:dyDescent="0.25">
      <c r="B749" s="91">
        <v>40437</v>
      </c>
      <c r="C749" s="89">
        <v>112.730003</v>
      </c>
      <c r="D749" s="89">
        <v>113.120003</v>
      </c>
      <c r="E749" s="89">
        <v>112.349998</v>
      </c>
      <c r="F749" s="89">
        <v>113.050003</v>
      </c>
      <c r="G749" s="89">
        <v>87.687790000000007</v>
      </c>
      <c r="H749" s="89">
        <v>199962900</v>
      </c>
      <c r="J749" s="89">
        <v>0</v>
      </c>
      <c r="K749" s="89">
        <f t="shared" si="190"/>
        <v>88</v>
      </c>
      <c r="L749" s="89">
        <f t="shared" si="191"/>
        <v>112.621376</v>
      </c>
      <c r="M749" s="89">
        <f>+SPY__2[[#This Row],[Adj Close]]</f>
        <v>87.687790000000007</v>
      </c>
      <c r="N749" s="89">
        <f t="shared" si="186"/>
        <v>7716.5255200000011</v>
      </c>
      <c r="O749" s="90">
        <f t="shared" si="187"/>
        <v>-2194.1555679999992</v>
      </c>
      <c r="P749" s="93">
        <f t="shared" si="188"/>
        <v>-0.22139301512352316</v>
      </c>
      <c r="Q749" s="96"/>
      <c r="R749" s="96"/>
      <c r="T749" s="90">
        <f t="shared" si="182"/>
        <v>95</v>
      </c>
      <c r="U749" s="89">
        <f t="shared" si="183"/>
        <v>103.31428490526316</v>
      </c>
      <c r="V749" s="89">
        <f t="shared" si="184"/>
        <v>87.687790000000007</v>
      </c>
      <c r="W749" s="90">
        <f t="shared" si="189"/>
        <v>8330.3400500000007</v>
      </c>
      <c r="X749" s="93">
        <f t="shared" si="185"/>
        <v>-0.15125202598645771</v>
      </c>
      <c r="AB749" s="89">
        <f t="shared" si="174"/>
        <v>195</v>
      </c>
      <c r="AC749" s="89">
        <f t="shared" si="175"/>
        <v>51.179276000000002</v>
      </c>
      <c r="AD749" s="89">
        <f t="shared" si="176"/>
        <v>87.687790000000007</v>
      </c>
      <c r="AE749" s="89">
        <f t="shared" si="177"/>
        <v>17099.119050000001</v>
      </c>
      <c r="AF749" s="90">
        <f t="shared" si="180"/>
        <v>7119.1602300000013</v>
      </c>
      <c r="AG749" s="93">
        <f t="shared" si="181"/>
        <v>0.71334565186111676</v>
      </c>
      <c r="AK749" s="90">
        <f t="shared" si="178"/>
        <v>142</v>
      </c>
      <c r="AL749" s="89">
        <f t="shared" si="179"/>
        <v>68.865979063380294</v>
      </c>
      <c r="AM749" s="89">
        <f t="shared" ref="AM749:AM812" si="192">+AD749</f>
        <v>87.687790000000007</v>
      </c>
      <c r="AN749" s="90">
        <f t="shared" ref="AN749:AN812" si="193">+AM749*AK749</f>
        <v>12451.66618</v>
      </c>
      <c r="AO749" s="93">
        <f t="shared" ref="AO749:AO812" si="194">+AN749/(AL749*AK749)-1</f>
        <v>0.27331072893477915</v>
      </c>
    </row>
    <row r="750" spans="2:41" x14ac:dyDescent="0.25">
      <c r="B750" s="91">
        <v>40438</v>
      </c>
      <c r="C750" s="89">
        <v>113.040001</v>
      </c>
      <c r="D750" s="89">
        <v>113.150002</v>
      </c>
      <c r="E750" s="89">
        <v>112.18</v>
      </c>
      <c r="F750" s="89">
        <v>112.489998</v>
      </c>
      <c r="G750" s="89">
        <v>87.720566000000005</v>
      </c>
      <c r="H750" s="89">
        <v>195836900</v>
      </c>
      <c r="J750" s="89">
        <v>0</v>
      </c>
      <c r="K750" s="89">
        <f t="shared" si="190"/>
        <v>88</v>
      </c>
      <c r="L750" s="89">
        <f t="shared" si="191"/>
        <v>112.621376</v>
      </c>
      <c r="M750" s="89">
        <f>+SPY__2[[#This Row],[Adj Close]]</f>
        <v>87.720566000000005</v>
      </c>
      <c r="N750" s="89">
        <f t="shared" si="186"/>
        <v>7719.4098080000003</v>
      </c>
      <c r="O750" s="90">
        <f t="shared" si="187"/>
        <v>-2191.2712799999995</v>
      </c>
      <c r="P750" s="93">
        <f t="shared" si="188"/>
        <v>-0.22110198689101435</v>
      </c>
      <c r="Q750" s="96"/>
      <c r="R750" s="96"/>
      <c r="T750" s="90">
        <f t="shared" si="182"/>
        <v>95</v>
      </c>
      <c r="U750" s="89">
        <f t="shared" si="183"/>
        <v>103.31428490526316</v>
      </c>
      <c r="V750" s="89">
        <f t="shared" si="184"/>
        <v>87.720566000000005</v>
      </c>
      <c r="W750" s="90">
        <f t="shared" si="189"/>
        <v>8333.4537700000001</v>
      </c>
      <c r="X750" s="93">
        <f t="shared" si="185"/>
        <v>-0.15093478040875219</v>
      </c>
      <c r="AB750" s="89">
        <f t="shared" ref="AB750:AB813" si="195">+AB749</f>
        <v>195</v>
      </c>
      <c r="AC750" s="89">
        <f t="shared" ref="AC750:AC813" si="196">+AC749</f>
        <v>51.179276000000002</v>
      </c>
      <c r="AD750" s="89">
        <f t="shared" ref="AD750:AD813" si="197">+V750</f>
        <v>87.720566000000005</v>
      </c>
      <c r="AE750" s="89">
        <f t="shared" ref="AE750:AE813" si="198">+AB750*AD750</f>
        <v>17105.51037</v>
      </c>
      <c r="AF750" s="90">
        <f t="shared" si="180"/>
        <v>7125.551550000001</v>
      </c>
      <c r="AG750" s="93">
        <f t="shared" si="181"/>
        <v>0.71398606732928394</v>
      </c>
      <c r="AK750" s="90">
        <f t="shared" ref="AK750:AK813" si="199">+AK749</f>
        <v>142</v>
      </c>
      <c r="AL750" s="89">
        <f t="shared" ref="AL750:AL813" si="200">+AL749</f>
        <v>68.865979063380294</v>
      </c>
      <c r="AM750" s="89">
        <f t="shared" si="192"/>
        <v>87.720566000000005</v>
      </c>
      <c r="AN750" s="90">
        <f t="shared" si="193"/>
        <v>12456.320372</v>
      </c>
      <c r="AO750" s="93">
        <f t="shared" si="194"/>
        <v>0.27378666785913319</v>
      </c>
    </row>
    <row r="751" spans="2:41" x14ac:dyDescent="0.25">
      <c r="B751" s="91">
        <v>40441</v>
      </c>
      <c r="C751" s="89">
        <v>112.879997</v>
      </c>
      <c r="D751" s="89">
        <v>114.459999</v>
      </c>
      <c r="E751" s="89">
        <v>112.519997</v>
      </c>
      <c r="F751" s="89">
        <v>114.209999</v>
      </c>
      <c r="G751" s="89">
        <v>89.061829000000003</v>
      </c>
      <c r="H751" s="89">
        <v>214555200</v>
      </c>
      <c r="J751" s="89">
        <v>0</v>
      </c>
      <c r="K751" s="89">
        <f t="shared" si="190"/>
        <v>88</v>
      </c>
      <c r="L751" s="89">
        <f t="shared" si="191"/>
        <v>112.621376</v>
      </c>
      <c r="M751" s="89">
        <f>+SPY__2[[#This Row],[Adj Close]]</f>
        <v>89.061829000000003</v>
      </c>
      <c r="N751" s="89">
        <f t="shared" si="186"/>
        <v>7837.4409519999999</v>
      </c>
      <c r="O751" s="90">
        <f t="shared" si="187"/>
        <v>-2073.2401359999994</v>
      </c>
      <c r="P751" s="93">
        <f t="shared" si="188"/>
        <v>-0.20919249823408304</v>
      </c>
      <c r="Q751" s="96"/>
      <c r="R751" s="96"/>
      <c r="T751" s="90">
        <f t="shared" si="182"/>
        <v>95</v>
      </c>
      <c r="U751" s="89">
        <f t="shared" si="183"/>
        <v>103.31428490526316</v>
      </c>
      <c r="V751" s="89">
        <f t="shared" si="184"/>
        <v>89.061829000000003</v>
      </c>
      <c r="W751" s="90">
        <f t="shared" si="189"/>
        <v>8460.8737550000005</v>
      </c>
      <c r="X751" s="93">
        <f t="shared" si="185"/>
        <v>-0.13795242272965769</v>
      </c>
      <c r="AB751" s="89">
        <f t="shared" si="195"/>
        <v>195</v>
      </c>
      <c r="AC751" s="89">
        <f t="shared" si="196"/>
        <v>51.179276000000002</v>
      </c>
      <c r="AD751" s="89">
        <f t="shared" si="197"/>
        <v>89.061829000000003</v>
      </c>
      <c r="AE751" s="89">
        <f t="shared" si="198"/>
        <v>17367.056655</v>
      </c>
      <c r="AF751" s="90">
        <f t="shared" si="180"/>
        <v>7387.0978350000005</v>
      </c>
      <c r="AG751" s="93">
        <f t="shared" si="181"/>
        <v>0.7401932180517754</v>
      </c>
      <c r="AK751" s="90">
        <f t="shared" si="199"/>
        <v>142</v>
      </c>
      <c r="AL751" s="89">
        <f t="shared" si="200"/>
        <v>68.865979063380294</v>
      </c>
      <c r="AM751" s="89">
        <f t="shared" si="192"/>
        <v>89.061829000000003</v>
      </c>
      <c r="AN751" s="90">
        <f t="shared" si="193"/>
        <v>12646.779718</v>
      </c>
      <c r="AO751" s="93">
        <f t="shared" si="194"/>
        <v>0.29326309175148157</v>
      </c>
    </row>
    <row r="752" spans="2:41" x14ac:dyDescent="0.25">
      <c r="B752" s="91">
        <v>40442</v>
      </c>
      <c r="C752" s="89">
        <v>114.300003</v>
      </c>
      <c r="D752" s="89">
        <v>114.839996</v>
      </c>
      <c r="E752" s="89">
        <v>113.510002</v>
      </c>
      <c r="F752" s="89">
        <v>113.980003</v>
      </c>
      <c r="G752" s="89">
        <v>88.882469</v>
      </c>
      <c r="H752" s="89">
        <v>268389100</v>
      </c>
      <c r="J752" s="89">
        <v>0</v>
      </c>
      <c r="K752" s="89">
        <f t="shared" si="190"/>
        <v>88</v>
      </c>
      <c r="L752" s="89">
        <f t="shared" si="191"/>
        <v>112.621376</v>
      </c>
      <c r="M752" s="89">
        <f>+SPY__2[[#This Row],[Adj Close]]</f>
        <v>88.882469</v>
      </c>
      <c r="N752" s="89">
        <f t="shared" si="186"/>
        <v>7821.6572720000004</v>
      </c>
      <c r="O752" s="90">
        <f t="shared" si="187"/>
        <v>-2089.0238159999999</v>
      </c>
      <c r="P752" s="93">
        <f t="shared" si="188"/>
        <v>-0.21078509110028987</v>
      </c>
      <c r="Q752" s="96"/>
      <c r="R752" s="96"/>
      <c r="T752" s="90">
        <f t="shared" si="182"/>
        <v>95</v>
      </c>
      <c r="U752" s="89">
        <f t="shared" si="183"/>
        <v>103.31428490526316</v>
      </c>
      <c r="V752" s="89">
        <f t="shared" si="184"/>
        <v>88.882469</v>
      </c>
      <c r="W752" s="90">
        <f t="shared" si="189"/>
        <v>8443.8345549999995</v>
      </c>
      <c r="X752" s="93">
        <f t="shared" si="185"/>
        <v>-0.13968848469015505</v>
      </c>
      <c r="AB752" s="89">
        <f t="shared" si="195"/>
        <v>195</v>
      </c>
      <c r="AC752" s="89">
        <f t="shared" si="196"/>
        <v>51.179276000000002</v>
      </c>
      <c r="AD752" s="89">
        <f t="shared" si="197"/>
        <v>88.882469</v>
      </c>
      <c r="AE752" s="89">
        <f t="shared" si="198"/>
        <v>17332.081455</v>
      </c>
      <c r="AF752" s="90">
        <f t="shared" si="180"/>
        <v>7352.1226349999997</v>
      </c>
      <c r="AG752" s="93">
        <f t="shared" si="181"/>
        <v>0.73668867453302767</v>
      </c>
      <c r="AK752" s="90">
        <f t="shared" si="199"/>
        <v>142</v>
      </c>
      <c r="AL752" s="89">
        <f t="shared" si="200"/>
        <v>68.865979063380294</v>
      </c>
      <c r="AM752" s="89">
        <f t="shared" si="192"/>
        <v>88.882469</v>
      </c>
      <c r="AN752" s="90">
        <f t="shared" si="193"/>
        <v>12621.310598</v>
      </c>
      <c r="AO752" s="93">
        <f t="shared" si="194"/>
        <v>0.29065861269753657</v>
      </c>
    </row>
    <row r="753" spans="2:41" x14ac:dyDescent="0.25">
      <c r="B753" s="91">
        <v>40443</v>
      </c>
      <c r="C753" s="89">
        <v>113.800003</v>
      </c>
      <c r="D753" s="89">
        <v>114.44000200000001</v>
      </c>
      <c r="E753" s="89">
        <v>113.099998</v>
      </c>
      <c r="F753" s="89">
        <v>113.41999800000001</v>
      </c>
      <c r="G753" s="89">
        <v>88.445778000000004</v>
      </c>
      <c r="H753" s="89">
        <v>191322400</v>
      </c>
      <c r="J753" s="89">
        <v>0</v>
      </c>
      <c r="K753" s="89">
        <f t="shared" si="190"/>
        <v>88</v>
      </c>
      <c r="L753" s="89">
        <f t="shared" si="191"/>
        <v>112.621376</v>
      </c>
      <c r="M753" s="89">
        <f>+SPY__2[[#This Row],[Adj Close]]</f>
        <v>88.445778000000004</v>
      </c>
      <c r="N753" s="89">
        <f t="shared" si="186"/>
        <v>7783.2284640000007</v>
      </c>
      <c r="O753" s="90">
        <f t="shared" si="187"/>
        <v>-2127.4526239999996</v>
      </c>
      <c r="P753" s="93">
        <f t="shared" si="188"/>
        <v>-0.21466260543646698</v>
      </c>
      <c r="Q753" s="96"/>
      <c r="R753" s="96"/>
      <c r="T753" s="90">
        <f t="shared" si="182"/>
        <v>95</v>
      </c>
      <c r="U753" s="89">
        <f t="shared" si="183"/>
        <v>103.31428490526316</v>
      </c>
      <c r="V753" s="89">
        <f t="shared" si="184"/>
        <v>88.445778000000004</v>
      </c>
      <c r="W753" s="90">
        <f t="shared" si="189"/>
        <v>8402.3489100000006</v>
      </c>
      <c r="X753" s="93">
        <f t="shared" si="185"/>
        <v>-0.14391530579626266</v>
      </c>
      <c r="AB753" s="89">
        <f t="shared" si="195"/>
        <v>195</v>
      </c>
      <c r="AC753" s="89">
        <f t="shared" si="196"/>
        <v>51.179276000000002</v>
      </c>
      <c r="AD753" s="89">
        <f t="shared" si="197"/>
        <v>88.445778000000004</v>
      </c>
      <c r="AE753" s="89">
        <f t="shared" si="198"/>
        <v>17246.92671</v>
      </c>
      <c r="AF753" s="90">
        <f t="shared" si="180"/>
        <v>7266.9678900000008</v>
      </c>
      <c r="AG753" s="93">
        <f t="shared" si="181"/>
        <v>0.72815609974631146</v>
      </c>
      <c r="AK753" s="90">
        <f t="shared" si="199"/>
        <v>142</v>
      </c>
      <c r="AL753" s="89">
        <f t="shared" si="200"/>
        <v>68.865979063380294</v>
      </c>
      <c r="AM753" s="89">
        <f t="shared" si="192"/>
        <v>88.445778000000004</v>
      </c>
      <c r="AN753" s="90">
        <f t="shared" si="193"/>
        <v>12559.300476</v>
      </c>
      <c r="AO753" s="93">
        <f t="shared" si="194"/>
        <v>0.28431744096166245</v>
      </c>
    </row>
    <row r="754" spans="2:41" x14ac:dyDescent="0.25">
      <c r="B754" s="91">
        <v>40444</v>
      </c>
      <c r="C754" s="89">
        <v>112.489998</v>
      </c>
      <c r="D754" s="89">
        <v>113.66999800000001</v>
      </c>
      <c r="E754" s="89">
        <v>112.18</v>
      </c>
      <c r="F754" s="89">
        <v>112.5</v>
      </c>
      <c r="G754" s="89">
        <v>87.728370999999996</v>
      </c>
      <c r="H754" s="89">
        <v>202354300</v>
      </c>
      <c r="J754" s="89">
        <v>0</v>
      </c>
      <c r="K754" s="89">
        <f t="shared" si="190"/>
        <v>88</v>
      </c>
      <c r="L754" s="89">
        <f t="shared" si="191"/>
        <v>112.621376</v>
      </c>
      <c r="M754" s="89">
        <f>+SPY__2[[#This Row],[Adj Close]]</f>
        <v>87.728370999999996</v>
      </c>
      <c r="N754" s="89">
        <f t="shared" si="186"/>
        <v>7720.0966479999997</v>
      </c>
      <c r="O754" s="90">
        <f t="shared" si="187"/>
        <v>-2190.5844400000001</v>
      </c>
      <c r="P754" s="93">
        <f t="shared" si="188"/>
        <v>-0.2210326838840968</v>
      </c>
      <c r="Q754" s="96"/>
      <c r="R754" s="96"/>
      <c r="T754" s="90">
        <f t="shared" si="182"/>
        <v>95</v>
      </c>
      <c r="U754" s="89">
        <f t="shared" si="183"/>
        <v>103.31428490526316</v>
      </c>
      <c r="V754" s="89">
        <f t="shared" si="184"/>
        <v>87.728370999999996</v>
      </c>
      <c r="W754" s="90">
        <f t="shared" si="189"/>
        <v>8334.195244999999</v>
      </c>
      <c r="X754" s="93">
        <f t="shared" si="185"/>
        <v>-0.15085923422453251</v>
      </c>
      <c r="AB754" s="89">
        <f t="shared" si="195"/>
        <v>195</v>
      </c>
      <c r="AC754" s="89">
        <f t="shared" si="196"/>
        <v>51.179276000000002</v>
      </c>
      <c r="AD754" s="89">
        <f t="shared" si="197"/>
        <v>87.728370999999996</v>
      </c>
      <c r="AE754" s="89">
        <f t="shared" si="198"/>
        <v>17107.032345</v>
      </c>
      <c r="AF754" s="90">
        <f t="shared" ref="AF754:AF817" si="201">+(AD754-AC754)*AB754</f>
        <v>7127.0735249999989</v>
      </c>
      <c r="AG754" s="93">
        <f t="shared" ref="AG754:AG817" si="202">+AD754/AC754-1</f>
        <v>0.71413857046356011</v>
      </c>
      <c r="AK754" s="90">
        <f t="shared" si="199"/>
        <v>142</v>
      </c>
      <c r="AL754" s="89">
        <f t="shared" si="200"/>
        <v>68.865979063380294</v>
      </c>
      <c r="AM754" s="89">
        <f t="shared" si="192"/>
        <v>87.728370999999996</v>
      </c>
      <c r="AN754" s="90">
        <f t="shared" si="193"/>
        <v>12457.428682</v>
      </c>
      <c r="AO754" s="93">
        <f t="shared" si="194"/>
        <v>0.2739000039375008</v>
      </c>
    </row>
    <row r="755" spans="2:41" x14ac:dyDescent="0.25">
      <c r="B755" s="91">
        <v>40445</v>
      </c>
      <c r="C755" s="89">
        <v>113.75</v>
      </c>
      <c r="D755" s="89">
        <v>114.900002</v>
      </c>
      <c r="E755" s="89">
        <v>113.650002</v>
      </c>
      <c r="F755" s="89">
        <v>114.82</v>
      </c>
      <c r="G755" s="89">
        <v>89.537520999999998</v>
      </c>
      <c r="H755" s="89">
        <v>209671800</v>
      </c>
      <c r="J755" s="89">
        <v>0</v>
      </c>
      <c r="K755" s="89">
        <f t="shared" si="190"/>
        <v>88</v>
      </c>
      <c r="L755" s="89">
        <f t="shared" si="191"/>
        <v>112.621376</v>
      </c>
      <c r="M755" s="89">
        <f>+SPY__2[[#This Row],[Adj Close]]</f>
        <v>89.537520999999998</v>
      </c>
      <c r="N755" s="89">
        <f t="shared" si="186"/>
        <v>7879.3018480000001</v>
      </c>
      <c r="O755" s="90">
        <f t="shared" si="187"/>
        <v>-2031.37924</v>
      </c>
      <c r="P755" s="93">
        <f t="shared" si="188"/>
        <v>-0.20496868196673423</v>
      </c>
      <c r="Q755" s="96"/>
      <c r="R755" s="96"/>
      <c r="T755" s="90">
        <f t="shared" si="182"/>
        <v>95</v>
      </c>
      <c r="U755" s="89">
        <f t="shared" si="183"/>
        <v>103.31428490526316</v>
      </c>
      <c r="V755" s="89">
        <f t="shared" si="184"/>
        <v>89.537520999999998</v>
      </c>
      <c r="W755" s="90">
        <f t="shared" si="189"/>
        <v>8506.0644950000005</v>
      </c>
      <c r="X755" s="93">
        <f t="shared" si="185"/>
        <v>-0.13334810300333722</v>
      </c>
      <c r="AB755" s="89">
        <f t="shared" si="195"/>
        <v>195</v>
      </c>
      <c r="AC755" s="89">
        <f t="shared" si="196"/>
        <v>51.179276000000002</v>
      </c>
      <c r="AD755" s="89">
        <f t="shared" si="197"/>
        <v>89.537520999999998</v>
      </c>
      <c r="AE755" s="89">
        <f t="shared" si="198"/>
        <v>17459.816595</v>
      </c>
      <c r="AF755" s="90">
        <f t="shared" si="201"/>
        <v>7479.8577749999995</v>
      </c>
      <c r="AG755" s="93">
        <f t="shared" si="202"/>
        <v>0.74948783957006349</v>
      </c>
      <c r="AK755" s="90">
        <f t="shared" si="199"/>
        <v>142</v>
      </c>
      <c r="AL755" s="89">
        <f t="shared" si="200"/>
        <v>68.865979063380294</v>
      </c>
      <c r="AM755" s="89">
        <f t="shared" si="192"/>
        <v>89.537520999999998</v>
      </c>
      <c r="AN755" s="90">
        <f t="shared" si="193"/>
        <v>12714.327981999999</v>
      </c>
      <c r="AO755" s="93">
        <f t="shared" si="194"/>
        <v>0.30017059537619883</v>
      </c>
    </row>
    <row r="756" spans="2:41" x14ac:dyDescent="0.25">
      <c r="B756" s="91">
        <v>40448</v>
      </c>
      <c r="C756" s="89">
        <v>114.860001</v>
      </c>
      <c r="D756" s="89">
        <v>114.989998</v>
      </c>
      <c r="E756" s="89">
        <v>114.160004</v>
      </c>
      <c r="F756" s="89">
        <v>114.269997</v>
      </c>
      <c r="G756" s="89">
        <v>89.108611999999994</v>
      </c>
      <c r="H756" s="89">
        <v>128761800</v>
      </c>
      <c r="J756" s="89">
        <v>0</v>
      </c>
      <c r="K756" s="89">
        <f t="shared" si="190"/>
        <v>88</v>
      </c>
      <c r="L756" s="89">
        <f t="shared" si="191"/>
        <v>112.621376</v>
      </c>
      <c r="M756" s="89">
        <f>+SPY__2[[#This Row],[Adj Close]]</f>
        <v>89.108611999999994</v>
      </c>
      <c r="N756" s="89">
        <f t="shared" si="186"/>
        <v>7841.5578559999994</v>
      </c>
      <c r="O756" s="90">
        <f t="shared" si="187"/>
        <v>-2069.1232320000004</v>
      </c>
      <c r="P756" s="93">
        <f t="shared" si="188"/>
        <v>-0.20877709752010143</v>
      </c>
      <c r="Q756" s="96"/>
      <c r="R756" s="96"/>
      <c r="T756" s="90">
        <f t="shared" si="182"/>
        <v>95</v>
      </c>
      <c r="U756" s="89">
        <f t="shared" si="183"/>
        <v>103.31428490526316</v>
      </c>
      <c r="V756" s="89">
        <f t="shared" si="184"/>
        <v>89.108611999999994</v>
      </c>
      <c r="W756" s="90">
        <f t="shared" si="189"/>
        <v>8465.3181399999994</v>
      </c>
      <c r="X756" s="93">
        <f t="shared" si="185"/>
        <v>-0.13749960054690835</v>
      </c>
      <c r="AB756" s="89">
        <f t="shared" si="195"/>
        <v>195</v>
      </c>
      <c r="AC756" s="89">
        <f t="shared" si="196"/>
        <v>51.179276000000002</v>
      </c>
      <c r="AD756" s="89">
        <f t="shared" si="197"/>
        <v>89.108611999999994</v>
      </c>
      <c r="AE756" s="89">
        <f t="shared" si="198"/>
        <v>17376.179339999999</v>
      </c>
      <c r="AF756" s="90">
        <f t="shared" si="201"/>
        <v>7396.220519999998</v>
      </c>
      <c r="AG756" s="93">
        <f t="shared" si="202"/>
        <v>0.74110731851697143</v>
      </c>
      <c r="AK756" s="90">
        <f t="shared" si="199"/>
        <v>142</v>
      </c>
      <c r="AL756" s="89">
        <f t="shared" si="200"/>
        <v>68.865979063380294</v>
      </c>
      <c r="AM756" s="89">
        <f t="shared" si="192"/>
        <v>89.108611999999994</v>
      </c>
      <c r="AN756" s="90">
        <f t="shared" si="193"/>
        <v>12653.422903999999</v>
      </c>
      <c r="AO756" s="93">
        <f t="shared" si="194"/>
        <v>0.29394242573665519</v>
      </c>
    </row>
    <row r="757" spans="2:41" x14ac:dyDescent="0.25">
      <c r="B757" s="91">
        <v>40449</v>
      </c>
      <c r="C757" s="89">
        <v>114.41999800000001</v>
      </c>
      <c r="D757" s="89">
        <v>115.040001</v>
      </c>
      <c r="E757" s="89">
        <v>113.18</v>
      </c>
      <c r="F757" s="89">
        <v>114.66999800000001</v>
      </c>
      <c r="G757" s="89">
        <v>89.420563000000001</v>
      </c>
      <c r="H757" s="89">
        <v>209207500</v>
      </c>
      <c r="J757" s="89">
        <v>0</v>
      </c>
      <c r="K757" s="89">
        <f t="shared" si="190"/>
        <v>88</v>
      </c>
      <c r="L757" s="89">
        <f t="shared" si="191"/>
        <v>112.621376</v>
      </c>
      <c r="M757" s="89">
        <f>+SPY__2[[#This Row],[Adj Close]]</f>
        <v>89.420563000000001</v>
      </c>
      <c r="N757" s="89">
        <f t="shared" si="186"/>
        <v>7869.0095440000005</v>
      </c>
      <c r="O757" s="90">
        <f t="shared" si="187"/>
        <v>-2041.6715439999998</v>
      </c>
      <c r="P757" s="93">
        <f t="shared" si="188"/>
        <v>-0.206007188191343</v>
      </c>
      <c r="Q757" s="96"/>
      <c r="R757" s="96"/>
      <c r="T757" s="90">
        <f t="shared" si="182"/>
        <v>95</v>
      </c>
      <c r="U757" s="89">
        <f t="shared" si="183"/>
        <v>103.31428490526316</v>
      </c>
      <c r="V757" s="89">
        <f t="shared" si="184"/>
        <v>89.420563000000001</v>
      </c>
      <c r="W757" s="90">
        <f t="shared" si="189"/>
        <v>8494.953485</v>
      </c>
      <c r="X757" s="93">
        <f t="shared" si="185"/>
        <v>-0.13448016329981272</v>
      </c>
      <c r="AB757" s="89">
        <f t="shared" si="195"/>
        <v>195</v>
      </c>
      <c r="AC757" s="89">
        <f t="shared" si="196"/>
        <v>51.179276000000002</v>
      </c>
      <c r="AD757" s="89">
        <f t="shared" si="197"/>
        <v>89.420563000000001</v>
      </c>
      <c r="AE757" s="89">
        <f t="shared" si="198"/>
        <v>17437.009785000002</v>
      </c>
      <c r="AF757" s="90">
        <f t="shared" si="201"/>
        <v>7457.0509650000004</v>
      </c>
      <c r="AG757" s="93">
        <f t="shared" si="202"/>
        <v>0.74720257863749384</v>
      </c>
      <c r="AK757" s="90">
        <f t="shared" si="199"/>
        <v>142</v>
      </c>
      <c r="AL757" s="89">
        <f t="shared" si="200"/>
        <v>68.865979063380294</v>
      </c>
      <c r="AM757" s="89">
        <f t="shared" si="192"/>
        <v>89.420563000000001</v>
      </c>
      <c r="AN757" s="90">
        <f t="shared" si="193"/>
        <v>12697.719946000001</v>
      </c>
      <c r="AO757" s="93">
        <f t="shared" si="194"/>
        <v>0.29847225315278614</v>
      </c>
    </row>
    <row r="758" spans="2:41" x14ac:dyDescent="0.25">
      <c r="B758" s="91">
        <v>40450</v>
      </c>
      <c r="C758" s="89">
        <v>114.379997</v>
      </c>
      <c r="D758" s="89">
        <v>114.910004</v>
      </c>
      <c r="E758" s="89">
        <v>114.019997</v>
      </c>
      <c r="F758" s="89">
        <v>114.470001</v>
      </c>
      <c r="G758" s="89">
        <v>89.264602999999994</v>
      </c>
      <c r="H758" s="89">
        <v>179665800</v>
      </c>
      <c r="J758" s="89">
        <v>0</v>
      </c>
      <c r="K758" s="89">
        <f t="shared" si="190"/>
        <v>88</v>
      </c>
      <c r="L758" s="89">
        <f t="shared" si="191"/>
        <v>112.621376</v>
      </c>
      <c r="M758" s="89">
        <f>+SPY__2[[#This Row],[Adj Close]]</f>
        <v>89.264602999999994</v>
      </c>
      <c r="N758" s="89">
        <f t="shared" si="186"/>
        <v>7855.2850639999997</v>
      </c>
      <c r="O758" s="90">
        <f t="shared" si="187"/>
        <v>-2055.3960240000006</v>
      </c>
      <c r="P758" s="93">
        <f t="shared" si="188"/>
        <v>-0.20739200522643242</v>
      </c>
      <c r="Q758" s="96"/>
      <c r="R758" s="96"/>
      <c r="T758" s="90">
        <f t="shared" si="182"/>
        <v>95</v>
      </c>
      <c r="U758" s="89">
        <f t="shared" si="183"/>
        <v>103.31428490526316</v>
      </c>
      <c r="V758" s="89">
        <f t="shared" si="184"/>
        <v>89.264602999999994</v>
      </c>
      <c r="W758" s="90">
        <f t="shared" si="189"/>
        <v>8480.1372849999989</v>
      </c>
      <c r="X758" s="93">
        <f t="shared" si="185"/>
        <v>-0.13598973189570451</v>
      </c>
      <c r="AB758" s="89">
        <f t="shared" si="195"/>
        <v>195</v>
      </c>
      <c r="AC758" s="89">
        <f t="shared" si="196"/>
        <v>51.179276000000002</v>
      </c>
      <c r="AD758" s="89">
        <f t="shared" si="197"/>
        <v>89.264602999999994</v>
      </c>
      <c r="AE758" s="89">
        <f t="shared" si="198"/>
        <v>17406.597585</v>
      </c>
      <c r="AF758" s="90">
        <f t="shared" si="201"/>
        <v>7426.6387649999988</v>
      </c>
      <c r="AG758" s="93">
        <f t="shared" si="202"/>
        <v>0.74415525143419359</v>
      </c>
      <c r="AK758" s="90">
        <f t="shared" si="199"/>
        <v>142</v>
      </c>
      <c r="AL758" s="89">
        <f t="shared" si="200"/>
        <v>68.865979063380294</v>
      </c>
      <c r="AM758" s="89">
        <f t="shared" si="192"/>
        <v>89.264602999999994</v>
      </c>
      <c r="AN758" s="90">
        <f t="shared" si="193"/>
        <v>12675.573625999999</v>
      </c>
      <c r="AO758" s="93">
        <f t="shared" si="194"/>
        <v>0.29620756451957186</v>
      </c>
    </row>
    <row r="759" spans="2:41" x14ac:dyDescent="0.25">
      <c r="B759" s="91">
        <v>40451</v>
      </c>
      <c r="C759" s="89">
        <v>115.050003</v>
      </c>
      <c r="D759" s="89">
        <v>115.790001</v>
      </c>
      <c r="E759" s="89">
        <v>113.589996</v>
      </c>
      <c r="F759" s="89">
        <v>114.129997</v>
      </c>
      <c r="G759" s="89">
        <v>88.999427999999995</v>
      </c>
      <c r="H759" s="89">
        <v>287106700</v>
      </c>
      <c r="J759" s="89">
        <v>0</v>
      </c>
      <c r="K759" s="89">
        <f t="shared" si="190"/>
        <v>88</v>
      </c>
      <c r="L759" s="89">
        <f t="shared" si="191"/>
        <v>112.621376</v>
      </c>
      <c r="M759" s="89">
        <f>+SPY__2[[#This Row],[Adj Close]]</f>
        <v>88.999427999999995</v>
      </c>
      <c r="N759" s="89">
        <f t="shared" si="186"/>
        <v>7831.9496639999998</v>
      </c>
      <c r="O759" s="90">
        <f t="shared" si="187"/>
        <v>-2078.7314240000005</v>
      </c>
      <c r="P759" s="93">
        <f t="shared" si="188"/>
        <v>-0.20974657599637214</v>
      </c>
      <c r="Q759" s="96"/>
      <c r="R759" s="96"/>
      <c r="T759" s="90">
        <f t="shared" si="182"/>
        <v>95</v>
      </c>
      <c r="U759" s="89">
        <f t="shared" si="183"/>
        <v>103.31428490526316</v>
      </c>
      <c r="V759" s="89">
        <f t="shared" si="184"/>
        <v>88.999427999999995</v>
      </c>
      <c r="W759" s="90">
        <f t="shared" si="189"/>
        <v>8454.9456599999994</v>
      </c>
      <c r="X759" s="93">
        <f t="shared" si="185"/>
        <v>-0.13855641471447599</v>
      </c>
      <c r="AB759" s="89">
        <f t="shared" si="195"/>
        <v>195</v>
      </c>
      <c r="AC759" s="89">
        <f t="shared" si="196"/>
        <v>51.179276000000002</v>
      </c>
      <c r="AD759" s="89">
        <f t="shared" si="197"/>
        <v>88.999427999999995</v>
      </c>
      <c r="AE759" s="89">
        <f t="shared" si="198"/>
        <v>17354.888459999998</v>
      </c>
      <c r="AF759" s="90">
        <f t="shared" si="201"/>
        <v>7374.9296399999985</v>
      </c>
      <c r="AG759" s="93">
        <f t="shared" si="202"/>
        <v>0.73897395500475604</v>
      </c>
      <c r="AK759" s="90">
        <f t="shared" si="199"/>
        <v>142</v>
      </c>
      <c r="AL759" s="89">
        <f t="shared" si="200"/>
        <v>68.865979063380294</v>
      </c>
      <c r="AM759" s="89">
        <f t="shared" si="192"/>
        <v>88.999427999999995</v>
      </c>
      <c r="AN759" s="90">
        <f t="shared" si="193"/>
        <v>12637.918775999999</v>
      </c>
      <c r="AO759" s="93">
        <f t="shared" si="194"/>
        <v>0.29235696944190726</v>
      </c>
    </row>
    <row r="760" spans="2:41" x14ac:dyDescent="0.25">
      <c r="B760" s="91">
        <v>40452</v>
      </c>
      <c r="C760" s="89">
        <v>114.989998</v>
      </c>
      <c r="D760" s="89">
        <v>115.120003</v>
      </c>
      <c r="E760" s="89">
        <v>113.93</v>
      </c>
      <c r="F760" s="89">
        <v>114.610001</v>
      </c>
      <c r="G760" s="89">
        <v>89.373740999999995</v>
      </c>
      <c r="H760" s="89">
        <v>174638700</v>
      </c>
      <c r="J760" s="89">
        <v>0</v>
      </c>
      <c r="K760" s="89">
        <f t="shared" si="190"/>
        <v>88</v>
      </c>
      <c r="L760" s="89">
        <f t="shared" si="191"/>
        <v>112.621376</v>
      </c>
      <c r="M760" s="89">
        <f>+SPY__2[[#This Row],[Adj Close]]</f>
        <v>89.373740999999995</v>
      </c>
      <c r="N760" s="89">
        <f t="shared" si="186"/>
        <v>7864.8892079999996</v>
      </c>
      <c r="O760" s="90">
        <f t="shared" si="187"/>
        <v>-2045.7918800000002</v>
      </c>
      <c r="P760" s="93">
        <f t="shared" si="188"/>
        <v>-0.20642293519837662</v>
      </c>
      <c r="Q760" s="96"/>
      <c r="R760" s="96"/>
      <c r="T760" s="90">
        <f t="shared" si="182"/>
        <v>95</v>
      </c>
      <c r="U760" s="89">
        <f t="shared" si="183"/>
        <v>103.31428490526316</v>
      </c>
      <c r="V760" s="89">
        <f t="shared" si="184"/>
        <v>89.373740999999995</v>
      </c>
      <c r="W760" s="90">
        <f t="shared" si="189"/>
        <v>8490.5053950000001</v>
      </c>
      <c r="X760" s="93">
        <f t="shared" si="185"/>
        <v>-0.13493336297150316</v>
      </c>
      <c r="AB760" s="89">
        <f t="shared" si="195"/>
        <v>195</v>
      </c>
      <c r="AC760" s="89">
        <f t="shared" si="196"/>
        <v>51.179276000000002</v>
      </c>
      <c r="AD760" s="89">
        <f t="shared" si="197"/>
        <v>89.373740999999995</v>
      </c>
      <c r="AE760" s="89">
        <f t="shared" si="198"/>
        <v>17427.879494999997</v>
      </c>
      <c r="AF760" s="90">
        <f t="shared" si="201"/>
        <v>7447.9206749999985</v>
      </c>
      <c r="AG760" s="93">
        <f t="shared" si="202"/>
        <v>0.74628771614510514</v>
      </c>
      <c r="AK760" s="90">
        <f t="shared" si="199"/>
        <v>142</v>
      </c>
      <c r="AL760" s="89">
        <f t="shared" si="200"/>
        <v>68.865979063380294</v>
      </c>
      <c r="AM760" s="89">
        <f t="shared" si="192"/>
        <v>89.373740999999995</v>
      </c>
      <c r="AN760" s="90">
        <f t="shared" si="193"/>
        <v>12691.071221999999</v>
      </c>
      <c r="AO760" s="93">
        <f t="shared" si="194"/>
        <v>0.29779235285024463</v>
      </c>
    </row>
    <row r="761" spans="2:41" x14ac:dyDescent="0.25">
      <c r="B761" s="91">
        <v>40455</v>
      </c>
      <c r="C761" s="89">
        <v>114.370003</v>
      </c>
      <c r="D761" s="89">
        <v>114.849998</v>
      </c>
      <c r="E761" s="89">
        <v>113.18</v>
      </c>
      <c r="F761" s="89">
        <v>113.75</v>
      </c>
      <c r="G761" s="89">
        <v>88.703117000000006</v>
      </c>
      <c r="H761" s="89">
        <v>166153200</v>
      </c>
      <c r="J761" s="89">
        <v>0</v>
      </c>
      <c r="K761" s="89">
        <f t="shared" si="190"/>
        <v>88</v>
      </c>
      <c r="L761" s="89">
        <f t="shared" si="191"/>
        <v>112.621376</v>
      </c>
      <c r="M761" s="89">
        <f>+SPY__2[[#This Row],[Adj Close]]</f>
        <v>88.703117000000006</v>
      </c>
      <c r="N761" s="89">
        <f t="shared" si="186"/>
        <v>7805.8742960000009</v>
      </c>
      <c r="O761" s="90">
        <f t="shared" si="187"/>
        <v>-2104.8067919999994</v>
      </c>
      <c r="P761" s="93">
        <f t="shared" si="188"/>
        <v>-0.21237761293202451</v>
      </c>
      <c r="Q761" s="96"/>
      <c r="R761" s="96"/>
      <c r="T761" s="90">
        <f t="shared" si="182"/>
        <v>95</v>
      </c>
      <c r="U761" s="89">
        <f t="shared" si="183"/>
        <v>103.31428490526316</v>
      </c>
      <c r="V761" s="89">
        <f t="shared" si="184"/>
        <v>88.703117000000006</v>
      </c>
      <c r="W761" s="90">
        <f t="shared" si="189"/>
        <v>8426.796115000001</v>
      </c>
      <c r="X761" s="93">
        <f t="shared" si="185"/>
        <v>-0.14142446921702323</v>
      </c>
      <c r="AB761" s="89">
        <f t="shared" si="195"/>
        <v>195</v>
      </c>
      <c r="AC761" s="89">
        <f t="shared" si="196"/>
        <v>51.179276000000002</v>
      </c>
      <c r="AD761" s="89">
        <f t="shared" si="197"/>
        <v>88.703117000000006</v>
      </c>
      <c r="AE761" s="89">
        <f t="shared" si="198"/>
        <v>17297.107814999999</v>
      </c>
      <c r="AF761" s="90">
        <f t="shared" si="201"/>
        <v>7317.1489950000005</v>
      </c>
      <c r="AG761" s="93">
        <f t="shared" si="202"/>
        <v>0.73318428732755048</v>
      </c>
      <c r="AK761" s="90">
        <f t="shared" si="199"/>
        <v>142</v>
      </c>
      <c r="AL761" s="89">
        <f t="shared" si="200"/>
        <v>68.865979063380294</v>
      </c>
      <c r="AM761" s="89">
        <f t="shared" si="192"/>
        <v>88.703117000000006</v>
      </c>
      <c r="AN761" s="90">
        <f t="shared" si="193"/>
        <v>12595.842614000001</v>
      </c>
      <c r="AO761" s="93">
        <f t="shared" si="194"/>
        <v>0.2880542498112566</v>
      </c>
    </row>
    <row r="762" spans="2:41" x14ac:dyDescent="0.25">
      <c r="B762" s="91">
        <v>40456</v>
      </c>
      <c r="C762" s="89">
        <v>114.800003</v>
      </c>
      <c r="D762" s="89">
        <v>116.32</v>
      </c>
      <c r="E762" s="89">
        <v>114.66999800000001</v>
      </c>
      <c r="F762" s="89">
        <v>116.040001</v>
      </c>
      <c r="G762" s="89">
        <v>90.488868999999994</v>
      </c>
      <c r="H762" s="89">
        <v>229634100</v>
      </c>
      <c r="J762" s="89">
        <v>0</v>
      </c>
      <c r="K762" s="89">
        <f t="shared" si="190"/>
        <v>88</v>
      </c>
      <c r="L762" s="89">
        <f t="shared" si="191"/>
        <v>112.621376</v>
      </c>
      <c r="M762" s="89">
        <f>+SPY__2[[#This Row],[Adj Close]]</f>
        <v>90.488868999999994</v>
      </c>
      <c r="N762" s="89">
        <f t="shared" si="186"/>
        <v>7963.0204719999992</v>
      </c>
      <c r="O762" s="90">
        <f t="shared" si="187"/>
        <v>-1947.6606160000003</v>
      </c>
      <c r="P762" s="93">
        <f t="shared" si="188"/>
        <v>-0.19652136908716156</v>
      </c>
      <c r="Q762" s="96"/>
      <c r="R762" s="96"/>
      <c r="T762" s="90">
        <f t="shared" si="182"/>
        <v>95</v>
      </c>
      <c r="U762" s="89">
        <f t="shared" si="183"/>
        <v>103.31428490526316</v>
      </c>
      <c r="V762" s="89">
        <f t="shared" si="184"/>
        <v>90.488868999999994</v>
      </c>
      <c r="W762" s="90">
        <f t="shared" si="189"/>
        <v>8596.4425549999996</v>
      </c>
      <c r="X762" s="93">
        <f t="shared" si="185"/>
        <v>-0.1241398120020264</v>
      </c>
      <c r="AB762" s="89">
        <f t="shared" si="195"/>
        <v>195</v>
      </c>
      <c r="AC762" s="89">
        <f t="shared" si="196"/>
        <v>51.179276000000002</v>
      </c>
      <c r="AD762" s="89">
        <f t="shared" si="197"/>
        <v>90.488868999999994</v>
      </c>
      <c r="AE762" s="89">
        <f t="shared" si="198"/>
        <v>17645.329454999999</v>
      </c>
      <c r="AF762" s="90">
        <f t="shared" si="201"/>
        <v>7665.3706349999984</v>
      </c>
      <c r="AG762" s="93">
        <f t="shared" si="202"/>
        <v>0.76807637919692318</v>
      </c>
      <c r="AK762" s="90">
        <f t="shared" si="199"/>
        <v>142</v>
      </c>
      <c r="AL762" s="89">
        <f t="shared" si="200"/>
        <v>68.865979063380294</v>
      </c>
      <c r="AM762" s="89">
        <f t="shared" si="192"/>
        <v>90.488868999999994</v>
      </c>
      <c r="AN762" s="90">
        <f t="shared" si="193"/>
        <v>12849.419398</v>
      </c>
      <c r="AO762" s="93">
        <f t="shared" si="194"/>
        <v>0.31398507987113988</v>
      </c>
    </row>
    <row r="763" spans="2:41" x14ac:dyDescent="0.25">
      <c r="B763" s="91">
        <v>40457</v>
      </c>
      <c r="C763" s="89">
        <v>116.019997</v>
      </c>
      <c r="D763" s="89">
        <v>116.33000199999999</v>
      </c>
      <c r="E763" s="89">
        <v>115.55999799999999</v>
      </c>
      <c r="F763" s="89">
        <v>116.029999</v>
      </c>
      <c r="G763" s="89">
        <v>90.481071</v>
      </c>
      <c r="H763" s="89">
        <v>148626600</v>
      </c>
      <c r="J763" s="89">
        <v>0</v>
      </c>
      <c r="K763" s="89">
        <f t="shared" si="190"/>
        <v>88</v>
      </c>
      <c r="L763" s="89">
        <f t="shared" si="191"/>
        <v>112.621376</v>
      </c>
      <c r="M763" s="89">
        <f>+SPY__2[[#This Row],[Adj Close]]</f>
        <v>90.481071</v>
      </c>
      <c r="N763" s="89">
        <f t="shared" si="186"/>
        <v>7962.3342480000001</v>
      </c>
      <c r="O763" s="90">
        <f t="shared" si="187"/>
        <v>-1948.3468399999997</v>
      </c>
      <c r="P763" s="93">
        <f t="shared" si="188"/>
        <v>-0.19659060993891597</v>
      </c>
      <c r="Q763" s="96"/>
      <c r="R763" s="96"/>
      <c r="T763" s="90">
        <f t="shared" si="182"/>
        <v>95</v>
      </c>
      <c r="U763" s="89">
        <f t="shared" si="183"/>
        <v>103.31428490526316</v>
      </c>
      <c r="V763" s="89">
        <f t="shared" si="184"/>
        <v>90.481071</v>
      </c>
      <c r="W763" s="90">
        <f t="shared" si="189"/>
        <v>8595.7017450000003</v>
      </c>
      <c r="X763" s="93">
        <f t="shared" si="185"/>
        <v>-0.124215290431821</v>
      </c>
      <c r="AB763" s="89">
        <f t="shared" si="195"/>
        <v>195</v>
      </c>
      <c r="AC763" s="89">
        <f t="shared" si="196"/>
        <v>51.179276000000002</v>
      </c>
      <c r="AD763" s="89">
        <f t="shared" si="197"/>
        <v>90.481071</v>
      </c>
      <c r="AE763" s="89">
        <f t="shared" si="198"/>
        <v>17643.808845</v>
      </c>
      <c r="AF763" s="90">
        <f t="shared" si="201"/>
        <v>7663.8500249999997</v>
      </c>
      <c r="AG763" s="93">
        <f t="shared" si="202"/>
        <v>0.76792401283675837</v>
      </c>
      <c r="AK763" s="90">
        <f t="shared" si="199"/>
        <v>142</v>
      </c>
      <c r="AL763" s="89">
        <f t="shared" si="200"/>
        <v>68.865979063380294</v>
      </c>
      <c r="AM763" s="89">
        <f t="shared" si="192"/>
        <v>90.481071</v>
      </c>
      <c r="AN763" s="90">
        <f t="shared" si="193"/>
        <v>12848.312082</v>
      </c>
      <c r="AO763" s="93">
        <f t="shared" si="194"/>
        <v>0.31387184543947932</v>
      </c>
    </row>
    <row r="764" spans="2:41" x14ac:dyDescent="0.25">
      <c r="B764" s="91">
        <v>40458</v>
      </c>
      <c r="C764" s="89">
        <v>116.5</v>
      </c>
      <c r="D764" s="89">
        <v>116.529999</v>
      </c>
      <c r="E764" s="89">
        <v>115.19000200000001</v>
      </c>
      <c r="F764" s="89">
        <v>115.889999</v>
      </c>
      <c r="G764" s="89">
        <v>90.371894999999995</v>
      </c>
      <c r="H764" s="89">
        <v>164860000</v>
      </c>
      <c r="J764" s="89">
        <v>0</v>
      </c>
      <c r="K764" s="89">
        <f t="shared" si="190"/>
        <v>88</v>
      </c>
      <c r="L764" s="89">
        <f t="shared" si="191"/>
        <v>112.621376</v>
      </c>
      <c r="M764" s="89">
        <f>+SPY__2[[#This Row],[Adj Close]]</f>
        <v>90.371894999999995</v>
      </c>
      <c r="N764" s="89">
        <f t="shared" si="186"/>
        <v>7952.7267599999996</v>
      </c>
      <c r="O764" s="90">
        <f t="shared" si="187"/>
        <v>-1957.9543280000003</v>
      </c>
      <c r="P764" s="93">
        <f t="shared" si="188"/>
        <v>-0.19756001738071471</v>
      </c>
      <c r="Q764" s="96"/>
      <c r="R764" s="96"/>
      <c r="T764" s="90">
        <f t="shared" si="182"/>
        <v>95</v>
      </c>
      <c r="U764" s="89">
        <f t="shared" si="183"/>
        <v>103.31428490526316</v>
      </c>
      <c r="V764" s="89">
        <f t="shared" si="184"/>
        <v>90.371894999999995</v>
      </c>
      <c r="W764" s="90">
        <f t="shared" si="189"/>
        <v>8585.3300249999993</v>
      </c>
      <c r="X764" s="93">
        <f t="shared" si="185"/>
        <v>-0.1252720271657598</v>
      </c>
      <c r="AB764" s="89">
        <f t="shared" si="195"/>
        <v>195</v>
      </c>
      <c r="AC764" s="89">
        <f t="shared" si="196"/>
        <v>51.179276000000002</v>
      </c>
      <c r="AD764" s="89">
        <f t="shared" si="197"/>
        <v>90.371894999999995</v>
      </c>
      <c r="AE764" s="89">
        <f t="shared" si="198"/>
        <v>17622.519525</v>
      </c>
      <c r="AF764" s="90">
        <f t="shared" si="201"/>
        <v>7642.560704999999</v>
      </c>
      <c r="AG764" s="93">
        <f t="shared" si="202"/>
        <v>0.7657908056378131</v>
      </c>
      <c r="AK764" s="90">
        <f t="shared" si="199"/>
        <v>142</v>
      </c>
      <c r="AL764" s="89">
        <f t="shared" si="200"/>
        <v>68.865979063380294</v>
      </c>
      <c r="AM764" s="89">
        <f t="shared" si="192"/>
        <v>90.371894999999995</v>
      </c>
      <c r="AN764" s="90">
        <f t="shared" si="193"/>
        <v>12832.809089999999</v>
      </c>
      <c r="AO764" s="93">
        <f t="shared" si="194"/>
        <v>0.31228650531239666</v>
      </c>
    </row>
    <row r="765" spans="2:41" x14ac:dyDescent="0.25">
      <c r="B765" s="91">
        <v>40459</v>
      </c>
      <c r="C765" s="89">
        <v>116.050003</v>
      </c>
      <c r="D765" s="89">
        <v>116.860001</v>
      </c>
      <c r="E765" s="89">
        <v>115.610001</v>
      </c>
      <c r="F765" s="89">
        <v>116.540001</v>
      </c>
      <c r="G765" s="89">
        <v>90.878769000000005</v>
      </c>
      <c r="H765" s="89">
        <v>177760100</v>
      </c>
      <c r="J765" s="89">
        <v>0</v>
      </c>
      <c r="K765" s="89">
        <f t="shared" si="190"/>
        <v>88</v>
      </c>
      <c r="L765" s="89">
        <f t="shared" si="191"/>
        <v>112.621376</v>
      </c>
      <c r="M765" s="89">
        <f>+SPY__2[[#This Row],[Adj Close]]</f>
        <v>90.878769000000005</v>
      </c>
      <c r="N765" s="89">
        <f t="shared" si="186"/>
        <v>7997.3316720000003</v>
      </c>
      <c r="O765" s="90">
        <f t="shared" si="187"/>
        <v>-1913.3494159999993</v>
      </c>
      <c r="P765" s="93">
        <f t="shared" si="188"/>
        <v>-0.19305932649943824</v>
      </c>
      <c r="Q765" s="96"/>
      <c r="R765" s="96"/>
      <c r="T765" s="90">
        <f t="shared" si="182"/>
        <v>95</v>
      </c>
      <c r="U765" s="89">
        <f t="shared" si="183"/>
        <v>103.31428490526316</v>
      </c>
      <c r="V765" s="89">
        <f t="shared" si="184"/>
        <v>90.878769000000005</v>
      </c>
      <c r="W765" s="90">
        <f t="shared" si="189"/>
        <v>8633.4830550000006</v>
      </c>
      <c r="X765" s="93">
        <f t="shared" si="185"/>
        <v>-0.12036589051229696</v>
      </c>
      <c r="AB765" s="89">
        <f t="shared" si="195"/>
        <v>195</v>
      </c>
      <c r="AC765" s="89">
        <f t="shared" si="196"/>
        <v>51.179276000000002</v>
      </c>
      <c r="AD765" s="89">
        <f t="shared" si="197"/>
        <v>90.878769000000005</v>
      </c>
      <c r="AE765" s="89">
        <f t="shared" si="198"/>
        <v>17721.359955</v>
      </c>
      <c r="AF765" s="90">
        <f t="shared" si="201"/>
        <v>7741.401135000001</v>
      </c>
      <c r="AG765" s="93">
        <f t="shared" si="202"/>
        <v>0.77569469720517348</v>
      </c>
      <c r="AK765" s="90">
        <f t="shared" si="199"/>
        <v>142</v>
      </c>
      <c r="AL765" s="89">
        <f t="shared" si="200"/>
        <v>68.865979063380294</v>
      </c>
      <c r="AM765" s="89">
        <f t="shared" si="192"/>
        <v>90.878769000000005</v>
      </c>
      <c r="AN765" s="90">
        <f t="shared" si="193"/>
        <v>12904.785198000001</v>
      </c>
      <c r="AO765" s="93">
        <f t="shared" si="194"/>
        <v>0.31964680145417534</v>
      </c>
    </row>
    <row r="766" spans="2:41" x14ac:dyDescent="0.25">
      <c r="B766" s="91">
        <v>40462</v>
      </c>
      <c r="C766" s="89">
        <v>116.720001</v>
      </c>
      <c r="D766" s="89">
        <v>116.970001</v>
      </c>
      <c r="E766" s="89">
        <v>116.25</v>
      </c>
      <c r="F766" s="89">
        <v>116.650002</v>
      </c>
      <c r="G766" s="89">
        <v>90.964545999999999</v>
      </c>
      <c r="H766" s="89">
        <v>103098300</v>
      </c>
      <c r="J766" s="89">
        <v>0</v>
      </c>
      <c r="K766" s="89">
        <f t="shared" si="190"/>
        <v>88</v>
      </c>
      <c r="L766" s="89">
        <f t="shared" si="191"/>
        <v>112.621376</v>
      </c>
      <c r="M766" s="89">
        <f>+SPY__2[[#This Row],[Adj Close]]</f>
        <v>90.964545999999999</v>
      </c>
      <c r="N766" s="89">
        <f t="shared" si="186"/>
        <v>8004.880048</v>
      </c>
      <c r="O766" s="90">
        <f t="shared" si="187"/>
        <v>-1905.8010399999998</v>
      </c>
      <c r="P766" s="93">
        <f t="shared" si="188"/>
        <v>-0.19229768600944819</v>
      </c>
      <c r="Q766" s="96"/>
      <c r="R766" s="96"/>
      <c r="T766" s="90">
        <f t="shared" si="182"/>
        <v>95</v>
      </c>
      <c r="U766" s="89">
        <f t="shared" si="183"/>
        <v>103.31428490526316</v>
      </c>
      <c r="V766" s="89">
        <f t="shared" si="184"/>
        <v>90.964545999999999</v>
      </c>
      <c r="W766" s="90">
        <f t="shared" si="189"/>
        <v>8641.6318699999993</v>
      </c>
      <c r="X766" s="93">
        <f t="shared" si="185"/>
        <v>-0.11953563746376017</v>
      </c>
      <c r="AB766" s="89">
        <f t="shared" si="195"/>
        <v>195</v>
      </c>
      <c r="AC766" s="89">
        <f t="shared" si="196"/>
        <v>51.179276000000002</v>
      </c>
      <c r="AD766" s="89">
        <f t="shared" si="197"/>
        <v>90.964545999999999</v>
      </c>
      <c r="AE766" s="89">
        <f t="shared" si="198"/>
        <v>17738.086469999998</v>
      </c>
      <c r="AF766" s="90">
        <f t="shared" si="201"/>
        <v>7758.1276499999994</v>
      </c>
      <c r="AG766" s="93">
        <f t="shared" si="202"/>
        <v>0.77737070762782956</v>
      </c>
      <c r="AK766" s="90">
        <f t="shared" si="199"/>
        <v>142</v>
      </c>
      <c r="AL766" s="89">
        <f t="shared" si="200"/>
        <v>68.865979063380294</v>
      </c>
      <c r="AM766" s="89">
        <f t="shared" si="192"/>
        <v>90.964545999999999</v>
      </c>
      <c r="AN766" s="90">
        <f t="shared" si="193"/>
        <v>12916.965532</v>
      </c>
      <c r="AO766" s="93">
        <f t="shared" si="194"/>
        <v>0.32089236568148483</v>
      </c>
    </row>
    <row r="767" spans="2:41" x14ac:dyDescent="0.25">
      <c r="B767" s="91">
        <v>40463</v>
      </c>
      <c r="C767" s="89">
        <v>116.269997</v>
      </c>
      <c r="D767" s="89">
        <v>117.349998</v>
      </c>
      <c r="E767" s="89">
        <v>115.650002</v>
      </c>
      <c r="F767" s="89">
        <v>117.010002</v>
      </c>
      <c r="G767" s="89">
        <v>91.2453</v>
      </c>
      <c r="H767" s="89">
        <v>182210000</v>
      </c>
      <c r="J767" s="89">
        <v>0</v>
      </c>
      <c r="K767" s="89">
        <f t="shared" si="190"/>
        <v>88</v>
      </c>
      <c r="L767" s="89">
        <f t="shared" si="191"/>
        <v>112.621376</v>
      </c>
      <c r="M767" s="89">
        <f>+SPY__2[[#This Row],[Adj Close]]</f>
        <v>91.2453</v>
      </c>
      <c r="N767" s="89">
        <f t="shared" si="186"/>
        <v>8029.5864000000001</v>
      </c>
      <c r="O767" s="90">
        <f t="shared" si="187"/>
        <v>-1881.0946879999997</v>
      </c>
      <c r="P767" s="93">
        <f t="shared" si="188"/>
        <v>-0.18980478448425275</v>
      </c>
      <c r="Q767" s="96"/>
      <c r="R767" s="96"/>
      <c r="T767" s="90">
        <f t="shared" si="182"/>
        <v>95</v>
      </c>
      <c r="U767" s="89">
        <f t="shared" si="183"/>
        <v>103.31428490526316</v>
      </c>
      <c r="V767" s="89">
        <f t="shared" si="184"/>
        <v>91.2453</v>
      </c>
      <c r="W767" s="90">
        <f t="shared" si="189"/>
        <v>8668.3035</v>
      </c>
      <c r="X767" s="93">
        <f t="shared" si="185"/>
        <v>-0.11681816233186093</v>
      </c>
      <c r="AB767" s="89">
        <f t="shared" si="195"/>
        <v>195</v>
      </c>
      <c r="AC767" s="89">
        <f t="shared" si="196"/>
        <v>51.179276000000002</v>
      </c>
      <c r="AD767" s="89">
        <f t="shared" si="197"/>
        <v>91.2453</v>
      </c>
      <c r="AE767" s="89">
        <f t="shared" si="198"/>
        <v>17792.833500000001</v>
      </c>
      <c r="AF767" s="90">
        <f t="shared" si="201"/>
        <v>7812.8746799999999</v>
      </c>
      <c r="AG767" s="93">
        <f t="shared" si="202"/>
        <v>0.78285640461189798</v>
      </c>
      <c r="AK767" s="90">
        <f t="shared" si="199"/>
        <v>142</v>
      </c>
      <c r="AL767" s="89">
        <f t="shared" si="200"/>
        <v>68.865979063380294</v>
      </c>
      <c r="AM767" s="89">
        <f t="shared" si="192"/>
        <v>91.2453</v>
      </c>
      <c r="AN767" s="90">
        <f t="shared" si="193"/>
        <v>12956.8326</v>
      </c>
      <c r="AO767" s="93">
        <f t="shared" si="194"/>
        <v>0.32496918276618225</v>
      </c>
    </row>
    <row r="768" spans="2:41" x14ac:dyDescent="0.25">
      <c r="B768" s="91">
        <v>40464</v>
      </c>
      <c r="C768" s="89">
        <v>117.660004</v>
      </c>
      <c r="D768" s="89">
        <v>118.550003</v>
      </c>
      <c r="E768" s="89">
        <v>117.379997</v>
      </c>
      <c r="F768" s="89">
        <v>117.91999800000001</v>
      </c>
      <c r="G768" s="89">
        <v>91.954894999999993</v>
      </c>
      <c r="H768" s="89">
        <v>194347200</v>
      </c>
      <c r="J768" s="89">
        <v>0</v>
      </c>
      <c r="K768" s="89">
        <f t="shared" si="190"/>
        <v>88</v>
      </c>
      <c r="L768" s="89">
        <f t="shared" si="191"/>
        <v>112.621376</v>
      </c>
      <c r="M768" s="89">
        <f>+SPY__2[[#This Row],[Adj Close]]</f>
        <v>91.954894999999993</v>
      </c>
      <c r="N768" s="89">
        <f t="shared" si="186"/>
        <v>8092.0307599999996</v>
      </c>
      <c r="O768" s="90">
        <f t="shared" si="187"/>
        <v>-1818.6503280000004</v>
      </c>
      <c r="P768" s="93">
        <f t="shared" si="188"/>
        <v>-0.18350407119870393</v>
      </c>
      <c r="Q768" s="96"/>
      <c r="R768" s="96"/>
      <c r="T768" s="90">
        <f t="shared" si="182"/>
        <v>95</v>
      </c>
      <c r="U768" s="89">
        <f t="shared" si="183"/>
        <v>103.31428490526316</v>
      </c>
      <c r="V768" s="89">
        <f t="shared" si="184"/>
        <v>91.954894999999993</v>
      </c>
      <c r="W768" s="90">
        <f t="shared" si="189"/>
        <v>8735.7150249999995</v>
      </c>
      <c r="X768" s="93">
        <f t="shared" si="185"/>
        <v>-0.1099498478422366</v>
      </c>
      <c r="AB768" s="89">
        <f t="shared" si="195"/>
        <v>195</v>
      </c>
      <c r="AC768" s="89">
        <f t="shared" si="196"/>
        <v>51.179276000000002</v>
      </c>
      <c r="AD768" s="89">
        <f t="shared" si="197"/>
        <v>91.954894999999993</v>
      </c>
      <c r="AE768" s="89">
        <f t="shared" si="198"/>
        <v>17931.204524999997</v>
      </c>
      <c r="AF768" s="90">
        <f t="shared" si="201"/>
        <v>7951.2457049999985</v>
      </c>
      <c r="AG768" s="93">
        <f t="shared" si="202"/>
        <v>0.7967212939862609</v>
      </c>
      <c r="AK768" s="90">
        <f t="shared" si="199"/>
        <v>142</v>
      </c>
      <c r="AL768" s="89">
        <f t="shared" si="200"/>
        <v>68.865979063380294</v>
      </c>
      <c r="AM768" s="89">
        <f t="shared" si="192"/>
        <v>91.954894999999993</v>
      </c>
      <c r="AN768" s="90">
        <f t="shared" si="193"/>
        <v>13057.595089999999</v>
      </c>
      <c r="AO768" s="93">
        <f t="shared" si="194"/>
        <v>0.33527318206526902</v>
      </c>
    </row>
    <row r="769" spans="2:41" x14ac:dyDescent="0.25">
      <c r="B769" s="91">
        <v>40465</v>
      </c>
      <c r="C769" s="89">
        <v>117.80999799999999</v>
      </c>
      <c r="D769" s="89">
        <v>118.010002</v>
      </c>
      <c r="E769" s="89">
        <v>116.720001</v>
      </c>
      <c r="F769" s="89">
        <v>117.459999</v>
      </c>
      <c r="G769" s="89">
        <v>91.596214000000003</v>
      </c>
      <c r="H769" s="89">
        <v>217764300</v>
      </c>
      <c r="J769" s="89">
        <v>0</v>
      </c>
      <c r="K769" s="89">
        <f t="shared" si="190"/>
        <v>88</v>
      </c>
      <c r="L769" s="89">
        <f t="shared" si="191"/>
        <v>112.621376</v>
      </c>
      <c r="M769" s="89">
        <f>+SPY__2[[#This Row],[Adj Close]]</f>
        <v>91.596214000000003</v>
      </c>
      <c r="N769" s="89">
        <f t="shared" si="186"/>
        <v>8060.4668320000001</v>
      </c>
      <c r="O769" s="90">
        <f t="shared" si="187"/>
        <v>-1850.2142559999995</v>
      </c>
      <c r="P769" s="93">
        <f t="shared" si="188"/>
        <v>-0.1866889106380657</v>
      </c>
      <c r="Q769" s="96"/>
      <c r="R769" s="96"/>
      <c r="T769" s="90">
        <f t="shared" si="182"/>
        <v>95</v>
      </c>
      <c r="U769" s="89">
        <f t="shared" si="183"/>
        <v>103.31428490526316</v>
      </c>
      <c r="V769" s="89">
        <f t="shared" si="184"/>
        <v>91.596214000000003</v>
      </c>
      <c r="W769" s="90">
        <f t="shared" si="189"/>
        <v>8701.6403300000002</v>
      </c>
      <c r="X769" s="93">
        <f t="shared" si="185"/>
        <v>-0.11342159427428999</v>
      </c>
      <c r="AB769" s="89">
        <f t="shared" si="195"/>
        <v>195</v>
      </c>
      <c r="AC769" s="89">
        <f t="shared" si="196"/>
        <v>51.179276000000002</v>
      </c>
      <c r="AD769" s="89">
        <f t="shared" si="197"/>
        <v>91.596214000000003</v>
      </c>
      <c r="AE769" s="89">
        <f t="shared" si="198"/>
        <v>17861.261730000002</v>
      </c>
      <c r="AF769" s="90">
        <f t="shared" si="201"/>
        <v>7881.3029100000003</v>
      </c>
      <c r="AG769" s="93">
        <f t="shared" si="202"/>
        <v>0.78971296897595811</v>
      </c>
      <c r="AK769" s="90">
        <f t="shared" si="199"/>
        <v>142</v>
      </c>
      <c r="AL769" s="89">
        <f t="shared" si="200"/>
        <v>68.865979063380294</v>
      </c>
      <c r="AM769" s="89">
        <f t="shared" si="192"/>
        <v>91.596214000000003</v>
      </c>
      <c r="AN769" s="90">
        <f t="shared" si="193"/>
        <v>13006.662388000001</v>
      </c>
      <c r="AO769" s="93">
        <f t="shared" si="194"/>
        <v>0.33006479027474667</v>
      </c>
    </row>
    <row r="770" spans="2:41" x14ac:dyDescent="0.25">
      <c r="B770" s="91">
        <v>40466</v>
      </c>
      <c r="C770" s="89">
        <v>118.279999</v>
      </c>
      <c r="D770" s="89">
        <v>118.349998</v>
      </c>
      <c r="E770" s="89">
        <v>116.760002</v>
      </c>
      <c r="F770" s="89">
        <v>117.699997</v>
      </c>
      <c r="G770" s="89">
        <v>91.783378999999996</v>
      </c>
      <c r="H770" s="89">
        <v>243705000</v>
      </c>
      <c r="J770" s="89">
        <v>0</v>
      </c>
      <c r="K770" s="89">
        <f t="shared" si="190"/>
        <v>88</v>
      </c>
      <c r="L770" s="89">
        <f t="shared" si="191"/>
        <v>112.621376</v>
      </c>
      <c r="M770" s="89">
        <f>+SPY__2[[#This Row],[Adj Close]]</f>
        <v>91.783378999999996</v>
      </c>
      <c r="N770" s="89">
        <f t="shared" si="186"/>
        <v>8076.9373519999999</v>
      </c>
      <c r="O770" s="90">
        <f t="shared" si="187"/>
        <v>-1833.7437360000001</v>
      </c>
      <c r="P770" s="93">
        <f t="shared" si="188"/>
        <v>-0.18502701476494121</v>
      </c>
      <c r="Q770" s="96"/>
      <c r="R770" s="96"/>
      <c r="T770" s="90">
        <f t="shared" ref="T770:T833" si="203">+T769</f>
        <v>95</v>
      </c>
      <c r="U770" s="89">
        <f t="shared" ref="U770:U833" si="204">+U769</f>
        <v>103.31428490526316</v>
      </c>
      <c r="V770" s="89">
        <f t="shared" si="184"/>
        <v>91.783378999999996</v>
      </c>
      <c r="W770" s="90">
        <f t="shared" si="189"/>
        <v>8719.4210050000002</v>
      </c>
      <c r="X770" s="93">
        <f t="shared" si="185"/>
        <v>-0.11160998612957285</v>
      </c>
      <c r="AB770" s="89">
        <f t="shared" si="195"/>
        <v>195</v>
      </c>
      <c r="AC770" s="89">
        <f t="shared" si="196"/>
        <v>51.179276000000002</v>
      </c>
      <c r="AD770" s="89">
        <f t="shared" si="197"/>
        <v>91.783378999999996</v>
      </c>
      <c r="AE770" s="89">
        <f t="shared" si="198"/>
        <v>17897.758904999999</v>
      </c>
      <c r="AF770" s="90">
        <f t="shared" si="201"/>
        <v>7917.8000849999989</v>
      </c>
      <c r="AG770" s="93">
        <f t="shared" si="202"/>
        <v>0.79337001562898224</v>
      </c>
      <c r="AK770" s="90">
        <f t="shared" si="199"/>
        <v>142</v>
      </c>
      <c r="AL770" s="89">
        <f t="shared" si="200"/>
        <v>68.865979063380294</v>
      </c>
      <c r="AM770" s="89">
        <f t="shared" si="192"/>
        <v>91.783378999999996</v>
      </c>
      <c r="AN770" s="90">
        <f t="shared" si="193"/>
        <v>13033.239818</v>
      </c>
      <c r="AO770" s="93">
        <f t="shared" si="194"/>
        <v>0.33278260540705951</v>
      </c>
    </row>
    <row r="771" spans="2:41" x14ac:dyDescent="0.25">
      <c r="B771" s="91">
        <v>40469</v>
      </c>
      <c r="C771" s="89">
        <v>117.739998</v>
      </c>
      <c r="D771" s="89">
        <v>118.66999800000001</v>
      </c>
      <c r="E771" s="89">
        <v>117.30999799999999</v>
      </c>
      <c r="F771" s="89">
        <v>118.279999</v>
      </c>
      <c r="G771" s="89">
        <v>92.235657000000003</v>
      </c>
      <c r="H771" s="89">
        <v>141204800</v>
      </c>
      <c r="J771" s="89">
        <v>0</v>
      </c>
      <c r="K771" s="89">
        <f t="shared" si="190"/>
        <v>88</v>
      </c>
      <c r="L771" s="89">
        <f t="shared" si="191"/>
        <v>112.621376</v>
      </c>
      <c r="M771" s="89">
        <f>+SPY__2[[#This Row],[Adj Close]]</f>
        <v>92.235657000000003</v>
      </c>
      <c r="N771" s="89">
        <f t="shared" si="186"/>
        <v>8116.7378160000007</v>
      </c>
      <c r="O771" s="90">
        <f t="shared" si="187"/>
        <v>-1793.9432719999995</v>
      </c>
      <c r="P771" s="93">
        <f t="shared" si="188"/>
        <v>-0.18101109863903631</v>
      </c>
      <c r="Q771" s="96"/>
      <c r="R771" s="96"/>
      <c r="T771" s="90">
        <f t="shared" si="203"/>
        <v>95</v>
      </c>
      <c r="U771" s="89">
        <f t="shared" si="204"/>
        <v>103.31428490526316</v>
      </c>
      <c r="V771" s="89">
        <f t="shared" ref="V771:V834" si="205">+M771</f>
        <v>92.235657000000003</v>
      </c>
      <c r="W771" s="90">
        <f t="shared" si="189"/>
        <v>8762.3874150000011</v>
      </c>
      <c r="X771" s="93">
        <f t="shared" ref="X771:X834" si="206">+W771/(U771*T771)-1</f>
        <v>-0.1072322952767083</v>
      </c>
      <c r="AB771" s="89">
        <f t="shared" si="195"/>
        <v>195</v>
      </c>
      <c r="AC771" s="89">
        <f t="shared" si="196"/>
        <v>51.179276000000002</v>
      </c>
      <c r="AD771" s="89">
        <f t="shared" si="197"/>
        <v>92.235657000000003</v>
      </c>
      <c r="AE771" s="89">
        <f t="shared" si="198"/>
        <v>17985.953115</v>
      </c>
      <c r="AF771" s="90">
        <f t="shared" si="201"/>
        <v>8005.9942950000004</v>
      </c>
      <c r="AG771" s="93">
        <f t="shared" si="202"/>
        <v>0.80220714728359965</v>
      </c>
      <c r="AK771" s="90">
        <f t="shared" si="199"/>
        <v>142</v>
      </c>
      <c r="AL771" s="89">
        <f t="shared" si="200"/>
        <v>68.865979063380294</v>
      </c>
      <c r="AM771" s="89">
        <f t="shared" si="192"/>
        <v>92.235657000000003</v>
      </c>
      <c r="AN771" s="90">
        <f t="shared" si="193"/>
        <v>13097.463294000001</v>
      </c>
      <c r="AO771" s="93">
        <f t="shared" si="194"/>
        <v>0.33935011531763171</v>
      </c>
    </row>
    <row r="772" spans="2:41" x14ac:dyDescent="0.25">
      <c r="B772" s="91">
        <v>40470</v>
      </c>
      <c r="C772" s="89">
        <v>117.19000200000001</v>
      </c>
      <c r="D772" s="89">
        <v>117.849998</v>
      </c>
      <c r="E772" s="89">
        <v>116.019997</v>
      </c>
      <c r="F772" s="89">
        <v>116.730003</v>
      </c>
      <c r="G772" s="89">
        <v>91.026938999999999</v>
      </c>
      <c r="H772" s="89">
        <v>280604700</v>
      </c>
      <c r="J772" s="89">
        <v>0</v>
      </c>
      <c r="K772" s="89">
        <f t="shared" si="190"/>
        <v>88</v>
      </c>
      <c r="L772" s="89">
        <f t="shared" si="191"/>
        <v>112.621376</v>
      </c>
      <c r="M772" s="89">
        <f>+SPY__2[[#This Row],[Adj Close]]</f>
        <v>91.026938999999999</v>
      </c>
      <c r="N772" s="89">
        <f t="shared" ref="N772:N835" si="207">+K772*M772</f>
        <v>8010.3706320000001</v>
      </c>
      <c r="O772" s="90">
        <f t="shared" ref="O772:O835" si="208">+(M772-L772)*K772</f>
        <v>-1900.3104559999999</v>
      </c>
      <c r="P772" s="93">
        <f t="shared" ref="P772:P835" si="209">+M772/L772-1</f>
        <v>-0.19174367928163127</v>
      </c>
      <c r="Q772" s="96"/>
      <c r="R772" s="96"/>
      <c r="T772" s="90">
        <f t="shared" si="203"/>
        <v>95</v>
      </c>
      <c r="U772" s="89">
        <f t="shared" si="204"/>
        <v>103.31428490526316</v>
      </c>
      <c r="V772" s="89">
        <f t="shared" si="205"/>
        <v>91.026938999999999</v>
      </c>
      <c r="W772" s="90">
        <f t="shared" ref="W772:W835" si="210">+V772*T772</f>
        <v>8647.5592049999996</v>
      </c>
      <c r="X772" s="93">
        <f t="shared" si="206"/>
        <v>-0.11893172291257093</v>
      </c>
      <c r="AB772" s="89">
        <f t="shared" si="195"/>
        <v>195</v>
      </c>
      <c r="AC772" s="89">
        <f t="shared" si="196"/>
        <v>51.179276000000002</v>
      </c>
      <c r="AD772" s="89">
        <f t="shared" si="197"/>
        <v>91.026938999999999</v>
      </c>
      <c r="AE772" s="89">
        <f t="shared" si="198"/>
        <v>17750.253105</v>
      </c>
      <c r="AF772" s="90">
        <f t="shared" si="201"/>
        <v>7770.294284999999</v>
      </c>
      <c r="AG772" s="93">
        <f t="shared" si="202"/>
        <v>0.77858981436157859</v>
      </c>
      <c r="AK772" s="90">
        <f t="shared" si="199"/>
        <v>142</v>
      </c>
      <c r="AL772" s="89">
        <f t="shared" si="200"/>
        <v>68.865979063380294</v>
      </c>
      <c r="AM772" s="89">
        <f t="shared" si="192"/>
        <v>91.026938999999999</v>
      </c>
      <c r="AN772" s="90">
        <f t="shared" si="193"/>
        <v>12925.825338000001</v>
      </c>
      <c r="AO772" s="93">
        <f t="shared" si="194"/>
        <v>0.32179837182339388</v>
      </c>
    </row>
    <row r="773" spans="2:41" x14ac:dyDescent="0.25">
      <c r="B773" s="91">
        <v>40471</v>
      </c>
      <c r="C773" s="89">
        <v>116.94000200000001</v>
      </c>
      <c r="D773" s="89">
        <v>118.44000200000001</v>
      </c>
      <c r="E773" s="89">
        <v>116.870003</v>
      </c>
      <c r="F773" s="89">
        <v>117.870003</v>
      </c>
      <c r="G773" s="89">
        <v>91.915938999999995</v>
      </c>
      <c r="H773" s="89">
        <v>200051800</v>
      </c>
      <c r="J773" s="89">
        <v>0</v>
      </c>
      <c r="K773" s="89">
        <f t="shared" ref="K773:K836" si="211">+$K$3</f>
        <v>88</v>
      </c>
      <c r="L773" s="89">
        <f t="shared" ref="L773:L836" si="212">+$L$3</f>
        <v>112.621376</v>
      </c>
      <c r="M773" s="89">
        <f>+SPY__2[[#This Row],[Adj Close]]</f>
        <v>91.915938999999995</v>
      </c>
      <c r="N773" s="89">
        <f t="shared" si="207"/>
        <v>8088.6026319999992</v>
      </c>
      <c r="O773" s="90">
        <f t="shared" si="208"/>
        <v>-1822.0784560000002</v>
      </c>
      <c r="P773" s="93">
        <f t="shared" si="209"/>
        <v>-0.18384997356096944</v>
      </c>
      <c r="Q773" s="96"/>
      <c r="R773" s="96"/>
      <c r="T773" s="90">
        <f t="shared" si="203"/>
        <v>95</v>
      </c>
      <c r="U773" s="89">
        <f t="shared" si="204"/>
        <v>103.31428490526316</v>
      </c>
      <c r="V773" s="89">
        <f t="shared" si="205"/>
        <v>91.915938999999995</v>
      </c>
      <c r="W773" s="90">
        <f t="shared" si="210"/>
        <v>8732.0142049999995</v>
      </c>
      <c r="X773" s="93">
        <f t="shared" si="206"/>
        <v>-0.11032691089828661</v>
      </c>
      <c r="AB773" s="89">
        <f t="shared" si="195"/>
        <v>195</v>
      </c>
      <c r="AC773" s="89">
        <f t="shared" si="196"/>
        <v>51.179276000000002</v>
      </c>
      <c r="AD773" s="89">
        <f t="shared" si="197"/>
        <v>91.915938999999995</v>
      </c>
      <c r="AE773" s="89">
        <f t="shared" si="198"/>
        <v>17923.608104999999</v>
      </c>
      <c r="AF773" s="90">
        <f t="shared" si="201"/>
        <v>7943.6492849999986</v>
      </c>
      <c r="AG773" s="93">
        <f t="shared" si="202"/>
        <v>0.79596012651683457</v>
      </c>
      <c r="AK773" s="90">
        <f t="shared" si="199"/>
        <v>142</v>
      </c>
      <c r="AL773" s="89">
        <f t="shared" si="200"/>
        <v>68.865979063380294</v>
      </c>
      <c r="AM773" s="89">
        <f t="shared" si="192"/>
        <v>91.915938999999995</v>
      </c>
      <c r="AN773" s="90">
        <f t="shared" si="193"/>
        <v>13052.063338</v>
      </c>
      <c r="AO773" s="93">
        <f t="shared" si="194"/>
        <v>0.33470750361954282</v>
      </c>
    </row>
    <row r="774" spans="2:41" x14ac:dyDescent="0.25">
      <c r="B774" s="91">
        <v>40472</v>
      </c>
      <c r="C774" s="89">
        <v>118.400002</v>
      </c>
      <c r="D774" s="89">
        <v>119.089996</v>
      </c>
      <c r="E774" s="89">
        <v>117.209999</v>
      </c>
      <c r="F774" s="89">
        <v>118.129997</v>
      </c>
      <c r="G774" s="89">
        <v>92.118660000000006</v>
      </c>
      <c r="H774" s="89">
        <v>221585500</v>
      </c>
      <c r="J774" s="89">
        <v>0</v>
      </c>
      <c r="K774" s="89">
        <f t="shared" si="211"/>
        <v>88</v>
      </c>
      <c r="L774" s="89">
        <f t="shared" si="212"/>
        <v>112.621376</v>
      </c>
      <c r="M774" s="89">
        <f>+SPY__2[[#This Row],[Adj Close]]</f>
        <v>92.118660000000006</v>
      </c>
      <c r="N774" s="89">
        <f t="shared" si="207"/>
        <v>8106.4420800000007</v>
      </c>
      <c r="O774" s="90">
        <f t="shared" si="208"/>
        <v>-1804.2390079999993</v>
      </c>
      <c r="P774" s="93">
        <f t="shared" si="209"/>
        <v>-0.18204995115669687</v>
      </c>
      <c r="Q774" s="96"/>
      <c r="R774" s="96"/>
      <c r="T774" s="90">
        <f t="shared" si="203"/>
        <v>95</v>
      </c>
      <c r="U774" s="89">
        <f t="shared" si="204"/>
        <v>103.31428490526316</v>
      </c>
      <c r="V774" s="89">
        <f t="shared" si="205"/>
        <v>92.118660000000006</v>
      </c>
      <c r="W774" s="90">
        <f t="shared" si="210"/>
        <v>8751.2727000000014</v>
      </c>
      <c r="X774" s="93">
        <f t="shared" si="206"/>
        <v>-0.1083647330621248</v>
      </c>
      <c r="AB774" s="89">
        <f t="shared" si="195"/>
        <v>195</v>
      </c>
      <c r="AC774" s="89">
        <f t="shared" si="196"/>
        <v>51.179276000000002</v>
      </c>
      <c r="AD774" s="89">
        <f t="shared" si="197"/>
        <v>92.118660000000006</v>
      </c>
      <c r="AE774" s="89">
        <f t="shared" si="198"/>
        <v>17963.1387</v>
      </c>
      <c r="AF774" s="90">
        <f t="shared" si="201"/>
        <v>7983.1798800000006</v>
      </c>
      <c r="AG774" s="93">
        <f t="shared" si="202"/>
        <v>0.79992112432383777</v>
      </c>
      <c r="AK774" s="90">
        <f t="shared" si="199"/>
        <v>142</v>
      </c>
      <c r="AL774" s="89">
        <f t="shared" si="200"/>
        <v>68.865979063380294</v>
      </c>
      <c r="AM774" s="89">
        <f t="shared" si="192"/>
        <v>92.118660000000006</v>
      </c>
      <c r="AN774" s="90">
        <f t="shared" si="193"/>
        <v>13080.84972</v>
      </c>
      <c r="AO774" s="93">
        <f t="shared" si="194"/>
        <v>0.33765120677685112</v>
      </c>
    </row>
    <row r="775" spans="2:41" x14ac:dyDescent="0.25">
      <c r="B775" s="91">
        <v>40473</v>
      </c>
      <c r="C775" s="89">
        <v>118.30999799999999</v>
      </c>
      <c r="D775" s="89">
        <v>118.529999</v>
      </c>
      <c r="E775" s="89">
        <v>118</v>
      </c>
      <c r="F775" s="89">
        <v>118.349998</v>
      </c>
      <c r="G775" s="89">
        <v>92.290222</v>
      </c>
      <c r="H775" s="89">
        <v>108212400</v>
      </c>
      <c r="J775" s="89">
        <v>0</v>
      </c>
      <c r="K775" s="89">
        <f t="shared" si="211"/>
        <v>88</v>
      </c>
      <c r="L775" s="89">
        <f t="shared" si="212"/>
        <v>112.621376</v>
      </c>
      <c r="M775" s="89">
        <f>+SPY__2[[#This Row],[Adj Close]]</f>
        <v>92.290222</v>
      </c>
      <c r="N775" s="89">
        <f t="shared" si="207"/>
        <v>8121.5395360000002</v>
      </c>
      <c r="O775" s="90">
        <f t="shared" si="208"/>
        <v>-1789.1415519999998</v>
      </c>
      <c r="P775" s="93">
        <f t="shared" si="209"/>
        <v>-0.18052659914224456</v>
      </c>
      <c r="Q775" s="96"/>
      <c r="R775" s="96"/>
      <c r="T775" s="90">
        <f t="shared" si="203"/>
        <v>95</v>
      </c>
      <c r="U775" s="89">
        <f t="shared" si="204"/>
        <v>103.31428490526316</v>
      </c>
      <c r="V775" s="89">
        <f t="shared" si="205"/>
        <v>92.290222</v>
      </c>
      <c r="W775" s="90">
        <f t="shared" si="210"/>
        <v>8767.5710899999995</v>
      </c>
      <c r="X775" s="93">
        <f t="shared" si="206"/>
        <v>-0.10670414953142238</v>
      </c>
      <c r="AB775" s="89">
        <f t="shared" si="195"/>
        <v>195</v>
      </c>
      <c r="AC775" s="89">
        <f t="shared" si="196"/>
        <v>51.179276000000002</v>
      </c>
      <c r="AD775" s="89">
        <f t="shared" si="197"/>
        <v>92.290222</v>
      </c>
      <c r="AE775" s="89">
        <f t="shared" si="198"/>
        <v>17996.593290000001</v>
      </c>
      <c r="AF775" s="90">
        <f t="shared" si="201"/>
        <v>8016.63447</v>
      </c>
      <c r="AG775" s="93">
        <f t="shared" si="202"/>
        <v>0.80327330148242027</v>
      </c>
      <c r="AK775" s="90">
        <f t="shared" si="199"/>
        <v>142</v>
      </c>
      <c r="AL775" s="89">
        <f t="shared" si="200"/>
        <v>68.865979063380294</v>
      </c>
      <c r="AM775" s="89">
        <f t="shared" si="192"/>
        <v>92.290222</v>
      </c>
      <c r="AN775" s="90">
        <f t="shared" si="193"/>
        <v>13105.211524</v>
      </c>
      <c r="AO775" s="93">
        <f t="shared" si="194"/>
        <v>0.34014245139913557</v>
      </c>
    </row>
    <row r="776" spans="2:41" x14ac:dyDescent="0.25">
      <c r="B776" s="91">
        <v>40476</v>
      </c>
      <c r="C776" s="89">
        <v>119.139999</v>
      </c>
      <c r="D776" s="89">
        <v>119.760002</v>
      </c>
      <c r="E776" s="89">
        <v>118.610001</v>
      </c>
      <c r="F776" s="89">
        <v>118.699997</v>
      </c>
      <c r="G776" s="89">
        <v>92.563147999999998</v>
      </c>
      <c r="H776" s="89">
        <v>151145700</v>
      </c>
      <c r="J776" s="89">
        <v>0</v>
      </c>
      <c r="K776" s="89">
        <f t="shared" si="211"/>
        <v>88</v>
      </c>
      <c r="L776" s="89">
        <f t="shared" si="212"/>
        <v>112.621376</v>
      </c>
      <c r="M776" s="89">
        <f>+SPY__2[[#This Row],[Adj Close]]</f>
        <v>92.563147999999998</v>
      </c>
      <c r="N776" s="89">
        <f t="shared" si="207"/>
        <v>8145.5570239999997</v>
      </c>
      <c r="O776" s="90">
        <f t="shared" si="208"/>
        <v>-1765.1240640000001</v>
      </c>
      <c r="P776" s="93">
        <f t="shared" si="209"/>
        <v>-0.17810320484807429</v>
      </c>
      <c r="Q776" s="96"/>
      <c r="R776" s="96"/>
      <c r="T776" s="90">
        <f t="shared" si="203"/>
        <v>95</v>
      </c>
      <c r="U776" s="89">
        <f t="shared" si="204"/>
        <v>103.31428490526316</v>
      </c>
      <c r="V776" s="89">
        <f t="shared" si="205"/>
        <v>92.563147999999998</v>
      </c>
      <c r="W776" s="90">
        <f t="shared" si="210"/>
        <v>8793.4990600000001</v>
      </c>
      <c r="X776" s="93">
        <f t="shared" si="206"/>
        <v>-0.10406244320542613</v>
      </c>
      <c r="AB776" s="89">
        <f t="shared" si="195"/>
        <v>195</v>
      </c>
      <c r="AC776" s="89">
        <f t="shared" si="196"/>
        <v>51.179276000000002</v>
      </c>
      <c r="AD776" s="89">
        <f t="shared" si="197"/>
        <v>92.563147999999998</v>
      </c>
      <c r="AE776" s="89">
        <f t="shared" si="198"/>
        <v>18049.813859999998</v>
      </c>
      <c r="AF776" s="90">
        <f t="shared" si="201"/>
        <v>8069.8550399999995</v>
      </c>
      <c r="AG776" s="93">
        <f t="shared" si="202"/>
        <v>0.80860604593156027</v>
      </c>
      <c r="AK776" s="90">
        <f t="shared" si="199"/>
        <v>142</v>
      </c>
      <c r="AL776" s="89">
        <f t="shared" si="200"/>
        <v>68.865979063380294</v>
      </c>
      <c r="AM776" s="89">
        <f t="shared" si="192"/>
        <v>92.563147999999998</v>
      </c>
      <c r="AN776" s="90">
        <f t="shared" si="193"/>
        <v>13143.967016000001</v>
      </c>
      <c r="AO776" s="93">
        <f t="shared" si="194"/>
        <v>0.34410559842342758</v>
      </c>
    </row>
    <row r="777" spans="2:41" x14ac:dyDescent="0.25">
      <c r="B777" s="91">
        <v>40477</v>
      </c>
      <c r="C777" s="89">
        <v>118.099998</v>
      </c>
      <c r="D777" s="89">
        <v>118.839996</v>
      </c>
      <c r="E777" s="89">
        <v>117.870003</v>
      </c>
      <c r="F777" s="89">
        <v>118.720001</v>
      </c>
      <c r="G777" s="89">
        <v>92.578766000000002</v>
      </c>
      <c r="H777" s="89">
        <v>158982900</v>
      </c>
      <c r="J777" s="89">
        <v>0</v>
      </c>
      <c r="K777" s="89">
        <f t="shared" si="211"/>
        <v>88</v>
      </c>
      <c r="L777" s="89">
        <f t="shared" si="212"/>
        <v>112.621376</v>
      </c>
      <c r="M777" s="89">
        <f>+SPY__2[[#This Row],[Adj Close]]</f>
        <v>92.578766000000002</v>
      </c>
      <c r="N777" s="89">
        <f t="shared" si="207"/>
        <v>8146.9314080000004</v>
      </c>
      <c r="O777" s="90">
        <f t="shared" si="208"/>
        <v>-1763.7496799999997</v>
      </c>
      <c r="P777" s="93">
        <f t="shared" si="209"/>
        <v>-0.1779645277997669</v>
      </c>
      <c r="Q777" s="96"/>
      <c r="R777" s="96"/>
      <c r="T777" s="90">
        <f t="shared" si="203"/>
        <v>95</v>
      </c>
      <c r="U777" s="89">
        <f t="shared" si="204"/>
        <v>103.31428490526316</v>
      </c>
      <c r="V777" s="89">
        <f t="shared" si="205"/>
        <v>92.578766000000002</v>
      </c>
      <c r="W777" s="90">
        <f t="shared" si="210"/>
        <v>8794.9827700000005</v>
      </c>
      <c r="X777" s="93">
        <f t="shared" si="206"/>
        <v>-0.10391127340335737</v>
      </c>
      <c r="AB777" s="89">
        <f t="shared" si="195"/>
        <v>195</v>
      </c>
      <c r="AC777" s="89">
        <f t="shared" si="196"/>
        <v>51.179276000000002</v>
      </c>
      <c r="AD777" s="89">
        <f t="shared" si="197"/>
        <v>92.578766000000002</v>
      </c>
      <c r="AE777" s="89">
        <f t="shared" si="198"/>
        <v>18052.859370000002</v>
      </c>
      <c r="AF777" s="90">
        <f t="shared" si="201"/>
        <v>8072.9005500000003</v>
      </c>
      <c r="AG777" s="93">
        <f t="shared" si="202"/>
        <v>0.80891120851338338</v>
      </c>
      <c r="AK777" s="90">
        <f t="shared" si="199"/>
        <v>142</v>
      </c>
      <c r="AL777" s="89">
        <f t="shared" si="200"/>
        <v>68.865979063380294</v>
      </c>
      <c r="AM777" s="89">
        <f t="shared" si="192"/>
        <v>92.578766000000002</v>
      </c>
      <c r="AN777" s="90">
        <f t="shared" si="193"/>
        <v>13146.184772000001</v>
      </c>
      <c r="AO777" s="93">
        <f t="shared" si="194"/>
        <v>0.34433238674782829</v>
      </c>
    </row>
    <row r="778" spans="2:41" x14ac:dyDescent="0.25">
      <c r="B778" s="91">
        <v>40478</v>
      </c>
      <c r="C778" s="89">
        <v>117.889999</v>
      </c>
      <c r="D778" s="89">
        <v>118.510002</v>
      </c>
      <c r="E778" s="89">
        <v>117.260002</v>
      </c>
      <c r="F778" s="89">
        <v>118.379997</v>
      </c>
      <c r="G778" s="89">
        <v>92.313605999999993</v>
      </c>
      <c r="H778" s="89">
        <v>190024000</v>
      </c>
      <c r="J778" s="89">
        <v>0</v>
      </c>
      <c r="K778" s="89">
        <f t="shared" si="211"/>
        <v>88</v>
      </c>
      <c r="L778" s="89">
        <f t="shared" si="212"/>
        <v>112.621376</v>
      </c>
      <c r="M778" s="89">
        <f>+SPY__2[[#This Row],[Adj Close]]</f>
        <v>92.313605999999993</v>
      </c>
      <c r="N778" s="89">
        <f t="shared" si="207"/>
        <v>8123.5973279999998</v>
      </c>
      <c r="O778" s="90">
        <f t="shared" si="208"/>
        <v>-1787.0837600000004</v>
      </c>
      <c r="P778" s="93">
        <f t="shared" si="209"/>
        <v>-0.18031896538007142</v>
      </c>
      <c r="Q778" s="96"/>
      <c r="R778" s="96"/>
      <c r="T778" s="90">
        <f t="shared" si="203"/>
        <v>95</v>
      </c>
      <c r="U778" s="89">
        <f t="shared" si="204"/>
        <v>103.31428490526316</v>
      </c>
      <c r="V778" s="89">
        <f t="shared" si="205"/>
        <v>92.313605999999993</v>
      </c>
      <c r="W778" s="90">
        <f t="shared" si="210"/>
        <v>8769.7925699999996</v>
      </c>
      <c r="X778" s="93">
        <f t="shared" si="206"/>
        <v>-0.10647781103407472</v>
      </c>
      <c r="AB778" s="89">
        <f t="shared" si="195"/>
        <v>195</v>
      </c>
      <c r="AC778" s="89">
        <f t="shared" si="196"/>
        <v>51.179276000000002</v>
      </c>
      <c r="AD778" s="89">
        <f t="shared" si="197"/>
        <v>92.313605999999993</v>
      </c>
      <c r="AE778" s="89">
        <f t="shared" si="198"/>
        <v>18001.153169999998</v>
      </c>
      <c r="AF778" s="90">
        <f t="shared" si="201"/>
        <v>8021.1943499999979</v>
      </c>
      <c r="AG778" s="93">
        <f t="shared" si="202"/>
        <v>0.80373020517132732</v>
      </c>
      <c r="AK778" s="90">
        <f t="shared" si="199"/>
        <v>142</v>
      </c>
      <c r="AL778" s="89">
        <f t="shared" si="200"/>
        <v>68.865979063380294</v>
      </c>
      <c r="AM778" s="89">
        <f t="shared" si="192"/>
        <v>92.313605999999993</v>
      </c>
      <c r="AN778" s="90">
        <f t="shared" si="193"/>
        <v>13108.532051999999</v>
      </c>
      <c r="AO778" s="93">
        <f t="shared" si="194"/>
        <v>0.340482009484536</v>
      </c>
    </row>
    <row r="779" spans="2:41" x14ac:dyDescent="0.25">
      <c r="B779" s="91">
        <v>40479</v>
      </c>
      <c r="C779" s="89">
        <v>119.05999799999999</v>
      </c>
      <c r="D779" s="89">
        <v>119.110001</v>
      </c>
      <c r="E779" s="89">
        <v>117.83000199999999</v>
      </c>
      <c r="F779" s="89">
        <v>118.400002</v>
      </c>
      <c r="G779" s="89">
        <v>92.329223999999996</v>
      </c>
      <c r="H779" s="89">
        <v>168576000</v>
      </c>
      <c r="J779" s="89">
        <v>0</v>
      </c>
      <c r="K779" s="89">
        <f t="shared" si="211"/>
        <v>88</v>
      </c>
      <c r="L779" s="89">
        <f t="shared" si="212"/>
        <v>112.621376</v>
      </c>
      <c r="M779" s="89">
        <f>+SPY__2[[#This Row],[Adj Close]]</f>
        <v>92.329223999999996</v>
      </c>
      <c r="N779" s="89">
        <f t="shared" si="207"/>
        <v>8124.9717119999996</v>
      </c>
      <c r="O779" s="90">
        <f t="shared" si="208"/>
        <v>-1785.7093760000002</v>
      </c>
      <c r="P779" s="93">
        <f t="shared" si="209"/>
        <v>-0.18018028833176392</v>
      </c>
      <c r="Q779" s="96"/>
      <c r="R779" s="96"/>
      <c r="T779" s="90">
        <f t="shared" si="203"/>
        <v>95</v>
      </c>
      <c r="U779" s="89">
        <f t="shared" si="204"/>
        <v>103.31428490526316</v>
      </c>
      <c r="V779" s="89">
        <f t="shared" si="205"/>
        <v>92.329223999999996</v>
      </c>
      <c r="W779" s="90">
        <f t="shared" si="210"/>
        <v>8771.27628</v>
      </c>
      <c r="X779" s="93">
        <f t="shared" si="206"/>
        <v>-0.10632664123200597</v>
      </c>
      <c r="AB779" s="89">
        <f t="shared" si="195"/>
        <v>195</v>
      </c>
      <c r="AC779" s="89">
        <f t="shared" si="196"/>
        <v>51.179276000000002</v>
      </c>
      <c r="AD779" s="89">
        <f t="shared" si="197"/>
        <v>92.329223999999996</v>
      </c>
      <c r="AE779" s="89">
        <f t="shared" si="198"/>
        <v>18004.198679999998</v>
      </c>
      <c r="AF779" s="90">
        <f t="shared" si="201"/>
        <v>8024.2398599999988</v>
      </c>
      <c r="AG779" s="93">
        <f t="shared" si="202"/>
        <v>0.80403536775315065</v>
      </c>
      <c r="AK779" s="90">
        <f t="shared" si="199"/>
        <v>142</v>
      </c>
      <c r="AL779" s="89">
        <f t="shared" si="200"/>
        <v>68.865979063380294</v>
      </c>
      <c r="AM779" s="89">
        <f t="shared" si="192"/>
        <v>92.329223999999996</v>
      </c>
      <c r="AN779" s="90">
        <f t="shared" si="193"/>
        <v>13110.749807999999</v>
      </c>
      <c r="AO779" s="93">
        <f t="shared" si="194"/>
        <v>0.3407087978089367</v>
      </c>
    </row>
    <row r="780" spans="2:41" x14ac:dyDescent="0.25">
      <c r="B780" s="91">
        <v>40480</v>
      </c>
      <c r="C780" s="89">
        <v>118.279999</v>
      </c>
      <c r="D780" s="89">
        <v>118.720001</v>
      </c>
      <c r="E780" s="89">
        <v>118.07</v>
      </c>
      <c r="F780" s="89">
        <v>118.489998</v>
      </c>
      <c r="G780" s="89">
        <v>92.399405999999999</v>
      </c>
      <c r="H780" s="89">
        <v>144305500</v>
      </c>
      <c r="J780" s="89">
        <v>0</v>
      </c>
      <c r="K780" s="89">
        <f t="shared" si="211"/>
        <v>88</v>
      </c>
      <c r="L780" s="89">
        <f t="shared" si="212"/>
        <v>112.621376</v>
      </c>
      <c r="M780" s="89">
        <f>+SPY__2[[#This Row],[Adj Close]]</f>
        <v>92.399405999999999</v>
      </c>
      <c r="N780" s="89">
        <f t="shared" si="207"/>
        <v>8131.1477279999999</v>
      </c>
      <c r="O780" s="90">
        <f t="shared" si="208"/>
        <v>-1779.5333599999999</v>
      </c>
      <c r="P780" s="93">
        <f t="shared" si="209"/>
        <v>-0.17955712066597374</v>
      </c>
      <c r="Q780" s="96"/>
      <c r="R780" s="96"/>
      <c r="T780" s="90">
        <f t="shared" si="203"/>
        <v>95</v>
      </c>
      <c r="U780" s="89">
        <f t="shared" si="204"/>
        <v>103.31428490526316</v>
      </c>
      <c r="V780" s="89">
        <f t="shared" si="205"/>
        <v>92.399405999999999</v>
      </c>
      <c r="W780" s="90">
        <f t="shared" si="210"/>
        <v>8777.9435699999995</v>
      </c>
      <c r="X780" s="93">
        <f t="shared" si="206"/>
        <v>-0.10564733536385473</v>
      </c>
      <c r="AB780" s="89">
        <f t="shared" si="195"/>
        <v>195</v>
      </c>
      <c r="AC780" s="89">
        <f t="shared" si="196"/>
        <v>51.179276000000002</v>
      </c>
      <c r="AD780" s="89">
        <f t="shared" si="197"/>
        <v>92.399405999999999</v>
      </c>
      <c r="AE780" s="89">
        <f t="shared" si="198"/>
        <v>18017.884170000001</v>
      </c>
      <c r="AF780" s="90">
        <f t="shared" si="201"/>
        <v>8037.9253499999995</v>
      </c>
      <c r="AG780" s="93">
        <f t="shared" si="202"/>
        <v>0.80540666499463565</v>
      </c>
      <c r="AK780" s="90">
        <f t="shared" si="199"/>
        <v>142</v>
      </c>
      <c r="AL780" s="89">
        <f t="shared" si="200"/>
        <v>68.865979063380294</v>
      </c>
      <c r="AM780" s="89">
        <f t="shared" si="192"/>
        <v>92.399405999999999</v>
      </c>
      <c r="AN780" s="90">
        <f t="shared" si="193"/>
        <v>13120.715651999999</v>
      </c>
      <c r="AO780" s="93">
        <f t="shared" si="194"/>
        <v>0.34172790769388306</v>
      </c>
    </row>
    <row r="781" spans="2:41" x14ac:dyDescent="0.25">
      <c r="B781" s="91">
        <v>40483</v>
      </c>
      <c r="C781" s="89">
        <v>119.07</v>
      </c>
      <c r="D781" s="89">
        <v>119.75</v>
      </c>
      <c r="E781" s="89">
        <v>117.849998</v>
      </c>
      <c r="F781" s="89">
        <v>118.529999</v>
      </c>
      <c r="G781" s="89">
        <v>92.430588</v>
      </c>
      <c r="H781" s="89">
        <v>174074800</v>
      </c>
      <c r="J781" s="89">
        <v>0</v>
      </c>
      <c r="K781" s="89">
        <f t="shared" si="211"/>
        <v>88</v>
      </c>
      <c r="L781" s="89">
        <f t="shared" si="212"/>
        <v>112.621376</v>
      </c>
      <c r="M781" s="89">
        <f>+SPY__2[[#This Row],[Adj Close]]</f>
        <v>92.430588</v>
      </c>
      <c r="N781" s="89">
        <f t="shared" si="207"/>
        <v>8133.8917440000005</v>
      </c>
      <c r="O781" s="90">
        <f t="shared" si="208"/>
        <v>-1776.7893439999998</v>
      </c>
      <c r="P781" s="93">
        <f t="shared" si="209"/>
        <v>-0.17928024605204607</v>
      </c>
      <c r="Q781" s="96"/>
      <c r="R781" s="96"/>
      <c r="T781" s="90">
        <f t="shared" si="203"/>
        <v>95</v>
      </c>
      <c r="U781" s="89">
        <f t="shared" si="204"/>
        <v>103.31428490526316</v>
      </c>
      <c r="V781" s="89">
        <f t="shared" si="205"/>
        <v>92.430588</v>
      </c>
      <c r="W781" s="90">
        <f t="shared" si="210"/>
        <v>8780.9058600000008</v>
      </c>
      <c r="X781" s="93">
        <f t="shared" si="206"/>
        <v>-0.10534551843671236</v>
      </c>
      <c r="AB781" s="89">
        <f t="shared" si="195"/>
        <v>195</v>
      </c>
      <c r="AC781" s="89">
        <f t="shared" si="196"/>
        <v>51.179276000000002</v>
      </c>
      <c r="AD781" s="89">
        <f t="shared" si="197"/>
        <v>92.430588</v>
      </c>
      <c r="AE781" s="89">
        <f t="shared" si="198"/>
        <v>18023.964660000001</v>
      </c>
      <c r="AF781" s="90">
        <f t="shared" si="201"/>
        <v>8044.0058399999998</v>
      </c>
      <c r="AG781" s="93">
        <f t="shared" si="202"/>
        <v>0.80601593504370794</v>
      </c>
      <c r="AK781" s="90">
        <f t="shared" si="199"/>
        <v>142</v>
      </c>
      <c r="AL781" s="89">
        <f t="shared" si="200"/>
        <v>68.865979063380294</v>
      </c>
      <c r="AM781" s="89">
        <f t="shared" si="192"/>
        <v>92.430588</v>
      </c>
      <c r="AN781" s="90">
        <f t="shared" si="193"/>
        <v>13125.143496000001</v>
      </c>
      <c r="AO781" s="93">
        <f t="shared" si="194"/>
        <v>0.34218070021094449</v>
      </c>
    </row>
    <row r="782" spans="2:41" x14ac:dyDescent="0.25">
      <c r="B782" s="91">
        <v>40484</v>
      </c>
      <c r="C782" s="89">
        <v>119.41999800000001</v>
      </c>
      <c r="D782" s="89">
        <v>119.75</v>
      </c>
      <c r="E782" s="89">
        <v>119.099998</v>
      </c>
      <c r="F782" s="89">
        <v>119.470001</v>
      </c>
      <c r="G782" s="89">
        <v>93.163619999999995</v>
      </c>
      <c r="H782" s="89">
        <v>158345900</v>
      </c>
      <c r="J782" s="89">
        <v>0</v>
      </c>
      <c r="K782" s="89">
        <f t="shared" si="211"/>
        <v>88</v>
      </c>
      <c r="L782" s="89">
        <f t="shared" si="212"/>
        <v>112.621376</v>
      </c>
      <c r="M782" s="89">
        <f>+SPY__2[[#This Row],[Adj Close]]</f>
        <v>93.163619999999995</v>
      </c>
      <c r="N782" s="89">
        <f t="shared" si="207"/>
        <v>8198.3985599999996</v>
      </c>
      <c r="O782" s="90">
        <f t="shared" si="208"/>
        <v>-1712.2825280000002</v>
      </c>
      <c r="P782" s="93">
        <f t="shared" si="209"/>
        <v>-0.17277142840094584</v>
      </c>
      <c r="Q782" s="96"/>
      <c r="R782" s="96"/>
      <c r="T782" s="90">
        <f t="shared" si="203"/>
        <v>95</v>
      </c>
      <c r="U782" s="89">
        <f t="shared" si="204"/>
        <v>103.31428490526316</v>
      </c>
      <c r="V782" s="89">
        <f t="shared" si="205"/>
        <v>93.163619999999995</v>
      </c>
      <c r="W782" s="90">
        <f t="shared" si="210"/>
        <v>8850.5438999999988</v>
      </c>
      <c r="X782" s="93">
        <f t="shared" si="206"/>
        <v>-9.8250352451948908E-2</v>
      </c>
      <c r="AB782" s="89">
        <f t="shared" si="195"/>
        <v>195</v>
      </c>
      <c r="AC782" s="89">
        <f t="shared" si="196"/>
        <v>51.179276000000002</v>
      </c>
      <c r="AD782" s="89">
        <f t="shared" si="197"/>
        <v>93.163619999999995</v>
      </c>
      <c r="AE782" s="89">
        <f t="shared" si="198"/>
        <v>18166.905899999998</v>
      </c>
      <c r="AF782" s="90">
        <f t="shared" si="201"/>
        <v>8186.947079999999</v>
      </c>
      <c r="AG782" s="93">
        <f t="shared" si="202"/>
        <v>0.82033876368239356</v>
      </c>
      <c r="AK782" s="90">
        <f t="shared" si="199"/>
        <v>142</v>
      </c>
      <c r="AL782" s="89">
        <f t="shared" si="200"/>
        <v>68.865979063380294</v>
      </c>
      <c r="AM782" s="89">
        <f t="shared" si="192"/>
        <v>93.163619999999995</v>
      </c>
      <c r="AN782" s="90">
        <f t="shared" si="193"/>
        <v>13229.234039999999</v>
      </c>
      <c r="AO782" s="93">
        <f t="shared" si="194"/>
        <v>0.35282502720621389</v>
      </c>
    </row>
    <row r="783" spans="2:41" x14ac:dyDescent="0.25">
      <c r="B783" s="91">
        <v>40485</v>
      </c>
      <c r="C783" s="89">
        <v>119.68</v>
      </c>
      <c r="D783" s="89">
        <v>120.019997</v>
      </c>
      <c r="E783" s="89">
        <v>118.449997</v>
      </c>
      <c r="F783" s="89">
        <v>119.949997</v>
      </c>
      <c r="G783" s="89">
        <v>93.537941000000004</v>
      </c>
      <c r="H783" s="89">
        <v>226702800</v>
      </c>
      <c r="J783" s="89">
        <v>0</v>
      </c>
      <c r="K783" s="89">
        <f t="shared" si="211"/>
        <v>88</v>
      </c>
      <c r="L783" s="89">
        <f t="shared" si="212"/>
        <v>112.621376</v>
      </c>
      <c r="M783" s="89">
        <f>+SPY__2[[#This Row],[Adj Close]]</f>
        <v>93.537941000000004</v>
      </c>
      <c r="N783" s="89">
        <f t="shared" si="207"/>
        <v>8231.3388080000004</v>
      </c>
      <c r="O783" s="90">
        <f t="shared" si="208"/>
        <v>-1679.3422799999994</v>
      </c>
      <c r="P783" s="93">
        <f t="shared" si="209"/>
        <v>-0.16944771656847801</v>
      </c>
      <c r="Q783" s="96"/>
      <c r="R783" s="96"/>
      <c r="T783" s="90">
        <f t="shared" si="203"/>
        <v>95</v>
      </c>
      <c r="U783" s="89">
        <f t="shared" si="204"/>
        <v>103.31428490526316</v>
      </c>
      <c r="V783" s="89">
        <f t="shared" si="205"/>
        <v>93.537941000000004</v>
      </c>
      <c r="W783" s="90">
        <f t="shared" si="210"/>
        <v>8886.1043950000003</v>
      </c>
      <c r="X783" s="93">
        <f t="shared" si="206"/>
        <v>-9.4627223275347117E-2</v>
      </c>
      <c r="AB783" s="89">
        <f t="shared" si="195"/>
        <v>195</v>
      </c>
      <c r="AC783" s="89">
        <f t="shared" si="196"/>
        <v>51.179276000000002</v>
      </c>
      <c r="AD783" s="89">
        <f t="shared" si="197"/>
        <v>93.537941000000004</v>
      </c>
      <c r="AE783" s="89">
        <f t="shared" si="198"/>
        <v>18239.898495000001</v>
      </c>
      <c r="AF783" s="90">
        <f t="shared" si="201"/>
        <v>8259.9396749999996</v>
      </c>
      <c r="AG783" s="93">
        <f t="shared" si="202"/>
        <v>0.82765268113601298</v>
      </c>
      <c r="AK783" s="90">
        <f t="shared" si="199"/>
        <v>142</v>
      </c>
      <c r="AL783" s="89">
        <f t="shared" si="200"/>
        <v>68.865979063380294</v>
      </c>
      <c r="AM783" s="89">
        <f t="shared" si="192"/>
        <v>93.537941000000004</v>
      </c>
      <c r="AN783" s="90">
        <f t="shared" si="193"/>
        <v>13282.387622</v>
      </c>
      <c r="AO783" s="93">
        <f t="shared" si="194"/>
        <v>0.35826052678221654</v>
      </c>
    </row>
    <row r="784" spans="2:41" x14ac:dyDescent="0.25">
      <c r="B784" s="91">
        <v>40486</v>
      </c>
      <c r="C784" s="89">
        <v>121.279999</v>
      </c>
      <c r="D784" s="89">
        <v>122.32</v>
      </c>
      <c r="E784" s="89">
        <v>119.970001</v>
      </c>
      <c r="F784" s="89">
        <v>122.260002</v>
      </c>
      <c r="G784" s="89">
        <v>95.339264</v>
      </c>
      <c r="H784" s="89">
        <v>215039400</v>
      </c>
      <c r="J784" s="89">
        <v>0</v>
      </c>
      <c r="K784" s="89">
        <f t="shared" si="211"/>
        <v>88</v>
      </c>
      <c r="L784" s="89">
        <f t="shared" si="212"/>
        <v>112.621376</v>
      </c>
      <c r="M784" s="89">
        <f>+SPY__2[[#This Row],[Adj Close]]</f>
        <v>95.339264</v>
      </c>
      <c r="N784" s="89">
        <f t="shared" si="207"/>
        <v>8389.8552319999999</v>
      </c>
      <c r="O784" s="90">
        <f t="shared" si="208"/>
        <v>-1520.8258559999999</v>
      </c>
      <c r="P784" s="93">
        <f t="shared" si="209"/>
        <v>-0.15345321300283166</v>
      </c>
      <c r="Q784" s="96"/>
      <c r="R784" s="96"/>
      <c r="T784" s="90">
        <f t="shared" si="203"/>
        <v>95</v>
      </c>
      <c r="U784" s="89">
        <f t="shared" si="204"/>
        <v>103.31428490526316</v>
      </c>
      <c r="V784" s="89">
        <f t="shared" si="205"/>
        <v>95.339264</v>
      </c>
      <c r="W784" s="90">
        <f t="shared" si="210"/>
        <v>9057.2300799999994</v>
      </c>
      <c r="X784" s="93">
        <f t="shared" si="206"/>
        <v>-7.7191851180851478E-2</v>
      </c>
      <c r="AB784" s="89">
        <f t="shared" si="195"/>
        <v>195</v>
      </c>
      <c r="AC784" s="89">
        <f t="shared" si="196"/>
        <v>51.179276000000002</v>
      </c>
      <c r="AD784" s="89">
        <f t="shared" si="197"/>
        <v>95.339264</v>
      </c>
      <c r="AE784" s="89">
        <f t="shared" si="198"/>
        <v>18591.156480000001</v>
      </c>
      <c r="AF784" s="90">
        <f t="shared" si="201"/>
        <v>8611.1976599999998</v>
      </c>
      <c r="AG784" s="93">
        <f t="shared" si="202"/>
        <v>0.86284901724674645</v>
      </c>
      <c r="AK784" s="90">
        <f t="shared" si="199"/>
        <v>142</v>
      </c>
      <c r="AL784" s="89">
        <f t="shared" si="200"/>
        <v>68.865979063380294</v>
      </c>
      <c r="AM784" s="89">
        <f t="shared" si="192"/>
        <v>95.339264</v>
      </c>
      <c r="AN784" s="90">
        <f t="shared" si="193"/>
        <v>13538.175488000001</v>
      </c>
      <c r="AO784" s="93">
        <f t="shared" si="194"/>
        <v>0.38441746268146759</v>
      </c>
    </row>
    <row r="785" spans="2:41" x14ac:dyDescent="0.25">
      <c r="B785" s="91">
        <v>40487</v>
      </c>
      <c r="C785" s="89">
        <v>122.339996</v>
      </c>
      <c r="D785" s="89">
        <v>122.91999800000001</v>
      </c>
      <c r="E785" s="89">
        <v>122.18</v>
      </c>
      <c r="F785" s="89">
        <v>122.720001</v>
      </c>
      <c r="G785" s="89">
        <v>95.697997999999998</v>
      </c>
      <c r="H785" s="89">
        <v>180654100</v>
      </c>
      <c r="J785" s="89">
        <v>0</v>
      </c>
      <c r="K785" s="89">
        <f t="shared" si="211"/>
        <v>88</v>
      </c>
      <c r="L785" s="89">
        <f t="shared" si="212"/>
        <v>112.621376</v>
      </c>
      <c r="M785" s="89">
        <f>+SPY__2[[#This Row],[Adj Close]]</f>
        <v>95.697997999999998</v>
      </c>
      <c r="N785" s="89">
        <f t="shared" si="207"/>
        <v>8421.4238239999995</v>
      </c>
      <c r="O785" s="90">
        <f t="shared" si="208"/>
        <v>-1489.2572639999999</v>
      </c>
      <c r="P785" s="93">
        <f t="shared" si="209"/>
        <v>-0.15026790296009174</v>
      </c>
      <c r="Q785" s="96"/>
      <c r="R785" s="96"/>
      <c r="T785" s="90">
        <f t="shared" si="203"/>
        <v>95</v>
      </c>
      <c r="U785" s="89">
        <f t="shared" si="204"/>
        <v>103.31428490526316</v>
      </c>
      <c r="V785" s="89">
        <f t="shared" si="205"/>
        <v>95.697997999999998</v>
      </c>
      <c r="W785" s="90">
        <f t="shared" si="210"/>
        <v>9091.3098100000007</v>
      </c>
      <c r="X785" s="93">
        <f t="shared" si="206"/>
        <v>-7.3719591751006286E-2</v>
      </c>
      <c r="AB785" s="89">
        <f t="shared" si="195"/>
        <v>195</v>
      </c>
      <c r="AC785" s="89">
        <f t="shared" si="196"/>
        <v>51.179276000000002</v>
      </c>
      <c r="AD785" s="89">
        <f t="shared" si="197"/>
        <v>95.697997999999998</v>
      </c>
      <c r="AE785" s="89">
        <f t="shared" si="198"/>
        <v>18661.10961</v>
      </c>
      <c r="AF785" s="90">
        <f t="shared" si="201"/>
        <v>8681.1507899999997</v>
      </c>
      <c r="AG785" s="93">
        <f t="shared" si="202"/>
        <v>0.86985837783246467</v>
      </c>
      <c r="AK785" s="90">
        <f t="shared" si="199"/>
        <v>142</v>
      </c>
      <c r="AL785" s="89">
        <f t="shared" si="200"/>
        <v>68.865979063380294</v>
      </c>
      <c r="AM785" s="89">
        <f t="shared" si="192"/>
        <v>95.697997999999998</v>
      </c>
      <c r="AN785" s="90">
        <f t="shared" si="193"/>
        <v>13589.115716</v>
      </c>
      <c r="AO785" s="93">
        <f t="shared" si="194"/>
        <v>0.38962662408277193</v>
      </c>
    </row>
    <row r="786" spans="2:41" x14ac:dyDescent="0.25">
      <c r="B786" s="91">
        <v>40490</v>
      </c>
      <c r="C786" s="89">
        <v>122.339996</v>
      </c>
      <c r="D786" s="89">
        <v>122.69000200000001</v>
      </c>
      <c r="E786" s="89">
        <v>121.94000200000001</v>
      </c>
      <c r="F786" s="89">
        <v>122.489998</v>
      </c>
      <c r="G786" s="89">
        <v>95.518653999999998</v>
      </c>
      <c r="H786" s="89">
        <v>156107100</v>
      </c>
      <c r="J786" s="89">
        <v>0</v>
      </c>
      <c r="K786" s="89">
        <f t="shared" si="211"/>
        <v>88</v>
      </c>
      <c r="L786" s="89">
        <f t="shared" si="212"/>
        <v>112.621376</v>
      </c>
      <c r="M786" s="89">
        <f>+SPY__2[[#This Row],[Adj Close]]</f>
        <v>95.518653999999998</v>
      </c>
      <c r="N786" s="89">
        <f t="shared" si="207"/>
        <v>8405.6415519999991</v>
      </c>
      <c r="O786" s="90">
        <f t="shared" si="208"/>
        <v>-1505.039536</v>
      </c>
      <c r="P786" s="93">
        <f t="shared" si="209"/>
        <v>-0.15186035375735418</v>
      </c>
      <c r="Q786" s="96"/>
      <c r="R786" s="96"/>
      <c r="T786" s="90">
        <f t="shared" si="203"/>
        <v>95</v>
      </c>
      <c r="U786" s="89">
        <f t="shared" si="204"/>
        <v>103.31428490526316</v>
      </c>
      <c r="V786" s="89">
        <f t="shared" si="205"/>
        <v>95.518653999999998</v>
      </c>
      <c r="W786" s="90">
        <f t="shared" si="210"/>
        <v>9074.2721299999994</v>
      </c>
      <c r="X786" s="93">
        <f t="shared" si="206"/>
        <v>-7.545549884424585E-2</v>
      </c>
      <c r="AB786" s="89">
        <f t="shared" si="195"/>
        <v>195</v>
      </c>
      <c r="AC786" s="89">
        <f t="shared" si="196"/>
        <v>51.179276000000002</v>
      </c>
      <c r="AD786" s="89">
        <f t="shared" si="197"/>
        <v>95.518653999999998</v>
      </c>
      <c r="AE786" s="89">
        <f t="shared" si="198"/>
        <v>18626.13753</v>
      </c>
      <c r="AF786" s="90">
        <f t="shared" si="201"/>
        <v>8646.1787100000001</v>
      </c>
      <c r="AG786" s="93">
        <f t="shared" si="202"/>
        <v>0.86635414694025759</v>
      </c>
      <c r="AK786" s="90">
        <f t="shared" si="199"/>
        <v>142</v>
      </c>
      <c r="AL786" s="89">
        <f t="shared" si="200"/>
        <v>68.865979063380294</v>
      </c>
      <c r="AM786" s="89">
        <f t="shared" si="192"/>
        <v>95.518653999999998</v>
      </c>
      <c r="AN786" s="90">
        <f t="shared" si="193"/>
        <v>13563.648868</v>
      </c>
      <c r="AO786" s="93">
        <f t="shared" si="194"/>
        <v>0.38702237736415723</v>
      </c>
    </row>
    <row r="787" spans="2:41" x14ac:dyDescent="0.25">
      <c r="B787" s="91">
        <v>40491</v>
      </c>
      <c r="C787" s="89">
        <v>122.82</v>
      </c>
      <c r="D787" s="89">
        <v>122.949997</v>
      </c>
      <c r="E787" s="89">
        <v>121.120003</v>
      </c>
      <c r="F787" s="89">
        <v>121.610001</v>
      </c>
      <c r="G787" s="89">
        <v>94.832413000000003</v>
      </c>
      <c r="H787" s="89">
        <v>186621600</v>
      </c>
      <c r="J787" s="89">
        <v>0</v>
      </c>
      <c r="K787" s="89">
        <f t="shared" si="211"/>
        <v>88</v>
      </c>
      <c r="L787" s="89">
        <f t="shared" si="212"/>
        <v>112.621376</v>
      </c>
      <c r="M787" s="89">
        <f>+SPY__2[[#This Row],[Adj Close]]</f>
        <v>94.832413000000003</v>
      </c>
      <c r="N787" s="89">
        <f t="shared" si="207"/>
        <v>8345.2523440000004</v>
      </c>
      <c r="O787" s="90">
        <f t="shared" si="208"/>
        <v>-1565.4287439999996</v>
      </c>
      <c r="P787" s="93">
        <f t="shared" si="209"/>
        <v>-0.15795369966000061</v>
      </c>
      <c r="Q787" s="96"/>
      <c r="R787" s="96"/>
      <c r="T787" s="90">
        <f t="shared" si="203"/>
        <v>95</v>
      </c>
      <c r="U787" s="89">
        <f t="shared" si="204"/>
        <v>103.31428490526316</v>
      </c>
      <c r="V787" s="89">
        <f t="shared" si="205"/>
        <v>94.832413000000003</v>
      </c>
      <c r="W787" s="90">
        <f t="shared" si="210"/>
        <v>9009.0792350000011</v>
      </c>
      <c r="X787" s="93">
        <f t="shared" si="206"/>
        <v>-8.2097765212630902E-2</v>
      </c>
      <c r="AB787" s="89">
        <f t="shared" si="195"/>
        <v>195</v>
      </c>
      <c r="AC787" s="89">
        <f t="shared" si="196"/>
        <v>51.179276000000002</v>
      </c>
      <c r="AD787" s="89">
        <f t="shared" si="197"/>
        <v>94.832413000000003</v>
      </c>
      <c r="AE787" s="89">
        <f t="shared" si="198"/>
        <v>18492.320534999999</v>
      </c>
      <c r="AF787" s="90">
        <f t="shared" si="201"/>
        <v>8512.3617150000009</v>
      </c>
      <c r="AG787" s="93">
        <f t="shared" si="202"/>
        <v>0.85294557508003832</v>
      </c>
      <c r="AK787" s="90">
        <f t="shared" si="199"/>
        <v>142</v>
      </c>
      <c r="AL787" s="89">
        <f t="shared" si="200"/>
        <v>68.865979063380294</v>
      </c>
      <c r="AM787" s="89">
        <f t="shared" si="192"/>
        <v>94.832413000000003</v>
      </c>
      <c r="AN787" s="90">
        <f t="shared" si="193"/>
        <v>13466.202646</v>
      </c>
      <c r="AO787" s="93">
        <f t="shared" si="194"/>
        <v>0.37705750052172626</v>
      </c>
    </row>
    <row r="788" spans="2:41" x14ac:dyDescent="0.25">
      <c r="B788" s="91">
        <v>40492</v>
      </c>
      <c r="C788" s="89">
        <v>121.58000199999999</v>
      </c>
      <c r="D788" s="89">
        <v>122.160004</v>
      </c>
      <c r="E788" s="89">
        <v>120.660004</v>
      </c>
      <c r="F788" s="89">
        <v>122.099998</v>
      </c>
      <c r="G788" s="89">
        <v>95.214523</v>
      </c>
      <c r="H788" s="89">
        <v>221387400</v>
      </c>
      <c r="J788" s="89">
        <v>0</v>
      </c>
      <c r="K788" s="89">
        <f t="shared" si="211"/>
        <v>88</v>
      </c>
      <c r="L788" s="89">
        <f t="shared" si="212"/>
        <v>112.621376</v>
      </c>
      <c r="M788" s="89">
        <f>+SPY__2[[#This Row],[Adj Close]]</f>
        <v>95.214523</v>
      </c>
      <c r="N788" s="89">
        <f t="shared" si="207"/>
        <v>8378.8780239999996</v>
      </c>
      <c r="O788" s="90">
        <f t="shared" si="208"/>
        <v>-1531.8030639999997</v>
      </c>
      <c r="P788" s="93">
        <f t="shared" si="209"/>
        <v>-0.15456082688955952</v>
      </c>
      <c r="Q788" s="96"/>
      <c r="R788" s="96"/>
      <c r="T788" s="90">
        <f t="shared" si="203"/>
        <v>95</v>
      </c>
      <c r="U788" s="89">
        <f t="shared" si="204"/>
        <v>103.31428490526316</v>
      </c>
      <c r="V788" s="89">
        <f t="shared" si="205"/>
        <v>95.214523</v>
      </c>
      <c r="W788" s="90">
        <f t="shared" si="210"/>
        <v>9045.3796849999999</v>
      </c>
      <c r="X788" s="93">
        <f t="shared" si="206"/>
        <v>-7.8399244719067229E-2</v>
      </c>
      <c r="AB788" s="89">
        <f t="shared" si="195"/>
        <v>195</v>
      </c>
      <c r="AC788" s="89">
        <f t="shared" si="196"/>
        <v>51.179276000000002</v>
      </c>
      <c r="AD788" s="89">
        <f t="shared" si="197"/>
        <v>95.214523</v>
      </c>
      <c r="AE788" s="89">
        <f t="shared" si="198"/>
        <v>18566.831985000001</v>
      </c>
      <c r="AF788" s="90">
        <f t="shared" si="201"/>
        <v>8586.8731649999991</v>
      </c>
      <c r="AG788" s="93">
        <f t="shared" si="202"/>
        <v>0.86041168304139348</v>
      </c>
      <c r="AK788" s="90">
        <f t="shared" si="199"/>
        <v>142</v>
      </c>
      <c r="AL788" s="89">
        <f t="shared" si="200"/>
        <v>68.865979063380294</v>
      </c>
      <c r="AM788" s="89">
        <f t="shared" si="192"/>
        <v>95.214523</v>
      </c>
      <c r="AN788" s="90">
        <f t="shared" si="193"/>
        <v>13520.462266</v>
      </c>
      <c r="AO788" s="93">
        <f t="shared" si="194"/>
        <v>0.38260610384076621</v>
      </c>
    </row>
    <row r="789" spans="2:41" x14ac:dyDescent="0.25">
      <c r="B789" s="91">
        <v>40493</v>
      </c>
      <c r="C789" s="89">
        <v>121.050003</v>
      </c>
      <c r="D789" s="89">
        <v>121.82</v>
      </c>
      <c r="E789" s="89">
        <v>120.68</v>
      </c>
      <c r="F789" s="89">
        <v>121.639999</v>
      </c>
      <c r="G789" s="89">
        <v>94.855812</v>
      </c>
      <c r="H789" s="89">
        <v>158017600</v>
      </c>
      <c r="J789" s="89">
        <v>0</v>
      </c>
      <c r="K789" s="89">
        <f t="shared" si="211"/>
        <v>88</v>
      </c>
      <c r="L789" s="89">
        <f t="shared" si="212"/>
        <v>112.621376</v>
      </c>
      <c r="M789" s="89">
        <f>+SPY__2[[#This Row],[Adj Close]]</f>
        <v>94.855812</v>
      </c>
      <c r="N789" s="89">
        <f t="shared" si="207"/>
        <v>8347.3114559999995</v>
      </c>
      <c r="O789" s="90">
        <f t="shared" si="208"/>
        <v>-1563.3696319999999</v>
      </c>
      <c r="P789" s="93">
        <f t="shared" si="209"/>
        <v>-0.15774593270819204</v>
      </c>
      <c r="Q789" s="96"/>
      <c r="R789" s="96"/>
      <c r="T789" s="90">
        <f t="shared" si="203"/>
        <v>95</v>
      </c>
      <c r="U789" s="89">
        <f t="shared" si="204"/>
        <v>103.31428490526316</v>
      </c>
      <c r="V789" s="89">
        <f t="shared" si="205"/>
        <v>94.855812</v>
      </c>
      <c r="W789" s="90">
        <f t="shared" si="210"/>
        <v>9011.3021399999998</v>
      </c>
      <c r="X789" s="93">
        <f t="shared" si="206"/>
        <v>-8.1871281527229223E-2</v>
      </c>
      <c r="AB789" s="89">
        <f t="shared" si="195"/>
        <v>195</v>
      </c>
      <c r="AC789" s="89">
        <f t="shared" si="196"/>
        <v>51.179276000000002</v>
      </c>
      <c r="AD789" s="89">
        <f t="shared" si="197"/>
        <v>94.855812</v>
      </c>
      <c r="AE789" s="89">
        <f t="shared" si="198"/>
        <v>18496.88334</v>
      </c>
      <c r="AF789" s="90">
        <f t="shared" si="201"/>
        <v>8516.9245200000005</v>
      </c>
      <c r="AG789" s="93">
        <f t="shared" si="202"/>
        <v>0.85340277185632707</v>
      </c>
      <c r="AK789" s="90">
        <f t="shared" si="199"/>
        <v>142</v>
      </c>
      <c r="AL789" s="89">
        <f t="shared" si="200"/>
        <v>68.865979063380294</v>
      </c>
      <c r="AM789" s="89">
        <f t="shared" si="192"/>
        <v>94.855812</v>
      </c>
      <c r="AN789" s="90">
        <f t="shared" si="193"/>
        <v>13469.525304000001</v>
      </c>
      <c r="AO789" s="93">
        <f t="shared" si="194"/>
        <v>0.37739727642149923</v>
      </c>
    </row>
    <row r="790" spans="2:41" x14ac:dyDescent="0.25">
      <c r="B790" s="91">
        <v>40494</v>
      </c>
      <c r="C790" s="89">
        <v>120.82</v>
      </c>
      <c r="D790" s="89">
        <v>121.349998</v>
      </c>
      <c r="E790" s="89">
        <v>119.650002</v>
      </c>
      <c r="F790" s="89">
        <v>120.199997</v>
      </c>
      <c r="G790" s="89">
        <v>93.732864000000006</v>
      </c>
      <c r="H790" s="89">
        <v>239068800</v>
      </c>
      <c r="J790" s="89">
        <v>0</v>
      </c>
      <c r="K790" s="89">
        <f t="shared" si="211"/>
        <v>88</v>
      </c>
      <c r="L790" s="89">
        <f t="shared" si="212"/>
        <v>112.621376</v>
      </c>
      <c r="M790" s="89">
        <f>+SPY__2[[#This Row],[Adj Close]]</f>
        <v>93.732864000000006</v>
      </c>
      <c r="N790" s="89">
        <f t="shared" si="207"/>
        <v>8248.4920320000001</v>
      </c>
      <c r="O790" s="90">
        <f t="shared" si="208"/>
        <v>-1662.1890559999993</v>
      </c>
      <c r="P790" s="93">
        <f t="shared" si="209"/>
        <v>-0.16771693501595997</v>
      </c>
      <c r="Q790" s="96"/>
      <c r="R790" s="96"/>
      <c r="T790" s="90">
        <f t="shared" si="203"/>
        <v>95</v>
      </c>
      <c r="U790" s="89">
        <f t="shared" si="204"/>
        <v>103.31428490526316</v>
      </c>
      <c r="V790" s="89">
        <f t="shared" si="205"/>
        <v>93.732864000000006</v>
      </c>
      <c r="W790" s="90">
        <f t="shared" si="210"/>
        <v>8904.622080000001</v>
      </c>
      <c r="X790" s="93">
        <f t="shared" si="206"/>
        <v>-9.2740523868979907E-2</v>
      </c>
      <c r="AB790" s="89">
        <f t="shared" si="195"/>
        <v>195</v>
      </c>
      <c r="AC790" s="89">
        <f t="shared" si="196"/>
        <v>51.179276000000002</v>
      </c>
      <c r="AD790" s="89">
        <f t="shared" si="197"/>
        <v>93.732864000000006</v>
      </c>
      <c r="AE790" s="89">
        <f t="shared" si="198"/>
        <v>18277.908480000002</v>
      </c>
      <c r="AF790" s="90">
        <f t="shared" si="201"/>
        <v>8297.9496600000002</v>
      </c>
      <c r="AG790" s="93">
        <f t="shared" si="202"/>
        <v>0.83146131258285094</v>
      </c>
      <c r="AK790" s="90">
        <f t="shared" si="199"/>
        <v>142</v>
      </c>
      <c r="AL790" s="89">
        <f t="shared" si="200"/>
        <v>68.865979063380294</v>
      </c>
      <c r="AM790" s="89">
        <f t="shared" si="192"/>
        <v>93.732864000000006</v>
      </c>
      <c r="AN790" s="90">
        <f t="shared" si="193"/>
        <v>13310.066688000001</v>
      </c>
      <c r="AO790" s="93">
        <f t="shared" si="194"/>
        <v>0.36109099550786405</v>
      </c>
    </row>
    <row r="791" spans="2:41" x14ac:dyDescent="0.25">
      <c r="B791" s="91">
        <v>40497</v>
      </c>
      <c r="C791" s="89">
        <v>120.58000199999999</v>
      </c>
      <c r="D791" s="89">
        <v>121.050003</v>
      </c>
      <c r="E791" s="89">
        <v>119.980003</v>
      </c>
      <c r="F791" s="89">
        <v>120.029999</v>
      </c>
      <c r="G791" s="89">
        <v>93.600303999999994</v>
      </c>
      <c r="H791" s="89">
        <v>163940800</v>
      </c>
      <c r="J791" s="89">
        <v>0</v>
      </c>
      <c r="K791" s="89">
        <f t="shared" si="211"/>
        <v>88</v>
      </c>
      <c r="L791" s="89">
        <f t="shared" si="212"/>
        <v>112.621376</v>
      </c>
      <c r="M791" s="89">
        <f>+SPY__2[[#This Row],[Adj Close]]</f>
        <v>93.600303999999994</v>
      </c>
      <c r="N791" s="89">
        <f t="shared" si="207"/>
        <v>8236.826751999999</v>
      </c>
      <c r="O791" s="90">
        <f t="shared" si="208"/>
        <v>-1673.8543360000003</v>
      </c>
      <c r="P791" s="93">
        <f t="shared" si="209"/>
        <v>-0.16889397621993185</v>
      </c>
      <c r="Q791" s="96"/>
      <c r="R791" s="96"/>
      <c r="T791" s="90">
        <f t="shared" si="203"/>
        <v>95</v>
      </c>
      <c r="U791" s="89">
        <f t="shared" si="204"/>
        <v>103.31428490526316</v>
      </c>
      <c r="V791" s="89">
        <f t="shared" si="205"/>
        <v>93.600303999999994</v>
      </c>
      <c r="W791" s="90">
        <f t="shared" si="210"/>
        <v>8892.0288799999998</v>
      </c>
      <c r="X791" s="93">
        <f t="shared" si="206"/>
        <v>-9.4023599100266364E-2</v>
      </c>
      <c r="AB791" s="89">
        <f t="shared" si="195"/>
        <v>195</v>
      </c>
      <c r="AC791" s="89">
        <f t="shared" si="196"/>
        <v>51.179276000000002</v>
      </c>
      <c r="AD791" s="89">
        <f t="shared" si="197"/>
        <v>93.600303999999994</v>
      </c>
      <c r="AE791" s="89">
        <f t="shared" si="198"/>
        <v>18252.059279999998</v>
      </c>
      <c r="AF791" s="90">
        <f t="shared" si="201"/>
        <v>8272.1004599999978</v>
      </c>
      <c r="AG791" s="93">
        <f t="shared" si="202"/>
        <v>0.82887120169499839</v>
      </c>
      <c r="AK791" s="90">
        <f t="shared" si="199"/>
        <v>142</v>
      </c>
      <c r="AL791" s="89">
        <f t="shared" si="200"/>
        <v>68.865979063380294</v>
      </c>
      <c r="AM791" s="89">
        <f t="shared" si="192"/>
        <v>93.600303999999994</v>
      </c>
      <c r="AN791" s="90">
        <f t="shared" si="193"/>
        <v>13291.243167999999</v>
      </c>
      <c r="AO791" s="93">
        <f t="shared" si="194"/>
        <v>0.35916609729538074</v>
      </c>
    </row>
    <row r="792" spans="2:41" x14ac:dyDescent="0.25">
      <c r="B792" s="91">
        <v>40498</v>
      </c>
      <c r="C792" s="89">
        <v>119.290001</v>
      </c>
      <c r="D792" s="89">
        <v>119.489998</v>
      </c>
      <c r="E792" s="89">
        <v>117.589996</v>
      </c>
      <c r="F792" s="89">
        <v>118.160004</v>
      </c>
      <c r="G792" s="89">
        <v>92.142075000000006</v>
      </c>
      <c r="H792" s="89">
        <v>299566200</v>
      </c>
      <c r="J792" s="89">
        <v>0</v>
      </c>
      <c r="K792" s="89">
        <f t="shared" si="211"/>
        <v>88</v>
      </c>
      <c r="L792" s="89">
        <f t="shared" si="212"/>
        <v>112.621376</v>
      </c>
      <c r="M792" s="89">
        <f>+SPY__2[[#This Row],[Adj Close]]</f>
        <v>92.142075000000006</v>
      </c>
      <c r="N792" s="89">
        <f t="shared" si="207"/>
        <v>8108.5026000000007</v>
      </c>
      <c r="O792" s="90">
        <f t="shared" si="208"/>
        <v>-1802.1784879999993</v>
      </c>
      <c r="P792" s="93">
        <f t="shared" si="209"/>
        <v>-0.18184204213594402</v>
      </c>
      <c r="Q792" s="96"/>
      <c r="R792" s="96"/>
      <c r="T792" s="90">
        <f t="shared" si="203"/>
        <v>95</v>
      </c>
      <c r="U792" s="89">
        <f t="shared" si="204"/>
        <v>103.31428490526316</v>
      </c>
      <c r="V792" s="89">
        <f t="shared" si="205"/>
        <v>92.142075000000006</v>
      </c>
      <c r="W792" s="90">
        <f t="shared" si="210"/>
        <v>8753.4971249999999</v>
      </c>
      <c r="X792" s="93">
        <f t="shared" si="206"/>
        <v>-0.10813809450946521</v>
      </c>
      <c r="AB792" s="89">
        <f t="shared" si="195"/>
        <v>195</v>
      </c>
      <c r="AC792" s="89">
        <f t="shared" si="196"/>
        <v>51.179276000000002</v>
      </c>
      <c r="AD792" s="89">
        <f t="shared" si="197"/>
        <v>92.142075000000006</v>
      </c>
      <c r="AE792" s="89">
        <f t="shared" si="198"/>
        <v>17967.704625000002</v>
      </c>
      <c r="AF792" s="90">
        <f t="shared" si="201"/>
        <v>7987.7458050000005</v>
      </c>
      <c r="AG792" s="93">
        <f t="shared" si="202"/>
        <v>0.80037863372666718</v>
      </c>
      <c r="AK792" s="90">
        <f t="shared" si="199"/>
        <v>142</v>
      </c>
      <c r="AL792" s="89">
        <f t="shared" si="200"/>
        <v>68.865979063380294</v>
      </c>
      <c r="AM792" s="89">
        <f t="shared" si="192"/>
        <v>92.142075000000006</v>
      </c>
      <c r="AN792" s="90">
        <f t="shared" si="193"/>
        <v>13084.174650000001</v>
      </c>
      <c r="AO792" s="93">
        <f t="shared" si="194"/>
        <v>0.33799121501195439</v>
      </c>
    </row>
    <row r="793" spans="2:41" x14ac:dyDescent="0.25">
      <c r="B793" s="91">
        <v>40499</v>
      </c>
      <c r="C793" s="89">
        <v>118.209999</v>
      </c>
      <c r="D793" s="89">
        <v>118.709999</v>
      </c>
      <c r="E793" s="89">
        <v>117.860001</v>
      </c>
      <c r="F793" s="89">
        <v>118.220001</v>
      </c>
      <c r="G793" s="89">
        <v>92.188873000000001</v>
      </c>
      <c r="H793" s="89">
        <v>172308900</v>
      </c>
      <c r="J793" s="89">
        <v>0</v>
      </c>
      <c r="K793" s="89">
        <f t="shared" si="211"/>
        <v>88</v>
      </c>
      <c r="L793" s="89">
        <f t="shared" si="212"/>
        <v>112.621376</v>
      </c>
      <c r="M793" s="89">
        <f>+SPY__2[[#This Row],[Adj Close]]</f>
        <v>92.188873000000001</v>
      </c>
      <c r="N793" s="89">
        <f t="shared" si="207"/>
        <v>8112.6208239999996</v>
      </c>
      <c r="O793" s="90">
        <f t="shared" si="208"/>
        <v>-1798.0602639999997</v>
      </c>
      <c r="P793" s="93">
        <f t="shared" si="209"/>
        <v>-0.18142650823232698</v>
      </c>
      <c r="Q793" s="96"/>
      <c r="R793" s="96"/>
      <c r="T793" s="90">
        <f t="shared" si="203"/>
        <v>95</v>
      </c>
      <c r="U793" s="89">
        <f t="shared" si="204"/>
        <v>103.31428490526316</v>
      </c>
      <c r="V793" s="89">
        <f t="shared" si="205"/>
        <v>92.188873000000001</v>
      </c>
      <c r="W793" s="90">
        <f t="shared" si="210"/>
        <v>8757.9429350000009</v>
      </c>
      <c r="X793" s="93">
        <f t="shared" si="206"/>
        <v>-0.10768512713866141</v>
      </c>
      <c r="AB793" s="89">
        <f t="shared" si="195"/>
        <v>195</v>
      </c>
      <c r="AC793" s="89">
        <f t="shared" si="196"/>
        <v>51.179276000000002</v>
      </c>
      <c r="AD793" s="89">
        <f t="shared" si="197"/>
        <v>92.188873000000001</v>
      </c>
      <c r="AE793" s="89">
        <f t="shared" si="198"/>
        <v>17976.830235000001</v>
      </c>
      <c r="AF793" s="90">
        <f t="shared" si="201"/>
        <v>7996.8714149999996</v>
      </c>
      <c r="AG793" s="93">
        <f t="shared" si="202"/>
        <v>0.8012930272792449</v>
      </c>
      <c r="AK793" s="90">
        <f t="shared" si="199"/>
        <v>142</v>
      </c>
      <c r="AL793" s="89">
        <f t="shared" si="200"/>
        <v>68.865979063380294</v>
      </c>
      <c r="AM793" s="89">
        <f t="shared" si="192"/>
        <v>92.188873000000001</v>
      </c>
      <c r="AN793" s="90">
        <f t="shared" si="193"/>
        <v>13090.819966000001</v>
      </c>
      <c r="AO793" s="93">
        <f t="shared" si="194"/>
        <v>0.3386707668115001</v>
      </c>
    </row>
    <row r="794" spans="2:41" x14ac:dyDescent="0.25">
      <c r="B794" s="91">
        <v>40500</v>
      </c>
      <c r="C794" s="89">
        <v>119.360001</v>
      </c>
      <c r="D794" s="89">
        <v>120.389999</v>
      </c>
      <c r="E794" s="89">
        <v>119.349998</v>
      </c>
      <c r="F794" s="89">
        <v>119.959999</v>
      </c>
      <c r="G794" s="89">
        <v>93.545722999999995</v>
      </c>
      <c r="H794" s="89">
        <v>197723700</v>
      </c>
      <c r="J794" s="89">
        <v>0</v>
      </c>
      <c r="K794" s="89">
        <f t="shared" si="211"/>
        <v>88</v>
      </c>
      <c r="L794" s="89">
        <f t="shared" si="212"/>
        <v>112.621376</v>
      </c>
      <c r="M794" s="89">
        <f>+SPY__2[[#This Row],[Adj Close]]</f>
        <v>93.545722999999995</v>
      </c>
      <c r="N794" s="89">
        <f t="shared" si="207"/>
        <v>8232.0236239999995</v>
      </c>
      <c r="O794" s="90">
        <f t="shared" si="208"/>
        <v>-1678.6574640000003</v>
      </c>
      <c r="P794" s="93">
        <f t="shared" si="209"/>
        <v>-0.16937861778566798</v>
      </c>
      <c r="Q794" s="96"/>
      <c r="R794" s="96"/>
      <c r="T794" s="90">
        <f t="shared" si="203"/>
        <v>95</v>
      </c>
      <c r="U794" s="89">
        <f t="shared" si="204"/>
        <v>103.31428490526316</v>
      </c>
      <c r="V794" s="89">
        <f t="shared" si="205"/>
        <v>93.545722999999995</v>
      </c>
      <c r="W794" s="90">
        <f t="shared" si="210"/>
        <v>8886.8436849999998</v>
      </c>
      <c r="X794" s="93">
        <f t="shared" si="206"/>
        <v>-9.4551899712810417E-2</v>
      </c>
      <c r="AB794" s="89">
        <f t="shared" si="195"/>
        <v>195</v>
      </c>
      <c r="AC794" s="89">
        <f t="shared" si="196"/>
        <v>51.179276000000002</v>
      </c>
      <c r="AD794" s="89">
        <f t="shared" si="197"/>
        <v>93.545722999999995</v>
      </c>
      <c r="AE794" s="89">
        <f t="shared" si="198"/>
        <v>18241.415985</v>
      </c>
      <c r="AF794" s="90">
        <f t="shared" si="201"/>
        <v>8261.457164999998</v>
      </c>
      <c r="AG794" s="93">
        <f t="shared" si="202"/>
        <v>0.82780473486963735</v>
      </c>
      <c r="AK794" s="90">
        <f t="shared" si="199"/>
        <v>142</v>
      </c>
      <c r="AL794" s="89">
        <f t="shared" si="200"/>
        <v>68.865979063380294</v>
      </c>
      <c r="AM794" s="89">
        <f t="shared" si="192"/>
        <v>93.545722999999995</v>
      </c>
      <c r="AN794" s="90">
        <f t="shared" si="193"/>
        <v>13283.492666</v>
      </c>
      <c r="AO794" s="93">
        <f t="shared" si="194"/>
        <v>0.35837352887854679</v>
      </c>
    </row>
    <row r="795" spans="2:41" x14ac:dyDescent="0.25">
      <c r="B795" s="91">
        <v>40501</v>
      </c>
      <c r="C795" s="89">
        <v>119.900002</v>
      </c>
      <c r="D795" s="89">
        <v>120.339996</v>
      </c>
      <c r="E795" s="89">
        <v>119.25</v>
      </c>
      <c r="F795" s="89">
        <v>120.290001</v>
      </c>
      <c r="G795" s="89">
        <v>93.803047000000007</v>
      </c>
      <c r="H795" s="89">
        <v>156852900</v>
      </c>
      <c r="J795" s="89">
        <v>0</v>
      </c>
      <c r="K795" s="89">
        <f t="shared" si="211"/>
        <v>88</v>
      </c>
      <c r="L795" s="89">
        <f t="shared" si="212"/>
        <v>112.621376</v>
      </c>
      <c r="M795" s="89">
        <f>+SPY__2[[#This Row],[Adj Close]]</f>
        <v>93.803047000000007</v>
      </c>
      <c r="N795" s="89">
        <f t="shared" si="207"/>
        <v>8254.6681360000002</v>
      </c>
      <c r="O795" s="90">
        <f t="shared" si="208"/>
        <v>-1656.0129519999991</v>
      </c>
      <c r="P795" s="93">
        <f t="shared" si="209"/>
        <v>-0.16709375847086072</v>
      </c>
      <c r="Q795" s="96"/>
      <c r="R795" s="96"/>
      <c r="T795" s="90">
        <f t="shared" si="203"/>
        <v>95</v>
      </c>
      <c r="U795" s="89">
        <f t="shared" si="204"/>
        <v>103.31428490526316</v>
      </c>
      <c r="V795" s="89">
        <f t="shared" si="205"/>
        <v>93.803047000000007</v>
      </c>
      <c r="W795" s="90">
        <f t="shared" si="210"/>
        <v>8911.2894649999998</v>
      </c>
      <c r="X795" s="93">
        <f t="shared" si="206"/>
        <v>-9.2061208321625121E-2</v>
      </c>
      <c r="AB795" s="89">
        <f t="shared" si="195"/>
        <v>195</v>
      </c>
      <c r="AC795" s="89">
        <f t="shared" si="196"/>
        <v>51.179276000000002</v>
      </c>
      <c r="AD795" s="89">
        <f t="shared" si="197"/>
        <v>93.803047000000007</v>
      </c>
      <c r="AE795" s="89">
        <f t="shared" si="198"/>
        <v>18291.594165000002</v>
      </c>
      <c r="AF795" s="90">
        <f t="shared" si="201"/>
        <v>8311.6353450000006</v>
      </c>
      <c r="AG795" s="93">
        <f t="shared" si="202"/>
        <v>0.83283262936349467</v>
      </c>
      <c r="AK795" s="90">
        <f t="shared" si="199"/>
        <v>142</v>
      </c>
      <c r="AL795" s="89">
        <f t="shared" si="200"/>
        <v>68.865979063380294</v>
      </c>
      <c r="AM795" s="89">
        <f t="shared" si="192"/>
        <v>93.803047000000007</v>
      </c>
      <c r="AN795" s="90">
        <f t="shared" si="193"/>
        <v>13320.032674</v>
      </c>
      <c r="AO795" s="93">
        <f t="shared" si="194"/>
        <v>0.36211011991376862</v>
      </c>
    </row>
    <row r="796" spans="2:41" x14ac:dyDescent="0.25">
      <c r="B796" s="91">
        <v>40504</v>
      </c>
      <c r="C796" s="89">
        <v>119.69000200000001</v>
      </c>
      <c r="D796" s="89">
        <v>120.239998</v>
      </c>
      <c r="E796" s="89">
        <v>118.769997</v>
      </c>
      <c r="F796" s="89">
        <v>120.19000200000001</v>
      </c>
      <c r="G796" s="89">
        <v>93.725089999999994</v>
      </c>
      <c r="H796" s="89">
        <v>181361000</v>
      </c>
      <c r="J796" s="89">
        <v>0</v>
      </c>
      <c r="K796" s="89">
        <f t="shared" si="211"/>
        <v>88</v>
      </c>
      <c r="L796" s="89">
        <f t="shared" si="212"/>
        <v>112.621376</v>
      </c>
      <c r="M796" s="89">
        <f>+SPY__2[[#This Row],[Adj Close]]</f>
        <v>93.725089999999994</v>
      </c>
      <c r="N796" s="89">
        <f t="shared" si="207"/>
        <v>8247.8079199999993</v>
      </c>
      <c r="O796" s="90">
        <f t="shared" si="208"/>
        <v>-1662.8731680000003</v>
      </c>
      <c r="P796" s="93">
        <f t="shared" si="209"/>
        <v>-0.16778596276429802</v>
      </c>
      <c r="Q796" s="96"/>
      <c r="R796" s="96"/>
      <c r="T796" s="90">
        <f t="shared" si="203"/>
        <v>95</v>
      </c>
      <c r="U796" s="89">
        <f t="shared" si="204"/>
        <v>103.31428490526316</v>
      </c>
      <c r="V796" s="89">
        <f t="shared" si="205"/>
        <v>93.725089999999994</v>
      </c>
      <c r="W796" s="90">
        <f t="shared" si="210"/>
        <v>8903.8835499999986</v>
      </c>
      <c r="X796" s="93">
        <f t="shared" si="206"/>
        <v>-9.2815769997887987E-2</v>
      </c>
      <c r="AB796" s="89">
        <f t="shared" si="195"/>
        <v>195</v>
      </c>
      <c r="AC796" s="89">
        <f t="shared" si="196"/>
        <v>51.179276000000002</v>
      </c>
      <c r="AD796" s="89">
        <f t="shared" si="197"/>
        <v>93.725089999999994</v>
      </c>
      <c r="AE796" s="89">
        <f t="shared" si="198"/>
        <v>18276.39255</v>
      </c>
      <c r="AF796" s="90">
        <f t="shared" si="201"/>
        <v>8296.4337299999988</v>
      </c>
      <c r="AG796" s="93">
        <f t="shared" si="202"/>
        <v>0.83130941516249646</v>
      </c>
      <c r="AK796" s="90">
        <f t="shared" si="199"/>
        <v>142</v>
      </c>
      <c r="AL796" s="89">
        <f t="shared" si="200"/>
        <v>68.865979063380294</v>
      </c>
      <c r="AM796" s="89">
        <f t="shared" si="192"/>
        <v>93.725089999999994</v>
      </c>
      <c r="AN796" s="90">
        <f t="shared" si="193"/>
        <v>13308.96278</v>
      </c>
      <c r="AO796" s="93">
        <f t="shared" si="194"/>
        <v>0.36097810957919885</v>
      </c>
    </row>
    <row r="797" spans="2:41" x14ac:dyDescent="0.25">
      <c r="B797" s="91">
        <v>40505</v>
      </c>
      <c r="C797" s="89">
        <v>118.769997</v>
      </c>
      <c r="D797" s="89">
        <v>119.019997</v>
      </c>
      <c r="E797" s="89">
        <v>117.989998</v>
      </c>
      <c r="F797" s="89">
        <v>118.449997</v>
      </c>
      <c r="G797" s="89">
        <v>92.368201999999997</v>
      </c>
      <c r="H797" s="89">
        <v>222309000</v>
      </c>
      <c r="J797" s="89">
        <v>0</v>
      </c>
      <c r="K797" s="89">
        <f t="shared" si="211"/>
        <v>88</v>
      </c>
      <c r="L797" s="89">
        <f t="shared" si="212"/>
        <v>112.621376</v>
      </c>
      <c r="M797" s="89">
        <f>+SPY__2[[#This Row],[Adj Close]]</f>
        <v>92.368201999999997</v>
      </c>
      <c r="N797" s="89">
        <f t="shared" si="207"/>
        <v>8128.4017759999997</v>
      </c>
      <c r="O797" s="90">
        <f t="shared" si="208"/>
        <v>-1782.2793120000001</v>
      </c>
      <c r="P797" s="93">
        <f t="shared" si="209"/>
        <v>-0.17983419062469985</v>
      </c>
      <c r="Q797" s="96"/>
      <c r="R797" s="96"/>
      <c r="T797" s="90">
        <f t="shared" si="203"/>
        <v>95</v>
      </c>
      <c r="U797" s="89">
        <f t="shared" si="204"/>
        <v>103.31428490526316</v>
      </c>
      <c r="V797" s="89">
        <f t="shared" si="205"/>
        <v>92.368201999999997</v>
      </c>
      <c r="W797" s="90">
        <f t="shared" si="210"/>
        <v>8774.97919</v>
      </c>
      <c r="X797" s="93">
        <f t="shared" si="206"/>
        <v>-0.10594936523347642</v>
      </c>
      <c r="AB797" s="89">
        <f t="shared" si="195"/>
        <v>195</v>
      </c>
      <c r="AC797" s="89">
        <f t="shared" si="196"/>
        <v>51.179276000000002</v>
      </c>
      <c r="AD797" s="89">
        <f t="shared" si="197"/>
        <v>92.368201999999997</v>
      </c>
      <c r="AE797" s="89">
        <f t="shared" si="198"/>
        <v>18011.79939</v>
      </c>
      <c r="AF797" s="90">
        <f t="shared" si="201"/>
        <v>8031.8405699999994</v>
      </c>
      <c r="AG797" s="93">
        <f t="shared" si="202"/>
        <v>0.80479696508407028</v>
      </c>
      <c r="AK797" s="90">
        <f t="shared" si="199"/>
        <v>142</v>
      </c>
      <c r="AL797" s="89">
        <f t="shared" si="200"/>
        <v>68.865979063380294</v>
      </c>
      <c r="AM797" s="89">
        <f t="shared" si="192"/>
        <v>92.368201999999997</v>
      </c>
      <c r="AN797" s="90">
        <f t="shared" si="193"/>
        <v>13116.284684</v>
      </c>
      <c r="AO797" s="93">
        <f t="shared" si="194"/>
        <v>0.34127479571574248</v>
      </c>
    </row>
    <row r="798" spans="2:41" x14ac:dyDescent="0.25">
      <c r="B798" s="91">
        <v>40506</v>
      </c>
      <c r="C798" s="89">
        <v>119.199997</v>
      </c>
      <c r="D798" s="89">
        <v>120.230003</v>
      </c>
      <c r="E798" s="89">
        <v>119.18</v>
      </c>
      <c r="F798" s="89">
        <v>120.199997</v>
      </c>
      <c r="G798" s="89">
        <v>93.732864000000006</v>
      </c>
      <c r="H798" s="89">
        <v>140046100</v>
      </c>
      <c r="J798" s="89">
        <v>0</v>
      </c>
      <c r="K798" s="89">
        <f t="shared" si="211"/>
        <v>88</v>
      </c>
      <c r="L798" s="89">
        <f t="shared" si="212"/>
        <v>112.621376</v>
      </c>
      <c r="M798" s="89">
        <f>+SPY__2[[#This Row],[Adj Close]]</f>
        <v>93.732864000000006</v>
      </c>
      <c r="N798" s="89">
        <f t="shared" si="207"/>
        <v>8248.4920320000001</v>
      </c>
      <c r="O798" s="90">
        <f t="shared" si="208"/>
        <v>-1662.1890559999993</v>
      </c>
      <c r="P798" s="93">
        <f t="shared" si="209"/>
        <v>-0.16771693501595997</v>
      </c>
      <c r="Q798" s="96"/>
      <c r="R798" s="96"/>
      <c r="T798" s="90">
        <f t="shared" si="203"/>
        <v>95</v>
      </c>
      <c r="U798" s="89">
        <f t="shared" si="204"/>
        <v>103.31428490526316</v>
      </c>
      <c r="V798" s="89">
        <f t="shared" si="205"/>
        <v>93.732864000000006</v>
      </c>
      <c r="W798" s="90">
        <f t="shared" si="210"/>
        <v>8904.622080000001</v>
      </c>
      <c r="X798" s="93">
        <f t="shared" si="206"/>
        <v>-9.2740523868979907E-2</v>
      </c>
      <c r="AB798" s="89">
        <f t="shared" si="195"/>
        <v>195</v>
      </c>
      <c r="AC798" s="89">
        <f t="shared" si="196"/>
        <v>51.179276000000002</v>
      </c>
      <c r="AD798" s="89">
        <f t="shared" si="197"/>
        <v>93.732864000000006</v>
      </c>
      <c r="AE798" s="89">
        <f t="shared" si="198"/>
        <v>18277.908480000002</v>
      </c>
      <c r="AF798" s="90">
        <f t="shared" si="201"/>
        <v>8297.9496600000002</v>
      </c>
      <c r="AG798" s="93">
        <f t="shared" si="202"/>
        <v>0.83146131258285094</v>
      </c>
      <c r="AK798" s="90">
        <f t="shared" si="199"/>
        <v>142</v>
      </c>
      <c r="AL798" s="89">
        <f t="shared" si="200"/>
        <v>68.865979063380294</v>
      </c>
      <c r="AM798" s="89">
        <f t="shared" si="192"/>
        <v>93.732864000000006</v>
      </c>
      <c r="AN798" s="90">
        <f t="shared" si="193"/>
        <v>13310.066688000001</v>
      </c>
      <c r="AO798" s="93">
        <f t="shared" si="194"/>
        <v>0.36109099550786405</v>
      </c>
    </row>
    <row r="799" spans="2:41" x14ac:dyDescent="0.25">
      <c r="B799" s="91">
        <v>40508</v>
      </c>
      <c r="C799" s="89">
        <v>119.160004</v>
      </c>
      <c r="D799" s="89">
        <v>119.80999799999999</v>
      </c>
      <c r="E799" s="89">
        <v>118.800003</v>
      </c>
      <c r="F799" s="89">
        <v>118.800003</v>
      </c>
      <c r="G799" s="89">
        <v>92.641143999999997</v>
      </c>
      <c r="H799" s="89">
        <v>76007800</v>
      </c>
      <c r="J799" s="89">
        <v>0</v>
      </c>
      <c r="K799" s="89">
        <f t="shared" si="211"/>
        <v>88</v>
      </c>
      <c r="L799" s="89">
        <f t="shared" si="212"/>
        <v>112.621376</v>
      </c>
      <c r="M799" s="89">
        <f>+SPY__2[[#This Row],[Adj Close]]</f>
        <v>92.641143999999997</v>
      </c>
      <c r="N799" s="89">
        <f t="shared" si="207"/>
        <v>8152.4206720000002</v>
      </c>
      <c r="O799" s="90">
        <f t="shared" si="208"/>
        <v>-1758.2604160000001</v>
      </c>
      <c r="P799" s="93">
        <f t="shared" si="209"/>
        <v>-0.17741065426158531</v>
      </c>
      <c r="Q799" s="96"/>
      <c r="R799" s="96"/>
      <c r="T799" s="90">
        <f t="shared" si="203"/>
        <v>95</v>
      </c>
      <c r="U799" s="89">
        <f t="shared" si="204"/>
        <v>103.31428490526316</v>
      </c>
      <c r="V799" s="89">
        <f t="shared" si="205"/>
        <v>92.641143999999997</v>
      </c>
      <c r="W799" s="90">
        <f t="shared" si="210"/>
        <v>8800.9086800000005</v>
      </c>
      <c r="X799" s="93">
        <f t="shared" si="206"/>
        <v>-0.10330750404022238</v>
      </c>
      <c r="AB799" s="89">
        <f t="shared" si="195"/>
        <v>195</v>
      </c>
      <c r="AC799" s="89">
        <f t="shared" si="196"/>
        <v>51.179276000000002</v>
      </c>
      <c r="AD799" s="89">
        <f t="shared" si="197"/>
        <v>92.641143999999997</v>
      </c>
      <c r="AE799" s="89">
        <f t="shared" si="198"/>
        <v>18065.023079999999</v>
      </c>
      <c r="AF799" s="90">
        <f t="shared" si="201"/>
        <v>8085.0642599999992</v>
      </c>
      <c r="AG799" s="93">
        <f t="shared" si="202"/>
        <v>0.81013002215975072</v>
      </c>
      <c r="AK799" s="90">
        <f t="shared" si="199"/>
        <v>142</v>
      </c>
      <c r="AL799" s="89">
        <f t="shared" si="200"/>
        <v>68.865979063380294</v>
      </c>
      <c r="AM799" s="89">
        <f t="shared" si="192"/>
        <v>92.641143999999997</v>
      </c>
      <c r="AN799" s="90">
        <f t="shared" si="193"/>
        <v>13155.042448</v>
      </c>
      <c r="AO799" s="93">
        <f t="shared" si="194"/>
        <v>0.34523817507536503</v>
      </c>
    </row>
    <row r="800" spans="2:41" x14ac:dyDescent="0.25">
      <c r="B800" s="91">
        <v>40511</v>
      </c>
      <c r="C800" s="89">
        <v>118.5</v>
      </c>
      <c r="D800" s="89">
        <v>119.480003</v>
      </c>
      <c r="E800" s="89">
        <v>117.739998</v>
      </c>
      <c r="F800" s="89">
        <v>119.160004</v>
      </c>
      <c r="G800" s="89">
        <v>92.921882999999994</v>
      </c>
      <c r="H800" s="89">
        <v>223642300</v>
      </c>
      <c r="J800" s="89">
        <v>0</v>
      </c>
      <c r="K800" s="89">
        <f t="shared" si="211"/>
        <v>88</v>
      </c>
      <c r="L800" s="89">
        <f t="shared" si="212"/>
        <v>112.621376</v>
      </c>
      <c r="M800" s="89">
        <f>+SPY__2[[#This Row],[Adj Close]]</f>
        <v>92.921882999999994</v>
      </c>
      <c r="N800" s="89">
        <f t="shared" si="207"/>
        <v>8177.1257039999991</v>
      </c>
      <c r="O800" s="90">
        <f t="shared" si="208"/>
        <v>-1733.5553840000002</v>
      </c>
      <c r="P800" s="93">
        <f t="shared" si="209"/>
        <v>-0.17491788592602531</v>
      </c>
      <c r="Q800" s="96"/>
      <c r="R800" s="96"/>
      <c r="T800" s="90">
        <f t="shared" si="203"/>
        <v>95</v>
      </c>
      <c r="U800" s="89">
        <f t="shared" si="204"/>
        <v>103.31428490526316</v>
      </c>
      <c r="V800" s="89">
        <f t="shared" si="205"/>
        <v>92.921882999999994</v>
      </c>
      <c r="W800" s="90">
        <f t="shared" si="210"/>
        <v>8827.578884999999</v>
      </c>
      <c r="X800" s="93">
        <f t="shared" si="206"/>
        <v>-0.1005901740963776</v>
      </c>
      <c r="AB800" s="89">
        <f t="shared" si="195"/>
        <v>195</v>
      </c>
      <c r="AC800" s="89">
        <f t="shared" si="196"/>
        <v>51.179276000000002</v>
      </c>
      <c r="AD800" s="89">
        <f t="shared" si="197"/>
        <v>92.921882999999994</v>
      </c>
      <c r="AE800" s="89">
        <f t="shared" si="198"/>
        <v>18119.767185000001</v>
      </c>
      <c r="AF800" s="90">
        <f t="shared" si="201"/>
        <v>8139.808364999999</v>
      </c>
      <c r="AG800" s="93">
        <f t="shared" si="202"/>
        <v>0.81561542605643722</v>
      </c>
      <c r="AK800" s="90">
        <f t="shared" si="199"/>
        <v>142</v>
      </c>
      <c r="AL800" s="89">
        <f t="shared" si="200"/>
        <v>68.865979063380294</v>
      </c>
      <c r="AM800" s="89">
        <f t="shared" si="192"/>
        <v>92.921882999999994</v>
      </c>
      <c r="AN800" s="90">
        <f t="shared" si="193"/>
        <v>13194.907385999999</v>
      </c>
      <c r="AO800" s="93">
        <f t="shared" si="194"/>
        <v>0.34931477434569014</v>
      </c>
    </row>
    <row r="801" spans="2:41" x14ac:dyDescent="0.25">
      <c r="B801" s="91">
        <v>40512</v>
      </c>
      <c r="C801" s="89">
        <v>117.980003</v>
      </c>
      <c r="D801" s="89">
        <v>119.16999800000001</v>
      </c>
      <c r="E801" s="89">
        <v>117.80999799999999</v>
      </c>
      <c r="F801" s="89">
        <v>118.489998</v>
      </c>
      <c r="G801" s="89">
        <v>92.399405999999999</v>
      </c>
      <c r="H801" s="89">
        <v>233930700</v>
      </c>
      <c r="J801" s="89">
        <v>0</v>
      </c>
      <c r="K801" s="89">
        <f t="shared" si="211"/>
        <v>88</v>
      </c>
      <c r="L801" s="89">
        <f t="shared" si="212"/>
        <v>112.621376</v>
      </c>
      <c r="M801" s="89">
        <f>+SPY__2[[#This Row],[Adj Close]]</f>
        <v>92.399405999999999</v>
      </c>
      <c r="N801" s="89">
        <f t="shared" si="207"/>
        <v>8131.1477279999999</v>
      </c>
      <c r="O801" s="90">
        <f t="shared" si="208"/>
        <v>-1779.5333599999999</v>
      </c>
      <c r="P801" s="93">
        <f t="shared" si="209"/>
        <v>-0.17955712066597374</v>
      </c>
      <c r="Q801" s="96"/>
      <c r="R801" s="96"/>
      <c r="T801" s="90">
        <f t="shared" si="203"/>
        <v>95</v>
      </c>
      <c r="U801" s="89">
        <f t="shared" si="204"/>
        <v>103.31428490526316</v>
      </c>
      <c r="V801" s="89">
        <f t="shared" si="205"/>
        <v>92.399405999999999</v>
      </c>
      <c r="W801" s="90">
        <f t="shared" si="210"/>
        <v>8777.9435699999995</v>
      </c>
      <c r="X801" s="93">
        <f t="shared" si="206"/>
        <v>-0.10564733536385473</v>
      </c>
      <c r="AB801" s="89">
        <f t="shared" si="195"/>
        <v>195</v>
      </c>
      <c r="AC801" s="89">
        <f t="shared" si="196"/>
        <v>51.179276000000002</v>
      </c>
      <c r="AD801" s="89">
        <f t="shared" si="197"/>
        <v>92.399405999999999</v>
      </c>
      <c r="AE801" s="89">
        <f t="shared" si="198"/>
        <v>18017.884170000001</v>
      </c>
      <c r="AF801" s="90">
        <f t="shared" si="201"/>
        <v>8037.9253499999995</v>
      </c>
      <c r="AG801" s="93">
        <f t="shared" si="202"/>
        <v>0.80540666499463565</v>
      </c>
      <c r="AK801" s="90">
        <f t="shared" si="199"/>
        <v>142</v>
      </c>
      <c r="AL801" s="89">
        <f t="shared" si="200"/>
        <v>68.865979063380294</v>
      </c>
      <c r="AM801" s="89">
        <f t="shared" si="192"/>
        <v>92.399405999999999</v>
      </c>
      <c r="AN801" s="90">
        <f t="shared" si="193"/>
        <v>13120.715651999999</v>
      </c>
      <c r="AO801" s="93">
        <f t="shared" si="194"/>
        <v>0.34172790769388306</v>
      </c>
    </row>
    <row r="802" spans="2:41" x14ac:dyDescent="0.25">
      <c r="B802" s="91">
        <v>40513</v>
      </c>
      <c r="C802" s="89">
        <v>120.199997</v>
      </c>
      <c r="D802" s="89">
        <v>121.239998</v>
      </c>
      <c r="E802" s="89">
        <v>120.19000200000001</v>
      </c>
      <c r="F802" s="89">
        <v>121.010002</v>
      </c>
      <c r="G802" s="89">
        <v>94.364525</v>
      </c>
      <c r="H802" s="89">
        <v>221037200</v>
      </c>
      <c r="J802" s="89">
        <v>0</v>
      </c>
      <c r="K802" s="89">
        <f t="shared" si="211"/>
        <v>88</v>
      </c>
      <c r="L802" s="89">
        <f t="shared" si="212"/>
        <v>112.621376</v>
      </c>
      <c r="M802" s="89">
        <f>+SPY__2[[#This Row],[Adj Close]]</f>
        <v>94.364525</v>
      </c>
      <c r="N802" s="89">
        <f t="shared" si="207"/>
        <v>8304.0781999999999</v>
      </c>
      <c r="O802" s="90">
        <f t="shared" si="208"/>
        <v>-1606.6028879999999</v>
      </c>
      <c r="P802" s="93">
        <f t="shared" si="209"/>
        <v>-0.16210822179974071</v>
      </c>
      <c r="Q802" s="96"/>
      <c r="R802" s="96"/>
      <c r="T802" s="90">
        <f t="shared" si="203"/>
        <v>95</v>
      </c>
      <c r="U802" s="89">
        <f t="shared" si="204"/>
        <v>103.31428490526316</v>
      </c>
      <c r="V802" s="89">
        <f t="shared" si="205"/>
        <v>94.364525</v>
      </c>
      <c r="W802" s="90">
        <f t="shared" si="210"/>
        <v>8964.6298750000005</v>
      </c>
      <c r="X802" s="93">
        <f t="shared" si="206"/>
        <v>-8.6626548433935135E-2</v>
      </c>
      <c r="AB802" s="89">
        <f t="shared" si="195"/>
        <v>195</v>
      </c>
      <c r="AC802" s="89">
        <f t="shared" si="196"/>
        <v>51.179276000000002</v>
      </c>
      <c r="AD802" s="89">
        <f t="shared" si="197"/>
        <v>94.364525</v>
      </c>
      <c r="AE802" s="89">
        <f t="shared" si="198"/>
        <v>18401.082375000002</v>
      </c>
      <c r="AF802" s="90">
        <f t="shared" si="201"/>
        <v>8421.1235550000001</v>
      </c>
      <c r="AG802" s="93">
        <f t="shared" si="202"/>
        <v>0.8438034371568679</v>
      </c>
      <c r="AK802" s="90">
        <f t="shared" si="199"/>
        <v>142</v>
      </c>
      <c r="AL802" s="89">
        <f t="shared" si="200"/>
        <v>68.865979063380294</v>
      </c>
      <c r="AM802" s="89">
        <f t="shared" si="192"/>
        <v>94.364525</v>
      </c>
      <c r="AN802" s="90">
        <f t="shared" si="193"/>
        <v>13399.762549999999</v>
      </c>
      <c r="AO802" s="93">
        <f t="shared" si="194"/>
        <v>0.37026331845441862</v>
      </c>
    </row>
    <row r="803" spans="2:41" x14ac:dyDescent="0.25">
      <c r="B803" s="91">
        <v>40514</v>
      </c>
      <c r="C803" s="89">
        <v>121.199997</v>
      </c>
      <c r="D803" s="89">
        <v>122.650002</v>
      </c>
      <c r="E803" s="89">
        <v>121.129997</v>
      </c>
      <c r="F803" s="89">
        <v>122.55999799999999</v>
      </c>
      <c r="G803" s="89">
        <v>95.573204000000004</v>
      </c>
      <c r="H803" s="89">
        <v>191213600</v>
      </c>
      <c r="J803" s="89">
        <v>0</v>
      </c>
      <c r="K803" s="89">
        <f t="shared" si="211"/>
        <v>88</v>
      </c>
      <c r="L803" s="89">
        <f t="shared" si="212"/>
        <v>112.621376</v>
      </c>
      <c r="M803" s="89">
        <f>+SPY__2[[#This Row],[Adj Close]]</f>
        <v>95.573204000000004</v>
      </c>
      <c r="N803" s="89">
        <f t="shared" si="207"/>
        <v>8410.441952000001</v>
      </c>
      <c r="O803" s="90">
        <f t="shared" si="208"/>
        <v>-1500.2391359999995</v>
      </c>
      <c r="P803" s="93">
        <f t="shared" si="209"/>
        <v>-0.15137598745019765</v>
      </c>
      <c r="Q803" s="96"/>
      <c r="R803" s="96"/>
      <c r="T803" s="90">
        <f t="shared" si="203"/>
        <v>95</v>
      </c>
      <c r="U803" s="89">
        <f t="shared" si="204"/>
        <v>103.31428490526316</v>
      </c>
      <c r="V803" s="89">
        <f t="shared" si="205"/>
        <v>95.573204000000004</v>
      </c>
      <c r="W803" s="90">
        <f t="shared" si="210"/>
        <v>9079.454380000001</v>
      </c>
      <c r="X803" s="93">
        <f t="shared" si="206"/>
        <v>-7.4927498287013727E-2</v>
      </c>
      <c r="AB803" s="89">
        <f t="shared" si="195"/>
        <v>195</v>
      </c>
      <c r="AC803" s="89">
        <f t="shared" si="196"/>
        <v>51.179276000000002</v>
      </c>
      <c r="AD803" s="89">
        <f t="shared" si="197"/>
        <v>95.573204000000004</v>
      </c>
      <c r="AE803" s="89">
        <f t="shared" si="198"/>
        <v>18636.77478</v>
      </c>
      <c r="AF803" s="90">
        <f t="shared" si="201"/>
        <v>8656.8159599999999</v>
      </c>
      <c r="AG803" s="93">
        <f t="shared" si="202"/>
        <v>0.8674200080516965</v>
      </c>
      <c r="AK803" s="90">
        <f t="shared" si="199"/>
        <v>142</v>
      </c>
      <c r="AL803" s="89">
        <f t="shared" si="200"/>
        <v>68.865979063380294</v>
      </c>
      <c r="AM803" s="89">
        <f t="shared" si="192"/>
        <v>95.573204000000004</v>
      </c>
      <c r="AN803" s="90">
        <f t="shared" si="193"/>
        <v>13571.394968000001</v>
      </c>
      <c r="AO803" s="93">
        <f t="shared" si="194"/>
        <v>0.38781449563128878</v>
      </c>
    </row>
    <row r="804" spans="2:41" x14ac:dyDescent="0.25">
      <c r="B804" s="91">
        <v>40515</v>
      </c>
      <c r="C804" s="89">
        <v>122.139999</v>
      </c>
      <c r="D804" s="89">
        <v>123.029999</v>
      </c>
      <c r="E804" s="89">
        <v>122.110001</v>
      </c>
      <c r="F804" s="89">
        <v>122.889999</v>
      </c>
      <c r="G804" s="89">
        <v>95.830566000000005</v>
      </c>
      <c r="H804" s="89">
        <v>151288900</v>
      </c>
      <c r="J804" s="89">
        <v>0</v>
      </c>
      <c r="K804" s="89">
        <f t="shared" si="211"/>
        <v>88</v>
      </c>
      <c r="L804" s="89">
        <f t="shared" si="212"/>
        <v>112.621376</v>
      </c>
      <c r="M804" s="89">
        <f>+SPY__2[[#This Row],[Adj Close]]</f>
        <v>95.830566000000005</v>
      </c>
      <c r="N804" s="89">
        <f t="shared" si="207"/>
        <v>8433.0898080000006</v>
      </c>
      <c r="O804" s="90">
        <f t="shared" si="208"/>
        <v>-1477.5912799999994</v>
      </c>
      <c r="P804" s="93">
        <f t="shared" si="209"/>
        <v>-0.14909079072164766</v>
      </c>
      <c r="Q804" s="96"/>
      <c r="R804" s="96"/>
      <c r="T804" s="90">
        <f t="shared" si="203"/>
        <v>95</v>
      </c>
      <c r="U804" s="89">
        <f t="shared" si="204"/>
        <v>103.31428490526316</v>
      </c>
      <c r="V804" s="89">
        <f t="shared" si="205"/>
        <v>95.830566000000005</v>
      </c>
      <c r="W804" s="90">
        <f t="shared" si="210"/>
        <v>9103.9037700000008</v>
      </c>
      <c r="X804" s="93">
        <f t="shared" si="206"/>
        <v>-7.2436439086091098E-2</v>
      </c>
      <c r="AB804" s="89">
        <f t="shared" si="195"/>
        <v>195</v>
      </c>
      <c r="AC804" s="89">
        <f t="shared" si="196"/>
        <v>51.179276000000002</v>
      </c>
      <c r="AD804" s="89">
        <f t="shared" si="197"/>
        <v>95.830566000000005</v>
      </c>
      <c r="AE804" s="89">
        <f t="shared" si="198"/>
        <v>18686.960370000001</v>
      </c>
      <c r="AF804" s="90">
        <f t="shared" si="201"/>
        <v>8707.0015500000009</v>
      </c>
      <c r="AG804" s="93">
        <f t="shared" si="202"/>
        <v>0.87244864503358754</v>
      </c>
      <c r="AK804" s="90">
        <f t="shared" si="199"/>
        <v>142</v>
      </c>
      <c r="AL804" s="89">
        <f t="shared" si="200"/>
        <v>68.865979063380294</v>
      </c>
      <c r="AM804" s="89">
        <f t="shared" si="192"/>
        <v>95.830566000000005</v>
      </c>
      <c r="AN804" s="90">
        <f t="shared" si="193"/>
        <v>13607.940372000001</v>
      </c>
      <c r="AO804" s="93">
        <f t="shared" si="194"/>
        <v>0.39155163846292029</v>
      </c>
    </row>
    <row r="805" spans="2:41" x14ac:dyDescent="0.25">
      <c r="B805" s="91">
        <v>40518</v>
      </c>
      <c r="C805" s="89">
        <v>122.629997</v>
      </c>
      <c r="D805" s="89">
        <v>123.040001</v>
      </c>
      <c r="E805" s="89">
        <v>122.5</v>
      </c>
      <c r="F805" s="89">
        <v>122.760002</v>
      </c>
      <c r="G805" s="89">
        <v>95.729172000000005</v>
      </c>
      <c r="H805" s="89">
        <v>103050500</v>
      </c>
      <c r="J805" s="89">
        <v>0</v>
      </c>
      <c r="K805" s="89">
        <f t="shared" si="211"/>
        <v>88</v>
      </c>
      <c r="L805" s="89">
        <f t="shared" si="212"/>
        <v>112.621376</v>
      </c>
      <c r="M805" s="89">
        <f>+SPY__2[[#This Row],[Adj Close]]</f>
        <v>95.729172000000005</v>
      </c>
      <c r="N805" s="89">
        <f t="shared" si="207"/>
        <v>8424.167136</v>
      </c>
      <c r="O805" s="90">
        <f t="shared" si="208"/>
        <v>-1486.5139519999993</v>
      </c>
      <c r="P805" s="93">
        <f t="shared" si="209"/>
        <v>-0.14999109938063615</v>
      </c>
      <c r="Q805" s="96"/>
      <c r="R805" s="96"/>
      <c r="T805" s="90">
        <f t="shared" si="203"/>
        <v>95</v>
      </c>
      <c r="U805" s="89">
        <f t="shared" si="204"/>
        <v>103.31428490526316</v>
      </c>
      <c r="V805" s="89">
        <f t="shared" si="205"/>
        <v>95.729172000000005</v>
      </c>
      <c r="W805" s="90">
        <f t="shared" si="210"/>
        <v>9094.2713400000011</v>
      </c>
      <c r="X805" s="93">
        <f t="shared" si="206"/>
        <v>-7.3417852257492977E-2</v>
      </c>
      <c r="AB805" s="89">
        <f t="shared" si="195"/>
        <v>195</v>
      </c>
      <c r="AC805" s="89">
        <f t="shared" si="196"/>
        <v>51.179276000000002</v>
      </c>
      <c r="AD805" s="89">
        <f t="shared" si="197"/>
        <v>95.729172000000005</v>
      </c>
      <c r="AE805" s="89">
        <f t="shared" si="198"/>
        <v>18667.188540000003</v>
      </c>
      <c r="AF805" s="90">
        <f t="shared" si="201"/>
        <v>8687.2297200000012</v>
      </c>
      <c r="AG805" s="93">
        <f t="shared" si="202"/>
        <v>0.87046749156826686</v>
      </c>
      <c r="AK805" s="90">
        <f t="shared" si="199"/>
        <v>142</v>
      </c>
      <c r="AL805" s="89">
        <f t="shared" si="200"/>
        <v>68.865979063380294</v>
      </c>
      <c r="AM805" s="89">
        <f t="shared" si="192"/>
        <v>95.729172000000005</v>
      </c>
      <c r="AN805" s="90">
        <f t="shared" si="193"/>
        <v>13593.542424000001</v>
      </c>
      <c r="AO805" s="93">
        <f t="shared" si="194"/>
        <v>0.3900793004321681</v>
      </c>
    </row>
    <row r="806" spans="2:41" x14ac:dyDescent="0.25">
      <c r="B806" s="91">
        <v>40519</v>
      </c>
      <c r="C806" s="89">
        <v>123.94000200000001</v>
      </c>
      <c r="D806" s="89">
        <v>124.010002</v>
      </c>
      <c r="E806" s="89">
        <v>122.760002</v>
      </c>
      <c r="F806" s="89">
        <v>122.83000199999999</v>
      </c>
      <c r="G806" s="89">
        <v>95.783775000000006</v>
      </c>
      <c r="H806" s="89">
        <v>206581000</v>
      </c>
      <c r="J806" s="89">
        <v>0</v>
      </c>
      <c r="K806" s="89">
        <f t="shared" si="211"/>
        <v>88</v>
      </c>
      <c r="L806" s="89">
        <f t="shared" si="212"/>
        <v>112.621376</v>
      </c>
      <c r="M806" s="89">
        <f>+SPY__2[[#This Row],[Adj Close]]</f>
        <v>95.783775000000006</v>
      </c>
      <c r="N806" s="89">
        <f t="shared" si="207"/>
        <v>8428.9722000000002</v>
      </c>
      <c r="O806" s="90">
        <f t="shared" si="208"/>
        <v>-1481.7088879999992</v>
      </c>
      <c r="P806" s="93">
        <f t="shared" si="209"/>
        <v>-0.14950626247010157</v>
      </c>
      <c r="Q806" s="96"/>
      <c r="R806" s="96"/>
      <c r="T806" s="90">
        <f t="shared" si="203"/>
        <v>95</v>
      </c>
      <c r="U806" s="89">
        <f t="shared" si="204"/>
        <v>103.31428490526316</v>
      </c>
      <c r="V806" s="89">
        <f t="shared" si="205"/>
        <v>95.783775000000006</v>
      </c>
      <c r="W806" s="90">
        <f t="shared" si="210"/>
        <v>9099.4586250000011</v>
      </c>
      <c r="X806" s="93">
        <f t="shared" si="206"/>
        <v>-7.2889338702469386E-2</v>
      </c>
      <c r="AB806" s="89">
        <f t="shared" si="195"/>
        <v>195</v>
      </c>
      <c r="AC806" s="89">
        <f t="shared" si="196"/>
        <v>51.179276000000002</v>
      </c>
      <c r="AD806" s="89">
        <f t="shared" si="197"/>
        <v>95.783775000000006</v>
      </c>
      <c r="AE806" s="89">
        <f t="shared" si="198"/>
        <v>18677.836125000002</v>
      </c>
      <c r="AF806" s="90">
        <f t="shared" si="201"/>
        <v>8697.877305</v>
      </c>
      <c r="AG806" s="93">
        <f t="shared" si="202"/>
        <v>0.8715343882551212</v>
      </c>
      <c r="AK806" s="90">
        <f t="shared" si="199"/>
        <v>142</v>
      </c>
      <c r="AL806" s="89">
        <f t="shared" si="200"/>
        <v>68.865979063380294</v>
      </c>
      <c r="AM806" s="89">
        <f t="shared" si="192"/>
        <v>95.783775000000006</v>
      </c>
      <c r="AN806" s="90">
        <f t="shared" si="193"/>
        <v>13601.296050000001</v>
      </c>
      <c r="AO806" s="93">
        <f t="shared" si="194"/>
        <v>0.39087218831008164</v>
      </c>
    </row>
    <row r="807" spans="2:41" x14ac:dyDescent="0.25">
      <c r="B807" s="91">
        <v>40520</v>
      </c>
      <c r="C807" s="89">
        <v>122.980003</v>
      </c>
      <c r="D807" s="89">
        <v>123.379997</v>
      </c>
      <c r="E807" s="89">
        <v>122.410004</v>
      </c>
      <c r="F807" s="89">
        <v>123.279999</v>
      </c>
      <c r="G807" s="89">
        <v>96.134665999999996</v>
      </c>
      <c r="H807" s="89">
        <v>138019200</v>
      </c>
      <c r="J807" s="89">
        <v>0</v>
      </c>
      <c r="K807" s="89">
        <f t="shared" si="211"/>
        <v>88</v>
      </c>
      <c r="L807" s="89">
        <f t="shared" si="212"/>
        <v>112.621376</v>
      </c>
      <c r="M807" s="89">
        <f>+SPY__2[[#This Row],[Adj Close]]</f>
        <v>96.134665999999996</v>
      </c>
      <c r="N807" s="89">
        <f t="shared" si="207"/>
        <v>8459.8506079999988</v>
      </c>
      <c r="O807" s="90">
        <f t="shared" si="208"/>
        <v>-1450.8304800000001</v>
      </c>
      <c r="P807" s="93">
        <f t="shared" si="209"/>
        <v>-0.14639059284802203</v>
      </c>
      <c r="Q807" s="96"/>
      <c r="R807" s="96"/>
      <c r="T807" s="90">
        <f t="shared" si="203"/>
        <v>95</v>
      </c>
      <c r="U807" s="89">
        <f t="shared" si="204"/>
        <v>103.31428490526316</v>
      </c>
      <c r="V807" s="89">
        <f t="shared" si="205"/>
        <v>96.134665999999996</v>
      </c>
      <c r="W807" s="90">
        <f t="shared" si="210"/>
        <v>9132.7932700000001</v>
      </c>
      <c r="X807" s="93">
        <f t="shared" si="206"/>
        <v>-6.949299326658176E-2</v>
      </c>
      <c r="AB807" s="89">
        <f t="shared" si="195"/>
        <v>195</v>
      </c>
      <c r="AC807" s="89">
        <f t="shared" si="196"/>
        <v>51.179276000000002</v>
      </c>
      <c r="AD807" s="89">
        <f t="shared" si="197"/>
        <v>96.134665999999996</v>
      </c>
      <c r="AE807" s="89">
        <f t="shared" si="198"/>
        <v>18746.259869999998</v>
      </c>
      <c r="AF807" s="90">
        <f t="shared" si="201"/>
        <v>8766.3010499999982</v>
      </c>
      <c r="AG807" s="93">
        <f t="shared" si="202"/>
        <v>0.87839050321852907</v>
      </c>
      <c r="AK807" s="90">
        <f t="shared" si="199"/>
        <v>142</v>
      </c>
      <c r="AL807" s="89">
        <f t="shared" si="200"/>
        <v>68.865979063380294</v>
      </c>
      <c r="AM807" s="89">
        <f t="shared" si="192"/>
        <v>96.134665999999996</v>
      </c>
      <c r="AN807" s="90">
        <f t="shared" si="193"/>
        <v>13651.122572</v>
      </c>
      <c r="AO807" s="93">
        <f t="shared" si="194"/>
        <v>0.39596746183660847</v>
      </c>
    </row>
    <row r="808" spans="2:41" x14ac:dyDescent="0.25">
      <c r="B808" s="91">
        <v>40521</v>
      </c>
      <c r="C808" s="89">
        <v>123.970001</v>
      </c>
      <c r="D808" s="89">
        <v>124.019997</v>
      </c>
      <c r="E808" s="89">
        <v>123.150002</v>
      </c>
      <c r="F808" s="89">
        <v>123.760002</v>
      </c>
      <c r="G808" s="89">
        <v>96.508994999999999</v>
      </c>
      <c r="H808" s="89">
        <v>123705100</v>
      </c>
      <c r="J808" s="89">
        <v>0</v>
      </c>
      <c r="K808" s="89">
        <f t="shared" si="211"/>
        <v>88</v>
      </c>
      <c r="L808" s="89">
        <f t="shared" si="212"/>
        <v>112.621376</v>
      </c>
      <c r="M808" s="89">
        <f>+SPY__2[[#This Row],[Adj Close]]</f>
        <v>96.508994999999999</v>
      </c>
      <c r="N808" s="89">
        <f t="shared" si="207"/>
        <v>8492.7915599999997</v>
      </c>
      <c r="O808" s="90">
        <f t="shared" si="208"/>
        <v>-1417.8895279999999</v>
      </c>
      <c r="P808" s="93">
        <f t="shared" si="209"/>
        <v>-0.14306680998108212</v>
      </c>
      <c r="Q808" s="96"/>
      <c r="R808" s="96"/>
      <c r="T808" s="90">
        <f t="shared" si="203"/>
        <v>95</v>
      </c>
      <c r="U808" s="89">
        <f t="shared" si="204"/>
        <v>103.31428490526316</v>
      </c>
      <c r="V808" s="89">
        <f t="shared" si="205"/>
        <v>96.508994999999999</v>
      </c>
      <c r="W808" s="90">
        <f t="shared" si="210"/>
        <v>9168.3545250000006</v>
      </c>
      <c r="X808" s="93">
        <f t="shared" si="206"/>
        <v>-6.5869786656351015E-2</v>
      </c>
      <c r="AB808" s="89">
        <f t="shared" si="195"/>
        <v>195</v>
      </c>
      <c r="AC808" s="89">
        <f t="shared" si="196"/>
        <v>51.179276000000002</v>
      </c>
      <c r="AD808" s="89">
        <f t="shared" si="197"/>
        <v>96.508994999999999</v>
      </c>
      <c r="AE808" s="89">
        <f t="shared" si="198"/>
        <v>18819.254024999998</v>
      </c>
      <c r="AF808" s="90">
        <f t="shared" si="201"/>
        <v>8839.2952050000004</v>
      </c>
      <c r="AG808" s="93">
        <f t="shared" si="202"/>
        <v>0.88570457698541882</v>
      </c>
      <c r="AK808" s="90">
        <f t="shared" si="199"/>
        <v>142</v>
      </c>
      <c r="AL808" s="89">
        <f t="shared" si="200"/>
        <v>68.865979063380294</v>
      </c>
      <c r="AM808" s="89">
        <f t="shared" si="192"/>
        <v>96.508994999999999</v>
      </c>
      <c r="AN808" s="90">
        <f t="shared" si="193"/>
        <v>13704.27729</v>
      </c>
      <c r="AO808" s="93">
        <f t="shared" si="194"/>
        <v>0.40140307758027616</v>
      </c>
    </row>
    <row r="809" spans="2:41" x14ac:dyDescent="0.25">
      <c r="B809" s="91">
        <v>40522</v>
      </c>
      <c r="C809" s="89">
        <v>124.139999</v>
      </c>
      <c r="D809" s="89">
        <v>124.599998</v>
      </c>
      <c r="E809" s="89">
        <v>123.730003</v>
      </c>
      <c r="F809" s="89">
        <v>124.480003</v>
      </c>
      <c r="G809" s="89">
        <v>97.070457000000005</v>
      </c>
      <c r="H809" s="89">
        <v>117571700</v>
      </c>
      <c r="J809" s="89">
        <v>0</v>
      </c>
      <c r="K809" s="89">
        <f t="shared" si="211"/>
        <v>88</v>
      </c>
      <c r="L809" s="89">
        <f t="shared" si="212"/>
        <v>112.621376</v>
      </c>
      <c r="M809" s="89">
        <f>+SPY__2[[#This Row],[Adj Close]]</f>
        <v>97.070457000000005</v>
      </c>
      <c r="N809" s="89">
        <f t="shared" si="207"/>
        <v>8542.2002160000011</v>
      </c>
      <c r="O809" s="90">
        <f t="shared" si="208"/>
        <v>-1368.4808719999994</v>
      </c>
      <c r="P809" s="93">
        <f t="shared" si="209"/>
        <v>-0.13808141537890639</v>
      </c>
      <c r="Q809" s="96"/>
      <c r="R809" s="96"/>
      <c r="T809" s="90">
        <f t="shared" si="203"/>
        <v>95</v>
      </c>
      <c r="U809" s="89">
        <f t="shared" si="204"/>
        <v>103.31428490526316</v>
      </c>
      <c r="V809" s="89">
        <f t="shared" si="205"/>
        <v>97.070457000000005</v>
      </c>
      <c r="W809" s="90">
        <f t="shared" si="210"/>
        <v>9221.6934149999997</v>
      </c>
      <c r="X809" s="93">
        <f t="shared" si="206"/>
        <v>-6.0435281635919158E-2</v>
      </c>
      <c r="AB809" s="89">
        <f t="shared" si="195"/>
        <v>195</v>
      </c>
      <c r="AC809" s="89">
        <f t="shared" si="196"/>
        <v>51.179276000000002</v>
      </c>
      <c r="AD809" s="89">
        <f t="shared" si="197"/>
        <v>97.070457000000005</v>
      </c>
      <c r="AE809" s="89">
        <f t="shared" si="198"/>
        <v>18928.739115</v>
      </c>
      <c r="AF809" s="90">
        <f t="shared" si="201"/>
        <v>8948.7802950000005</v>
      </c>
      <c r="AG809" s="93">
        <f t="shared" si="202"/>
        <v>0.89667507215225162</v>
      </c>
      <c r="AK809" s="90">
        <f t="shared" si="199"/>
        <v>142</v>
      </c>
      <c r="AL809" s="89">
        <f t="shared" si="200"/>
        <v>68.865979063380294</v>
      </c>
      <c r="AM809" s="89">
        <f t="shared" si="192"/>
        <v>97.070457000000005</v>
      </c>
      <c r="AN809" s="90">
        <f t="shared" si="193"/>
        <v>13784.004894000002</v>
      </c>
      <c r="AO809" s="93">
        <f t="shared" si="194"/>
        <v>0.40955604378559607</v>
      </c>
    </row>
    <row r="810" spans="2:41" x14ac:dyDescent="0.25">
      <c r="B810" s="91">
        <v>40525</v>
      </c>
      <c r="C810" s="89">
        <v>125.050003</v>
      </c>
      <c r="D810" s="89">
        <v>125.199997</v>
      </c>
      <c r="E810" s="89">
        <v>124.519997</v>
      </c>
      <c r="F810" s="89">
        <v>124.55999799999999</v>
      </c>
      <c r="G810" s="89">
        <v>97.132796999999997</v>
      </c>
      <c r="H810" s="89">
        <v>133812700</v>
      </c>
      <c r="J810" s="89">
        <v>0</v>
      </c>
      <c r="K810" s="89">
        <f t="shared" si="211"/>
        <v>88</v>
      </c>
      <c r="L810" s="89">
        <f t="shared" si="212"/>
        <v>112.621376</v>
      </c>
      <c r="M810" s="89">
        <f>+SPY__2[[#This Row],[Adj Close]]</f>
        <v>97.132796999999997</v>
      </c>
      <c r="N810" s="89">
        <f t="shared" si="207"/>
        <v>8547.6861360000003</v>
      </c>
      <c r="O810" s="90">
        <f t="shared" si="208"/>
        <v>-1362.994952</v>
      </c>
      <c r="P810" s="93">
        <f t="shared" si="209"/>
        <v>-0.13752787925446763</v>
      </c>
      <c r="Q810" s="96"/>
      <c r="R810" s="96"/>
      <c r="T810" s="90">
        <f t="shared" si="203"/>
        <v>95</v>
      </c>
      <c r="U810" s="89">
        <f t="shared" si="204"/>
        <v>103.31428490526316</v>
      </c>
      <c r="V810" s="89">
        <f t="shared" si="205"/>
        <v>97.132796999999997</v>
      </c>
      <c r="W810" s="90">
        <f t="shared" si="210"/>
        <v>9227.6157149999999</v>
      </c>
      <c r="X810" s="93">
        <f t="shared" si="206"/>
        <v>-5.9831880082521494E-2</v>
      </c>
      <c r="AB810" s="89">
        <f t="shared" si="195"/>
        <v>195</v>
      </c>
      <c r="AC810" s="89">
        <f t="shared" si="196"/>
        <v>51.179276000000002</v>
      </c>
      <c r="AD810" s="89">
        <f t="shared" si="197"/>
        <v>97.132796999999997</v>
      </c>
      <c r="AE810" s="89">
        <f t="shared" si="198"/>
        <v>18940.895414999999</v>
      </c>
      <c r="AF810" s="90">
        <f t="shared" si="201"/>
        <v>8960.9365949999992</v>
      </c>
      <c r="AG810" s="93">
        <f t="shared" si="202"/>
        <v>0.89789314331058523</v>
      </c>
      <c r="AK810" s="90">
        <f t="shared" si="199"/>
        <v>142</v>
      </c>
      <c r="AL810" s="89">
        <f t="shared" si="200"/>
        <v>68.865979063380294</v>
      </c>
      <c r="AM810" s="89">
        <f t="shared" si="192"/>
        <v>97.132796999999997</v>
      </c>
      <c r="AN810" s="90">
        <f t="shared" si="193"/>
        <v>13792.857173999999</v>
      </c>
      <c r="AO810" s="93">
        <f t="shared" si="194"/>
        <v>0.41046128031672291</v>
      </c>
    </row>
    <row r="811" spans="2:41" x14ac:dyDescent="0.25">
      <c r="B811" s="91">
        <v>40526</v>
      </c>
      <c r="C811" s="89">
        <v>124.75</v>
      </c>
      <c r="D811" s="89">
        <v>125.230003</v>
      </c>
      <c r="E811" s="89">
        <v>124.290001</v>
      </c>
      <c r="F811" s="89">
        <v>124.66999800000001</v>
      </c>
      <c r="G811" s="89">
        <v>97.218627999999995</v>
      </c>
      <c r="H811" s="89">
        <v>147249600</v>
      </c>
      <c r="J811" s="89">
        <v>0</v>
      </c>
      <c r="K811" s="89">
        <f t="shared" si="211"/>
        <v>88</v>
      </c>
      <c r="L811" s="89">
        <f t="shared" si="212"/>
        <v>112.621376</v>
      </c>
      <c r="M811" s="89">
        <f>+SPY__2[[#This Row],[Adj Close]]</f>
        <v>97.218627999999995</v>
      </c>
      <c r="N811" s="89">
        <f t="shared" si="207"/>
        <v>8555.2392639999998</v>
      </c>
      <c r="O811" s="90">
        <f t="shared" si="208"/>
        <v>-1355.4418240000002</v>
      </c>
      <c r="P811" s="93">
        <f t="shared" si="209"/>
        <v>-0.13676575928179036</v>
      </c>
      <c r="Q811" s="96"/>
      <c r="R811" s="96"/>
      <c r="T811" s="90">
        <f t="shared" si="203"/>
        <v>95</v>
      </c>
      <c r="U811" s="89">
        <f t="shared" si="204"/>
        <v>103.31428490526316</v>
      </c>
      <c r="V811" s="89">
        <f t="shared" si="205"/>
        <v>97.218627999999995</v>
      </c>
      <c r="W811" s="90">
        <f t="shared" si="210"/>
        <v>9235.7696599999999</v>
      </c>
      <c r="X811" s="93">
        <f t="shared" si="206"/>
        <v>-5.9001104356989353E-2</v>
      </c>
      <c r="AB811" s="89">
        <f t="shared" si="195"/>
        <v>195</v>
      </c>
      <c r="AC811" s="89">
        <f t="shared" si="196"/>
        <v>51.179276000000002</v>
      </c>
      <c r="AD811" s="89">
        <f t="shared" si="197"/>
        <v>97.218627999999995</v>
      </c>
      <c r="AE811" s="89">
        <f t="shared" si="198"/>
        <v>18957.632460000001</v>
      </c>
      <c r="AF811" s="90">
        <f t="shared" si="201"/>
        <v>8977.6736399999991</v>
      </c>
      <c r="AG811" s="93">
        <f t="shared" si="202"/>
        <v>0.89957020884781547</v>
      </c>
      <c r="AK811" s="90">
        <f t="shared" si="199"/>
        <v>142</v>
      </c>
      <c r="AL811" s="89">
        <f t="shared" si="200"/>
        <v>68.865979063380294</v>
      </c>
      <c r="AM811" s="89">
        <f t="shared" si="192"/>
        <v>97.218627999999995</v>
      </c>
      <c r="AN811" s="90">
        <f t="shared" si="193"/>
        <v>13805.045176</v>
      </c>
      <c r="AO811" s="93">
        <f t="shared" si="194"/>
        <v>0.4117076286757726</v>
      </c>
    </row>
    <row r="812" spans="2:41" x14ac:dyDescent="0.25">
      <c r="B812" s="91">
        <v>40527</v>
      </c>
      <c r="C812" s="89">
        <v>124.44000200000001</v>
      </c>
      <c r="D812" s="89">
        <v>124.93</v>
      </c>
      <c r="E812" s="89">
        <v>123.889999</v>
      </c>
      <c r="F812" s="89">
        <v>124.099998</v>
      </c>
      <c r="G812" s="89">
        <v>96.774139000000005</v>
      </c>
      <c r="H812" s="89">
        <v>160823100</v>
      </c>
      <c r="J812" s="89">
        <v>0</v>
      </c>
      <c r="K812" s="89">
        <f t="shared" si="211"/>
        <v>88</v>
      </c>
      <c r="L812" s="89">
        <f t="shared" si="212"/>
        <v>112.621376</v>
      </c>
      <c r="M812" s="89">
        <f>+SPY__2[[#This Row],[Adj Close]]</f>
        <v>96.774139000000005</v>
      </c>
      <c r="N812" s="89">
        <f t="shared" si="207"/>
        <v>8516.1242320000001</v>
      </c>
      <c r="O812" s="90">
        <f t="shared" si="208"/>
        <v>-1394.5568559999992</v>
      </c>
      <c r="P812" s="93">
        <f t="shared" si="209"/>
        <v>-0.14071251446972188</v>
      </c>
      <c r="Q812" s="96"/>
      <c r="R812" s="96"/>
      <c r="T812" s="90">
        <f t="shared" si="203"/>
        <v>95</v>
      </c>
      <c r="U812" s="89">
        <f t="shared" si="204"/>
        <v>103.31428490526316</v>
      </c>
      <c r="V812" s="89">
        <f t="shared" si="205"/>
        <v>96.774139000000005</v>
      </c>
      <c r="W812" s="90">
        <f t="shared" si="210"/>
        <v>9193.5432049999999</v>
      </c>
      <c r="X812" s="93">
        <f t="shared" si="206"/>
        <v>-6.3303403892891796E-2</v>
      </c>
      <c r="AB812" s="89">
        <f t="shared" si="195"/>
        <v>195</v>
      </c>
      <c r="AC812" s="89">
        <f t="shared" si="196"/>
        <v>51.179276000000002</v>
      </c>
      <c r="AD812" s="89">
        <f t="shared" si="197"/>
        <v>96.774139000000005</v>
      </c>
      <c r="AE812" s="89">
        <f t="shared" si="198"/>
        <v>18870.957105000001</v>
      </c>
      <c r="AF812" s="90">
        <f t="shared" si="201"/>
        <v>8890.9982850000015</v>
      </c>
      <c r="AG812" s="93">
        <f t="shared" si="202"/>
        <v>0.89088526770093424</v>
      </c>
      <c r="AK812" s="90">
        <f t="shared" si="199"/>
        <v>142</v>
      </c>
      <c r="AL812" s="89">
        <f t="shared" si="200"/>
        <v>68.865979063380294</v>
      </c>
      <c r="AM812" s="89">
        <f t="shared" si="192"/>
        <v>96.774139000000005</v>
      </c>
      <c r="AN812" s="90">
        <f t="shared" si="193"/>
        <v>13741.927738</v>
      </c>
      <c r="AO812" s="93">
        <f t="shared" si="194"/>
        <v>0.40525322250823792</v>
      </c>
    </row>
    <row r="813" spans="2:41" x14ac:dyDescent="0.25">
      <c r="B813" s="91">
        <v>40528</v>
      </c>
      <c r="C813" s="89">
        <v>124.18</v>
      </c>
      <c r="D813" s="89">
        <v>124.910004</v>
      </c>
      <c r="E813" s="89">
        <v>123.75</v>
      </c>
      <c r="F813" s="89">
        <v>124.82</v>
      </c>
      <c r="G813" s="89">
        <v>97.335601999999994</v>
      </c>
      <c r="H813" s="89">
        <v>185035200</v>
      </c>
      <c r="J813" s="89">
        <v>0</v>
      </c>
      <c r="K813" s="89">
        <f t="shared" si="211"/>
        <v>88</v>
      </c>
      <c r="L813" s="89">
        <f t="shared" si="212"/>
        <v>112.621376</v>
      </c>
      <c r="M813" s="89">
        <f>+SPY__2[[#This Row],[Adj Close]]</f>
        <v>97.335601999999994</v>
      </c>
      <c r="N813" s="89">
        <f t="shared" si="207"/>
        <v>8565.5329759999986</v>
      </c>
      <c r="O813" s="90">
        <f t="shared" si="208"/>
        <v>-1345.1481120000003</v>
      </c>
      <c r="P813" s="93">
        <f t="shared" si="209"/>
        <v>-0.13572711098823731</v>
      </c>
      <c r="Q813" s="96"/>
      <c r="R813" s="96"/>
      <c r="T813" s="90">
        <f t="shared" si="203"/>
        <v>95</v>
      </c>
      <c r="U813" s="89">
        <f t="shared" si="204"/>
        <v>103.31428490526316</v>
      </c>
      <c r="V813" s="89">
        <f t="shared" si="205"/>
        <v>97.335601999999994</v>
      </c>
      <c r="W813" s="90">
        <f t="shared" si="210"/>
        <v>9246.8821900000003</v>
      </c>
      <c r="X813" s="93">
        <f t="shared" si="206"/>
        <v>-5.7868889193256057E-2</v>
      </c>
      <c r="AB813" s="89">
        <f t="shared" si="195"/>
        <v>195</v>
      </c>
      <c r="AC813" s="89">
        <f t="shared" si="196"/>
        <v>51.179276000000002</v>
      </c>
      <c r="AD813" s="89">
        <f t="shared" si="197"/>
        <v>97.335601999999994</v>
      </c>
      <c r="AE813" s="89">
        <f t="shared" si="198"/>
        <v>18980.44239</v>
      </c>
      <c r="AF813" s="90">
        <f t="shared" si="201"/>
        <v>9000.4835699999985</v>
      </c>
      <c r="AG813" s="93">
        <f t="shared" si="202"/>
        <v>0.90185578240692554</v>
      </c>
      <c r="AK813" s="90">
        <f t="shared" si="199"/>
        <v>142</v>
      </c>
      <c r="AL813" s="89">
        <f t="shared" si="200"/>
        <v>68.865979063380294</v>
      </c>
      <c r="AM813" s="89">
        <f t="shared" ref="AM813:AM876" si="213">+AD813</f>
        <v>97.335601999999994</v>
      </c>
      <c r="AN813" s="90">
        <f t="shared" ref="AN813:AN876" si="214">+AM813*AK813</f>
        <v>13821.655483999999</v>
      </c>
      <c r="AO813" s="93">
        <f t="shared" ref="AO813:AO876" si="215">+AN813/(AL813*AK813)-1</f>
        <v>0.41340620323451582</v>
      </c>
    </row>
    <row r="814" spans="2:41" x14ac:dyDescent="0.25">
      <c r="B814" s="91">
        <v>40529</v>
      </c>
      <c r="C814" s="89">
        <v>124.08000199999999</v>
      </c>
      <c r="D814" s="89">
        <v>124.459999</v>
      </c>
      <c r="E814" s="89">
        <v>123.82</v>
      </c>
      <c r="F814" s="89">
        <v>124.300003</v>
      </c>
      <c r="G814" s="89">
        <v>97.439864999999998</v>
      </c>
      <c r="H814" s="89">
        <v>141075300</v>
      </c>
      <c r="J814" s="89">
        <v>0</v>
      </c>
      <c r="K814" s="89">
        <f t="shared" si="211"/>
        <v>88</v>
      </c>
      <c r="L814" s="89">
        <f t="shared" si="212"/>
        <v>112.621376</v>
      </c>
      <c r="M814" s="89">
        <f>+SPY__2[[#This Row],[Adj Close]]</f>
        <v>97.439864999999998</v>
      </c>
      <c r="N814" s="89">
        <f t="shared" si="207"/>
        <v>8574.7081199999993</v>
      </c>
      <c r="O814" s="90">
        <f t="shared" si="208"/>
        <v>-1335.972968</v>
      </c>
      <c r="P814" s="93">
        <f t="shared" si="209"/>
        <v>-0.1348013275916643</v>
      </c>
      <c r="Q814" s="96"/>
      <c r="R814" s="96"/>
      <c r="T814" s="90">
        <f t="shared" si="203"/>
        <v>95</v>
      </c>
      <c r="U814" s="89">
        <f t="shared" si="204"/>
        <v>103.31428490526316</v>
      </c>
      <c r="V814" s="89">
        <f t="shared" si="205"/>
        <v>97.439864999999998</v>
      </c>
      <c r="W814" s="90">
        <f t="shared" si="210"/>
        <v>9256.7871749999995</v>
      </c>
      <c r="X814" s="93">
        <f t="shared" si="206"/>
        <v>-5.6859706386680919E-2</v>
      </c>
      <c r="AB814" s="89">
        <f t="shared" ref="AB814:AB877" si="216">+AB813</f>
        <v>195</v>
      </c>
      <c r="AC814" s="89">
        <f t="shared" ref="AC814:AC877" si="217">+AC813</f>
        <v>51.179276000000002</v>
      </c>
      <c r="AD814" s="89">
        <f t="shared" ref="AD814:AD877" si="218">+V814</f>
        <v>97.439864999999998</v>
      </c>
      <c r="AE814" s="89">
        <f t="shared" ref="AE814:AE877" si="219">+AB814*AD814</f>
        <v>19000.773675</v>
      </c>
      <c r="AF814" s="90">
        <f t="shared" si="201"/>
        <v>9020.8148549999987</v>
      </c>
      <c r="AG814" s="93">
        <f t="shared" si="202"/>
        <v>0.90389299371878562</v>
      </c>
      <c r="AK814" s="90">
        <f t="shared" ref="AK814:AK877" si="220">+AK813</f>
        <v>142</v>
      </c>
      <c r="AL814" s="89">
        <f t="shared" ref="AL814:AL877" si="221">+AL813</f>
        <v>68.865979063380294</v>
      </c>
      <c r="AM814" s="89">
        <f t="shared" si="213"/>
        <v>97.439864999999998</v>
      </c>
      <c r="AN814" s="90">
        <f t="shared" si="214"/>
        <v>13836.46083</v>
      </c>
      <c r="AO814" s="93">
        <f t="shared" si="215"/>
        <v>0.41492020189420309</v>
      </c>
    </row>
    <row r="815" spans="2:41" x14ac:dyDescent="0.25">
      <c r="B815" s="91">
        <v>40532</v>
      </c>
      <c r="C815" s="89">
        <v>124.639999</v>
      </c>
      <c r="D815" s="89">
        <v>124.900002</v>
      </c>
      <c r="E815" s="89">
        <v>123.980003</v>
      </c>
      <c r="F815" s="89">
        <v>124.599998</v>
      </c>
      <c r="G815" s="89">
        <v>97.675040999999993</v>
      </c>
      <c r="H815" s="89">
        <v>119085500</v>
      </c>
      <c r="J815" s="89">
        <v>0</v>
      </c>
      <c r="K815" s="89">
        <f t="shared" si="211"/>
        <v>88</v>
      </c>
      <c r="L815" s="89">
        <f t="shared" si="212"/>
        <v>112.621376</v>
      </c>
      <c r="M815" s="89">
        <f>+SPY__2[[#This Row],[Adj Close]]</f>
        <v>97.675040999999993</v>
      </c>
      <c r="N815" s="89">
        <f t="shared" si="207"/>
        <v>8595.4036079999987</v>
      </c>
      <c r="O815" s="90">
        <f t="shared" si="208"/>
        <v>-1315.2774800000004</v>
      </c>
      <c r="P815" s="93">
        <f t="shared" si="209"/>
        <v>-0.13271312721307904</v>
      </c>
      <c r="Q815" s="96"/>
      <c r="R815" s="96"/>
      <c r="T815" s="90">
        <f t="shared" si="203"/>
        <v>95</v>
      </c>
      <c r="U815" s="89">
        <f t="shared" si="204"/>
        <v>103.31428490526316</v>
      </c>
      <c r="V815" s="89">
        <f t="shared" si="205"/>
        <v>97.675040999999993</v>
      </c>
      <c r="W815" s="90">
        <f t="shared" si="210"/>
        <v>9279.1288949999998</v>
      </c>
      <c r="X815" s="93">
        <f t="shared" si="206"/>
        <v>-5.4583389997174381E-2</v>
      </c>
      <c r="AB815" s="89">
        <f t="shared" si="216"/>
        <v>195</v>
      </c>
      <c r="AC815" s="89">
        <f t="shared" si="217"/>
        <v>51.179276000000002</v>
      </c>
      <c r="AD815" s="89">
        <f t="shared" si="218"/>
        <v>97.675040999999993</v>
      </c>
      <c r="AE815" s="89">
        <f t="shared" si="219"/>
        <v>19046.632995</v>
      </c>
      <c r="AF815" s="90">
        <f t="shared" si="201"/>
        <v>9066.6741749999983</v>
      </c>
      <c r="AG815" s="93">
        <f t="shared" si="202"/>
        <v>0.9084881349239875</v>
      </c>
      <c r="AK815" s="90">
        <f t="shared" si="220"/>
        <v>142</v>
      </c>
      <c r="AL815" s="89">
        <f t="shared" si="221"/>
        <v>68.865979063380294</v>
      </c>
      <c r="AM815" s="89">
        <f t="shared" si="213"/>
        <v>97.675040999999993</v>
      </c>
      <c r="AN815" s="90">
        <f t="shared" si="214"/>
        <v>13869.855822</v>
      </c>
      <c r="AO815" s="93">
        <f t="shared" si="215"/>
        <v>0.41833518274829884</v>
      </c>
    </row>
    <row r="816" spans="2:41" x14ac:dyDescent="0.25">
      <c r="B816" s="91">
        <v>40533</v>
      </c>
      <c r="C816" s="89">
        <v>124.989998</v>
      </c>
      <c r="D816" s="89">
        <v>125.470001</v>
      </c>
      <c r="E816" s="89">
        <v>124.870003</v>
      </c>
      <c r="F816" s="89">
        <v>125.389999</v>
      </c>
      <c r="G816" s="89">
        <v>98.294312000000005</v>
      </c>
      <c r="H816" s="89">
        <v>94965500</v>
      </c>
      <c r="J816" s="89">
        <v>0</v>
      </c>
      <c r="K816" s="89">
        <f t="shared" si="211"/>
        <v>88</v>
      </c>
      <c r="L816" s="89">
        <f t="shared" si="212"/>
        <v>112.621376</v>
      </c>
      <c r="M816" s="89">
        <f>+SPY__2[[#This Row],[Adj Close]]</f>
        <v>98.294312000000005</v>
      </c>
      <c r="N816" s="89">
        <f t="shared" si="207"/>
        <v>8649.899456000001</v>
      </c>
      <c r="O816" s="90">
        <f t="shared" si="208"/>
        <v>-1260.7816319999993</v>
      </c>
      <c r="P816" s="93">
        <f t="shared" si="209"/>
        <v>-0.12721442863564369</v>
      </c>
      <c r="Q816" s="96"/>
      <c r="R816" s="96"/>
      <c r="T816" s="90">
        <f t="shared" si="203"/>
        <v>95</v>
      </c>
      <c r="U816" s="89">
        <f t="shared" si="204"/>
        <v>103.31428490526316</v>
      </c>
      <c r="V816" s="89">
        <f t="shared" si="205"/>
        <v>98.294312000000005</v>
      </c>
      <c r="W816" s="90">
        <f t="shared" si="210"/>
        <v>9337.9596400000009</v>
      </c>
      <c r="X816" s="93">
        <f t="shared" si="206"/>
        <v>-4.8589339894926975E-2</v>
      </c>
      <c r="AB816" s="89">
        <f t="shared" si="216"/>
        <v>195</v>
      </c>
      <c r="AC816" s="89">
        <f t="shared" si="217"/>
        <v>51.179276000000002</v>
      </c>
      <c r="AD816" s="89">
        <f t="shared" si="218"/>
        <v>98.294312000000005</v>
      </c>
      <c r="AE816" s="89">
        <f t="shared" si="219"/>
        <v>19167.39084</v>
      </c>
      <c r="AF816" s="90">
        <f t="shared" si="201"/>
        <v>9187.4320200000002</v>
      </c>
      <c r="AG816" s="93">
        <f t="shared" si="202"/>
        <v>0.92058816932072274</v>
      </c>
      <c r="AK816" s="90">
        <f t="shared" si="220"/>
        <v>142</v>
      </c>
      <c r="AL816" s="89">
        <f t="shared" si="221"/>
        <v>68.865979063380294</v>
      </c>
      <c r="AM816" s="89">
        <f t="shared" si="213"/>
        <v>98.294312000000005</v>
      </c>
      <c r="AN816" s="90">
        <f t="shared" si="214"/>
        <v>13957.792304000001</v>
      </c>
      <c r="AO816" s="93">
        <f t="shared" si="215"/>
        <v>0.42732759102336382</v>
      </c>
    </row>
    <row r="817" spans="2:41" x14ac:dyDescent="0.25">
      <c r="B817" s="91">
        <v>40534</v>
      </c>
      <c r="C817" s="89">
        <v>125.480003</v>
      </c>
      <c r="D817" s="89">
        <v>125.82</v>
      </c>
      <c r="E817" s="89">
        <v>125.410004</v>
      </c>
      <c r="F817" s="89">
        <v>125.779999</v>
      </c>
      <c r="G817" s="89">
        <v>98.600037</v>
      </c>
      <c r="H817" s="89">
        <v>78878100</v>
      </c>
      <c r="J817" s="89">
        <v>0</v>
      </c>
      <c r="K817" s="89">
        <f t="shared" si="211"/>
        <v>88</v>
      </c>
      <c r="L817" s="89">
        <f t="shared" si="212"/>
        <v>112.621376</v>
      </c>
      <c r="M817" s="89">
        <f>+SPY__2[[#This Row],[Adj Close]]</f>
        <v>98.600037</v>
      </c>
      <c r="N817" s="89">
        <f t="shared" si="207"/>
        <v>8676.8032559999992</v>
      </c>
      <c r="O817" s="90">
        <f t="shared" si="208"/>
        <v>-1233.8778319999997</v>
      </c>
      <c r="P817" s="93">
        <f t="shared" si="209"/>
        <v>-0.1244998018848571</v>
      </c>
      <c r="Q817" s="96"/>
      <c r="R817" s="96"/>
      <c r="T817" s="90">
        <f t="shared" si="203"/>
        <v>95</v>
      </c>
      <c r="U817" s="89">
        <f t="shared" si="204"/>
        <v>103.31428490526316</v>
      </c>
      <c r="V817" s="89">
        <f t="shared" si="205"/>
        <v>98.600037</v>
      </c>
      <c r="W817" s="90">
        <f t="shared" si="210"/>
        <v>9367.0035150000003</v>
      </c>
      <c r="X817" s="93">
        <f t="shared" si="206"/>
        <v>-4.563016536954223E-2</v>
      </c>
      <c r="AB817" s="89">
        <f t="shared" si="216"/>
        <v>195</v>
      </c>
      <c r="AC817" s="89">
        <f t="shared" si="217"/>
        <v>51.179276000000002</v>
      </c>
      <c r="AD817" s="89">
        <f t="shared" si="218"/>
        <v>98.600037</v>
      </c>
      <c r="AE817" s="89">
        <f t="shared" si="219"/>
        <v>19227.007215000001</v>
      </c>
      <c r="AF817" s="90">
        <f t="shared" si="201"/>
        <v>9247.0483949999998</v>
      </c>
      <c r="AG817" s="93">
        <f t="shared" si="202"/>
        <v>0.92656177863868172</v>
      </c>
      <c r="AK817" s="90">
        <f t="shared" si="220"/>
        <v>142</v>
      </c>
      <c r="AL817" s="89">
        <f t="shared" si="221"/>
        <v>68.865979063380294</v>
      </c>
      <c r="AM817" s="89">
        <f t="shared" si="213"/>
        <v>98.600037</v>
      </c>
      <c r="AN817" s="90">
        <f t="shared" si="214"/>
        <v>14001.205254</v>
      </c>
      <c r="AO817" s="93">
        <f t="shared" si="215"/>
        <v>0.43176701095404746</v>
      </c>
    </row>
    <row r="818" spans="2:41" x14ac:dyDescent="0.25">
      <c r="B818" s="91">
        <v>40535</v>
      </c>
      <c r="C818" s="89">
        <v>125.639999</v>
      </c>
      <c r="D818" s="89">
        <v>125.779999</v>
      </c>
      <c r="E818" s="89">
        <v>125.290001</v>
      </c>
      <c r="F818" s="89">
        <v>125.599998</v>
      </c>
      <c r="G818" s="89">
        <v>98.458907999999994</v>
      </c>
      <c r="H818" s="89">
        <v>70053700</v>
      </c>
      <c r="J818" s="89">
        <v>0</v>
      </c>
      <c r="K818" s="89">
        <f t="shared" si="211"/>
        <v>88</v>
      </c>
      <c r="L818" s="89">
        <f t="shared" si="212"/>
        <v>112.621376</v>
      </c>
      <c r="M818" s="89">
        <f>+SPY__2[[#This Row],[Adj Close]]</f>
        <v>98.458907999999994</v>
      </c>
      <c r="N818" s="89">
        <f t="shared" si="207"/>
        <v>8664.3839040000003</v>
      </c>
      <c r="O818" s="90">
        <f t="shared" si="208"/>
        <v>-1246.2971840000005</v>
      </c>
      <c r="P818" s="93">
        <f t="shared" si="209"/>
        <v>-0.12575292988783948</v>
      </c>
      <c r="Q818" s="96"/>
      <c r="R818" s="96"/>
      <c r="T818" s="90">
        <f t="shared" si="203"/>
        <v>95</v>
      </c>
      <c r="U818" s="89">
        <f t="shared" si="204"/>
        <v>103.31428490526316</v>
      </c>
      <c r="V818" s="89">
        <f t="shared" si="205"/>
        <v>98.458907999999994</v>
      </c>
      <c r="W818" s="90">
        <f t="shared" si="210"/>
        <v>9353.5962600000003</v>
      </c>
      <c r="X818" s="93">
        <f t="shared" si="206"/>
        <v>-4.6996181696610795E-2</v>
      </c>
      <c r="AB818" s="89">
        <f t="shared" si="216"/>
        <v>195</v>
      </c>
      <c r="AC818" s="89">
        <f t="shared" si="217"/>
        <v>51.179276000000002</v>
      </c>
      <c r="AD818" s="89">
        <f t="shared" si="218"/>
        <v>98.458907999999994</v>
      </c>
      <c r="AE818" s="89">
        <f t="shared" si="219"/>
        <v>19199.487059999999</v>
      </c>
      <c r="AF818" s="90">
        <f t="shared" ref="AF818:AF881" si="222">+(AD818-AC818)*AB818</f>
        <v>9219.5282399999978</v>
      </c>
      <c r="AG818" s="93">
        <f t="shared" ref="AG818:AG881" si="223">+AD818/AC818-1</f>
        <v>0.92380423669924494</v>
      </c>
      <c r="AK818" s="90">
        <f t="shared" si="220"/>
        <v>142</v>
      </c>
      <c r="AL818" s="89">
        <f t="shared" si="221"/>
        <v>68.865979063380294</v>
      </c>
      <c r="AM818" s="89">
        <f t="shared" si="213"/>
        <v>98.458907999999994</v>
      </c>
      <c r="AN818" s="90">
        <f t="shared" si="214"/>
        <v>13981.164935999999</v>
      </c>
      <c r="AO818" s="93">
        <f t="shared" si="215"/>
        <v>0.42971768265116905</v>
      </c>
    </row>
    <row r="819" spans="2:41" x14ac:dyDescent="0.25">
      <c r="B819" s="91">
        <v>40539</v>
      </c>
      <c r="C819" s="89">
        <v>125.129997</v>
      </c>
      <c r="D819" s="89">
        <v>125.769997</v>
      </c>
      <c r="E819" s="89">
        <v>125.040001</v>
      </c>
      <c r="F819" s="89">
        <v>125.650002</v>
      </c>
      <c r="G819" s="89">
        <v>98.498137999999997</v>
      </c>
      <c r="H819" s="89">
        <v>58126000</v>
      </c>
      <c r="J819" s="89">
        <v>0</v>
      </c>
      <c r="K819" s="89">
        <f t="shared" si="211"/>
        <v>88</v>
      </c>
      <c r="L819" s="89">
        <f t="shared" si="212"/>
        <v>112.621376</v>
      </c>
      <c r="M819" s="89">
        <f>+SPY__2[[#This Row],[Adj Close]]</f>
        <v>98.498137999999997</v>
      </c>
      <c r="N819" s="89">
        <f t="shared" si="207"/>
        <v>8667.836143999999</v>
      </c>
      <c r="O819" s="90">
        <f t="shared" si="208"/>
        <v>-1242.8449439999999</v>
      </c>
      <c r="P819" s="93">
        <f t="shared" si="209"/>
        <v>-0.12540459459490183</v>
      </c>
      <c r="Q819" s="96"/>
      <c r="R819" s="96"/>
      <c r="T819" s="90">
        <f t="shared" si="203"/>
        <v>95</v>
      </c>
      <c r="U819" s="89">
        <f t="shared" si="204"/>
        <v>103.31428490526316</v>
      </c>
      <c r="V819" s="89">
        <f t="shared" si="205"/>
        <v>98.498137999999997</v>
      </c>
      <c r="W819" s="90">
        <f t="shared" si="210"/>
        <v>9357.3231099999994</v>
      </c>
      <c r="X819" s="93">
        <f t="shared" si="206"/>
        <v>-4.6616466538770163E-2</v>
      </c>
      <c r="AB819" s="89">
        <f t="shared" si="216"/>
        <v>195</v>
      </c>
      <c r="AC819" s="89">
        <f t="shared" si="217"/>
        <v>51.179276000000002</v>
      </c>
      <c r="AD819" s="89">
        <f t="shared" si="218"/>
        <v>98.498137999999997</v>
      </c>
      <c r="AE819" s="89">
        <f t="shared" si="219"/>
        <v>19207.136910000001</v>
      </c>
      <c r="AF819" s="90">
        <f t="shared" si="222"/>
        <v>9227.1780899999994</v>
      </c>
      <c r="AG819" s="93">
        <f t="shared" si="223"/>
        <v>0.92457075789817722</v>
      </c>
      <c r="AK819" s="90">
        <f t="shared" si="220"/>
        <v>142</v>
      </c>
      <c r="AL819" s="89">
        <f t="shared" si="221"/>
        <v>68.865979063380294</v>
      </c>
      <c r="AM819" s="89">
        <f t="shared" si="213"/>
        <v>98.498137999999997</v>
      </c>
      <c r="AN819" s="90">
        <f t="shared" si="214"/>
        <v>13986.735596</v>
      </c>
      <c r="AO819" s="93">
        <f t="shared" si="215"/>
        <v>0.43028733983942891</v>
      </c>
    </row>
    <row r="820" spans="2:41" x14ac:dyDescent="0.25">
      <c r="B820" s="91">
        <v>40540</v>
      </c>
      <c r="C820" s="89">
        <v>125.900002</v>
      </c>
      <c r="D820" s="89">
        <v>125.949997</v>
      </c>
      <c r="E820" s="89">
        <v>125.5</v>
      </c>
      <c r="F820" s="89">
        <v>125.83000199999999</v>
      </c>
      <c r="G820" s="89">
        <v>98.639244000000005</v>
      </c>
      <c r="H820" s="89">
        <v>55309100</v>
      </c>
      <c r="J820" s="89">
        <v>0</v>
      </c>
      <c r="K820" s="89">
        <f t="shared" si="211"/>
        <v>88</v>
      </c>
      <c r="L820" s="89">
        <f t="shared" si="212"/>
        <v>112.621376</v>
      </c>
      <c r="M820" s="89">
        <f>+SPY__2[[#This Row],[Adj Close]]</f>
        <v>98.639244000000005</v>
      </c>
      <c r="N820" s="89">
        <f t="shared" si="207"/>
        <v>8680.2534720000003</v>
      </c>
      <c r="O820" s="90">
        <f t="shared" si="208"/>
        <v>-1230.4276159999995</v>
      </c>
      <c r="P820" s="93">
        <f t="shared" si="209"/>
        <v>-0.12415167081602696</v>
      </c>
      <c r="Q820" s="96"/>
      <c r="R820" s="96"/>
      <c r="T820" s="90">
        <f t="shared" si="203"/>
        <v>95</v>
      </c>
      <c r="U820" s="89">
        <f t="shared" si="204"/>
        <v>103.31428490526316</v>
      </c>
      <c r="V820" s="89">
        <f t="shared" si="205"/>
        <v>98.639244000000005</v>
      </c>
      <c r="W820" s="90">
        <f t="shared" si="210"/>
        <v>9370.7281800000001</v>
      </c>
      <c r="X820" s="93">
        <f t="shared" si="206"/>
        <v>-4.5250672833384686E-2</v>
      </c>
      <c r="AB820" s="89">
        <f t="shared" si="216"/>
        <v>195</v>
      </c>
      <c r="AC820" s="89">
        <f t="shared" si="217"/>
        <v>51.179276000000002</v>
      </c>
      <c r="AD820" s="89">
        <f t="shared" si="218"/>
        <v>98.639244000000005</v>
      </c>
      <c r="AE820" s="89">
        <f t="shared" si="219"/>
        <v>19234.652580000002</v>
      </c>
      <c r="AF820" s="90">
        <f t="shared" si="222"/>
        <v>9254.6937600000001</v>
      </c>
      <c r="AG820" s="93">
        <f t="shared" si="223"/>
        <v>0.92732785043696198</v>
      </c>
      <c r="AK820" s="90">
        <f t="shared" si="220"/>
        <v>142</v>
      </c>
      <c r="AL820" s="89">
        <f t="shared" si="221"/>
        <v>68.865979063380294</v>
      </c>
      <c r="AM820" s="89">
        <f t="shared" si="213"/>
        <v>98.639244000000005</v>
      </c>
      <c r="AN820" s="90">
        <f t="shared" si="214"/>
        <v>14006.772648</v>
      </c>
      <c r="AO820" s="93">
        <f t="shared" si="215"/>
        <v>0.43233633416026973</v>
      </c>
    </row>
    <row r="821" spans="2:41" x14ac:dyDescent="0.25">
      <c r="B821" s="91">
        <v>40541</v>
      </c>
      <c r="C821" s="89">
        <v>125.980003</v>
      </c>
      <c r="D821" s="89">
        <v>126.199997</v>
      </c>
      <c r="E821" s="89">
        <v>125.900002</v>
      </c>
      <c r="F821" s="89">
        <v>125.91999800000001</v>
      </c>
      <c r="G821" s="89">
        <v>98.709770000000006</v>
      </c>
      <c r="H821" s="89">
        <v>58033100</v>
      </c>
      <c r="J821" s="89">
        <v>0</v>
      </c>
      <c r="K821" s="89">
        <f t="shared" si="211"/>
        <v>88</v>
      </c>
      <c r="L821" s="89">
        <f t="shared" si="212"/>
        <v>112.621376</v>
      </c>
      <c r="M821" s="89">
        <f>+SPY__2[[#This Row],[Adj Close]]</f>
        <v>98.709770000000006</v>
      </c>
      <c r="N821" s="89">
        <f t="shared" si="207"/>
        <v>8686.4597599999997</v>
      </c>
      <c r="O821" s="90">
        <f t="shared" si="208"/>
        <v>-1224.2213279999992</v>
      </c>
      <c r="P821" s="93">
        <f t="shared" si="209"/>
        <v>-0.12352544866793314</v>
      </c>
      <c r="Q821" s="96"/>
      <c r="R821" s="96"/>
      <c r="T821" s="90">
        <f t="shared" si="203"/>
        <v>95</v>
      </c>
      <c r="U821" s="89">
        <f t="shared" si="204"/>
        <v>103.31428490526316</v>
      </c>
      <c r="V821" s="89">
        <f t="shared" si="205"/>
        <v>98.709770000000006</v>
      </c>
      <c r="W821" s="90">
        <f t="shared" si="210"/>
        <v>9377.4281499999997</v>
      </c>
      <c r="X821" s="93">
        <f t="shared" si="206"/>
        <v>-4.4568037319189679E-2</v>
      </c>
      <c r="AB821" s="89">
        <f t="shared" si="216"/>
        <v>195</v>
      </c>
      <c r="AC821" s="89">
        <f t="shared" si="217"/>
        <v>51.179276000000002</v>
      </c>
      <c r="AD821" s="89">
        <f t="shared" si="218"/>
        <v>98.709770000000006</v>
      </c>
      <c r="AE821" s="89">
        <f t="shared" si="219"/>
        <v>19248.405150000002</v>
      </c>
      <c r="AF821" s="90">
        <f t="shared" si="222"/>
        <v>9268.4463300000007</v>
      </c>
      <c r="AG821" s="93">
        <f t="shared" si="223"/>
        <v>0.92870586914906728</v>
      </c>
      <c r="AK821" s="90">
        <f t="shared" si="220"/>
        <v>142</v>
      </c>
      <c r="AL821" s="89">
        <f t="shared" si="221"/>
        <v>68.865979063380294</v>
      </c>
      <c r="AM821" s="89">
        <f t="shared" si="213"/>
        <v>98.709770000000006</v>
      </c>
      <c r="AN821" s="90">
        <f t="shared" si="214"/>
        <v>14016.787340000001</v>
      </c>
      <c r="AO821" s="93">
        <f t="shared" si="215"/>
        <v>0.43336043925482004</v>
      </c>
    </row>
    <row r="822" spans="2:41" x14ac:dyDescent="0.25">
      <c r="B822" s="91">
        <v>40542</v>
      </c>
      <c r="C822" s="89">
        <v>125.800003</v>
      </c>
      <c r="D822" s="89">
        <v>126.129997</v>
      </c>
      <c r="E822" s="89">
        <v>125.529999</v>
      </c>
      <c r="F822" s="89">
        <v>125.720001</v>
      </c>
      <c r="G822" s="89">
        <v>98.552986000000004</v>
      </c>
      <c r="H822" s="89">
        <v>76616900</v>
      </c>
      <c r="J822" s="89">
        <v>0</v>
      </c>
      <c r="K822" s="89">
        <f t="shared" si="211"/>
        <v>88</v>
      </c>
      <c r="L822" s="89">
        <f t="shared" si="212"/>
        <v>112.621376</v>
      </c>
      <c r="M822" s="89">
        <f>+SPY__2[[#This Row],[Adj Close]]</f>
        <v>98.552986000000004</v>
      </c>
      <c r="N822" s="89">
        <f t="shared" si="207"/>
        <v>8672.6627680000001</v>
      </c>
      <c r="O822" s="90">
        <f t="shared" si="208"/>
        <v>-1238.0183199999994</v>
      </c>
      <c r="P822" s="93">
        <f t="shared" si="209"/>
        <v>-0.12491758225365668</v>
      </c>
      <c r="Q822" s="96"/>
      <c r="R822" s="96"/>
      <c r="T822" s="90">
        <f t="shared" si="203"/>
        <v>95</v>
      </c>
      <c r="U822" s="89">
        <f t="shared" si="204"/>
        <v>103.31428490526316</v>
      </c>
      <c r="V822" s="89">
        <f t="shared" si="205"/>
        <v>98.552986000000004</v>
      </c>
      <c r="W822" s="90">
        <f t="shared" si="210"/>
        <v>9362.5336700000007</v>
      </c>
      <c r="X822" s="93">
        <f t="shared" si="206"/>
        <v>-4.6085581578860668E-2</v>
      </c>
      <c r="AB822" s="89">
        <f t="shared" si="216"/>
        <v>195</v>
      </c>
      <c r="AC822" s="89">
        <f t="shared" si="217"/>
        <v>51.179276000000002</v>
      </c>
      <c r="AD822" s="89">
        <f t="shared" si="218"/>
        <v>98.552986000000004</v>
      </c>
      <c r="AE822" s="89">
        <f t="shared" si="219"/>
        <v>19217.832270000003</v>
      </c>
      <c r="AF822" s="90">
        <f t="shared" si="222"/>
        <v>9237.873450000001</v>
      </c>
      <c r="AG822" s="93">
        <f t="shared" si="223"/>
        <v>0.92564244167893261</v>
      </c>
      <c r="AK822" s="90">
        <f t="shared" si="220"/>
        <v>142</v>
      </c>
      <c r="AL822" s="89">
        <f t="shared" si="221"/>
        <v>68.865979063380294</v>
      </c>
      <c r="AM822" s="89">
        <f t="shared" si="213"/>
        <v>98.552986000000004</v>
      </c>
      <c r="AN822" s="90">
        <f t="shared" si="214"/>
        <v>13994.524012</v>
      </c>
      <c r="AO822" s="93">
        <f t="shared" si="215"/>
        <v>0.43108378535208947</v>
      </c>
    </row>
    <row r="823" spans="2:41" x14ac:dyDescent="0.25">
      <c r="B823" s="91">
        <v>40543</v>
      </c>
      <c r="C823" s="89">
        <v>125.529999</v>
      </c>
      <c r="D823" s="89">
        <v>125.870003</v>
      </c>
      <c r="E823" s="89">
        <v>125.33000199999999</v>
      </c>
      <c r="F823" s="89">
        <v>125.75</v>
      </c>
      <c r="G823" s="89">
        <v>98.576522999999995</v>
      </c>
      <c r="H823" s="89">
        <v>91218900</v>
      </c>
      <c r="J823" s="89">
        <v>0</v>
      </c>
      <c r="K823" s="89">
        <f t="shared" si="211"/>
        <v>88</v>
      </c>
      <c r="L823" s="89">
        <f t="shared" si="212"/>
        <v>112.621376</v>
      </c>
      <c r="M823" s="89">
        <f>+SPY__2[[#This Row],[Adj Close]]</f>
        <v>98.576522999999995</v>
      </c>
      <c r="N823" s="89">
        <f t="shared" si="207"/>
        <v>8674.7340239999994</v>
      </c>
      <c r="O823" s="90">
        <f t="shared" si="208"/>
        <v>-1235.9470640000004</v>
      </c>
      <c r="P823" s="93">
        <f t="shared" si="209"/>
        <v>-0.12470858995720313</v>
      </c>
      <c r="Q823" s="96"/>
      <c r="R823" s="96"/>
      <c r="T823" s="90">
        <f t="shared" si="203"/>
        <v>95</v>
      </c>
      <c r="U823" s="89">
        <f t="shared" si="204"/>
        <v>103.31428490526316</v>
      </c>
      <c r="V823" s="89">
        <f t="shared" si="205"/>
        <v>98.576522999999995</v>
      </c>
      <c r="W823" s="90">
        <f t="shared" si="210"/>
        <v>9364.7696849999993</v>
      </c>
      <c r="X823" s="93">
        <f t="shared" si="206"/>
        <v>-4.5857762163360016E-2</v>
      </c>
      <c r="AB823" s="89">
        <f t="shared" si="216"/>
        <v>195</v>
      </c>
      <c r="AC823" s="89">
        <f t="shared" si="217"/>
        <v>51.179276000000002</v>
      </c>
      <c r="AD823" s="89">
        <f t="shared" si="218"/>
        <v>98.576522999999995</v>
      </c>
      <c r="AE823" s="89">
        <f t="shared" si="219"/>
        <v>19222.421984999997</v>
      </c>
      <c r="AF823" s="90">
        <f t="shared" si="222"/>
        <v>9242.4631649999992</v>
      </c>
      <c r="AG823" s="93">
        <f t="shared" si="223"/>
        <v>0.92610233485913307</v>
      </c>
      <c r="AK823" s="90">
        <f t="shared" si="220"/>
        <v>142</v>
      </c>
      <c r="AL823" s="89">
        <f t="shared" si="221"/>
        <v>68.865979063380294</v>
      </c>
      <c r="AM823" s="89">
        <f t="shared" si="213"/>
        <v>98.576522999999995</v>
      </c>
      <c r="AN823" s="90">
        <f t="shared" si="214"/>
        <v>13997.866265999999</v>
      </c>
      <c r="AO823" s="93">
        <f t="shared" si="215"/>
        <v>0.43142556514408703</v>
      </c>
    </row>
    <row r="824" spans="2:41" x14ac:dyDescent="0.25">
      <c r="B824" s="91">
        <v>40546</v>
      </c>
      <c r="C824" s="89">
        <v>126.709999</v>
      </c>
      <c r="D824" s="89">
        <v>127.599998</v>
      </c>
      <c r="E824" s="89">
        <v>125.699997</v>
      </c>
      <c r="F824" s="89">
        <v>127.050003</v>
      </c>
      <c r="G824" s="89">
        <v>99.595589000000004</v>
      </c>
      <c r="H824" s="89">
        <v>138725200</v>
      </c>
      <c r="J824" s="89">
        <v>0</v>
      </c>
      <c r="K824" s="89">
        <f t="shared" si="211"/>
        <v>88</v>
      </c>
      <c r="L824" s="89">
        <f t="shared" si="212"/>
        <v>112.621376</v>
      </c>
      <c r="M824" s="89">
        <f>+SPY__2[[#This Row],[Adj Close]]</f>
        <v>99.595589000000004</v>
      </c>
      <c r="N824" s="89">
        <f t="shared" si="207"/>
        <v>8764.4118319999998</v>
      </c>
      <c r="O824" s="90">
        <f t="shared" si="208"/>
        <v>-1146.2692559999996</v>
      </c>
      <c r="P824" s="93">
        <f t="shared" si="209"/>
        <v>-0.11565998802927069</v>
      </c>
      <c r="Q824" s="96"/>
      <c r="R824" s="96"/>
      <c r="T824" s="90">
        <f t="shared" si="203"/>
        <v>95</v>
      </c>
      <c r="U824" s="89">
        <f t="shared" si="204"/>
        <v>103.31428490526316</v>
      </c>
      <c r="V824" s="89">
        <f t="shared" si="205"/>
        <v>99.595589000000004</v>
      </c>
      <c r="W824" s="90">
        <f t="shared" si="210"/>
        <v>9461.5809550000013</v>
      </c>
      <c r="X824" s="93">
        <f t="shared" si="206"/>
        <v>-3.5994014851606471E-2</v>
      </c>
      <c r="AB824" s="89">
        <f t="shared" si="216"/>
        <v>195</v>
      </c>
      <c r="AC824" s="89">
        <f t="shared" si="217"/>
        <v>51.179276000000002</v>
      </c>
      <c r="AD824" s="89">
        <f t="shared" si="218"/>
        <v>99.595589000000004</v>
      </c>
      <c r="AE824" s="89">
        <f t="shared" si="219"/>
        <v>19421.139855000001</v>
      </c>
      <c r="AF824" s="90">
        <f t="shared" si="222"/>
        <v>9441.1810349999996</v>
      </c>
      <c r="AG824" s="93">
        <f t="shared" si="223"/>
        <v>0.94601402724024464</v>
      </c>
      <c r="AK824" s="90">
        <f t="shared" si="220"/>
        <v>142</v>
      </c>
      <c r="AL824" s="89">
        <f t="shared" si="221"/>
        <v>68.865979063380294</v>
      </c>
      <c r="AM824" s="89">
        <f t="shared" si="213"/>
        <v>99.595589000000004</v>
      </c>
      <c r="AN824" s="90">
        <f t="shared" si="214"/>
        <v>14142.573638</v>
      </c>
      <c r="AO824" s="93">
        <f t="shared" si="215"/>
        <v>0.44622337988309058</v>
      </c>
    </row>
    <row r="825" spans="2:41" x14ac:dyDescent="0.25">
      <c r="B825" s="91">
        <v>40547</v>
      </c>
      <c r="C825" s="89">
        <v>127.33000199999999</v>
      </c>
      <c r="D825" s="89">
        <v>127.370003</v>
      </c>
      <c r="E825" s="89">
        <v>126.19000200000001</v>
      </c>
      <c r="F825" s="89">
        <v>126.980003</v>
      </c>
      <c r="G825" s="89">
        <v>99.540717999999998</v>
      </c>
      <c r="H825" s="89">
        <v>137409700</v>
      </c>
      <c r="J825" s="89">
        <v>0</v>
      </c>
      <c r="K825" s="89">
        <f t="shared" si="211"/>
        <v>88</v>
      </c>
      <c r="L825" s="89">
        <f t="shared" si="212"/>
        <v>112.621376</v>
      </c>
      <c r="M825" s="89">
        <f>+SPY__2[[#This Row],[Adj Close]]</f>
        <v>99.540717999999998</v>
      </c>
      <c r="N825" s="89">
        <f t="shared" si="207"/>
        <v>8759.5831839999992</v>
      </c>
      <c r="O825" s="90">
        <f t="shared" si="208"/>
        <v>-1151.097904</v>
      </c>
      <c r="P825" s="93">
        <f t="shared" si="209"/>
        <v>-0.11614720459462335</v>
      </c>
      <c r="Q825" s="96"/>
      <c r="R825" s="96"/>
      <c r="T825" s="90">
        <f t="shared" si="203"/>
        <v>95</v>
      </c>
      <c r="U825" s="89">
        <f t="shared" si="204"/>
        <v>103.31428490526316</v>
      </c>
      <c r="V825" s="89">
        <f t="shared" si="205"/>
        <v>99.540717999999998</v>
      </c>
      <c r="W825" s="90">
        <f t="shared" si="210"/>
        <v>9456.3682100000005</v>
      </c>
      <c r="X825" s="93">
        <f t="shared" si="206"/>
        <v>-3.6525122433199164E-2</v>
      </c>
      <c r="AB825" s="89">
        <f t="shared" si="216"/>
        <v>195</v>
      </c>
      <c r="AC825" s="89">
        <f t="shared" si="217"/>
        <v>51.179276000000002</v>
      </c>
      <c r="AD825" s="89">
        <f t="shared" si="218"/>
        <v>99.540717999999998</v>
      </c>
      <c r="AE825" s="89">
        <f t="shared" si="219"/>
        <v>19410.440009999998</v>
      </c>
      <c r="AF825" s="90">
        <f t="shared" si="222"/>
        <v>9430.4811899999986</v>
      </c>
      <c r="AG825" s="93">
        <f t="shared" si="223"/>
        <v>0.94494189405883722</v>
      </c>
      <c r="AK825" s="90">
        <f t="shared" si="220"/>
        <v>142</v>
      </c>
      <c r="AL825" s="89">
        <f t="shared" si="221"/>
        <v>68.865979063380294</v>
      </c>
      <c r="AM825" s="89">
        <f t="shared" si="213"/>
        <v>99.540717999999998</v>
      </c>
      <c r="AN825" s="90">
        <f t="shared" si="214"/>
        <v>14134.781955999999</v>
      </c>
      <c r="AO825" s="93">
        <f t="shared" si="215"/>
        <v>0.44542660038839266</v>
      </c>
    </row>
    <row r="826" spans="2:41" x14ac:dyDescent="0.25">
      <c r="B826" s="91">
        <v>40548</v>
      </c>
      <c r="C826" s="89">
        <v>126.58000199999999</v>
      </c>
      <c r="D826" s="89">
        <v>127.720001</v>
      </c>
      <c r="E826" s="89">
        <v>126.459999</v>
      </c>
      <c r="F826" s="89">
        <v>127.639999</v>
      </c>
      <c r="G826" s="89">
        <v>100.058083</v>
      </c>
      <c r="H826" s="89">
        <v>133975300</v>
      </c>
      <c r="J826" s="89">
        <v>0</v>
      </c>
      <c r="K826" s="89">
        <f t="shared" si="211"/>
        <v>88</v>
      </c>
      <c r="L826" s="89">
        <f t="shared" si="212"/>
        <v>112.621376</v>
      </c>
      <c r="M826" s="89">
        <f>+SPY__2[[#This Row],[Adj Close]]</f>
        <v>100.058083</v>
      </c>
      <c r="N826" s="89">
        <f t="shared" si="207"/>
        <v>8805.111304</v>
      </c>
      <c r="O826" s="90">
        <f t="shared" si="208"/>
        <v>-1105.5697840000003</v>
      </c>
      <c r="P826" s="93">
        <f t="shared" si="209"/>
        <v>-0.11155336088239587</v>
      </c>
      <c r="Q826" s="96"/>
      <c r="R826" s="96"/>
      <c r="T826" s="90">
        <f t="shared" si="203"/>
        <v>95</v>
      </c>
      <c r="U826" s="89">
        <f t="shared" si="204"/>
        <v>103.31428490526316</v>
      </c>
      <c r="V826" s="89">
        <f t="shared" si="205"/>
        <v>100.058083</v>
      </c>
      <c r="W826" s="90">
        <f t="shared" si="210"/>
        <v>9505.5178849999993</v>
      </c>
      <c r="X826" s="93">
        <f t="shared" si="206"/>
        <v>-3.1517441254605094E-2</v>
      </c>
      <c r="AB826" s="89">
        <f t="shared" si="216"/>
        <v>195</v>
      </c>
      <c r="AC826" s="89">
        <f t="shared" si="217"/>
        <v>51.179276000000002</v>
      </c>
      <c r="AD826" s="89">
        <f t="shared" si="218"/>
        <v>100.058083</v>
      </c>
      <c r="AE826" s="89">
        <f t="shared" si="219"/>
        <v>19511.326184999998</v>
      </c>
      <c r="AF826" s="90">
        <f t="shared" si="222"/>
        <v>9531.3673649999982</v>
      </c>
      <c r="AG826" s="93">
        <f t="shared" si="223"/>
        <v>0.95505077094095658</v>
      </c>
      <c r="AK826" s="90">
        <f t="shared" si="220"/>
        <v>142</v>
      </c>
      <c r="AL826" s="89">
        <f t="shared" si="221"/>
        <v>68.865979063380294</v>
      </c>
      <c r="AM826" s="89">
        <f t="shared" si="213"/>
        <v>100.058083</v>
      </c>
      <c r="AN826" s="90">
        <f t="shared" si="214"/>
        <v>14208.247786</v>
      </c>
      <c r="AO826" s="93">
        <f t="shared" si="215"/>
        <v>0.45293923590213225</v>
      </c>
    </row>
    <row r="827" spans="2:41" x14ac:dyDescent="0.25">
      <c r="B827" s="91">
        <v>40549</v>
      </c>
      <c r="C827" s="89">
        <v>127.69000200000001</v>
      </c>
      <c r="D827" s="89">
        <v>127.83000199999999</v>
      </c>
      <c r="E827" s="89">
        <v>127.010002</v>
      </c>
      <c r="F827" s="89">
        <v>127.389999</v>
      </c>
      <c r="G827" s="89">
        <v>99.862121999999999</v>
      </c>
      <c r="H827" s="89">
        <v>122519000</v>
      </c>
      <c r="J827" s="89">
        <v>0</v>
      </c>
      <c r="K827" s="89">
        <f t="shared" si="211"/>
        <v>88</v>
      </c>
      <c r="L827" s="89">
        <f t="shared" si="212"/>
        <v>112.621376</v>
      </c>
      <c r="M827" s="89">
        <f>+SPY__2[[#This Row],[Adj Close]]</f>
        <v>99.862121999999999</v>
      </c>
      <c r="N827" s="89">
        <f t="shared" si="207"/>
        <v>8787.8667359999999</v>
      </c>
      <c r="O827" s="90">
        <f t="shared" si="208"/>
        <v>-1122.8143519999999</v>
      </c>
      <c r="P827" s="93">
        <f t="shared" si="209"/>
        <v>-0.11329335915767891</v>
      </c>
      <c r="Q827" s="96"/>
      <c r="R827" s="96"/>
      <c r="T827" s="90">
        <f t="shared" si="203"/>
        <v>95</v>
      </c>
      <c r="U827" s="89">
        <f t="shared" si="204"/>
        <v>103.31428490526316</v>
      </c>
      <c r="V827" s="89">
        <f t="shared" si="205"/>
        <v>99.862121999999999</v>
      </c>
      <c r="W827" s="90">
        <f t="shared" si="210"/>
        <v>9486.9015899999995</v>
      </c>
      <c r="X827" s="93">
        <f t="shared" si="206"/>
        <v>-3.3414187674325246E-2</v>
      </c>
      <c r="AB827" s="89">
        <f t="shared" si="216"/>
        <v>195</v>
      </c>
      <c r="AC827" s="89">
        <f t="shared" si="217"/>
        <v>51.179276000000002</v>
      </c>
      <c r="AD827" s="89">
        <f t="shared" si="218"/>
        <v>99.862121999999999</v>
      </c>
      <c r="AE827" s="89">
        <f t="shared" si="219"/>
        <v>19473.113789999999</v>
      </c>
      <c r="AF827" s="90">
        <f t="shared" si="222"/>
        <v>9493.1549699999996</v>
      </c>
      <c r="AG827" s="93">
        <f t="shared" si="223"/>
        <v>0.95122185784730506</v>
      </c>
      <c r="AK827" s="90">
        <f t="shared" si="220"/>
        <v>142</v>
      </c>
      <c r="AL827" s="89">
        <f t="shared" si="221"/>
        <v>68.865979063380294</v>
      </c>
      <c r="AM827" s="89">
        <f t="shared" si="213"/>
        <v>99.862121999999999</v>
      </c>
      <c r="AN827" s="90">
        <f t="shared" si="214"/>
        <v>14180.421323999999</v>
      </c>
      <c r="AO827" s="93">
        <f t="shared" si="215"/>
        <v>0.45009369442192404</v>
      </c>
    </row>
    <row r="828" spans="2:41" x14ac:dyDescent="0.25">
      <c r="B828" s="91">
        <v>40550</v>
      </c>
      <c r="C828" s="89">
        <v>127.55999799999999</v>
      </c>
      <c r="D828" s="89">
        <v>127.769997</v>
      </c>
      <c r="E828" s="89">
        <v>126.150002</v>
      </c>
      <c r="F828" s="89">
        <v>127.139999</v>
      </c>
      <c r="G828" s="89">
        <v>99.666138000000004</v>
      </c>
      <c r="H828" s="89">
        <v>156034600</v>
      </c>
      <c r="J828" s="89">
        <v>0</v>
      </c>
      <c r="K828" s="89">
        <f t="shared" si="211"/>
        <v>88</v>
      </c>
      <c r="L828" s="89">
        <f t="shared" si="212"/>
        <v>112.621376</v>
      </c>
      <c r="M828" s="89">
        <f>+SPY__2[[#This Row],[Adj Close]]</f>
        <v>99.666138000000004</v>
      </c>
      <c r="N828" s="89">
        <f t="shared" si="207"/>
        <v>8770.6201440000004</v>
      </c>
      <c r="O828" s="90">
        <f t="shared" si="208"/>
        <v>-1140.0609439999994</v>
      </c>
      <c r="P828" s="93">
        <f t="shared" si="209"/>
        <v>-0.11503356165706935</v>
      </c>
      <c r="Q828" s="96"/>
      <c r="R828" s="96"/>
      <c r="T828" s="90">
        <f t="shared" si="203"/>
        <v>95</v>
      </c>
      <c r="U828" s="89">
        <f t="shared" si="204"/>
        <v>103.31428490526316</v>
      </c>
      <c r="V828" s="89">
        <f t="shared" si="205"/>
        <v>99.666138000000004</v>
      </c>
      <c r="W828" s="90">
        <f t="shared" si="210"/>
        <v>9468.2831100000003</v>
      </c>
      <c r="X828" s="93">
        <f t="shared" si="206"/>
        <v>-3.5311156715728376E-2</v>
      </c>
      <c r="AB828" s="89">
        <f t="shared" si="216"/>
        <v>195</v>
      </c>
      <c r="AC828" s="89">
        <f t="shared" si="217"/>
        <v>51.179276000000002</v>
      </c>
      <c r="AD828" s="89">
        <f t="shared" si="218"/>
        <v>99.666138000000004</v>
      </c>
      <c r="AE828" s="89">
        <f t="shared" si="219"/>
        <v>19434.896909999999</v>
      </c>
      <c r="AF828" s="90">
        <f t="shared" si="222"/>
        <v>9454.9380899999996</v>
      </c>
      <c r="AG828" s="93">
        <f t="shared" si="223"/>
        <v>0.94739249535300196</v>
      </c>
      <c r="AK828" s="90">
        <f t="shared" si="220"/>
        <v>142</v>
      </c>
      <c r="AL828" s="89">
        <f t="shared" si="221"/>
        <v>68.865979063380294</v>
      </c>
      <c r="AM828" s="89">
        <f t="shared" si="213"/>
        <v>99.666138000000004</v>
      </c>
      <c r="AN828" s="90">
        <f t="shared" si="214"/>
        <v>14152.591596</v>
      </c>
      <c r="AO828" s="93">
        <f t="shared" si="215"/>
        <v>0.44724781895967847</v>
      </c>
    </row>
    <row r="829" spans="2:41" x14ac:dyDescent="0.25">
      <c r="B829" s="91">
        <v>40553</v>
      </c>
      <c r="C829" s="89">
        <v>126.58000199999999</v>
      </c>
      <c r="D829" s="89">
        <v>127.160004</v>
      </c>
      <c r="E829" s="89">
        <v>126.199997</v>
      </c>
      <c r="F829" s="89">
        <v>126.980003</v>
      </c>
      <c r="G829" s="89">
        <v>99.540717999999998</v>
      </c>
      <c r="H829" s="89">
        <v>122401700</v>
      </c>
      <c r="J829" s="89">
        <v>0</v>
      </c>
      <c r="K829" s="89">
        <f t="shared" si="211"/>
        <v>88</v>
      </c>
      <c r="L829" s="89">
        <f t="shared" si="212"/>
        <v>112.621376</v>
      </c>
      <c r="M829" s="89">
        <f>+SPY__2[[#This Row],[Adj Close]]</f>
        <v>99.540717999999998</v>
      </c>
      <c r="N829" s="89">
        <f t="shared" si="207"/>
        <v>8759.5831839999992</v>
      </c>
      <c r="O829" s="90">
        <f t="shared" si="208"/>
        <v>-1151.097904</v>
      </c>
      <c r="P829" s="93">
        <f t="shared" si="209"/>
        <v>-0.11614720459462335</v>
      </c>
      <c r="Q829" s="96"/>
      <c r="R829" s="96"/>
      <c r="T829" s="90">
        <f t="shared" si="203"/>
        <v>95</v>
      </c>
      <c r="U829" s="89">
        <f t="shared" si="204"/>
        <v>103.31428490526316</v>
      </c>
      <c r="V829" s="89">
        <f t="shared" si="205"/>
        <v>99.540717999999998</v>
      </c>
      <c r="W829" s="90">
        <f t="shared" si="210"/>
        <v>9456.3682100000005</v>
      </c>
      <c r="X829" s="93">
        <f t="shared" si="206"/>
        <v>-3.6525122433199164E-2</v>
      </c>
      <c r="AB829" s="89">
        <f t="shared" si="216"/>
        <v>195</v>
      </c>
      <c r="AC829" s="89">
        <f t="shared" si="217"/>
        <v>51.179276000000002</v>
      </c>
      <c r="AD829" s="89">
        <f t="shared" si="218"/>
        <v>99.540717999999998</v>
      </c>
      <c r="AE829" s="89">
        <f t="shared" si="219"/>
        <v>19410.440009999998</v>
      </c>
      <c r="AF829" s="90">
        <f t="shared" si="222"/>
        <v>9430.4811899999986</v>
      </c>
      <c r="AG829" s="93">
        <f t="shared" si="223"/>
        <v>0.94494189405883722</v>
      </c>
      <c r="AK829" s="90">
        <f t="shared" si="220"/>
        <v>142</v>
      </c>
      <c r="AL829" s="89">
        <f t="shared" si="221"/>
        <v>68.865979063380294</v>
      </c>
      <c r="AM829" s="89">
        <f t="shared" si="213"/>
        <v>99.540717999999998</v>
      </c>
      <c r="AN829" s="90">
        <f t="shared" si="214"/>
        <v>14134.781955999999</v>
      </c>
      <c r="AO829" s="93">
        <f t="shared" si="215"/>
        <v>0.44542660038839266</v>
      </c>
    </row>
    <row r="830" spans="2:41" x14ac:dyDescent="0.25">
      <c r="B830" s="91">
        <v>40554</v>
      </c>
      <c r="C830" s="89">
        <v>127.44000200000001</v>
      </c>
      <c r="D830" s="89">
        <v>127.739998</v>
      </c>
      <c r="E830" s="89">
        <v>126.949997</v>
      </c>
      <c r="F830" s="89">
        <v>127.43</v>
      </c>
      <c r="G830" s="89">
        <v>99.893494000000004</v>
      </c>
      <c r="H830" s="89">
        <v>110287000</v>
      </c>
      <c r="J830" s="89">
        <v>0</v>
      </c>
      <c r="K830" s="89">
        <f t="shared" si="211"/>
        <v>88</v>
      </c>
      <c r="L830" s="89">
        <f t="shared" si="212"/>
        <v>112.621376</v>
      </c>
      <c r="M830" s="89">
        <f>+SPY__2[[#This Row],[Adj Close]]</f>
        <v>99.893494000000004</v>
      </c>
      <c r="N830" s="89">
        <f t="shared" si="207"/>
        <v>8790.6274720000001</v>
      </c>
      <c r="O830" s="90">
        <f t="shared" si="208"/>
        <v>-1120.0536159999995</v>
      </c>
      <c r="P830" s="93">
        <f t="shared" si="209"/>
        <v>-0.11301479747503707</v>
      </c>
      <c r="Q830" s="96"/>
      <c r="R830" s="96"/>
      <c r="T830" s="90">
        <f t="shared" si="203"/>
        <v>95</v>
      </c>
      <c r="U830" s="89">
        <f t="shared" si="204"/>
        <v>103.31428490526316</v>
      </c>
      <c r="V830" s="89">
        <f t="shared" si="205"/>
        <v>99.893494000000004</v>
      </c>
      <c r="W830" s="90">
        <f t="shared" si="210"/>
        <v>9489.8819299999996</v>
      </c>
      <c r="X830" s="93">
        <f t="shared" si="206"/>
        <v>-3.3110531698496093E-2</v>
      </c>
      <c r="AB830" s="89">
        <f t="shared" si="216"/>
        <v>195</v>
      </c>
      <c r="AC830" s="89">
        <f t="shared" si="217"/>
        <v>51.179276000000002</v>
      </c>
      <c r="AD830" s="89">
        <f t="shared" si="218"/>
        <v>99.893494000000004</v>
      </c>
      <c r="AE830" s="89">
        <f t="shared" si="219"/>
        <v>19479.231330000002</v>
      </c>
      <c r="AF830" s="90">
        <f t="shared" si="222"/>
        <v>9499.2725100000007</v>
      </c>
      <c r="AG830" s="93">
        <f t="shared" si="223"/>
        <v>0.95183484033654553</v>
      </c>
      <c r="AK830" s="90">
        <f t="shared" si="220"/>
        <v>142</v>
      </c>
      <c r="AL830" s="89">
        <f t="shared" si="221"/>
        <v>68.865979063380294</v>
      </c>
      <c r="AM830" s="89">
        <f t="shared" si="213"/>
        <v>99.893494000000004</v>
      </c>
      <c r="AN830" s="90">
        <f t="shared" si="214"/>
        <v>14184.876148000001</v>
      </c>
      <c r="AO830" s="93">
        <f t="shared" si="215"/>
        <v>0.45054924592103429</v>
      </c>
    </row>
    <row r="831" spans="2:41" x14ac:dyDescent="0.25">
      <c r="B831" s="91">
        <v>40555</v>
      </c>
      <c r="C831" s="89">
        <v>128.21000699999999</v>
      </c>
      <c r="D831" s="89">
        <v>128.720001</v>
      </c>
      <c r="E831" s="89">
        <v>127.459999</v>
      </c>
      <c r="F831" s="89">
        <v>128.58000200000001</v>
      </c>
      <c r="G831" s="89">
        <v>100.79496</v>
      </c>
      <c r="H831" s="89">
        <v>107929200</v>
      </c>
      <c r="J831" s="89">
        <v>0</v>
      </c>
      <c r="K831" s="89">
        <f t="shared" si="211"/>
        <v>88</v>
      </c>
      <c r="L831" s="89">
        <f t="shared" si="212"/>
        <v>112.621376</v>
      </c>
      <c r="M831" s="89">
        <f>+SPY__2[[#This Row],[Adj Close]]</f>
        <v>100.79496</v>
      </c>
      <c r="N831" s="89">
        <f t="shared" si="207"/>
        <v>8869.9564800000007</v>
      </c>
      <c r="O831" s="90">
        <f t="shared" si="208"/>
        <v>-1040.7246079999995</v>
      </c>
      <c r="P831" s="93">
        <f t="shared" si="209"/>
        <v>-0.10501040228810554</v>
      </c>
      <c r="Q831" s="96"/>
      <c r="R831" s="96"/>
      <c r="T831" s="90">
        <f t="shared" si="203"/>
        <v>95</v>
      </c>
      <c r="U831" s="89">
        <f t="shared" si="204"/>
        <v>103.31428490526316</v>
      </c>
      <c r="V831" s="89">
        <f t="shared" si="205"/>
        <v>100.79496</v>
      </c>
      <c r="W831" s="90">
        <f t="shared" si="210"/>
        <v>9575.521200000001</v>
      </c>
      <c r="X831" s="93">
        <f t="shared" si="206"/>
        <v>-2.4385058731939302E-2</v>
      </c>
      <c r="AB831" s="89">
        <f t="shared" si="216"/>
        <v>195</v>
      </c>
      <c r="AC831" s="89">
        <f t="shared" si="217"/>
        <v>51.179276000000002</v>
      </c>
      <c r="AD831" s="89">
        <f t="shared" si="218"/>
        <v>100.79496</v>
      </c>
      <c r="AE831" s="89">
        <f t="shared" si="219"/>
        <v>19655.017200000002</v>
      </c>
      <c r="AF831" s="90">
        <f t="shared" si="222"/>
        <v>9675.0583800000004</v>
      </c>
      <c r="AG831" s="93">
        <f t="shared" si="223"/>
        <v>0.96944872764515067</v>
      </c>
      <c r="AK831" s="90">
        <f t="shared" si="220"/>
        <v>142</v>
      </c>
      <c r="AL831" s="89">
        <f t="shared" si="221"/>
        <v>68.865979063380294</v>
      </c>
      <c r="AM831" s="89">
        <f t="shared" si="213"/>
        <v>100.79496</v>
      </c>
      <c r="AN831" s="90">
        <f t="shared" si="214"/>
        <v>14312.884320000001</v>
      </c>
      <c r="AO831" s="93">
        <f t="shared" si="215"/>
        <v>0.46363939598149218</v>
      </c>
    </row>
    <row r="832" spans="2:41" x14ac:dyDescent="0.25">
      <c r="B832" s="91">
        <v>40556</v>
      </c>
      <c r="C832" s="89">
        <v>128.63000500000001</v>
      </c>
      <c r="D832" s="89">
        <v>128.69000199999999</v>
      </c>
      <c r="E832" s="89">
        <v>128.050003</v>
      </c>
      <c r="F832" s="89">
        <v>128.36999499999999</v>
      </c>
      <c r="G832" s="89">
        <v>100.63033299999999</v>
      </c>
      <c r="H832" s="89">
        <v>129048400</v>
      </c>
      <c r="J832" s="89">
        <v>0</v>
      </c>
      <c r="K832" s="89">
        <f t="shared" si="211"/>
        <v>88</v>
      </c>
      <c r="L832" s="89">
        <f t="shared" si="212"/>
        <v>112.621376</v>
      </c>
      <c r="M832" s="89">
        <f>+SPY__2[[#This Row],[Adj Close]]</f>
        <v>100.63033299999999</v>
      </c>
      <c r="N832" s="89">
        <f t="shared" si="207"/>
        <v>8855.4693040000002</v>
      </c>
      <c r="O832" s="90">
        <f t="shared" si="208"/>
        <v>-1055.2117840000005</v>
      </c>
      <c r="P832" s="93">
        <f t="shared" si="209"/>
        <v>-0.10647217629448968</v>
      </c>
      <c r="Q832" s="96"/>
      <c r="R832" s="96"/>
      <c r="T832" s="90">
        <f t="shared" si="203"/>
        <v>95</v>
      </c>
      <c r="U832" s="89">
        <f t="shared" si="204"/>
        <v>103.31428490526316</v>
      </c>
      <c r="V832" s="89">
        <f t="shared" si="205"/>
        <v>100.63033299999999</v>
      </c>
      <c r="W832" s="90">
        <f t="shared" si="210"/>
        <v>9559.8816349999997</v>
      </c>
      <c r="X832" s="93">
        <f t="shared" si="206"/>
        <v>-2.5978516985567746E-2</v>
      </c>
      <c r="AB832" s="89">
        <f t="shared" si="216"/>
        <v>195</v>
      </c>
      <c r="AC832" s="89">
        <f t="shared" si="217"/>
        <v>51.179276000000002</v>
      </c>
      <c r="AD832" s="89">
        <f t="shared" si="218"/>
        <v>100.63033299999999</v>
      </c>
      <c r="AE832" s="89">
        <f t="shared" si="219"/>
        <v>19622.914934999997</v>
      </c>
      <c r="AF832" s="90">
        <f t="shared" si="222"/>
        <v>9642.956114999999</v>
      </c>
      <c r="AG832" s="93">
        <f t="shared" si="223"/>
        <v>0.96623205455270589</v>
      </c>
      <c r="AK832" s="90">
        <f t="shared" si="220"/>
        <v>142</v>
      </c>
      <c r="AL832" s="89">
        <f t="shared" si="221"/>
        <v>68.865979063380294</v>
      </c>
      <c r="AM832" s="89">
        <f t="shared" si="213"/>
        <v>100.63033299999999</v>
      </c>
      <c r="AN832" s="90">
        <f t="shared" si="214"/>
        <v>14289.507285999998</v>
      </c>
      <c r="AO832" s="93">
        <f t="shared" si="215"/>
        <v>0.46124885420398387</v>
      </c>
    </row>
    <row r="833" spans="2:41" x14ac:dyDescent="0.25">
      <c r="B833" s="91">
        <v>40557</v>
      </c>
      <c r="C833" s="89">
        <v>128.19000199999999</v>
      </c>
      <c r="D833" s="89">
        <v>129.33000200000001</v>
      </c>
      <c r="E833" s="89">
        <v>128.10000600000001</v>
      </c>
      <c r="F833" s="89">
        <v>129.300003</v>
      </c>
      <c r="G833" s="89">
        <v>101.359398</v>
      </c>
      <c r="H833" s="89">
        <v>117677900</v>
      </c>
      <c r="J833" s="89">
        <v>0</v>
      </c>
      <c r="K833" s="89">
        <f t="shared" si="211"/>
        <v>88</v>
      </c>
      <c r="L833" s="89">
        <f t="shared" si="212"/>
        <v>112.621376</v>
      </c>
      <c r="M833" s="89">
        <f>+SPY__2[[#This Row],[Adj Close]]</f>
        <v>101.359398</v>
      </c>
      <c r="N833" s="89">
        <f t="shared" si="207"/>
        <v>8919.6270239999994</v>
      </c>
      <c r="O833" s="90">
        <f t="shared" si="208"/>
        <v>-991.05406399999993</v>
      </c>
      <c r="P833" s="93">
        <f t="shared" si="209"/>
        <v>-9.9998582862280028E-2</v>
      </c>
      <c r="Q833" s="96"/>
      <c r="R833" s="96"/>
      <c r="T833" s="90">
        <f t="shared" si="203"/>
        <v>95</v>
      </c>
      <c r="U833" s="89">
        <f t="shared" si="204"/>
        <v>103.31428490526316</v>
      </c>
      <c r="V833" s="89">
        <f t="shared" si="205"/>
        <v>101.359398</v>
      </c>
      <c r="W833" s="90">
        <f t="shared" si="210"/>
        <v>9629.1428099999994</v>
      </c>
      <c r="X833" s="93">
        <f t="shared" si="206"/>
        <v>-1.8921748401547367E-2</v>
      </c>
      <c r="AB833" s="89">
        <f t="shared" si="216"/>
        <v>195</v>
      </c>
      <c r="AC833" s="89">
        <f t="shared" si="217"/>
        <v>51.179276000000002</v>
      </c>
      <c r="AD833" s="89">
        <f t="shared" si="218"/>
        <v>101.359398</v>
      </c>
      <c r="AE833" s="89">
        <f t="shared" si="219"/>
        <v>19765.082610000001</v>
      </c>
      <c r="AF833" s="90">
        <f t="shared" si="222"/>
        <v>9785.1237899999996</v>
      </c>
      <c r="AG833" s="93">
        <f t="shared" si="223"/>
        <v>0.98047737134851221</v>
      </c>
      <c r="AK833" s="90">
        <f t="shared" si="220"/>
        <v>142</v>
      </c>
      <c r="AL833" s="89">
        <f t="shared" si="221"/>
        <v>68.865979063380294</v>
      </c>
      <c r="AM833" s="89">
        <f t="shared" si="213"/>
        <v>101.359398</v>
      </c>
      <c r="AN833" s="90">
        <f t="shared" si="214"/>
        <v>14393.034516</v>
      </c>
      <c r="AO833" s="93">
        <f t="shared" si="215"/>
        <v>0.47183557655826891</v>
      </c>
    </row>
    <row r="834" spans="2:41" x14ac:dyDescent="0.25">
      <c r="B834" s="91">
        <v>40561</v>
      </c>
      <c r="C834" s="89">
        <v>129.179993</v>
      </c>
      <c r="D834" s="89">
        <v>129.63999899999999</v>
      </c>
      <c r="E834" s="89">
        <v>129.029999</v>
      </c>
      <c r="F834" s="89">
        <v>129.520004</v>
      </c>
      <c r="G834" s="89">
        <v>101.53183</v>
      </c>
      <c r="H834" s="89">
        <v>114401300</v>
      </c>
      <c r="J834" s="89">
        <v>0</v>
      </c>
      <c r="K834" s="89">
        <f t="shared" si="211"/>
        <v>88</v>
      </c>
      <c r="L834" s="89">
        <f t="shared" si="212"/>
        <v>112.621376</v>
      </c>
      <c r="M834" s="89">
        <f>+SPY__2[[#This Row],[Adj Close]]</f>
        <v>101.53183</v>
      </c>
      <c r="N834" s="89">
        <f t="shared" si="207"/>
        <v>8934.8010400000003</v>
      </c>
      <c r="O834" s="90">
        <f t="shared" si="208"/>
        <v>-975.88004799999987</v>
      </c>
      <c r="P834" s="93">
        <f t="shared" si="209"/>
        <v>-9.8467505848978454E-2</v>
      </c>
      <c r="Q834" s="96"/>
      <c r="R834" s="96"/>
      <c r="T834" s="90">
        <f t="shared" ref="T834:T897" si="224">+T833</f>
        <v>95</v>
      </c>
      <c r="U834" s="89">
        <f t="shared" ref="U834:U897" si="225">+U833</f>
        <v>103.31428490526316</v>
      </c>
      <c r="V834" s="89">
        <f t="shared" si="205"/>
        <v>101.53183</v>
      </c>
      <c r="W834" s="90">
        <f t="shared" si="210"/>
        <v>9645.5238499999996</v>
      </c>
      <c r="X834" s="93">
        <f t="shared" si="206"/>
        <v>-1.7252743963699135E-2</v>
      </c>
      <c r="AB834" s="89">
        <f t="shared" si="216"/>
        <v>195</v>
      </c>
      <c r="AC834" s="89">
        <f t="shared" si="217"/>
        <v>51.179276000000002</v>
      </c>
      <c r="AD834" s="89">
        <f t="shared" si="218"/>
        <v>101.53183</v>
      </c>
      <c r="AE834" s="89">
        <f t="shared" si="219"/>
        <v>19798.706849999999</v>
      </c>
      <c r="AF834" s="90">
        <f t="shared" si="222"/>
        <v>9818.7480299999988</v>
      </c>
      <c r="AG834" s="93">
        <f t="shared" si="223"/>
        <v>0.98384654757523338</v>
      </c>
      <c r="AK834" s="90">
        <f t="shared" si="220"/>
        <v>142</v>
      </c>
      <c r="AL834" s="89">
        <f t="shared" si="221"/>
        <v>68.865979063380294</v>
      </c>
      <c r="AM834" s="89">
        <f t="shared" si="213"/>
        <v>101.53183</v>
      </c>
      <c r="AN834" s="90">
        <f t="shared" si="214"/>
        <v>14417.51986</v>
      </c>
      <c r="AO834" s="93">
        <f t="shared" si="215"/>
        <v>0.4743394544141446</v>
      </c>
    </row>
    <row r="835" spans="2:41" x14ac:dyDescent="0.25">
      <c r="B835" s="91">
        <v>40562</v>
      </c>
      <c r="C835" s="89">
        <v>129.41000399999999</v>
      </c>
      <c r="D835" s="89">
        <v>129.53999300000001</v>
      </c>
      <c r="E835" s="89">
        <v>127.910004</v>
      </c>
      <c r="F835" s="89">
        <v>128.25</v>
      </c>
      <c r="G835" s="89">
        <v>100.53630099999999</v>
      </c>
      <c r="H835" s="89">
        <v>151958400</v>
      </c>
      <c r="J835" s="89">
        <v>0</v>
      </c>
      <c r="K835" s="89">
        <f t="shared" si="211"/>
        <v>88</v>
      </c>
      <c r="L835" s="89">
        <f t="shared" si="212"/>
        <v>112.621376</v>
      </c>
      <c r="M835" s="89">
        <f>+SPY__2[[#This Row],[Adj Close]]</f>
        <v>100.53630099999999</v>
      </c>
      <c r="N835" s="89">
        <f t="shared" si="207"/>
        <v>8847.1944879999992</v>
      </c>
      <c r="O835" s="90">
        <f t="shared" si="208"/>
        <v>-1063.4866000000002</v>
      </c>
      <c r="P835" s="93">
        <f t="shared" si="209"/>
        <v>-0.10730711548045735</v>
      </c>
      <c r="Q835" s="96"/>
      <c r="R835" s="96"/>
      <c r="T835" s="90">
        <f t="shared" si="224"/>
        <v>95</v>
      </c>
      <c r="U835" s="89">
        <f t="shared" si="225"/>
        <v>103.31428490526316</v>
      </c>
      <c r="V835" s="89">
        <f t="shared" ref="V835:V898" si="226">+M835</f>
        <v>100.53630099999999</v>
      </c>
      <c r="W835" s="90">
        <f t="shared" si="210"/>
        <v>9550.9485949999998</v>
      </c>
      <c r="X835" s="93">
        <f t="shared" ref="X835:X898" si="227">+W835/(U835*T835)-1</f>
        <v>-2.6888671859951474E-2</v>
      </c>
      <c r="AB835" s="89">
        <f t="shared" si="216"/>
        <v>195</v>
      </c>
      <c r="AC835" s="89">
        <f t="shared" si="217"/>
        <v>51.179276000000002</v>
      </c>
      <c r="AD835" s="89">
        <f t="shared" si="218"/>
        <v>100.53630099999999</v>
      </c>
      <c r="AE835" s="89">
        <f t="shared" si="219"/>
        <v>19604.578695</v>
      </c>
      <c r="AF835" s="90">
        <f t="shared" si="222"/>
        <v>9624.6198749999985</v>
      </c>
      <c r="AG835" s="93">
        <f t="shared" si="223"/>
        <v>0.96439474837432226</v>
      </c>
      <c r="AK835" s="90">
        <f t="shared" si="220"/>
        <v>142</v>
      </c>
      <c r="AL835" s="89">
        <f t="shared" si="221"/>
        <v>68.865979063380294</v>
      </c>
      <c r="AM835" s="89">
        <f t="shared" si="213"/>
        <v>100.53630099999999</v>
      </c>
      <c r="AN835" s="90">
        <f t="shared" si="214"/>
        <v>14276.154741999999</v>
      </c>
      <c r="AO835" s="93">
        <f t="shared" si="215"/>
        <v>0.45988341946713862</v>
      </c>
    </row>
    <row r="836" spans="2:41" x14ac:dyDescent="0.25">
      <c r="B836" s="91">
        <v>40563</v>
      </c>
      <c r="C836" s="89">
        <v>127.959999</v>
      </c>
      <c r="D836" s="89">
        <v>128.39999399999999</v>
      </c>
      <c r="E836" s="89">
        <v>127.129997</v>
      </c>
      <c r="F836" s="89">
        <v>128.08000200000001</v>
      </c>
      <c r="G836" s="89">
        <v>100.403046</v>
      </c>
      <c r="H836" s="89">
        <v>175745700</v>
      </c>
      <c r="J836" s="89">
        <v>0</v>
      </c>
      <c r="K836" s="89">
        <f t="shared" si="211"/>
        <v>88</v>
      </c>
      <c r="L836" s="89">
        <f t="shared" si="212"/>
        <v>112.621376</v>
      </c>
      <c r="M836" s="89">
        <f>+SPY__2[[#This Row],[Adj Close]]</f>
        <v>100.403046</v>
      </c>
      <c r="N836" s="89">
        <f t="shared" ref="N836:N899" si="228">+K836*M836</f>
        <v>8835.4680480000006</v>
      </c>
      <c r="O836" s="90">
        <f t="shared" ref="O836:O899" si="229">+(M836-L836)*K836</f>
        <v>-1075.2130399999996</v>
      </c>
      <c r="P836" s="93">
        <f t="shared" ref="P836:P899" si="230">+M836/L836-1</f>
        <v>-0.10849032780419943</v>
      </c>
      <c r="Q836" s="96"/>
      <c r="R836" s="96"/>
      <c r="T836" s="90">
        <f t="shared" si="224"/>
        <v>95</v>
      </c>
      <c r="U836" s="89">
        <f t="shared" si="225"/>
        <v>103.31428490526316</v>
      </c>
      <c r="V836" s="89">
        <f t="shared" si="226"/>
        <v>100.403046</v>
      </c>
      <c r="W836" s="90">
        <f t="shared" ref="W836:W899" si="231">+V836*T836</f>
        <v>9538.2893700000004</v>
      </c>
      <c r="X836" s="93">
        <f t="shared" si="227"/>
        <v>-2.8178474137750653E-2</v>
      </c>
      <c r="AB836" s="89">
        <f t="shared" si="216"/>
        <v>195</v>
      </c>
      <c r="AC836" s="89">
        <f t="shared" si="217"/>
        <v>51.179276000000002</v>
      </c>
      <c r="AD836" s="89">
        <f t="shared" si="218"/>
        <v>100.403046</v>
      </c>
      <c r="AE836" s="89">
        <f t="shared" si="219"/>
        <v>19578.593970000002</v>
      </c>
      <c r="AF836" s="90">
        <f t="shared" si="222"/>
        <v>9598.6351500000001</v>
      </c>
      <c r="AG836" s="93">
        <f t="shared" si="223"/>
        <v>0.96179105777111817</v>
      </c>
      <c r="AK836" s="90">
        <f t="shared" si="220"/>
        <v>142</v>
      </c>
      <c r="AL836" s="89">
        <f t="shared" si="221"/>
        <v>68.865979063380294</v>
      </c>
      <c r="AM836" s="89">
        <f t="shared" si="213"/>
        <v>100.403046</v>
      </c>
      <c r="AN836" s="90">
        <f t="shared" si="214"/>
        <v>14257.232532</v>
      </c>
      <c r="AO836" s="93">
        <f t="shared" si="215"/>
        <v>0.45794842918874079</v>
      </c>
    </row>
    <row r="837" spans="2:41" x14ac:dyDescent="0.25">
      <c r="B837" s="91">
        <v>40564</v>
      </c>
      <c r="C837" s="89">
        <v>128.88000500000001</v>
      </c>
      <c r="D837" s="89">
        <v>129.16999799999999</v>
      </c>
      <c r="E837" s="89">
        <v>128.229996</v>
      </c>
      <c r="F837" s="89">
        <v>128.36999499999999</v>
      </c>
      <c r="G837" s="89">
        <v>100.63033299999999</v>
      </c>
      <c r="H837" s="89">
        <v>151462900</v>
      </c>
      <c r="J837" s="89">
        <v>0</v>
      </c>
      <c r="K837" s="89">
        <f t="shared" ref="K837:K900" si="232">+$K$3</f>
        <v>88</v>
      </c>
      <c r="L837" s="89">
        <f t="shared" ref="L837:L900" si="233">+$L$3</f>
        <v>112.621376</v>
      </c>
      <c r="M837" s="89">
        <f>+SPY__2[[#This Row],[Adj Close]]</f>
        <v>100.63033299999999</v>
      </c>
      <c r="N837" s="89">
        <f t="shared" si="228"/>
        <v>8855.4693040000002</v>
      </c>
      <c r="O837" s="90">
        <f t="shared" si="229"/>
        <v>-1055.2117840000005</v>
      </c>
      <c r="P837" s="93">
        <f t="shared" si="230"/>
        <v>-0.10647217629448968</v>
      </c>
      <c r="Q837" s="96"/>
      <c r="R837" s="96"/>
      <c r="T837" s="90">
        <f t="shared" si="224"/>
        <v>95</v>
      </c>
      <c r="U837" s="89">
        <f t="shared" si="225"/>
        <v>103.31428490526316</v>
      </c>
      <c r="V837" s="89">
        <f t="shared" si="226"/>
        <v>100.63033299999999</v>
      </c>
      <c r="W837" s="90">
        <f t="shared" si="231"/>
        <v>9559.8816349999997</v>
      </c>
      <c r="X837" s="93">
        <f t="shared" si="227"/>
        <v>-2.5978516985567746E-2</v>
      </c>
      <c r="AB837" s="89">
        <f t="shared" si="216"/>
        <v>195</v>
      </c>
      <c r="AC837" s="89">
        <f t="shared" si="217"/>
        <v>51.179276000000002</v>
      </c>
      <c r="AD837" s="89">
        <f t="shared" si="218"/>
        <v>100.63033299999999</v>
      </c>
      <c r="AE837" s="89">
        <f t="shared" si="219"/>
        <v>19622.914934999997</v>
      </c>
      <c r="AF837" s="90">
        <f t="shared" si="222"/>
        <v>9642.956114999999</v>
      </c>
      <c r="AG837" s="93">
        <f t="shared" si="223"/>
        <v>0.96623205455270589</v>
      </c>
      <c r="AK837" s="90">
        <f t="shared" si="220"/>
        <v>142</v>
      </c>
      <c r="AL837" s="89">
        <f t="shared" si="221"/>
        <v>68.865979063380294</v>
      </c>
      <c r="AM837" s="89">
        <f t="shared" si="213"/>
        <v>100.63033299999999</v>
      </c>
      <c r="AN837" s="90">
        <f t="shared" si="214"/>
        <v>14289.507285999998</v>
      </c>
      <c r="AO837" s="93">
        <f t="shared" si="215"/>
        <v>0.46124885420398387</v>
      </c>
    </row>
    <row r="838" spans="2:41" x14ac:dyDescent="0.25">
      <c r="B838" s="91">
        <v>40567</v>
      </c>
      <c r="C838" s="89">
        <v>128.28999300000001</v>
      </c>
      <c r="D838" s="89">
        <v>129.25</v>
      </c>
      <c r="E838" s="89">
        <v>128.259995</v>
      </c>
      <c r="F838" s="89">
        <v>129.10000600000001</v>
      </c>
      <c r="G838" s="89">
        <v>101.20262099999999</v>
      </c>
      <c r="H838" s="89">
        <v>113715500</v>
      </c>
      <c r="J838" s="89">
        <v>0</v>
      </c>
      <c r="K838" s="89">
        <f t="shared" si="232"/>
        <v>88</v>
      </c>
      <c r="L838" s="89">
        <f t="shared" si="233"/>
        <v>112.621376</v>
      </c>
      <c r="M838" s="89">
        <f>+SPY__2[[#This Row],[Adj Close]]</f>
        <v>101.20262099999999</v>
      </c>
      <c r="N838" s="89">
        <f t="shared" si="228"/>
        <v>8905.8306479999992</v>
      </c>
      <c r="O838" s="90">
        <f t="shared" si="229"/>
        <v>-1004.8504400000004</v>
      </c>
      <c r="P838" s="93">
        <f t="shared" si="230"/>
        <v>-0.10139065429284055</v>
      </c>
      <c r="Q838" s="96"/>
      <c r="R838" s="96"/>
      <c r="T838" s="90">
        <f t="shared" si="224"/>
        <v>95</v>
      </c>
      <c r="U838" s="89">
        <f t="shared" si="225"/>
        <v>103.31428490526316</v>
      </c>
      <c r="V838" s="89">
        <f t="shared" si="226"/>
        <v>101.20262099999999</v>
      </c>
      <c r="W838" s="90">
        <f t="shared" si="231"/>
        <v>9614.2489949999999</v>
      </c>
      <c r="X838" s="93">
        <f t="shared" si="227"/>
        <v>-2.0439224906793063E-2</v>
      </c>
      <c r="AB838" s="89">
        <f t="shared" si="216"/>
        <v>195</v>
      </c>
      <c r="AC838" s="89">
        <f t="shared" si="217"/>
        <v>51.179276000000002</v>
      </c>
      <c r="AD838" s="89">
        <f t="shared" si="218"/>
        <v>101.20262099999999</v>
      </c>
      <c r="AE838" s="89">
        <f t="shared" si="219"/>
        <v>19734.511094999998</v>
      </c>
      <c r="AF838" s="90">
        <f t="shared" si="222"/>
        <v>9754.5522749999982</v>
      </c>
      <c r="AG838" s="93">
        <f t="shared" si="223"/>
        <v>0.97741408065248891</v>
      </c>
      <c r="AK838" s="90">
        <f t="shared" si="220"/>
        <v>142</v>
      </c>
      <c r="AL838" s="89">
        <f t="shared" si="221"/>
        <v>68.865979063380294</v>
      </c>
      <c r="AM838" s="89">
        <f t="shared" si="213"/>
        <v>101.20262099999999</v>
      </c>
      <c r="AN838" s="90">
        <f t="shared" si="214"/>
        <v>14370.772181999999</v>
      </c>
      <c r="AO838" s="93">
        <f t="shared" si="215"/>
        <v>0.46955902430224539</v>
      </c>
    </row>
    <row r="839" spans="2:41" x14ac:dyDescent="0.25">
      <c r="B839" s="91">
        <v>40568</v>
      </c>
      <c r="C839" s="89">
        <v>128.759995</v>
      </c>
      <c r="D839" s="89">
        <v>129.279999</v>
      </c>
      <c r="E839" s="89">
        <v>128.11000100000001</v>
      </c>
      <c r="F839" s="89">
        <v>129.16999799999999</v>
      </c>
      <c r="G839" s="89">
        <v>101.257515</v>
      </c>
      <c r="H839" s="89">
        <v>167552200</v>
      </c>
      <c r="J839" s="89">
        <v>0</v>
      </c>
      <c r="K839" s="89">
        <f t="shared" si="232"/>
        <v>88</v>
      </c>
      <c r="L839" s="89">
        <f t="shared" si="233"/>
        <v>112.621376</v>
      </c>
      <c r="M839" s="89">
        <f>+SPY__2[[#This Row],[Adj Close]]</f>
        <v>101.257515</v>
      </c>
      <c r="N839" s="89">
        <f t="shared" si="228"/>
        <v>8910.6613199999993</v>
      </c>
      <c r="O839" s="90">
        <f t="shared" si="229"/>
        <v>-1000.019768</v>
      </c>
      <c r="P839" s="93">
        <f t="shared" si="230"/>
        <v>-0.10090323350338037</v>
      </c>
      <c r="Q839" s="96"/>
      <c r="R839" s="96"/>
      <c r="T839" s="90">
        <f t="shared" si="224"/>
        <v>95</v>
      </c>
      <c r="U839" s="89">
        <f t="shared" si="225"/>
        <v>103.31428490526316</v>
      </c>
      <c r="V839" s="89">
        <f t="shared" si="226"/>
        <v>101.257515</v>
      </c>
      <c r="W839" s="90">
        <f t="shared" si="231"/>
        <v>9619.463925</v>
      </c>
      <c r="X839" s="93">
        <f t="shared" si="227"/>
        <v>-1.9907894703517282E-2</v>
      </c>
      <c r="AB839" s="89">
        <f t="shared" si="216"/>
        <v>195</v>
      </c>
      <c r="AC839" s="89">
        <f t="shared" si="217"/>
        <v>51.179276000000002</v>
      </c>
      <c r="AD839" s="89">
        <f t="shared" si="218"/>
        <v>101.257515</v>
      </c>
      <c r="AE839" s="89">
        <f t="shared" si="219"/>
        <v>19745.215424999999</v>
      </c>
      <c r="AF839" s="90">
        <f t="shared" si="222"/>
        <v>9765.2566049999987</v>
      </c>
      <c r="AG839" s="93">
        <f t="shared" si="223"/>
        <v>0.97848666323454814</v>
      </c>
      <c r="AK839" s="90">
        <f t="shared" si="220"/>
        <v>142</v>
      </c>
      <c r="AL839" s="89">
        <f t="shared" si="221"/>
        <v>68.865979063380294</v>
      </c>
      <c r="AM839" s="89">
        <f t="shared" si="213"/>
        <v>101.257515</v>
      </c>
      <c r="AN839" s="90">
        <f t="shared" si="214"/>
        <v>14378.567129999999</v>
      </c>
      <c r="AO839" s="93">
        <f t="shared" si="215"/>
        <v>0.47035613777898089</v>
      </c>
    </row>
    <row r="840" spans="2:41" x14ac:dyDescent="0.25">
      <c r="B840" s="91">
        <v>40569</v>
      </c>
      <c r="C840" s="89">
        <v>129.490005</v>
      </c>
      <c r="D840" s="89">
        <v>130.050003</v>
      </c>
      <c r="E840" s="89">
        <v>129.229996</v>
      </c>
      <c r="F840" s="89">
        <v>129.66999799999999</v>
      </c>
      <c r="G840" s="89">
        <v>101.649429</v>
      </c>
      <c r="H840" s="89">
        <v>141281500</v>
      </c>
      <c r="J840" s="89">
        <v>0</v>
      </c>
      <c r="K840" s="89">
        <f t="shared" si="232"/>
        <v>88</v>
      </c>
      <c r="L840" s="89">
        <f t="shared" si="233"/>
        <v>112.621376</v>
      </c>
      <c r="M840" s="89">
        <f>+SPY__2[[#This Row],[Adj Close]]</f>
        <v>101.649429</v>
      </c>
      <c r="N840" s="89">
        <f t="shared" si="228"/>
        <v>8945.1497519999994</v>
      </c>
      <c r="O840" s="90">
        <f t="shared" si="229"/>
        <v>-965.53133600000001</v>
      </c>
      <c r="P840" s="93">
        <f t="shared" si="230"/>
        <v>-9.7423307987286489E-2</v>
      </c>
      <c r="Q840" s="96"/>
      <c r="R840" s="96"/>
      <c r="T840" s="90">
        <f t="shared" si="224"/>
        <v>95</v>
      </c>
      <c r="U840" s="89">
        <f t="shared" si="225"/>
        <v>103.31428490526316</v>
      </c>
      <c r="V840" s="89">
        <f t="shared" si="226"/>
        <v>101.649429</v>
      </c>
      <c r="W840" s="90">
        <f t="shared" si="231"/>
        <v>9656.6957550000006</v>
      </c>
      <c r="X840" s="93">
        <f t="shared" si="227"/>
        <v>-1.611447929770593E-2</v>
      </c>
      <c r="AB840" s="89">
        <f t="shared" si="216"/>
        <v>195</v>
      </c>
      <c r="AC840" s="89">
        <f t="shared" si="217"/>
        <v>51.179276000000002</v>
      </c>
      <c r="AD840" s="89">
        <f t="shared" si="218"/>
        <v>101.649429</v>
      </c>
      <c r="AE840" s="89">
        <f t="shared" si="219"/>
        <v>19821.638654999999</v>
      </c>
      <c r="AF840" s="90">
        <f t="shared" si="222"/>
        <v>9841.679834999999</v>
      </c>
      <c r="AG840" s="93">
        <f t="shared" si="223"/>
        <v>0.98614433310858085</v>
      </c>
      <c r="AK840" s="90">
        <f t="shared" si="220"/>
        <v>142</v>
      </c>
      <c r="AL840" s="89">
        <f t="shared" si="221"/>
        <v>68.865979063380294</v>
      </c>
      <c r="AM840" s="89">
        <f t="shared" si="213"/>
        <v>101.649429</v>
      </c>
      <c r="AN840" s="90">
        <f t="shared" si="214"/>
        <v>14434.218918</v>
      </c>
      <c r="AO840" s="93">
        <f t="shared" si="215"/>
        <v>0.47604710457173227</v>
      </c>
    </row>
    <row r="841" spans="2:41" x14ac:dyDescent="0.25">
      <c r="B841" s="91">
        <v>40570</v>
      </c>
      <c r="C841" s="89">
        <v>129.699997</v>
      </c>
      <c r="D841" s="89">
        <v>130.21000699999999</v>
      </c>
      <c r="E841" s="89">
        <v>129.470001</v>
      </c>
      <c r="F841" s="89">
        <v>129.990005</v>
      </c>
      <c r="G841" s="89">
        <v>101.90031399999999</v>
      </c>
      <c r="H841" s="89">
        <v>123302700</v>
      </c>
      <c r="J841" s="89">
        <v>0</v>
      </c>
      <c r="K841" s="89">
        <f t="shared" si="232"/>
        <v>88</v>
      </c>
      <c r="L841" s="89">
        <f t="shared" si="233"/>
        <v>112.621376</v>
      </c>
      <c r="M841" s="89">
        <f>+SPY__2[[#This Row],[Adj Close]]</f>
        <v>101.90031399999999</v>
      </c>
      <c r="N841" s="89">
        <f t="shared" si="228"/>
        <v>8967.2276320000001</v>
      </c>
      <c r="O841" s="90">
        <f t="shared" si="229"/>
        <v>-943.4534560000003</v>
      </c>
      <c r="P841" s="93">
        <f t="shared" si="230"/>
        <v>-9.5195622543272851E-2</v>
      </c>
      <c r="Q841" s="96"/>
      <c r="R841" s="96"/>
      <c r="T841" s="90">
        <f t="shared" si="224"/>
        <v>95</v>
      </c>
      <c r="U841" s="89">
        <f t="shared" si="225"/>
        <v>103.31428490526316</v>
      </c>
      <c r="V841" s="89">
        <f t="shared" si="226"/>
        <v>101.90031399999999</v>
      </c>
      <c r="W841" s="90">
        <f t="shared" si="231"/>
        <v>9680.5298299999995</v>
      </c>
      <c r="X841" s="93">
        <f t="shared" si="227"/>
        <v>-1.3686112298601727E-2</v>
      </c>
      <c r="AB841" s="89">
        <f t="shared" si="216"/>
        <v>195</v>
      </c>
      <c r="AC841" s="89">
        <f t="shared" si="217"/>
        <v>51.179276000000002</v>
      </c>
      <c r="AD841" s="89">
        <f t="shared" si="218"/>
        <v>101.90031399999999</v>
      </c>
      <c r="AE841" s="89">
        <f t="shared" si="219"/>
        <v>19870.561229999999</v>
      </c>
      <c r="AF841" s="90">
        <f t="shared" si="222"/>
        <v>9890.6024099999995</v>
      </c>
      <c r="AG841" s="93">
        <f t="shared" si="223"/>
        <v>0.99104641495905477</v>
      </c>
      <c r="AK841" s="90">
        <f t="shared" si="220"/>
        <v>142</v>
      </c>
      <c r="AL841" s="89">
        <f t="shared" si="221"/>
        <v>68.865979063380294</v>
      </c>
      <c r="AM841" s="89">
        <f t="shared" si="213"/>
        <v>101.90031399999999</v>
      </c>
      <c r="AN841" s="90">
        <f t="shared" si="214"/>
        <v>14469.844588</v>
      </c>
      <c r="AO841" s="93">
        <f t="shared" si="215"/>
        <v>0.4796901951574204</v>
      </c>
    </row>
    <row r="842" spans="2:41" x14ac:dyDescent="0.25">
      <c r="B842" s="91">
        <v>40571</v>
      </c>
      <c r="C842" s="89">
        <v>130.13999899999999</v>
      </c>
      <c r="D842" s="89">
        <v>130.35000600000001</v>
      </c>
      <c r="E842" s="89">
        <v>127.510002</v>
      </c>
      <c r="F842" s="89">
        <v>127.720001</v>
      </c>
      <c r="G842" s="89">
        <v>100.120811</v>
      </c>
      <c r="H842" s="89">
        <v>295637300</v>
      </c>
      <c r="J842" s="89">
        <v>0</v>
      </c>
      <c r="K842" s="89">
        <f t="shared" si="232"/>
        <v>88</v>
      </c>
      <c r="L842" s="89">
        <f t="shared" si="233"/>
        <v>112.621376</v>
      </c>
      <c r="M842" s="89">
        <f>+SPY__2[[#This Row],[Adj Close]]</f>
        <v>100.120811</v>
      </c>
      <c r="N842" s="89">
        <f t="shared" si="228"/>
        <v>8810.6313680000003</v>
      </c>
      <c r="O842" s="90">
        <f t="shared" si="229"/>
        <v>-1100.0497199999995</v>
      </c>
      <c r="P842" s="93">
        <f t="shared" si="230"/>
        <v>-0.11099637958605646</v>
      </c>
      <c r="Q842" s="96"/>
      <c r="R842" s="96"/>
      <c r="T842" s="90">
        <f t="shared" si="224"/>
        <v>95</v>
      </c>
      <c r="U842" s="89">
        <f t="shared" si="225"/>
        <v>103.31428490526316</v>
      </c>
      <c r="V842" s="89">
        <f t="shared" si="226"/>
        <v>100.120811</v>
      </c>
      <c r="W842" s="90">
        <f t="shared" si="231"/>
        <v>9511.4770449999996</v>
      </c>
      <c r="X842" s="93">
        <f t="shared" si="227"/>
        <v>-3.0910284170204583E-2</v>
      </c>
      <c r="AB842" s="89">
        <f t="shared" si="216"/>
        <v>195</v>
      </c>
      <c r="AC842" s="89">
        <f t="shared" si="217"/>
        <v>51.179276000000002</v>
      </c>
      <c r="AD842" s="89">
        <f t="shared" si="218"/>
        <v>100.120811</v>
      </c>
      <c r="AE842" s="89">
        <f t="shared" si="219"/>
        <v>19523.558144999999</v>
      </c>
      <c r="AF842" s="90">
        <f t="shared" si="222"/>
        <v>9543.599325000001</v>
      </c>
      <c r="AG842" s="93">
        <f t="shared" si="223"/>
        <v>0.95627642329289686</v>
      </c>
      <c r="AK842" s="90">
        <f t="shared" si="220"/>
        <v>142</v>
      </c>
      <c r="AL842" s="89">
        <f t="shared" si="221"/>
        <v>68.865979063380294</v>
      </c>
      <c r="AM842" s="89">
        <f t="shared" si="213"/>
        <v>100.120811</v>
      </c>
      <c r="AN842" s="90">
        <f t="shared" si="214"/>
        <v>14217.155162000001</v>
      </c>
      <c r="AO842" s="93">
        <f t="shared" si="215"/>
        <v>0.453850106565022</v>
      </c>
    </row>
    <row r="843" spans="2:41" x14ac:dyDescent="0.25">
      <c r="B843" s="91">
        <v>40574</v>
      </c>
      <c r="C843" s="89">
        <v>128.070007</v>
      </c>
      <c r="D843" s="89">
        <v>128.779999</v>
      </c>
      <c r="E843" s="89">
        <v>127.75</v>
      </c>
      <c r="F843" s="89">
        <v>128.679993</v>
      </c>
      <c r="G843" s="89">
        <v>100.87336000000001</v>
      </c>
      <c r="H843" s="89">
        <v>149249200</v>
      </c>
      <c r="J843" s="89">
        <v>0</v>
      </c>
      <c r="K843" s="89">
        <f t="shared" si="232"/>
        <v>88</v>
      </c>
      <c r="L843" s="89">
        <f t="shared" si="233"/>
        <v>112.621376</v>
      </c>
      <c r="M843" s="89">
        <f>+SPY__2[[#This Row],[Adj Close]]</f>
        <v>100.87336000000001</v>
      </c>
      <c r="N843" s="89">
        <f t="shared" si="228"/>
        <v>8876.8556800000006</v>
      </c>
      <c r="O843" s="90">
        <f t="shared" si="229"/>
        <v>-1033.8254079999992</v>
      </c>
      <c r="P843" s="93">
        <f t="shared" si="230"/>
        <v>-0.10431426446077152</v>
      </c>
      <c r="Q843" s="96"/>
      <c r="R843" s="96"/>
      <c r="T843" s="90">
        <f t="shared" si="224"/>
        <v>95</v>
      </c>
      <c r="U843" s="89">
        <f t="shared" si="225"/>
        <v>103.31428490526316</v>
      </c>
      <c r="V843" s="89">
        <f t="shared" si="226"/>
        <v>100.87336000000001</v>
      </c>
      <c r="W843" s="90">
        <f t="shared" si="231"/>
        <v>9582.9692000000014</v>
      </c>
      <c r="X843" s="93">
        <f t="shared" si="227"/>
        <v>-2.3626209168474799E-2</v>
      </c>
      <c r="AB843" s="89">
        <f t="shared" si="216"/>
        <v>195</v>
      </c>
      <c r="AC843" s="89">
        <f t="shared" si="217"/>
        <v>51.179276000000002</v>
      </c>
      <c r="AD843" s="89">
        <f t="shared" si="218"/>
        <v>100.87336000000001</v>
      </c>
      <c r="AE843" s="89">
        <f t="shared" si="219"/>
        <v>19670.305200000003</v>
      </c>
      <c r="AF843" s="90">
        <f t="shared" si="222"/>
        <v>9690.3463800000009</v>
      </c>
      <c r="AG843" s="93">
        <f t="shared" si="223"/>
        <v>0.97098059769348821</v>
      </c>
      <c r="AK843" s="90">
        <f t="shared" si="220"/>
        <v>142</v>
      </c>
      <c r="AL843" s="89">
        <f t="shared" si="221"/>
        <v>68.865979063380294</v>
      </c>
      <c r="AM843" s="89">
        <f t="shared" si="213"/>
        <v>100.87336000000001</v>
      </c>
      <c r="AN843" s="90">
        <f t="shared" si="214"/>
        <v>14324.01712</v>
      </c>
      <c r="AO843" s="93">
        <f t="shared" si="215"/>
        <v>0.46477783910052239</v>
      </c>
    </row>
    <row r="844" spans="2:41" x14ac:dyDescent="0.25">
      <c r="B844" s="91">
        <v>40575</v>
      </c>
      <c r="C844" s="89">
        <v>129.46000699999999</v>
      </c>
      <c r="D844" s="89">
        <v>130.970001</v>
      </c>
      <c r="E844" s="89">
        <v>129.38000500000001</v>
      </c>
      <c r="F844" s="89">
        <v>130.740005</v>
      </c>
      <c r="G844" s="89">
        <v>102.48822800000001</v>
      </c>
      <c r="H844" s="89">
        <v>167194300</v>
      </c>
      <c r="J844" s="89">
        <v>0</v>
      </c>
      <c r="K844" s="89">
        <f t="shared" si="232"/>
        <v>88</v>
      </c>
      <c r="L844" s="89">
        <f t="shared" si="233"/>
        <v>112.621376</v>
      </c>
      <c r="M844" s="89">
        <f>+SPY__2[[#This Row],[Adj Close]]</f>
        <v>102.48822800000001</v>
      </c>
      <c r="N844" s="89">
        <f t="shared" si="228"/>
        <v>9018.9640639999998</v>
      </c>
      <c r="O844" s="90">
        <f t="shared" si="229"/>
        <v>-891.71702399999924</v>
      </c>
      <c r="P844" s="93">
        <f t="shared" si="230"/>
        <v>-8.9975352458844027E-2</v>
      </c>
      <c r="Q844" s="96"/>
      <c r="R844" s="96"/>
      <c r="T844" s="90">
        <f t="shared" si="224"/>
        <v>95</v>
      </c>
      <c r="U844" s="89">
        <f t="shared" si="225"/>
        <v>103.31428490526316</v>
      </c>
      <c r="V844" s="89">
        <f t="shared" si="226"/>
        <v>102.48822800000001</v>
      </c>
      <c r="W844" s="90">
        <f t="shared" si="231"/>
        <v>9736.3816600000009</v>
      </c>
      <c r="X844" s="93">
        <f t="shared" si="227"/>
        <v>-7.9955729841292289E-3</v>
      </c>
      <c r="AB844" s="89">
        <f t="shared" si="216"/>
        <v>195</v>
      </c>
      <c r="AC844" s="89">
        <f t="shared" si="217"/>
        <v>51.179276000000002</v>
      </c>
      <c r="AD844" s="89">
        <f t="shared" si="218"/>
        <v>102.48822800000001</v>
      </c>
      <c r="AE844" s="89">
        <f t="shared" si="219"/>
        <v>19985.204460000001</v>
      </c>
      <c r="AF844" s="90">
        <f t="shared" si="222"/>
        <v>10005.245640000001</v>
      </c>
      <c r="AG844" s="93">
        <f t="shared" si="223"/>
        <v>1.0025337599539315</v>
      </c>
      <c r="AK844" s="90">
        <f t="shared" si="220"/>
        <v>142</v>
      </c>
      <c r="AL844" s="89">
        <f t="shared" si="221"/>
        <v>68.865979063380294</v>
      </c>
      <c r="AM844" s="89">
        <f t="shared" si="213"/>
        <v>102.48822800000001</v>
      </c>
      <c r="AN844" s="90">
        <f t="shared" si="214"/>
        <v>14553.328376000001</v>
      </c>
      <c r="AO844" s="93">
        <f t="shared" si="215"/>
        <v>0.48822726974774788</v>
      </c>
    </row>
    <row r="845" spans="2:41" x14ac:dyDescent="0.25">
      <c r="B845" s="91">
        <v>40576</v>
      </c>
      <c r="C845" s="89">
        <v>130.39999399999999</v>
      </c>
      <c r="D845" s="89">
        <v>130.83999600000001</v>
      </c>
      <c r="E845" s="89">
        <v>130.33000200000001</v>
      </c>
      <c r="F845" s="89">
        <v>130.490005</v>
      </c>
      <c r="G845" s="89">
        <v>102.292244</v>
      </c>
      <c r="H845" s="89">
        <v>118323600</v>
      </c>
      <c r="J845" s="89">
        <v>0</v>
      </c>
      <c r="K845" s="89">
        <f t="shared" si="232"/>
        <v>88</v>
      </c>
      <c r="L845" s="89">
        <f t="shared" si="233"/>
        <v>112.621376</v>
      </c>
      <c r="M845" s="89">
        <f>+SPY__2[[#This Row],[Adj Close]]</f>
        <v>102.292244</v>
      </c>
      <c r="N845" s="89">
        <f t="shared" si="228"/>
        <v>9001.7174720000003</v>
      </c>
      <c r="O845" s="90">
        <f t="shared" si="229"/>
        <v>-908.96361600000012</v>
      </c>
      <c r="P845" s="93">
        <f t="shared" si="230"/>
        <v>-9.171555495823458E-2</v>
      </c>
      <c r="Q845" s="96"/>
      <c r="R845" s="96"/>
      <c r="T845" s="90">
        <f t="shared" si="224"/>
        <v>95</v>
      </c>
      <c r="U845" s="89">
        <f t="shared" si="225"/>
        <v>103.31428490526316</v>
      </c>
      <c r="V845" s="89">
        <f t="shared" si="226"/>
        <v>102.292244</v>
      </c>
      <c r="W845" s="90">
        <f t="shared" si="231"/>
        <v>9717.7631799999999</v>
      </c>
      <c r="X845" s="93">
        <f t="shared" si="227"/>
        <v>-9.8925420255325802E-3</v>
      </c>
      <c r="AB845" s="89">
        <f t="shared" si="216"/>
        <v>195</v>
      </c>
      <c r="AC845" s="89">
        <f t="shared" si="217"/>
        <v>51.179276000000002</v>
      </c>
      <c r="AD845" s="89">
        <f t="shared" si="218"/>
        <v>102.292244</v>
      </c>
      <c r="AE845" s="89">
        <f t="shared" si="219"/>
        <v>19946.987580000001</v>
      </c>
      <c r="AF845" s="90">
        <f t="shared" si="222"/>
        <v>9967.0287599999992</v>
      </c>
      <c r="AG845" s="93">
        <f t="shared" si="223"/>
        <v>0.99870439745962791</v>
      </c>
      <c r="AK845" s="90">
        <f t="shared" si="220"/>
        <v>142</v>
      </c>
      <c r="AL845" s="89">
        <f t="shared" si="221"/>
        <v>68.865979063380294</v>
      </c>
      <c r="AM845" s="89">
        <f t="shared" si="213"/>
        <v>102.292244</v>
      </c>
      <c r="AN845" s="90">
        <f t="shared" si="214"/>
        <v>14525.498647999999</v>
      </c>
      <c r="AO845" s="93">
        <f t="shared" si="215"/>
        <v>0.48538139428550187</v>
      </c>
    </row>
    <row r="846" spans="2:41" x14ac:dyDescent="0.25">
      <c r="B846" s="91">
        <v>40577</v>
      </c>
      <c r="C846" s="89">
        <v>130.259995</v>
      </c>
      <c r="D846" s="89">
        <v>130.979996</v>
      </c>
      <c r="E846" s="89">
        <v>129.570007</v>
      </c>
      <c r="F846" s="89">
        <v>130.779999</v>
      </c>
      <c r="G846" s="89">
        <v>102.519569</v>
      </c>
      <c r="H846" s="89">
        <v>145886700</v>
      </c>
      <c r="J846" s="89">
        <v>0</v>
      </c>
      <c r="K846" s="89">
        <f t="shared" si="232"/>
        <v>88</v>
      </c>
      <c r="L846" s="89">
        <f t="shared" si="233"/>
        <v>112.621376</v>
      </c>
      <c r="M846" s="89">
        <f>+SPY__2[[#This Row],[Adj Close]]</f>
        <v>102.519569</v>
      </c>
      <c r="N846" s="89">
        <f t="shared" si="228"/>
        <v>9021.7220720000005</v>
      </c>
      <c r="O846" s="90">
        <f t="shared" si="229"/>
        <v>-888.95901599999945</v>
      </c>
      <c r="P846" s="93">
        <f t="shared" si="230"/>
        <v>-8.9697066034781781E-2</v>
      </c>
      <c r="Q846" s="96"/>
      <c r="R846" s="96"/>
      <c r="T846" s="90">
        <f t="shared" si="224"/>
        <v>95</v>
      </c>
      <c r="U846" s="89">
        <f t="shared" si="225"/>
        <v>103.31428490526316</v>
      </c>
      <c r="V846" s="89">
        <f t="shared" si="226"/>
        <v>102.519569</v>
      </c>
      <c r="W846" s="90">
        <f t="shared" si="231"/>
        <v>9739.3590550000008</v>
      </c>
      <c r="X846" s="93">
        <f t="shared" si="227"/>
        <v>-7.6922170636121168E-3</v>
      </c>
      <c r="AB846" s="89">
        <f t="shared" si="216"/>
        <v>195</v>
      </c>
      <c r="AC846" s="89">
        <f t="shared" si="217"/>
        <v>51.179276000000002</v>
      </c>
      <c r="AD846" s="89">
        <f t="shared" si="218"/>
        <v>102.519569</v>
      </c>
      <c r="AE846" s="89">
        <f t="shared" si="219"/>
        <v>19991.315955000002</v>
      </c>
      <c r="AF846" s="90">
        <f t="shared" si="222"/>
        <v>10011.357135</v>
      </c>
      <c r="AG846" s="93">
        <f t="shared" si="223"/>
        <v>1.0031461367292493</v>
      </c>
      <c r="AK846" s="90">
        <f t="shared" si="220"/>
        <v>142</v>
      </c>
      <c r="AL846" s="89">
        <f t="shared" si="221"/>
        <v>68.865979063380294</v>
      </c>
      <c r="AM846" s="89">
        <f t="shared" si="213"/>
        <v>102.519569</v>
      </c>
      <c r="AN846" s="90">
        <f t="shared" si="214"/>
        <v>14557.778798000001</v>
      </c>
      <c r="AO846" s="93">
        <f t="shared" si="215"/>
        <v>0.48868237109715507</v>
      </c>
    </row>
    <row r="847" spans="2:41" x14ac:dyDescent="0.25">
      <c r="B847" s="91">
        <v>40578</v>
      </c>
      <c r="C847" s="89">
        <v>130.83000200000001</v>
      </c>
      <c r="D847" s="89">
        <v>131.199997</v>
      </c>
      <c r="E847" s="89">
        <v>130.229996</v>
      </c>
      <c r="F847" s="89">
        <v>131.14999399999999</v>
      </c>
      <c r="G847" s="89">
        <v>102.809608</v>
      </c>
      <c r="H847" s="89">
        <v>134634800</v>
      </c>
      <c r="J847" s="89">
        <v>0</v>
      </c>
      <c r="K847" s="89">
        <f t="shared" si="232"/>
        <v>88</v>
      </c>
      <c r="L847" s="89">
        <f t="shared" si="233"/>
        <v>112.621376</v>
      </c>
      <c r="M847" s="89">
        <f>+SPY__2[[#This Row],[Adj Close]]</f>
        <v>102.809608</v>
      </c>
      <c r="N847" s="89">
        <f t="shared" si="228"/>
        <v>9047.2455040000004</v>
      </c>
      <c r="O847" s="90">
        <f t="shared" si="229"/>
        <v>-863.43558400000006</v>
      </c>
      <c r="P847" s="93">
        <f t="shared" si="230"/>
        <v>-8.712172012531616E-2</v>
      </c>
      <c r="Q847" s="96"/>
      <c r="R847" s="96"/>
      <c r="T847" s="90">
        <f t="shared" si="224"/>
        <v>95</v>
      </c>
      <c r="U847" s="89">
        <f t="shared" si="225"/>
        <v>103.31428490526316</v>
      </c>
      <c r="V847" s="89">
        <f t="shared" si="226"/>
        <v>102.809608</v>
      </c>
      <c r="W847" s="90">
        <f t="shared" si="231"/>
        <v>9766.9127599999993</v>
      </c>
      <c r="X847" s="93">
        <f t="shared" si="227"/>
        <v>-4.884870526142171E-3</v>
      </c>
      <c r="AB847" s="89">
        <f t="shared" si="216"/>
        <v>195</v>
      </c>
      <c r="AC847" s="89">
        <f t="shared" si="217"/>
        <v>51.179276000000002</v>
      </c>
      <c r="AD847" s="89">
        <f t="shared" si="218"/>
        <v>102.809608</v>
      </c>
      <c r="AE847" s="89">
        <f t="shared" si="219"/>
        <v>20047.87356</v>
      </c>
      <c r="AF847" s="90">
        <f t="shared" si="222"/>
        <v>10067.914739999998</v>
      </c>
      <c r="AG847" s="93">
        <f t="shared" si="223"/>
        <v>1.0088132548025883</v>
      </c>
      <c r="AK847" s="90">
        <f t="shared" si="220"/>
        <v>142</v>
      </c>
      <c r="AL847" s="89">
        <f t="shared" si="221"/>
        <v>68.865979063380294</v>
      </c>
      <c r="AM847" s="89">
        <f t="shared" si="213"/>
        <v>102.809608</v>
      </c>
      <c r="AN847" s="90">
        <f t="shared" si="214"/>
        <v>14598.964335999999</v>
      </c>
      <c r="AO847" s="93">
        <f t="shared" si="215"/>
        <v>0.49289401527828325</v>
      </c>
    </row>
    <row r="848" spans="2:41" x14ac:dyDescent="0.25">
      <c r="B848" s="91">
        <v>40581</v>
      </c>
      <c r="C848" s="89">
        <v>131.44000199999999</v>
      </c>
      <c r="D848" s="89">
        <v>132.39999399999999</v>
      </c>
      <c r="E848" s="89">
        <v>131.429993</v>
      </c>
      <c r="F848" s="89">
        <v>131.970001</v>
      </c>
      <c r="G848" s="89">
        <v>103.452438</v>
      </c>
      <c r="H848" s="89">
        <v>112439100</v>
      </c>
      <c r="J848" s="89">
        <v>0</v>
      </c>
      <c r="K848" s="89">
        <f t="shared" si="232"/>
        <v>88</v>
      </c>
      <c r="L848" s="89">
        <f t="shared" si="233"/>
        <v>112.621376</v>
      </c>
      <c r="M848" s="89">
        <f>+SPY__2[[#This Row],[Adj Close]]</f>
        <v>103.452438</v>
      </c>
      <c r="N848" s="89">
        <f t="shared" si="228"/>
        <v>9103.8145440000008</v>
      </c>
      <c r="O848" s="90">
        <f t="shared" si="229"/>
        <v>-806.86654399999975</v>
      </c>
      <c r="P848" s="93">
        <f t="shared" si="230"/>
        <v>-8.1413833906628819E-2</v>
      </c>
      <c r="Q848" s="96"/>
      <c r="R848" s="96"/>
      <c r="T848" s="90">
        <f t="shared" si="224"/>
        <v>95</v>
      </c>
      <c r="U848" s="89">
        <f t="shared" si="225"/>
        <v>103.31428490526316</v>
      </c>
      <c r="V848" s="89">
        <f t="shared" si="226"/>
        <v>103.452438</v>
      </c>
      <c r="W848" s="90">
        <f t="shared" si="231"/>
        <v>9827.9816100000007</v>
      </c>
      <c r="X848" s="93">
        <f t="shared" si="227"/>
        <v>1.337211934085758E-3</v>
      </c>
      <c r="AB848" s="89">
        <f t="shared" si="216"/>
        <v>195</v>
      </c>
      <c r="AC848" s="89">
        <f t="shared" si="217"/>
        <v>51.179276000000002</v>
      </c>
      <c r="AD848" s="89">
        <f t="shared" si="218"/>
        <v>103.452438</v>
      </c>
      <c r="AE848" s="89">
        <f t="shared" si="219"/>
        <v>20173.225409999999</v>
      </c>
      <c r="AF848" s="90">
        <f t="shared" si="222"/>
        <v>10193.266589999999</v>
      </c>
      <c r="AG848" s="93">
        <f t="shared" si="223"/>
        <v>1.0213736122410171</v>
      </c>
      <c r="AK848" s="90">
        <f t="shared" si="220"/>
        <v>142</v>
      </c>
      <c r="AL848" s="89">
        <f t="shared" si="221"/>
        <v>68.865979063380294</v>
      </c>
      <c r="AM848" s="89">
        <f t="shared" si="213"/>
        <v>103.452438</v>
      </c>
      <c r="AN848" s="90">
        <f t="shared" si="214"/>
        <v>14690.246196</v>
      </c>
      <c r="AO848" s="93">
        <f t="shared" si="215"/>
        <v>0.5022285228064256</v>
      </c>
    </row>
    <row r="849" spans="2:41" x14ac:dyDescent="0.25">
      <c r="B849" s="91">
        <v>40582</v>
      </c>
      <c r="C849" s="89">
        <v>132.08999600000001</v>
      </c>
      <c r="D849" s="89">
        <v>132.63999899999999</v>
      </c>
      <c r="E849" s="89">
        <v>131.729996</v>
      </c>
      <c r="F849" s="89">
        <v>132.570007</v>
      </c>
      <c r="G849" s="89">
        <v>103.922775</v>
      </c>
      <c r="H849" s="89">
        <v>99072800</v>
      </c>
      <c r="J849" s="89">
        <v>0</v>
      </c>
      <c r="K849" s="89">
        <f t="shared" si="232"/>
        <v>88</v>
      </c>
      <c r="L849" s="89">
        <f t="shared" si="233"/>
        <v>112.621376</v>
      </c>
      <c r="M849" s="89">
        <f>+SPY__2[[#This Row],[Adj Close]]</f>
        <v>103.922775</v>
      </c>
      <c r="N849" s="89">
        <f t="shared" si="228"/>
        <v>9145.2042000000001</v>
      </c>
      <c r="O849" s="90">
        <f t="shared" si="229"/>
        <v>-765.47688799999969</v>
      </c>
      <c r="P849" s="93">
        <f t="shared" si="230"/>
        <v>-7.7237566339093511E-2</v>
      </c>
      <c r="Q849" s="96"/>
      <c r="R849" s="96"/>
      <c r="T849" s="90">
        <f t="shared" si="224"/>
        <v>95</v>
      </c>
      <c r="U849" s="89">
        <f t="shared" si="225"/>
        <v>103.31428490526316</v>
      </c>
      <c r="V849" s="89">
        <f t="shared" si="226"/>
        <v>103.922775</v>
      </c>
      <c r="W849" s="90">
        <f t="shared" si="231"/>
        <v>9872.663625000001</v>
      </c>
      <c r="X849" s="93">
        <f t="shared" si="227"/>
        <v>5.8896995250445894E-3</v>
      </c>
      <c r="AB849" s="89">
        <f t="shared" si="216"/>
        <v>195</v>
      </c>
      <c r="AC849" s="89">
        <f t="shared" si="217"/>
        <v>51.179276000000002</v>
      </c>
      <c r="AD849" s="89">
        <f t="shared" si="218"/>
        <v>103.922775</v>
      </c>
      <c r="AE849" s="89">
        <f t="shared" si="219"/>
        <v>20264.941125000001</v>
      </c>
      <c r="AF849" s="90">
        <f t="shared" si="222"/>
        <v>10284.982305</v>
      </c>
      <c r="AG849" s="93">
        <f t="shared" si="223"/>
        <v>1.0305636015640394</v>
      </c>
      <c r="AK849" s="90">
        <f t="shared" si="220"/>
        <v>142</v>
      </c>
      <c r="AL849" s="89">
        <f t="shared" si="221"/>
        <v>68.865979063380294</v>
      </c>
      <c r="AM849" s="89">
        <f t="shared" si="213"/>
        <v>103.922775</v>
      </c>
      <c r="AN849" s="90">
        <f t="shared" si="214"/>
        <v>14757.03405</v>
      </c>
      <c r="AO849" s="93">
        <f t="shared" si="215"/>
        <v>0.50905826670024479</v>
      </c>
    </row>
    <row r="850" spans="2:41" x14ac:dyDescent="0.25">
      <c r="B850" s="91">
        <v>40583</v>
      </c>
      <c r="C850" s="89">
        <v>132.21000699999999</v>
      </c>
      <c r="D850" s="89">
        <v>132.63000500000001</v>
      </c>
      <c r="E850" s="89">
        <v>131.61000100000001</v>
      </c>
      <c r="F850" s="89">
        <v>132.270004</v>
      </c>
      <c r="G850" s="89">
        <v>103.687614</v>
      </c>
      <c r="H850" s="89">
        <v>146436700</v>
      </c>
      <c r="J850" s="89">
        <v>0</v>
      </c>
      <c r="K850" s="89">
        <f t="shared" si="232"/>
        <v>88</v>
      </c>
      <c r="L850" s="89">
        <f t="shared" si="233"/>
        <v>112.621376</v>
      </c>
      <c r="M850" s="89">
        <f>+SPY__2[[#This Row],[Adj Close]]</f>
        <v>103.687614</v>
      </c>
      <c r="N850" s="89">
        <f t="shared" si="228"/>
        <v>9124.5100320000001</v>
      </c>
      <c r="O850" s="90">
        <f t="shared" si="229"/>
        <v>-786.17105600000014</v>
      </c>
      <c r="P850" s="93">
        <f t="shared" si="230"/>
        <v>-7.932563352804356E-2</v>
      </c>
      <c r="Q850" s="96"/>
      <c r="R850" s="96"/>
      <c r="T850" s="90">
        <f t="shared" si="224"/>
        <v>95</v>
      </c>
      <c r="U850" s="89">
        <f t="shared" si="225"/>
        <v>103.31428490526316</v>
      </c>
      <c r="V850" s="89">
        <f t="shared" si="226"/>
        <v>103.687614</v>
      </c>
      <c r="W850" s="90">
        <f t="shared" si="231"/>
        <v>9850.3233299999993</v>
      </c>
      <c r="X850" s="93">
        <f t="shared" si="227"/>
        <v>3.6135283235920745E-3</v>
      </c>
      <c r="AB850" s="89">
        <f t="shared" si="216"/>
        <v>195</v>
      </c>
      <c r="AC850" s="89">
        <f t="shared" si="217"/>
        <v>51.179276000000002</v>
      </c>
      <c r="AD850" s="89">
        <f t="shared" si="218"/>
        <v>103.687614</v>
      </c>
      <c r="AE850" s="89">
        <f t="shared" si="219"/>
        <v>20219.084729999999</v>
      </c>
      <c r="AF850" s="90">
        <f t="shared" si="222"/>
        <v>10239.125909999999</v>
      </c>
      <c r="AG850" s="93">
        <f t="shared" si="223"/>
        <v>1.025968753446219</v>
      </c>
      <c r="AK850" s="90">
        <f t="shared" si="220"/>
        <v>142</v>
      </c>
      <c r="AL850" s="89">
        <f t="shared" si="221"/>
        <v>68.865979063380294</v>
      </c>
      <c r="AM850" s="89">
        <f t="shared" si="213"/>
        <v>103.687614</v>
      </c>
      <c r="AN850" s="90">
        <f t="shared" si="214"/>
        <v>14723.641188</v>
      </c>
      <c r="AO850" s="93">
        <f t="shared" si="215"/>
        <v>0.50564350366052113</v>
      </c>
    </row>
    <row r="851" spans="2:41" x14ac:dyDescent="0.25">
      <c r="B851" s="91">
        <v>40584</v>
      </c>
      <c r="C851" s="89">
        <v>131.60000600000001</v>
      </c>
      <c r="D851" s="89">
        <v>132.470001</v>
      </c>
      <c r="E851" s="89">
        <v>131.300003</v>
      </c>
      <c r="F851" s="89">
        <v>132.320007</v>
      </c>
      <c r="G851" s="89">
        <v>103.72680699999999</v>
      </c>
      <c r="H851" s="89">
        <v>162708500</v>
      </c>
      <c r="J851" s="89">
        <v>0</v>
      </c>
      <c r="K851" s="89">
        <f t="shared" si="232"/>
        <v>88</v>
      </c>
      <c r="L851" s="89">
        <f t="shared" si="233"/>
        <v>112.621376</v>
      </c>
      <c r="M851" s="89">
        <f>+SPY__2[[#This Row],[Adj Close]]</f>
        <v>103.72680699999999</v>
      </c>
      <c r="N851" s="89">
        <f t="shared" si="228"/>
        <v>9127.9590159999989</v>
      </c>
      <c r="O851" s="90">
        <f t="shared" si="229"/>
        <v>-782.72207200000037</v>
      </c>
      <c r="P851" s="93">
        <f t="shared" si="230"/>
        <v>-7.8977626769539788E-2</v>
      </c>
      <c r="Q851" s="96"/>
      <c r="R851" s="96"/>
      <c r="T851" s="90">
        <f t="shared" si="224"/>
        <v>95</v>
      </c>
      <c r="U851" s="89">
        <f t="shared" si="225"/>
        <v>103.31428490526316</v>
      </c>
      <c r="V851" s="89">
        <f t="shared" si="226"/>
        <v>103.72680699999999</v>
      </c>
      <c r="W851" s="90">
        <f t="shared" si="231"/>
        <v>9854.0466649999998</v>
      </c>
      <c r="X851" s="93">
        <f t="shared" si="227"/>
        <v>3.9928853508990336E-3</v>
      </c>
      <c r="AB851" s="89">
        <f t="shared" si="216"/>
        <v>195</v>
      </c>
      <c r="AC851" s="89">
        <f t="shared" si="217"/>
        <v>51.179276000000002</v>
      </c>
      <c r="AD851" s="89">
        <f t="shared" si="218"/>
        <v>103.72680699999999</v>
      </c>
      <c r="AE851" s="89">
        <f t="shared" si="219"/>
        <v>20226.727364999999</v>
      </c>
      <c r="AF851" s="90">
        <f t="shared" si="222"/>
        <v>10246.768544999999</v>
      </c>
      <c r="AG851" s="93">
        <f t="shared" si="223"/>
        <v>1.0267345516962765</v>
      </c>
      <c r="AK851" s="90">
        <f t="shared" si="220"/>
        <v>142</v>
      </c>
      <c r="AL851" s="89">
        <f t="shared" si="221"/>
        <v>68.865979063380294</v>
      </c>
      <c r="AM851" s="89">
        <f t="shared" si="213"/>
        <v>103.72680699999999</v>
      </c>
      <c r="AN851" s="90">
        <f t="shared" si="214"/>
        <v>14729.206593999999</v>
      </c>
      <c r="AO851" s="93">
        <f t="shared" si="215"/>
        <v>0.5062126235733293</v>
      </c>
    </row>
    <row r="852" spans="2:41" x14ac:dyDescent="0.25">
      <c r="B852" s="91">
        <v>40585</v>
      </c>
      <c r="C852" s="89">
        <v>131.800003</v>
      </c>
      <c r="D852" s="89">
        <v>133.279999</v>
      </c>
      <c r="E852" s="89">
        <v>131.770004</v>
      </c>
      <c r="F852" s="89">
        <v>133.11000100000001</v>
      </c>
      <c r="G852" s="89">
        <v>104.346085</v>
      </c>
      <c r="H852" s="89">
        <v>137710300</v>
      </c>
      <c r="J852" s="89">
        <v>0</v>
      </c>
      <c r="K852" s="89">
        <f t="shared" si="232"/>
        <v>88</v>
      </c>
      <c r="L852" s="89">
        <f t="shared" si="233"/>
        <v>112.621376</v>
      </c>
      <c r="M852" s="89">
        <f>+SPY__2[[#This Row],[Adj Close]]</f>
        <v>104.346085</v>
      </c>
      <c r="N852" s="89">
        <f t="shared" si="228"/>
        <v>9182.4554800000005</v>
      </c>
      <c r="O852" s="90">
        <f t="shared" si="229"/>
        <v>-728.22560799999962</v>
      </c>
      <c r="P852" s="93">
        <f t="shared" si="230"/>
        <v>-7.3478866036941315E-2</v>
      </c>
      <c r="Q852" s="96"/>
      <c r="R852" s="96"/>
      <c r="T852" s="90">
        <f t="shared" si="224"/>
        <v>95</v>
      </c>
      <c r="U852" s="89">
        <f t="shared" si="225"/>
        <v>103.31428490526316</v>
      </c>
      <c r="V852" s="89">
        <f t="shared" si="226"/>
        <v>104.346085</v>
      </c>
      <c r="W852" s="90">
        <f t="shared" si="231"/>
        <v>9912.8780750000005</v>
      </c>
      <c r="X852" s="93">
        <f t="shared" si="227"/>
        <v>9.9870032075717319E-3</v>
      </c>
      <c r="AB852" s="89">
        <f t="shared" si="216"/>
        <v>195</v>
      </c>
      <c r="AC852" s="89">
        <f t="shared" si="217"/>
        <v>51.179276000000002</v>
      </c>
      <c r="AD852" s="89">
        <f t="shared" si="218"/>
        <v>104.346085</v>
      </c>
      <c r="AE852" s="89">
        <f t="shared" si="219"/>
        <v>20347.486574999999</v>
      </c>
      <c r="AF852" s="90">
        <f t="shared" si="222"/>
        <v>10367.527755000001</v>
      </c>
      <c r="AG852" s="93">
        <f t="shared" si="223"/>
        <v>1.0388347228671231</v>
      </c>
      <c r="AK852" s="90">
        <f t="shared" si="220"/>
        <v>142</v>
      </c>
      <c r="AL852" s="89">
        <f t="shared" si="221"/>
        <v>68.865979063380294</v>
      </c>
      <c r="AM852" s="89">
        <f t="shared" si="213"/>
        <v>104.346085</v>
      </c>
      <c r="AN852" s="90">
        <f t="shared" si="214"/>
        <v>14817.14407</v>
      </c>
      <c r="AO852" s="93">
        <f t="shared" si="215"/>
        <v>0.51520513349510155</v>
      </c>
    </row>
    <row r="853" spans="2:41" x14ac:dyDescent="0.25">
      <c r="B853" s="91">
        <v>40588</v>
      </c>
      <c r="C853" s="89">
        <v>133.029999</v>
      </c>
      <c r="D853" s="89">
        <v>133.53999300000001</v>
      </c>
      <c r="E853" s="89">
        <v>132.88000500000001</v>
      </c>
      <c r="F853" s="89">
        <v>133.429993</v>
      </c>
      <c r="G853" s="89">
        <v>104.596947</v>
      </c>
      <c r="H853" s="89">
        <v>101690700</v>
      </c>
      <c r="J853" s="89">
        <v>0</v>
      </c>
      <c r="K853" s="89">
        <f t="shared" si="232"/>
        <v>88</v>
      </c>
      <c r="L853" s="89">
        <f t="shared" si="233"/>
        <v>112.621376</v>
      </c>
      <c r="M853" s="89">
        <f>+SPY__2[[#This Row],[Adj Close]]</f>
        <v>104.596947</v>
      </c>
      <c r="N853" s="89">
        <f t="shared" si="228"/>
        <v>9204.531336</v>
      </c>
      <c r="O853" s="90">
        <f t="shared" si="229"/>
        <v>-706.14975199999981</v>
      </c>
      <c r="P853" s="93">
        <f t="shared" si="230"/>
        <v>-7.1251384817035079E-2</v>
      </c>
      <c r="Q853" s="96"/>
      <c r="R853" s="96"/>
      <c r="T853" s="90">
        <f t="shared" si="224"/>
        <v>95</v>
      </c>
      <c r="U853" s="89">
        <f t="shared" si="225"/>
        <v>103.31428490526316</v>
      </c>
      <c r="V853" s="89">
        <f t="shared" si="226"/>
        <v>104.596947</v>
      </c>
      <c r="W853" s="90">
        <f t="shared" si="231"/>
        <v>9936.709965</v>
      </c>
      <c r="X853" s="93">
        <f t="shared" si="227"/>
        <v>1.2415147584992736E-2</v>
      </c>
      <c r="AB853" s="89">
        <f t="shared" si="216"/>
        <v>195</v>
      </c>
      <c r="AC853" s="89">
        <f t="shared" si="217"/>
        <v>51.179276000000002</v>
      </c>
      <c r="AD853" s="89">
        <f t="shared" si="218"/>
        <v>104.596947</v>
      </c>
      <c r="AE853" s="89">
        <f t="shared" si="219"/>
        <v>20396.404665000002</v>
      </c>
      <c r="AF853" s="90">
        <f t="shared" si="222"/>
        <v>10416.445845</v>
      </c>
      <c r="AG853" s="93">
        <f t="shared" si="223"/>
        <v>1.0437363553169452</v>
      </c>
      <c r="AK853" s="90">
        <f t="shared" si="220"/>
        <v>142</v>
      </c>
      <c r="AL853" s="89">
        <f t="shared" si="221"/>
        <v>68.865979063380294</v>
      </c>
      <c r="AM853" s="89">
        <f t="shared" si="213"/>
        <v>104.596947</v>
      </c>
      <c r="AN853" s="90">
        <f t="shared" si="214"/>
        <v>14852.766474</v>
      </c>
      <c r="AO853" s="93">
        <f t="shared" si="215"/>
        <v>0.51884789009875232</v>
      </c>
    </row>
    <row r="854" spans="2:41" x14ac:dyDescent="0.25">
      <c r="B854" s="91">
        <v>40589</v>
      </c>
      <c r="C854" s="89">
        <v>133.020004</v>
      </c>
      <c r="D854" s="89">
        <v>133.220001</v>
      </c>
      <c r="E854" s="89">
        <v>132.320007</v>
      </c>
      <c r="F854" s="89">
        <v>133.009995</v>
      </c>
      <c r="G854" s="89">
        <v>104.267685</v>
      </c>
      <c r="H854" s="89">
        <v>119575400</v>
      </c>
      <c r="J854" s="89">
        <v>0</v>
      </c>
      <c r="K854" s="89">
        <f t="shared" si="232"/>
        <v>88</v>
      </c>
      <c r="L854" s="89">
        <f t="shared" si="233"/>
        <v>112.621376</v>
      </c>
      <c r="M854" s="89">
        <f>+SPY__2[[#This Row],[Adj Close]]</f>
        <v>104.267685</v>
      </c>
      <c r="N854" s="89">
        <f t="shared" si="228"/>
        <v>9175.5562800000007</v>
      </c>
      <c r="O854" s="90">
        <f t="shared" si="229"/>
        <v>-735.1248079999998</v>
      </c>
      <c r="P854" s="93">
        <f t="shared" si="230"/>
        <v>-7.4175003864275224E-2</v>
      </c>
      <c r="Q854" s="96"/>
      <c r="R854" s="96"/>
      <c r="T854" s="90">
        <f t="shared" si="224"/>
        <v>95</v>
      </c>
      <c r="U854" s="89">
        <f t="shared" si="225"/>
        <v>103.31428490526316</v>
      </c>
      <c r="V854" s="89">
        <f t="shared" si="226"/>
        <v>104.267685</v>
      </c>
      <c r="W854" s="90">
        <f t="shared" si="231"/>
        <v>9905.4300750000002</v>
      </c>
      <c r="X854" s="93">
        <f t="shared" si="227"/>
        <v>9.2281536441072287E-3</v>
      </c>
      <c r="AB854" s="89">
        <f t="shared" si="216"/>
        <v>195</v>
      </c>
      <c r="AC854" s="89">
        <f t="shared" si="217"/>
        <v>51.179276000000002</v>
      </c>
      <c r="AD854" s="89">
        <f t="shared" si="218"/>
        <v>104.267685</v>
      </c>
      <c r="AE854" s="89">
        <f t="shared" si="219"/>
        <v>20332.198574999999</v>
      </c>
      <c r="AF854" s="90">
        <f t="shared" si="222"/>
        <v>10352.239755000001</v>
      </c>
      <c r="AG854" s="93">
        <f t="shared" si="223"/>
        <v>1.0373028528187853</v>
      </c>
      <c r="AK854" s="90">
        <f t="shared" si="220"/>
        <v>142</v>
      </c>
      <c r="AL854" s="89">
        <f t="shared" si="221"/>
        <v>68.865979063380294</v>
      </c>
      <c r="AM854" s="89">
        <f t="shared" si="213"/>
        <v>104.267685</v>
      </c>
      <c r="AN854" s="90">
        <f t="shared" si="214"/>
        <v>14806.011270000001</v>
      </c>
      <c r="AO854" s="93">
        <f t="shared" si="215"/>
        <v>0.51406669037607111</v>
      </c>
    </row>
    <row r="855" spans="2:41" x14ac:dyDescent="0.25">
      <c r="B855" s="91">
        <v>40590</v>
      </c>
      <c r="C855" s="89">
        <v>133.46000699999999</v>
      </c>
      <c r="D855" s="89">
        <v>134.009995</v>
      </c>
      <c r="E855" s="89">
        <v>133.19000199999999</v>
      </c>
      <c r="F855" s="89">
        <v>133.85000600000001</v>
      </c>
      <c r="G855" s="89">
        <v>104.92617799999999</v>
      </c>
      <c r="H855" s="89">
        <v>130183500</v>
      </c>
      <c r="J855" s="89">
        <v>0</v>
      </c>
      <c r="K855" s="89">
        <f t="shared" si="232"/>
        <v>88</v>
      </c>
      <c r="L855" s="89">
        <f t="shared" si="233"/>
        <v>112.621376</v>
      </c>
      <c r="M855" s="89">
        <f>+SPY__2[[#This Row],[Adj Close]]</f>
        <v>104.92617799999999</v>
      </c>
      <c r="N855" s="89">
        <f t="shared" si="228"/>
        <v>9233.5036639999998</v>
      </c>
      <c r="O855" s="90">
        <f t="shared" si="229"/>
        <v>-677.17742400000043</v>
      </c>
      <c r="P855" s="93">
        <f t="shared" si="230"/>
        <v>-6.8328041028374642E-2</v>
      </c>
      <c r="Q855" s="96"/>
      <c r="R855" s="96"/>
      <c r="T855" s="90">
        <f t="shared" si="224"/>
        <v>95</v>
      </c>
      <c r="U855" s="89">
        <f t="shared" si="225"/>
        <v>103.31428490526316</v>
      </c>
      <c r="V855" s="89">
        <f t="shared" si="226"/>
        <v>104.92617799999999</v>
      </c>
      <c r="W855" s="90">
        <f t="shared" si="231"/>
        <v>9967.9869099999996</v>
      </c>
      <c r="X855" s="93">
        <f t="shared" si="227"/>
        <v>1.5601841470566313E-2</v>
      </c>
      <c r="AB855" s="89">
        <f t="shared" si="216"/>
        <v>195</v>
      </c>
      <c r="AC855" s="89">
        <f t="shared" si="217"/>
        <v>51.179276000000002</v>
      </c>
      <c r="AD855" s="89">
        <f t="shared" si="218"/>
        <v>104.92617799999999</v>
      </c>
      <c r="AE855" s="89">
        <f t="shared" si="219"/>
        <v>20460.60471</v>
      </c>
      <c r="AF855" s="90">
        <f t="shared" si="222"/>
        <v>10480.645889999998</v>
      </c>
      <c r="AG855" s="93">
        <f t="shared" si="223"/>
        <v>1.0501692521011825</v>
      </c>
      <c r="AK855" s="90">
        <f t="shared" si="220"/>
        <v>142</v>
      </c>
      <c r="AL855" s="89">
        <f t="shared" si="221"/>
        <v>68.865979063380294</v>
      </c>
      <c r="AM855" s="89">
        <f t="shared" si="213"/>
        <v>104.92617799999999</v>
      </c>
      <c r="AN855" s="90">
        <f t="shared" si="214"/>
        <v>14899.517275999999</v>
      </c>
      <c r="AO855" s="93">
        <f t="shared" si="215"/>
        <v>0.52362863967173068</v>
      </c>
    </row>
    <row r="856" spans="2:41" x14ac:dyDescent="0.25">
      <c r="B856" s="91">
        <v>40591</v>
      </c>
      <c r="C856" s="89">
        <v>133.46000699999999</v>
      </c>
      <c r="D856" s="89">
        <v>134.429993</v>
      </c>
      <c r="E856" s="89">
        <v>133.33999600000001</v>
      </c>
      <c r="F856" s="89">
        <v>134.25</v>
      </c>
      <c r="G856" s="89">
        <v>105.239746</v>
      </c>
      <c r="H856" s="89">
        <v>109810500</v>
      </c>
      <c r="J856" s="89">
        <v>0</v>
      </c>
      <c r="K856" s="89">
        <f t="shared" si="232"/>
        <v>88</v>
      </c>
      <c r="L856" s="89">
        <f t="shared" si="233"/>
        <v>112.621376</v>
      </c>
      <c r="M856" s="89">
        <f>+SPY__2[[#This Row],[Adj Close]]</f>
        <v>105.239746</v>
      </c>
      <c r="N856" s="89">
        <f t="shared" si="228"/>
        <v>9261.097647999999</v>
      </c>
      <c r="O856" s="90">
        <f t="shared" si="229"/>
        <v>-649.58344000000011</v>
      </c>
      <c r="P856" s="93">
        <f t="shared" si="230"/>
        <v>-6.5543773856927445E-2</v>
      </c>
      <c r="Q856" s="96"/>
      <c r="R856" s="96"/>
      <c r="T856" s="90">
        <f t="shared" si="224"/>
        <v>95</v>
      </c>
      <c r="U856" s="89">
        <f t="shared" si="225"/>
        <v>103.31428490526316</v>
      </c>
      <c r="V856" s="89">
        <f t="shared" si="226"/>
        <v>105.239746</v>
      </c>
      <c r="W856" s="90">
        <f t="shared" si="231"/>
        <v>9997.7758699999995</v>
      </c>
      <c r="X856" s="93">
        <f t="shared" si="227"/>
        <v>1.8636929989908291E-2</v>
      </c>
      <c r="AB856" s="89">
        <f t="shared" si="216"/>
        <v>195</v>
      </c>
      <c r="AC856" s="89">
        <f t="shared" si="217"/>
        <v>51.179276000000002</v>
      </c>
      <c r="AD856" s="89">
        <f t="shared" si="218"/>
        <v>105.239746</v>
      </c>
      <c r="AE856" s="89">
        <f t="shared" si="219"/>
        <v>20521.750469999999</v>
      </c>
      <c r="AF856" s="90">
        <f t="shared" si="222"/>
        <v>10541.791649999999</v>
      </c>
      <c r="AG856" s="93">
        <f t="shared" si="223"/>
        <v>1.0562961070414514</v>
      </c>
      <c r="AK856" s="90">
        <f t="shared" si="220"/>
        <v>142</v>
      </c>
      <c r="AL856" s="89">
        <f t="shared" si="221"/>
        <v>68.865979063380294</v>
      </c>
      <c r="AM856" s="89">
        <f t="shared" si="213"/>
        <v>105.239746</v>
      </c>
      <c r="AN856" s="90">
        <f t="shared" si="214"/>
        <v>14944.043931999999</v>
      </c>
      <c r="AO856" s="93">
        <f t="shared" si="215"/>
        <v>0.5281819474771916</v>
      </c>
    </row>
    <row r="857" spans="2:41" x14ac:dyDescent="0.25">
      <c r="B857" s="91">
        <v>40592</v>
      </c>
      <c r="C857" s="89">
        <v>134.36999499999999</v>
      </c>
      <c r="D857" s="89">
        <v>134.69000199999999</v>
      </c>
      <c r="E857" s="89">
        <v>134.05999800000001</v>
      </c>
      <c r="F857" s="89">
        <v>134.529999</v>
      </c>
      <c r="G857" s="89">
        <v>105.459198</v>
      </c>
      <c r="H857" s="89">
        <v>130002400</v>
      </c>
      <c r="J857" s="89">
        <v>0</v>
      </c>
      <c r="K857" s="89">
        <f t="shared" si="232"/>
        <v>88</v>
      </c>
      <c r="L857" s="89">
        <f t="shared" si="233"/>
        <v>112.621376</v>
      </c>
      <c r="M857" s="89">
        <f>+SPY__2[[#This Row],[Adj Close]]</f>
        <v>105.459198</v>
      </c>
      <c r="N857" s="89">
        <f t="shared" si="228"/>
        <v>9280.4094239999995</v>
      </c>
      <c r="O857" s="90">
        <f t="shared" si="229"/>
        <v>-630.27166399999976</v>
      </c>
      <c r="P857" s="93">
        <f t="shared" si="230"/>
        <v>-6.3595191733405887E-2</v>
      </c>
      <c r="Q857" s="96"/>
      <c r="R857" s="96"/>
      <c r="T857" s="90">
        <f t="shared" si="224"/>
        <v>95</v>
      </c>
      <c r="U857" s="89">
        <f t="shared" si="225"/>
        <v>103.31428490526316</v>
      </c>
      <c r="V857" s="89">
        <f t="shared" si="226"/>
        <v>105.459198</v>
      </c>
      <c r="W857" s="90">
        <f t="shared" si="231"/>
        <v>10018.623810000001</v>
      </c>
      <c r="X857" s="93">
        <f t="shared" si="227"/>
        <v>2.076105058176303E-2</v>
      </c>
      <c r="AB857" s="89">
        <f t="shared" si="216"/>
        <v>195</v>
      </c>
      <c r="AC857" s="89">
        <f t="shared" si="217"/>
        <v>51.179276000000002</v>
      </c>
      <c r="AD857" s="89">
        <f t="shared" si="218"/>
        <v>105.459198</v>
      </c>
      <c r="AE857" s="89">
        <f t="shared" si="219"/>
        <v>20564.543610000001</v>
      </c>
      <c r="AF857" s="90">
        <f t="shared" si="222"/>
        <v>10584.584789999999</v>
      </c>
      <c r="AG857" s="93">
        <f t="shared" si="223"/>
        <v>1.0605840145139998</v>
      </c>
      <c r="AK857" s="90">
        <f t="shared" si="220"/>
        <v>142</v>
      </c>
      <c r="AL857" s="89">
        <f t="shared" si="221"/>
        <v>68.865979063380294</v>
      </c>
      <c r="AM857" s="89">
        <f t="shared" si="213"/>
        <v>105.459198</v>
      </c>
      <c r="AN857" s="90">
        <f t="shared" si="214"/>
        <v>14975.206115999999</v>
      </c>
      <c r="AO857" s="93">
        <f t="shared" si="215"/>
        <v>0.53136860078532266</v>
      </c>
    </row>
    <row r="858" spans="2:41" x14ac:dyDescent="0.25">
      <c r="B858" s="91">
        <v>40596</v>
      </c>
      <c r="C858" s="89">
        <v>133.11999499999999</v>
      </c>
      <c r="D858" s="89">
        <v>134.55999800000001</v>
      </c>
      <c r="E858" s="89">
        <v>131.470001</v>
      </c>
      <c r="F858" s="89">
        <v>131.83000200000001</v>
      </c>
      <c r="G858" s="89">
        <v>103.34271200000001</v>
      </c>
      <c r="H858" s="89">
        <v>233116400</v>
      </c>
      <c r="J858" s="89">
        <v>0</v>
      </c>
      <c r="K858" s="89">
        <f t="shared" si="232"/>
        <v>88</v>
      </c>
      <c r="L858" s="89">
        <f t="shared" si="233"/>
        <v>112.621376</v>
      </c>
      <c r="M858" s="89">
        <f>+SPY__2[[#This Row],[Adj Close]]</f>
        <v>103.34271200000001</v>
      </c>
      <c r="N858" s="89">
        <f t="shared" si="228"/>
        <v>9094.1586559999996</v>
      </c>
      <c r="O858" s="90">
        <f t="shared" si="229"/>
        <v>-816.5224319999993</v>
      </c>
      <c r="P858" s="93">
        <f t="shared" si="230"/>
        <v>-8.2388124968389542E-2</v>
      </c>
      <c r="Q858" s="96"/>
      <c r="R858" s="96"/>
      <c r="T858" s="90">
        <f t="shared" si="224"/>
        <v>95</v>
      </c>
      <c r="U858" s="89">
        <f t="shared" si="225"/>
        <v>103.31428490526316</v>
      </c>
      <c r="V858" s="89">
        <f t="shared" si="226"/>
        <v>103.34271200000001</v>
      </c>
      <c r="W858" s="90">
        <f t="shared" si="231"/>
        <v>9817.5576400000009</v>
      </c>
      <c r="X858" s="93">
        <f t="shared" si="227"/>
        <v>2.7515163815849952E-4</v>
      </c>
      <c r="AB858" s="89">
        <f t="shared" si="216"/>
        <v>195</v>
      </c>
      <c r="AC858" s="89">
        <f t="shared" si="217"/>
        <v>51.179276000000002</v>
      </c>
      <c r="AD858" s="89">
        <f t="shared" si="218"/>
        <v>103.34271200000001</v>
      </c>
      <c r="AE858" s="89">
        <f t="shared" si="219"/>
        <v>20151.828840000002</v>
      </c>
      <c r="AF858" s="90">
        <f t="shared" si="222"/>
        <v>10171.87002</v>
      </c>
      <c r="AG858" s="93">
        <f t="shared" si="223"/>
        <v>1.0192296585047433</v>
      </c>
      <c r="AK858" s="90">
        <f t="shared" si="220"/>
        <v>142</v>
      </c>
      <c r="AL858" s="89">
        <f t="shared" si="221"/>
        <v>68.865979063380294</v>
      </c>
      <c r="AM858" s="89">
        <f t="shared" si="213"/>
        <v>103.34271200000001</v>
      </c>
      <c r="AN858" s="90">
        <f t="shared" si="214"/>
        <v>14674.665104000002</v>
      </c>
      <c r="AO858" s="93">
        <f t="shared" si="215"/>
        <v>0.5006351961523603</v>
      </c>
    </row>
    <row r="859" spans="2:41" x14ac:dyDescent="0.25">
      <c r="B859" s="91">
        <v>40597</v>
      </c>
      <c r="C859" s="89">
        <v>131.75</v>
      </c>
      <c r="D859" s="89">
        <v>132.070007</v>
      </c>
      <c r="E859" s="89">
        <v>130.21000699999999</v>
      </c>
      <c r="F859" s="89">
        <v>131.020004</v>
      </c>
      <c r="G859" s="89">
        <v>102.70771000000001</v>
      </c>
      <c r="H859" s="89">
        <v>227584000</v>
      </c>
      <c r="J859" s="89">
        <v>0</v>
      </c>
      <c r="K859" s="89">
        <f t="shared" si="232"/>
        <v>88</v>
      </c>
      <c r="L859" s="89">
        <f t="shared" si="233"/>
        <v>112.621376</v>
      </c>
      <c r="M859" s="89">
        <f>+SPY__2[[#This Row],[Adj Close]]</f>
        <v>102.70771000000001</v>
      </c>
      <c r="N859" s="89">
        <f t="shared" si="228"/>
        <v>9038.2784800000009</v>
      </c>
      <c r="O859" s="90">
        <f t="shared" si="229"/>
        <v>-872.4026079999993</v>
      </c>
      <c r="P859" s="93">
        <f t="shared" si="230"/>
        <v>-8.8026503956051716E-2</v>
      </c>
      <c r="Q859" s="96"/>
      <c r="R859" s="96"/>
      <c r="T859" s="90">
        <f t="shared" si="224"/>
        <v>95</v>
      </c>
      <c r="U859" s="89">
        <f t="shared" si="225"/>
        <v>103.31428490526316</v>
      </c>
      <c r="V859" s="89">
        <f t="shared" si="226"/>
        <v>102.70771000000001</v>
      </c>
      <c r="W859" s="90">
        <f t="shared" si="231"/>
        <v>9757.2324500000013</v>
      </c>
      <c r="X859" s="93">
        <f t="shared" si="227"/>
        <v>-5.8711620161661093E-3</v>
      </c>
      <c r="AB859" s="89">
        <f t="shared" si="216"/>
        <v>195</v>
      </c>
      <c r="AC859" s="89">
        <f t="shared" si="217"/>
        <v>51.179276000000002</v>
      </c>
      <c r="AD859" s="89">
        <f t="shared" si="218"/>
        <v>102.70771000000001</v>
      </c>
      <c r="AE859" s="89">
        <f t="shared" si="219"/>
        <v>20028.00345</v>
      </c>
      <c r="AF859" s="90">
        <f t="shared" si="222"/>
        <v>10048.04463</v>
      </c>
      <c r="AG859" s="93">
        <f t="shared" si="223"/>
        <v>1.0068222536012428</v>
      </c>
      <c r="AK859" s="90">
        <f t="shared" si="220"/>
        <v>142</v>
      </c>
      <c r="AL859" s="89">
        <f t="shared" si="221"/>
        <v>68.865979063380294</v>
      </c>
      <c r="AM859" s="89">
        <f t="shared" si="213"/>
        <v>102.70771000000001</v>
      </c>
      <c r="AN859" s="90">
        <f t="shared" si="214"/>
        <v>14584.494820000002</v>
      </c>
      <c r="AO859" s="93">
        <f t="shared" si="215"/>
        <v>0.49141435868462335</v>
      </c>
    </row>
    <row r="860" spans="2:41" x14ac:dyDescent="0.25">
      <c r="B860" s="91">
        <v>40598</v>
      </c>
      <c r="C860" s="89">
        <v>130.88000500000001</v>
      </c>
      <c r="D860" s="89">
        <v>131.44000199999999</v>
      </c>
      <c r="E860" s="89">
        <v>129.699997</v>
      </c>
      <c r="F860" s="89">
        <v>130.929993</v>
      </c>
      <c r="G860" s="89">
        <v>102.637192</v>
      </c>
      <c r="H860" s="89">
        <v>260431400</v>
      </c>
      <c r="J860" s="89">
        <v>0</v>
      </c>
      <c r="K860" s="89">
        <f t="shared" si="232"/>
        <v>88</v>
      </c>
      <c r="L860" s="89">
        <f t="shared" si="233"/>
        <v>112.621376</v>
      </c>
      <c r="M860" s="89">
        <f>+SPY__2[[#This Row],[Adj Close]]</f>
        <v>102.637192</v>
      </c>
      <c r="N860" s="89">
        <f t="shared" si="228"/>
        <v>9032.0728959999997</v>
      </c>
      <c r="O860" s="90">
        <f t="shared" si="229"/>
        <v>-878.60819199999992</v>
      </c>
      <c r="P860" s="93">
        <f t="shared" si="230"/>
        <v>-8.8652655069673458E-2</v>
      </c>
      <c r="Q860" s="96"/>
      <c r="R860" s="96"/>
      <c r="T860" s="90">
        <f t="shared" si="224"/>
        <v>95</v>
      </c>
      <c r="U860" s="89">
        <f t="shared" si="225"/>
        <v>103.31428490526316</v>
      </c>
      <c r="V860" s="89">
        <f t="shared" si="226"/>
        <v>102.637192</v>
      </c>
      <c r="W860" s="90">
        <f t="shared" si="231"/>
        <v>9750.5332400000007</v>
      </c>
      <c r="X860" s="93">
        <f t="shared" si="227"/>
        <v>-6.553720096732385E-3</v>
      </c>
      <c r="AB860" s="89">
        <f t="shared" si="216"/>
        <v>195</v>
      </c>
      <c r="AC860" s="89">
        <f t="shared" si="217"/>
        <v>51.179276000000002</v>
      </c>
      <c r="AD860" s="89">
        <f t="shared" si="218"/>
        <v>102.637192</v>
      </c>
      <c r="AE860" s="89">
        <f t="shared" si="219"/>
        <v>20014.25244</v>
      </c>
      <c r="AF860" s="90">
        <f t="shared" si="222"/>
        <v>10034.29362</v>
      </c>
      <c r="AG860" s="93">
        <f t="shared" si="223"/>
        <v>1.0054443912024076</v>
      </c>
      <c r="AK860" s="90">
        <f t="shared" si="220"/>
        <v>142</v>
      </c>
      <c r="AL860" s="89">
        <f t="shared" si="221"/>
        <v>68.865979063380294</v>
      </c>
      <c r="AM860" s="89">
        <f t="shared" si="213"/>
        <v>102.637192</v>
      </c>
      <c r="AN860" s="90">
        <f t="shared" si="214"/>
        <v>14574.481264</v>
      </c>
      <c r="AO860" s="93">
        <f t="shared" si="215"/>
        <v>0.49039036975773809</v>
      </c>
    </row>
    <row r="861" spans="2:41" x14ac:dyDescent="0.25">
      <c r="B861" s="91">
        <v>40599</v>
      </c>
      <c r="C861" s="89">
        <v>131.479996</v>
      </c>
      <c r="D861" s="89">
        <v>132.41000399999999</v>
      </c>
      <c r="E861" s="89">
        <v>131.39999399999999</v>
      </c>
      <c r="F861" s="89">
        <v>132.33000200000001</v>
      </c>
      <c r="G861" s="89">
        <v>103.734634</v>
      </c>
      <c r="H861" s="89">
        <v>141686900</v>
      </c>
      <c r="J861" s="89">
        <v>0</v>
      </c>
      <c r="K861" s="89">
        <f t="shared" si="232"/>
        <v>88</v>
      </c>
      <c r="L861" s="89">
        <f t="shared" si="233"/>
        <v>112.621376</v>
      </c>
      <c r="M861" s="89">
        <f>+SPY__2[[#This Row],[Adj Close]]</f>
        <v>103.734634</v>
      </c>
      <c r="N861" s="89">
        <f t="shared" si="228"/>
        <v>9128.6477919999998</v>
      </c>
      <c r="O861" s="90">
        <f t="shared" si="229"/>
        <v>-782.03329599999984</v>
      </c>
      <c r="P861" s="93">
        <f t="shared" si="230"/>
        <v>-7.8908128417823575E-2</v>
      </c>
      <c r="Q861" s="96"/>
      <c r="R861" s="96"/>
      <c r="T861" s="90">
        <f t="shared" si="224"/>
        <v>95</v>
      </c>
      <c r="U861" s="89">
        <f t="shared" si="225"/>
        <v>103.31428490526316</v>
      </c>
      <c r="V861" s="89">
        <f t="shared" si="226"/>
        <v>103.734634</v>
      </c>
      <c r="W861" s="90">
        <f t="shared" si="231"/>
        <v>9854.7902300000005</v>
      </c>
      <c r="X861" s="93">
        <f t="shared" si="227"/>
        <v>4.0686444775985819E-3</v>
      </c>
      <c r="AB861" s="89">
        <f t="shared" si="216"/>
        <v>195</v>
      </c>
      <c r="AC861" s="89">
        <f t="shared" si="217"/>
        <v>51.179276000000002</v>
      </c>
      <c r="AD861" s="89">
        <f t="shared" si="218"/>
        <v>103.734634</v>
      </c>
      <c r="AE861" s="89">
        <f t="shared" si="219"/>
        <v>20228.253629999999</v>
      </c>
      <c r="AF861" s="90">
        <f t="shared" si="222"/>
        <v>10248.294809999999</v>
      </c>
      <c r="AG861" s="93">
        <f t="shared" si="223"/>
        <v>1.0268874846920459</v>
      </c>
      <c r="AK861" s="90">
        <f t="shared" si="220"/>
        <v>142</v>
      </c>
      <c r="AL861" s="89">
        <f t="shared" si="221"/>
        <v>68.865979063380294</v>
      </c>
      <c r="AM861" s="89">
        <f t="shared" si="213"/>
        <v>103.734634</v>
      </c>
      <c r="AN861" s="90">
        <f t="shared" si="214"/>
        <v>14730.318028</v>
      </c>
      <c r="AO861" s="93">
        <f t="shared" si="215"/>
        <v>0.5063262791127765</v>
      </c>
    </row>
    <row r="862" spans="2:41" x14ac:dyDescent="0.25">
      <c r="B862" s="91">
        <v>40602</v>
      </c>
      <c r="C862" s="89">
        <v>132.820007</v>
      </c>
      <c r="D862" s="89">
        <v>133.320007</v>
      </c>
      <c r="E862" s="89">
        <v>132.38000500000001</v>
      </c>
      <c r="F862" s="89">
        <v>133.14999399999999</v>
      </c>
      <c r="G862" s="89">
        <v>104.377419</v>
      </c>
      <c r="H862" s="89">
        <v>141585500</v>
      </c>
      <c r="J862" s="89">
        <v>0</v>
      </c>
      <c r="K862" s="89">
        <f t="shared" si="232"/>
        <v>88</v>
      </c>
      <c r="L862" s="89">
        <f t="shared" si="233"/>
        <v>112.621376</v>
      </c>
      <c r="M862" s="89">
        <f>+SPY__2[[#This Row],[Adj Close]]</f>
        <v>104.377419</v>
      </c>
      <c r="N862" s="89">
        <f t="shared" si="228"/>
        <v>9185.2128720000001</v>
      </c>
      <c r="O862" s="90">
        <f t="shared" si="229"/>
        <v>-725.46821599999953</v>
      </c>
      <c r="P862" s="93">
        <f t="shared" si="230"/>
        <v>-7.3200641768042307E-2</v>
      </c>
      <c r="Q862" s="96"/>
      <c r="R862" s="96"/>
      <c r="T862" s="90">
        <f t="shared" si="224"/>
        <v>95</v>
      </c>
      <c r="U862" s="89">
        <f t="shared" si="225"/>
        <v>103.31428490526316</v>
      </c>
      <c r="V862" s="89">
        <f t="shared" si="226"/>
        <v>104.377419</v>
      </c>
      <c r="W862" s="90">
        <f t="shared" si="231"/>
        <v>9915.8548050000009</v>
      </c>
      <c r="X862" s="93">
        <f t="shared" si="227"/>
        <v>1.0290291373663552E-2</v>
      </c>
      <c r="AB862" s="89">
        <f t="shared" si="216"/>
        <v>195</v>
      </c>
      <c r="AC862" s="89">
        <f t="shared" si="217"/>
        <v>51.179276000000002</v>
      </c>
      <c r="AD862" s="89">
        <f t="shared" si="218"/>
        <v>104.377419</v>
      </c>
      <c r="AE862" s="89">
        <f t="shared" si="219"/>
        <v>20353.596705</v>
      </c>
      <c r="AF862" s="90">
        <f t="shared" si="222"/>
        <v>10373.637885</v>
      </c>
      <c r="AG862" s="93">
        <f t="shared" si="223"/>
        <v>1.0394469628683298</v>
      </c>
      <c r="AK862" s="90">
        <f t="shared" si="220"/>
        <v>142</v>
      </c>
      <c r="AL862" s="89">
        <f t="shared" si="221"/>
        <v>68.865979063380294</v>
      </c>
      <c r="AM862" s="89">
        <f t="shared" si="213"/>
        <v>104.377419</v>
      </c>
      <c r="AN862" s="90">
        <f t="shared" si="214"/>
        <v>14821.593498</v>
      </c>
      <c r="AO862" s="93">
        <f t="shared" si="215"/>
        <v>0.51566013319780191</v>
      </c>
    </row>
    <row r="863" spans="2:41" x14ac:dyDescent="0.25">
      <c r="B863" s="91">
        <v>40603</v>
      </c>
      <c r="C863" s="89">
        <v>133.570007</v>
      </c>
      <c r="D863" s="89">
        <v>133.69000199999999</v>
      </c>
      <c r="E863" s="89">
        <v>130.88999899999999</v>
      </c>
      <c r="F863" s="89">
        <v>130.929993</v>
      </c>
      <c r="G863" s="89">
        <v>102.637192</v>
      </c>
      <c r="H863" s="89">
        <v>258565500</v>
      </c>
      <c r="J863" s="89">
        <v>0</v>
      </c>
      <c r="K863" s="89">
        <f t="shared" si="232"/>
        <v>88</v>
      </c>
      <c r="L863" s="89">
        <f t="shared" si="233"/>
        <v>112.621376</v>
      </c>
      <c r="M863" s="89">
        <f>+SPY__2[[#This Row],[Adj Close]]</f>
        <v>102.637192</v>
      </c>
      <c r="N863" s="89">
        <f t="shared" si="228"/>
        <v>9032.0728959999997</v>
      </c>
      <c r="O863" s="90">
        <f t="shared" si="229"/>
        <v>-878.60819199999992</v>
      </c>
      <c r="P863" s="93">
        <f t="shared" si="230"/>
        <v>-8.8652655069673458E-2</v>
      </c>
      <c r="Q863" s="96"/>
      <c r="R863" s="96"/>
      <c r="T863" s="90">
        <f t="shared" si="224"/>
        <v>95</v>
      </c>
      <c r="U863" s="89">
        <f t="shared" si="225"/>
        <v>103.31428490526316</v>
      </c>
      <c r="V863" s="89">
        <f t="shared" si="226"/>
        <v>102.637192</v>
      </c>
      <c r="W863" s="90">
        <f t="shared" si="231"/>
        <v>9750.5332400000007</v>
      </c>
      <c r="X863" s="93">
        <f t="shared" si="227"/>
        <v>-6.553720096732385E-3</v>
      </c>
      <c r="AB863" s="89">
        <f t="shared" si="216"/>
        <v>195</v>
      </c>
      <c r="AC863" s="89">
        <f t="shared" si="217"/>
        <v>51.179276000000002</v>
      </c>
      <c r="AD863" s="89">
        <f t="shared" si="218"/>
        <v>102.637192</v>
      </c>
      <c r="AE863" s="89">
        <f t="shared" si="219"/>
        <v>20014.25244</v>
      </c>
      <c r="AF863" s="90">
        <f t="shared" si="222"/>
        <v>10034.29362</v>
      </c>
      <c r="AG863" s="93">
        <f t="shared" si="223"/>
        <v>1.0054443912024076</v>
      </c>
      <c r="AK863" s="90">
        <f t="shared" si="220"/>
        <v>142</v>
      </c>
      <c r="AL863" s="89">
        <f t="shared" si="221"/>
        <v>68.865979063380294</v>
      </c>
      <c r="AM863" s="89">
        <f t="shared" si="213"/>
        <v>102.637192</v>
      </c>
      <c r="AN863" s="90">
        <f t="shared" si="214"/>
        <v>14574.481264</v>
      </c>
      <c r="AO863" s="93">
        <f t="shared" si="215"/>
        <v>0.49039036975773809</v>
      </c>
    </row>
    <row r="864" spans="2:41" x14ac:dyDescent="0.25">
      <c r="B864" s="91">
        <v>40604</v>
      </c>
      <c r="C864" s="89">
        <v>130.75</v>
      </c>
      <c r="D864" s="89">
        <v>131.820007</v>
      </c>
      <c r="E864" s="89">
        <v>130.35000600000001</v>
      </c>
      <c r="F864" s="89">
        <v>131.21000699999999</v>
      </c>
      <c r="G864" s="89">
        <v>102.856628</v>
      </c>
      <c r="H864" s="89">
        <v>200277400</v>
      </c>
      <c r="J864" s="89">
        <v>0</v>
      </c>
      <c r="K864" s="89">
        <f t="shared" si="232"/>
        <v>88</v>
      </c>
      <c r="L864" s="89">
        <f t="shared" si="233"/>
        <v>112.621376</v>
      </c>
      <c r="M864" s="89">
        <f>+SPY__2[[#This Row],[Adj Close]]</f>
        <v>102.856628</v>
      </c>
      <c r="N864" s="89">
        <f t="shared" si="228"/>
        <v>9051.3832640000001</v>
      </c>
      <c r="O864" s="90">
        <f t="shared" si="229"/>
        <v>-859.29782399999976</v>
      </c>
      <c r="P864" s="93">
        <f t="shared" si="230"/>
        <v>-8.6704215015096175E-2</v>
      </c>
      <c r="Q864" s="96"/>
      <c r="R864" s="96"/>
      <c r="T864" s="90">
        <f t="shared" si="224"/>
        <v>95</v>
      </c>
      <c r="U864" s="89">
        <f t="shared" si="225"/>
        <v>103.31428490526316</v>
      </c>
      <c r="V864" s="89">
        <f t="shared" si="226"/>
        <v>102.856628</v>
      </c>
      <c r="W864" s="90">
        <f t="shared" si="231"/>
        <v>9771.3796600000005</v>
      </c>
      <c r="X864" s="93">
        <f t="shared" si="227"/>
        <v>-4.4297543721356636E-3</v>
      </c>
      <c r="AB864" s="89">
        <f t="shared" si="216"/>
        <v>195</v>
      </c>
      <c r="AC864" s="89">
        <f t="shared" si="217"/>
        <v>51.179276000000002</v>
      </c>
      <c r="AD864" s="89">
        <f t="shared" si="218"/>
        <v>102.856628</v>
      </c>
      <c r="AE864" s="89">
        <f t="shared" si="219"/>
        <v>20057.042460000001</v>
      </c>
      <c r="AF864" s="90">
        <f t="shared" si="222"/>
        <v>10077.083639999999</v>
      </c>
      <c r="AG864" s="93">
        <f t="shared" si="223"/>
        <v>1.0097319860484153</v>
      </c>
      <c r="AK864" s="90">
        <f t="shared" si="220"/>
        <v>142</v>
      </c>
      <c r="AL864" s="89">
        <f t="shared" si="221"/>
        <v>68.865979063380294</v>
      </c>
      <c r="AM864" s="89">
        <f t="shared" si="213"/>
        <v>102.856628</v>
      </c>
      <c r="AN864" s="90">
        <f t="shared" si="214"/>
        <v>14605.641176000001</v>
      </c>
      <c r="AO864" s="93">
        <f t="shared" si="215"/>
        <v>0.49357679073053884</v>
      </c>
    </row>
    <row r="865" spans="2:41" x14ac:dyDescent="0.25">
      <c r="B865" s="91">
        <v>40605</v>
      </c>
      <c r="C865" s="89">
        <v>132.39999399999999</v>
      </c>
      <c r="D865" s="89">
        <v>133.61999499999999</v>
      </c>
      <c r="E865" s="89">
        <v>132.38999899999999</v>
      </c>
      <c r="F865" s="89">
        <v>133.470001</v>
      </c>
      <c r="G865" s="89">
        <v>104.628304</v>
      </c>
      <c r="H865" s="89">
        <v>176480100</v>
      </c>
      <c r="J865" s="89">
        <v>0</v>
      </c>
      <c r="K865" s="89">
        <f t="shared" si="232"/>
        <v>88</v>
      </c>
      <c r="L865" s="89">
        <f t="shared" si="233"/>
        <v>112.621376</v>
      </c>
      <c r="M865" s="89">
        <f>+SPY__2[[#This Row],[Adj Close]]</f>
        <v>104.628304</v>
      </c>
      <c r="N865" s="89">
        <f t="shared" si="228"/>
        <v>9207.2907520000008</v>
      </c>
      <c r="O865" s="90">
        <f t="shared" si="229"/>
        <v>-703.39033599999982</v>
      </c>
      <c r="P865" s="93">
        <f t="shared" si="230"/>
        <v>-7.0972956324028558E-2</v>
      </c>
      <c r="Q865" s="96"/>
      <c r="R865" s="96"/>
      <c r="T865" s="90">
        <f t="shared" si="224"/>
        <v>95</v>
      </c>
      <c r="U865" s="89">
        <f t="shared" si="225"/>
        <v>103.31428490526316</v>
      </c>
      <c r="V865" s="89">
        <f t="shared" si="226"/>
        <v>104.628304</v>
      </c>
      <c r="W865" s="90">
        <f t="shared" si="231"/>
        <v>9939.6888799999997</v>
      </c>
      <c r="X865" s="93">
        <f t="shared" si="227"/>
        <v>1.2718658372767644E-2</v>
      </c>
      <c r="AB865" s="89">
        <f t="shared" si="216"/>
        <v>195</v>
      </c>
      <c r="AC865" s="89">
        <f t="shared" si="217"/>
        <v>51.179276000000002</v>
      </c>
      <c r="AD865" s="89">
        <f t="shared" si="218"/>
        <v>104.628304</v>
      </c>
      <c r="AE865" s="89">
        <f t="shared" si="219"/>
        <v>20402.51928</v>
      </c>
      <c r="AF865" s="90">
        <f t="shared" si="222"/>
        <v>10422.560460000001</v>
      </c>
      <c r="AG865" s="93">
        <f t="shared" si="223"/>
        <v>1.0443490447188037</v>
      </c>
      <c r="AK865" s="90">
        <f t="shared" si="220"/>
        <v>142</v>
      </c>
      <c r="AL865" s="89">
        <f t="shared" si="221"/>
        <v>68.865979063380294</v>
      </c>
      <c r="AM865" s="89">
        <f t="shared" si="213"/>
        <v>104.628304</v>
      </c>
      <c r="AN865" s="90">
        <f t="shared" si="214"/>
        <v>14857.219168</v>
      </c>
      <c r="AO865" s="93">
        <f t="shared" si="215"/>
        <v>0.51930322378349003</v>
      </c>
    </row>
    <row r="866" spans="2:41" x14ac:dyDescent="0.25">
      <c r="B866" s="91">
        <v>40606</v>
      </c>
      <c r="C866" s="89">
        <v>133.36999499999999</v>
      </c>
      <c r="D866" s="89">
        <v>133.63000500000001</v>
      </c>
      <c r="E866" s="89">
        <v>131.60000600000001</v>
      </c>
      <c r="F866" s="89">
        <v>132.470001</v>
      </c>
      <c r="G866" s="89">
        <v>103.844368</v>
      </c>
      <c r="H866" s="89">
        <v>277202300</v>
      </c>
      <c r="J866" s="89">
        <v>0</v>
      </c>
      <c r="K866" s="89">
        <f t="shared" si="232"/>
        <v>88</v>
      </c>
      <c r="L866" s="89">
        <f t="shared" si="233"/>
        <v>112.621376</v>
      </c>
      <c r="M866" s="89">
        <f>+SPY__2[[#This Row],[Adj Close]]</f>
        <v>103.844368</v>
      </c>
      <c r="N866" s="89">
        <f t="shared" si="228"/>
        <v>9138.3043840000009</v>
      </c>
      <c r="O866" s="90">
        <f t="shared" si="229"/>
        <v>-772.37670399999956</v>
      </c>
      <c r="P866" s="93">
        <f t="shared" si="230"/>
        <v>-7.7933766321590658E-2</v>
      </c>
      <c r="Q866" s="96"/>
      <c r="R866" s="96"/>
      <c r="T866" s="90">
        <f t="shared" si="224"/>
        <v>95</v>
      </c>
      <c r="U866" s="89">
        <f t="shared" si="225"/>
        <v>103.31428490526316</v>
      </c>
      <c r="V866" s="89">
        <f t="shared" si="226"/>
        <v>103.844368</v>
      </c>
      <c r="W866" s="90">
        <f t="shared" si="231"/>
        <v>9865.2149600000012</v>
      </c>
      <c r="X866" s="93">
        <f t="shared" si="227"/>
        <v>5.1307822071549047E-3</v>
      </c>
      <c r="AB866" s="89">
        <f t="shared" si="216"/>
        <v>195</v>
      </c>
      <c r="AC866" s="89">
        <f t="shared" si="217"/>
        <v>51.179276000000002</v>
      </c>
      <c r="AD866" s="89">
        <f t="shared" si="218"/>
        <v>103.844368</v>
      </c>
      <c r="AE866" s="89">
        <f t="shared" si="219"/>
        <v>20249.651760000001</v>
      </c>
      <c r="AF866" s="90">
        <f t="shared" si="222"/>
        <v>10269.692940000001</v>
      </c>
      <c r="AG866" s="93">
        <f t="shared" si="223"/>
        <v>1.0290315947415904</v>
      </c>
      <c r="AK866" s="90">
        <f t="shared" si="220"/>
        <v>142</v>
      </c>
      <c r="AL866" s="89">
        <f t="shared" si="221"/>
        <v>68.865979063380294</v>
      </c>
      <c r="AM866" s="89">
        <f t="shared" si="213"/>
        <v>103.844368</v>
      </c>
      <c r="AN866" s="90">
        <f t="shared" si="214"/>
        <v>14745.900256000001</v>
      </c>
      <c r="AO866" s="93">
        <f t="shared" si="215"/>
        <v>0.5079197219345073</v>
      </c>
    </row>
    <row r="867" spans="2:41" x14ac:dyDescent="0.25">
      <c r="B867" s="91">
        <v>40609</v>
      </c>
      <c r="C867" s="89">
        <v>132.86000100000001</v>
      </c>
      <c r="D867" s="89">
        <v>133.16000399999999</v>
      </c>
      <c r="E867" s="89">
        <v>130.740005</v>
      </c>
      <c r="F867" s="89">
        <v>131.429993</v>
      </c>
      <c r="G867" s="89">
        <v>103.029121</v>
      </c>
      <c r="H867" s="89">
        <v>216790400</v>
      </c>
      <c r="J867" s="89">
        <v>0</v>
      </c>
      <c r="K867" s="89">
        <f t="shared" si="232"/>
        <v>88</v>
      </c>
      <c r="L867" s="89">
        <f t="shared" si="233"/>
        <v>112.621376</v>
      </c>
      <c r="M867" s="89">
        <f>+SPY__2[[#This Row],[Adj Close]]</f>
        <v>103.029121</v>
      </c>
      <c r="N867" s="89">
        <f t="shared" si="228"/>
        <v>9066.562648000001</v>
      </c>
      <c r="O867" s="90">
        <f t="shared" si="229"/>
        <v>-844.11843999999951</v>
      </c>
      <c r="P867" s="93">
        <f t="shared" si="230"/>
        <v>-8.5172596363944253E-2</v>
      </c>
      <c r="Q867" s="96"/>
      <c r="R867" s="96"/>
      <c r="T867" s="90">
        <f t="shared" si="224"/>
        <v>95</v>
      </c>
      <c r="U867" s="89">
        <f t="shared" si="225"/>
        <v>103.31428490526316</v>
      </c>
      <c r="V867" s="89">
        <f t="shared" si="226"/>
        <v>103.029121</v>
      </c>
      <c r="W867" s="90">
        <f t="shared" si="231"/>
        <v>9787.7664949999998</v>
      </c>
      <c r="X867" s="93">
        <f t="shared" si="227"/>
        <v>-2.760159502866899E-3</v>
      </c>
      <c r="AB867" s="89">
        <f t="shared" si="216"/>
        <v>195</v>
      </c>
      <c r="AC867" s="89">
        <f t="shared" si="217"/>
        <v>51.179276000000002</v>
      </c>
      <c r="AD867" s="89">
        <f t="shared" si="218"/>
        <v>103.029121</v>
      </c>
      <c r="AE867" s="89">
        <f t="shared" si="219"/>
        <v>20090.678595000001</v>
      </c>
      <c r="AF867" s="90">
        <f t="shared" si="222"/>
        <v>10110.719775</v>
      </c>
      <c r="AG867" s="93">
        <f t="shared" si="223"/>
        <v>1.0131023541638222</v>
      </c>
      <c r="AK867" s="90">
        <f t="shared" si="220"/>
        <v>142</v>
      </c>
      <c r="AL867" s="89">
        <f t="shared" si="221"/>
        <v>68.865979063380294</v>
      </c>
      <c r="AM867" s="89">
        <f t="shared" si="213"/>
        <v>103.029121</v>
      </c>
      <c r="AN867" s="90">
        <f t="shared" si="214"/>
        <v>14630.135182</v>
      </c>
      <c r="AO867" s="93">
        <f t="shared" si="215"/>
        <v>0.49608155436486157</v>
      </c>
    </row>
    <row r="868" spans="2:41" x14ac:dyDescent="0.25">
      <c r="B868" s="91">
        <v>40610</v>
      </c>
      <c r="C868" s="89">
        <v>131.63999899999999</v>
      </c>
      <c r="D868" s="89">
        <v>133</v>
      </c>
      <c r="E868" s="89">
        <v>131.070007</v>
      </c>
      <c r="F868" s="89">
        <v>132.58000200000001</v>
      </c>
      <c r="G868" s="89">
        <v>103.930595</v>
      </c>
      <c r="H868" s="89">
        <v>174615000</v>
      </c>
      <c r="J868" s="89">
        <v>0</v>
      </c>
      <c r="K868" s="89">
        <f t="shared" si="232"/>
        <v>88</v>
      </c>
      <c r="L868" s="89">
        <f t="shared" si="233"/>
        <v>112.621376</v>
      </c>
      <c r="M868" s="89">
        <f>+SPY__2[[#This Row],[Adj Close]]</f>
        <v>103.930595</v>
      </c>
      <c r="N868" s="89">
        <f t="shared" si="228"/>
        <v>9145.8923599999998</v>
      </c>
      <c r="O868" s="90">
        <f t="shared" si="229"/>
        <v>-764.78872800000011</v>
      </c>
      <c r="P868" s="93">
        <f t="shared" si="230"/>
        <v>-7.7168130142540647E-2</v>
      </c>
      <c r="Q868" s="96"/>
      <c r="R868" s="96"/>
      <c r="T868" s="90">
        <f t="shared" si="224"/>
        <v>95</v>
      </c>
      <c r="U868" s="89">
        <f t="shared" si="225"/>
        <v>103.31428490526316</v>
      </c>
      <c r="V868" s="89">
        <f t="shared" si="226"/>
        <v>103.930595</v>
      </c>
      <c r="W868" s="90">
        <f t="shared" si="231"/>
        <v>9873.4065250000003</v>
      </c>
      <c r="X868" s="93">
        <f t="shared" si="227"/>
        <v>5.9653908973187342E-3</v>
      </c>
      <c r="AB868" s="89">
        <f t="shared" si="216"/>
        <v>195</v>
      </c>
      <c r="AC868" s="89">
        <f t="shared" si="217"/>
        <v>51.179276000000002</v>
      </c>
      <c r="AD868" s="89">
        <f t="shared" si="218"/>
        <v>103.930595</v>
      </c>
      <c r="AE868" s="89">
        <f t="shared" si="219"/>
        <v>20266.466024999998</v>
      </c>
      <c r="AF868" s="90">
        <f t="shared" si="222"/>
        <v>10286.507205</v>
      </c>
      <c r="AG868" s="93">
        <f t="shared" si="223"/>
        <v>1.0307163977856972</v>
      </c>
      <c r="AK868" s="90">
        <f t="shared" si="220"/>
        <v>142</v>
      </c>
      <c r="AL868" s="89">
        <f t="shared" si="221"/>
        <v>68.865979063380294</v>
      </c>
      <c r="AM868" s="89">
        <f t="shared" si="213"/>
        <v>103.930595</v>
      </c>
      <c r="AN868" s="90">
        <f t="shared" si="214"/>
        <v>14758.144489999999</v>
      </c>
      <c r="AO868" s="93">
        <f t="shared" si="215"/>
        <v>0.50917182059298471</v>
      </c>
    </row>
    <row r="869" spans="2:41" x14ac:dyDescent="0.25">
      <c r="B869" s="91">
        <v>40611</v>
      </c>
      <c r="C869" s="89">
        <v>132.320007</v>
      </c>
      <c r="D869" s="89">
        <v>132.800003</v>
      </c>
      <c r="E869" s="89">
        <v>131.60000600000001</v>
      </c>
      <c r="F869" s="89">
        <v>132.38999899999999</v>
      </c>
      <c r="G869" s="89">
        <v>103.781662</v>
      </c>
      <c r="H869" s="89">
        <v>153806000</v>
      </c>
      <c r="J869" s="89">
        <v>0</v>
      </c>
      <c r="K869" s="89">
        <f t="shared" si="232"/>
        <v>88</v>
      </c>
      <c r="L869" s="89">
        <f t="shared" si="233"/>
        <v>112.621376</v>
      </c>
      <c r="M869" s="89">
        <f>+SPY__2[[#This Row],[Adj Close]]</f>
        <v>103.781662</v>
      </c>
      <c r="N869" s="89">
        <f t="shared" si="228"/>
        <v>9132.7862559999994</v>
      </c>
      <c r="O869" s="90">
        <f t="shared" si="229"/>
        <v>-777.89483200000006</v>
      </c>
      <c r="P869" s="93">
        <f t="shared" si="230"/>
        <v>-7.8490552273131509E-2</v>
      </c>
      <c r="Q869" s="96"/>
      <c r="R869" s="96"/>
      <c r="T869" s="90">
        <f t="shared" si="224"/>
        <v>95</v>
      </c>
      <c r="U869" s="89">
        <f t="shared" si="225"/>
        <v>103.31428490526316</v>
      </c>
      <c r="V869" s="89">
        <f t="shared" si="226"/>
        <v>103.781662</v>
      </c>
      <c r="W869" s="90">
        <f t="shared" si="231"/>
        <v>9859.257889999999</v>
      </c>
      <c r="X869" s="93">
        <f t="shared" si="227"/>
        <v>4.5238380652337096E-3</v>
      </c>
      <c r="AB869" s="89">
        <f t="shared" si="216"/>
        <v>195</v>
      </c>
      <c r="AC869" s="89">
        <f t="shared" si="217"/>
        <v>51.179276000000002</v>
      </c>
      <c r="AD869" s="89">
        <f t="shared" si="218"/>
        <v>103.781662</v>
      </c>
      <c r="AE869" s="89">
        <f t="shared" si="219"/>
        <v>20237.42409</v>
      </c>
      <c r="AF869" s="90">
        <f t="shared" si="222"/>
        <v>10257.465269999999</v>
      </c>
      <c r="AG869" s="93">
        <f t="shared" si="223"/>
        <v>1.0278063722511432</v>
      </c>
      <c r="AK869" s="90">
        <f t="shared" si="220"/>
        <v>142</v>
      </c>
      <c r="AL869" s="89">
        <f t="shared" si="221"/>
        <v>68.865979063380294</v>
      </c>
      <c r="AM869" s="89">
        <f t="shared" si="213"/>
        <v>103.781662</v>
      </c>
      <c r="AN869" s="90">
        <f t="shared" si="214"/>
        <v>14736.996003999999</v>
      </c>
      <c r="AO869" s="93">
        <f t="shared" si="215"/>
        <v>0.50700917073269691</v>
      </c>
    </row>
    <row r="870" spans="2:41" x14ac:dyDescent="0.25">
      <c r="B870" s="91">
        <v>40612</v>
      </c>
      <c r="C870" s="89">
        <v>131</v>
      </c>
      <c r="D870" s="89">
        <v>131.179993</v>
      </c>
      <c r="E870" s="89">
        <v>129.80999800000001</v>
      </c>
      <c r="F870" s="89">
        <v>129.94000199999999</v>
      </c>
      <c r="G870" s="89">
        <v>101.861076</v>
      </c>
      <c r="H870" s="89">
        <v>301291800</v>
      </c>
      <c r="J870" s="89">
        <v>0</v>
      </c>
      <c r="K870" s="89">
        <f t="shared" si="232"/>
        <v>88</v>
      </c>
      <c r="L870" s="89">
        <f t="shared" si="233"/>
        <v>112.621376</v>
      </c>
      <c r="M870" s="89">
        <f>+SPY__2[[#This Row],[Adj Close]]</f>
        <v>101.861076</v>
      </c>
      <c r="N870" s="89">
        <f t="shared" si="228"/>
        <v>8963.7746879999995</v>
      </c>
      <c r="O870" s="90">
        <f t="shared" si="229"/>
        <v>-946.90640000000008</v>
      </c>
      <c r="P870" s="93">
        <f t="shared" si="230"/>
        <v>-9.5544028870682585E-2</v>
      </c>
      <c r="Q870" s="96"/>
      <c r="R870" s="96"/>
      <c r="T870" s="90">
        <f t="shared" si="224"/>
        <v>95</v>
      </c>
      <c r="U870" s="89">
        <f t="shared" si="225"/>
        <v>103.31428490526316</v>
      </c>
      <c r="V870" s="89">
        <f t="shared" si="226"/>
        <v>101.861076</v>
      </c>
      <c r="W870" s="90">
        <f t="shared" si="231"/>
        <v>9676.8022199999996</v>
      </c>
      <c r="X870" s="93">
        <f t="shared" si="227"/>
        <v>-1.4065904890071312E-2</v>
      </c>
      <c r="AB870" s="89">
        <f t="shared" si="216"/>
        <v>195</v>
      </c>
      <c r="AC870" s="89">
        <f t="shared" si="217"/>
        <v>51.179276000000002</v>
      </c>
      <c r="AD870" s="89">
        <f t="shared" si="218"/>
        <v>101.861076</v>
      </c>
      <c r="AE870" s="89">
        <f t="shared" si="219"/>
        <v>19862.909820000001</v>
      </c>
      <c r="AF870" s="90">
        <f t="shared" si="222"/>
        <v>9882.9509999999991</v>
      </c>
      <c r="AG870" s="93">
        <f t="shared" si="223"/>
        <v>0.99027973744685238</v>
      </c>
      <c r="AK870" s="90">
        <f t="shared" si="220"/>
        <v>142</v>
      </c>
      <c r="AL870" s="89">
        <f t="shared" si="221"/>
        <v>68.865979063380294</v>
      </c>
      <c r="AM870" s="89">
        <f t="shared" si="213"/>
        <v>101.861076</v>
      </c>
      <c r="AN870" s="90">
        <f t="shared" si="214"/>
        <v>14464.272792</v>
      </c>
      <c r="AO870" s="93">
        <f t="shared" si="215"/>
        <v>0.47912042180149528</v>
      </c>
    </row>
    <row r="871" spans="2:41" x14ac:dyDescent="0.25">
      <c r="B871" s="91">
        <v>40613</v>
      </c>
      <c r="C871" s="89">
        <v>129.520004</v>
      </c>
      <c r="D871" s="89">
        <v>131.30999800000001</v>
      </c>
      <c r="E871" s="89">
        <v>129.490005</v>
      </c>
      <c r="F871" s="89">
        <v>130.83999600000001</v>
      </c>
      <c r="G871" s="89">
        <v>102.56662</v>
      </c>
      <c r="H871" s="89">
        <v>225621800</v>
      </c>
      <c r="J871" s="89">
        <v>0</v>
      </c>
      <c r="K871" s="89">
        <f t="shared" si="232"/>
        <v>88</v>
      </c>
      <c r="L871" s="89">
        <f t="shared" si="233"/>
        <v>112.621376</v>
      </c>
      <c r="M871" s="89">
        <f>+SPY__2[[#This Row],[Adj Close]]</f>
        <v>102.56662</v>
      </c>
      <c r="N871" s="89">
        <f t="shared" si="228"/>
        <v>9025.8625599999996</v>
      </c>
      <c r="O871" s="90">
        <f t="shared" si="229"/>
        <v>-884.81852799999979</v>
      </c>
      <c r="P871" s="93">
        <f t="shared" si="230"/>
        <v>-8.92792856659822E-2</v>
      </c>
      <c r="Q871" s="96"/>
      <c r="R871" s="96"/>
      <c r="T871" s="90">
        <f t="shared" si="224"/>
        <v>95</v>
      </c>
      <c r="U871" s="89">
        <f t="shared" si="225"/>
        <v>103.31428490526316</v>
      </c>
      <c r="V871" s="89">
        <f t="shared" si="226"/>
        <v>102.56662</v>
      </c>
      <c r="W871" s="90">
        <f t="shared" si="231"/>
        <v>9743.8289000000004</v>
      </c>
      <c r="X871" s="93">
        <f t="shared" si="227"/>
        <v>-7.2368008542937901E-3</v>
      </c>
      <c r="AB871" s="89">
        <f t="shared" si="216"/>
        <v>195</v>
      </c>
      <c r="AC871" s="89">
        <f t="shared" si="217"/>
        <v>51.179276000000002</v>
      </c>
      <c r="AD871" s="89">
        <f t="shared" si="218"/>
        <v>102.56662</v>
      </c>
      <c r="AE871" s="89">
        <f t="shared" si="219"/>
        <v>20000.490900000001</v>
      </c>
      <c r="AF871" s="90">
        <f t="shared" si="222"/>
        <v>10020.532079999999</v>
      </c>
      <c r="AG871" s="93">
        <f t="shared" si="223"/>
        <v>1.0040654736889985</v>
      </c>
      <c r="AK871" s="90">
        <f t="shared" si="220"/>
        <v>142</v>
      </c>
      <c r="AL871" s="89">
        <f t="shared" si="221"/>
        <v>68.865979063380294</v>
      </c>
      <c r="AM871" s="89">
        <f t="shared" si="213"/>
        <v>102.56662</v>
      </c>
      <c r="AN871" s="90">
        <f t="shared" si="214"/>
        <v>14564.46004</v>
      </c>
      <c r="AO871" s="93">
        <f t="shared" si="215"/>
        <v>0.48936559669911284</v>
      </c>
    </row>
    <row r="872" spans="2:41" x14ac:dyDescent="0.25">
      <c r="B872" s="91">
        <v>40616</v>
      </c>
      <c r="C872" s="89">
        <v>129.990005</v>
      </c>
      <c r="D872" s="89">
        <v>130.479996</v>
      </c>
      <c r="E872" s="89">
        <v>129.05999800000001</v>
      </c>
      <c r="F872" s="89">
        <v>130.050003</v>
      </c>
      <c r="G872" s="89">
        <v>101.947327</v>
      </c>
      <c r="H872" s="89">
        <v>234974100</v>
      </c>
      <c r="J872" s="89">
        <v>0</v>
      </c>
      <c r="K872" s="89">
        <f t="shared" si="232"/>
        <v>88</v>
      </c>
      <c r="L872" s="89">
        <f t="shared" si="233"/>
        <v>112.621376</v>
      </c>
      <c r="M872" s="89">
        <f>+SPY__2[[#This Row],[Adj Close]]</f>
        <v>101.947327</v>
      </c>
      <c r="N872" s="89">
        <f t="shared" si="228"/>
        <v>8971.3647760000003</v>
      </c>
      <c r="O872" s="90">
        <f t="shared" si="229"/>
        <v>-939.3163119999997</v>
      </c>
      <c r="P872" s="93">
        <f t="shared" si="230"/>
        <v>-9.4778179588215994E-2</v>
      </c>
      <c r="Q872" s="96"/>
      <c r="R872" s="96"/>
      <c r="T872" s="90">
        <f t="shared" si="224"/>
        <v>95</v>
      </c>
      <c r="U872" s="89">
        <f t="shared" si="225"/>
        <v>103.31428490526316</v>
      </c>
      <c r="V872" s="89">
        <f t="shared" si="226"/>
        <v>101.947327</v>
      </c>
      <c r="W872" s="90">
        <f t="shared" si="231"/>
        <v>9684.9960649999994</v>
      </c>
      <c r="X872" s="93">
        <f t="shared" si="227"/>
        <v>-1.3231063899020734E-2</v>
      </c>
      <c r="AB872" s="89">
        <f t="shared" si="216"/>
        <v>195</v>
      </c>
      <c r="AC872" s="89">
        <f t="shared" si="217"/>
        <v>51.179276000000002</v>
      </c>
      <c r="AD872" s="89">
        <f t="shared" si="218"/>
        <v>101.947327</v>
      </c>
      <c r="AE872" s="89">
        <f t="shared" si="219"/>
        <v>19879.728765</v>
      </c>
      <c r="AF872" s="90">
        <f t="shared" si="222"/>
        <v>9899.769945</v>
      </c>
      <c r="AG872" s="93">
        <f t="shared" si="223"/>
        <v>0.99196500943077037</v>
      </c>
      <c r="AK872" s="90">
        <f t="shared" si="220"/>
        <v>142</v>
      </c>
      <c r="AL872" s="89">
        <f t="shared" si="221"/>
        <v>68.865979063380294</v>
      </c>
      <c r="AM872" s="89">
        <f t="shared" si="213"/>
        <v>101.947327</v>
      </c>
      <c r="AN872" s="90">
        <f t="shared" si="214"/>
        <v>14476.520434</v>
      </c>
      <c r="AO872" s="93">
        <f t="shared" si="215"/>
        <v>0.48037286896296849</v>
      </c>
    </row>
    <row r="873" spans="2:41" x14ac:dyDescent="0.25">
      <c r="B873" s="91">
        <v>40617</v>
      </c>
      <c r="C873" s="89">
        <v>126.589996</v>
      </c>
      <c r="D873" s="89">
        <v>129.33000200000001</v>
      </c>
      <c r="E873" s="89">
        <v>126.5</v>
      </c>
      <c r="F873" s="89">
        <v>128.55999800000001</v>
      </c>
      <c r="G873" s="89">
        <v>100.77930499999999</v>
      </c>
      <c r="H873" s="89">
        <v>359585400</v>
      </c>
      <c r="J873" s="89">
        <v>0</v>
      </c>
      <c r="K873" s="89">
        <f t="shared" si="232"/>
        <v>88</v>
      </c>
      <c r="L873" s="89">
        <f t="shared" si="233"/>
        <v>112.621376</v>
      </c>
      <c r="M873" s="89">
        <f>+SPY__2[[#This Row],[Adj Close]]</f>
        <v>100.77930499999999</v>
      </c>
      <c r="N873" s="89">
        <f t="shared" si="228"/>
        <v>8868.5788400000001</v>
      </c>
      <c r="O873" s="90">
        <f t="shared" si="229"/>
        <v>-1042.1022480000004</v>
      </c>
      <c r="P873" s="93">
        <f t="shared" si="230"/>
        <v>-0.10514940787084681</v>
      </c>
      <c r="Q873" s="96"/>
      <c r="R873" s="96"/>
      <c r="T873" s="90">
        <f t="shared" si="224"/>
        <v>95</v>
      </c>
      <c r="U873" s="89">
        <f t="shared" si="225"/>
        <v>103.31428490526316</v>
      </c>
      <c r="V873" s="89">
        <f t="shared" si="226"/>
        <v>100.77930499999999</v>
      </c>
      <c r="W873" s="90">
        <f t="shared" si="231"/>
        <v>9574.0339750000003</v>
      </c>
      <c r="X873" s="93">
        <f t="shared" si="227"/>
        <v>-2.4536586664541837E-2</v>
      </c>
      <c r="AB873" s="89">
        <f t="shared" si="216"/>
        <v>195</v>
      </c>
      <c r="AC873" s="89">
        <f t="shared" si="217"/>
        <v>51.179276000000002</v>
      </c>
      <c r="AD873" s="89">
        <f t="shared" si="218"/>
        <v>100.77930499999999</v>
      </c>
      <c r="AE873" s="89">
        <f t="shared" si="219"/>
        <v>19651.964474999997</v>
      </c>
      <c r="AF873" s="90">
        <f t="shared" si="222"/>
        <v>9672.005654999999</v>
      </c>
      <c r="AG873" s="93">
        <f t="shared" si="223"/>
        <v>0.96914284211445256</v>
      </c>
      <c r="AK873" s="90">
        <f t="shared" si="220"/>
        <v>142</v>
      </c>
      <c r="AL873" s="89">
        <f t="shared" si="221"/>
        <v>68.865979063380294</v>
      </c>
      <c r="AM873" s="89">
        <f t="shared" si="213"/>
        <v>100.77930499999999</v>
      </c>
      <c r="AN873" s="90">
        <f t="shared" si="214"/>
        <v>14310.66131</v>
      </c>
      <c r="AO873" s="93">
        <f t="shared" si="215"/>
        <v>0.46341207038163956</v>
      </c>
    </row>
    <row r="874" spans="2:41" x14ac:dyDescent="0.25">
      <c r="B874" s="91">
        <v>40618</v>
      </c>
      <c r="C874" s="89">
        <v>128.14999399999999</v>
      </c>
      <c r="D874" s="89">
        <v>128.570007</v>
      </c>
      <c r="E874" s="89">
        <v>125.279999</v>
      </c>
      <c r="F874" s="89">
        <v>126.18</v>
      </c>
      <c r="G874" s="89">
        <v>98.913605000000004</v>
      </c>
      <c r="H874" s="89">
        <v>468670300</v>
      </c>
      <c r="J874" s="89">
        <v>0</v>
      </c>
      <c r="K874" s="89">
        <f t="shared" si="232"/>
        <v>88</v>
      </c>
      <c r="L874" s="89">
        <f t="shared" si="233"/>
        <v>112.621376</v>
      </c>
      <c r="M874" s="89">
        <f>+SPY__2[[#This Row],[Adj Close]]</f>
        <v>98.913605000000004</v>
      </c>
      <c r="N874" s="89">
        <f t="shared" si="228"/>
        <v>8704.3972400000002</v>
      </c>
      <c r="O874" s="90">
        <f t="shared" si="229"/>
        <v>-1206.2838479999996</v>
      </c>
      <c r="P874" s="93">
        <f t="shared" si="230"/>
        <v>-0.1217155347134099</v>
      </c>
      <c r="Q874" s="96"/>
      <c r="R874" s="96"/>
      <c r="T874" s="90">
        <f t="shared" si="224"/>
        <v>95</v>
      </c>
      <c r="U874" s="89">
        <f t="shared" si="225"/>
        <v>103.31428490526316</v>
      </c>
      <c r="V874" s="89">
        <f t="shared" si="226"/>
        <v>98.913605000000004</v>
      </c>
      <c r="W874" s="90">
        <f t="shared" si="231"/>
        <v>9396.7924750000002</v>
      </c>
      <c r="X874" s="93">
        <f t="shared" si="227"/>
        <v>-4.2595076850200142E-2</v>
      </c>
      <c r="AB874" s="89">
        <f t="shared" si="216"/>
        <v>195</v>
      </c>
      <c r="AC874" s="89">
        <f t="shared" si="217"/>
        <v>51.179276000000002</v>
      </c>
      <c r="AD874" s="89">
        <f t="shared" si="218"/>
        <v>98.913605000000004</v>
      </c>
      <c r="AE874" s="89">
        <f t="shared" si="219"/>
        <v>19288.152975000001</v>
      </c>
      <c r="AF874" s="90">
        <f t="shared" si="222"/>
        <v>9308.194155000001</v>
      </c>
      <c r="AG874" s="93">
        <f t="shared" si="223"/>
        <v>0.93268863357895104</v>
      </c>
      <c r="AK874" s="90">
        <f t="shared" si="220"/>
        <v>142</v>
      </c>
      <c r="AL874" s="89">
        <f t="shared" si="221"/>
        <v>68.865979063380294</v>
      </c>
      <c r="AM874" s="89">
        <f t="shared" si="213"/>
        <v>98.913605000000004</v>
      </c>
      <c r="AN874" s="90">
        <f t="shared" si="214"/>
        <v>14045.73191</v>
      </c>
      <c r="AO874" s="93">
        <f t="shared" si="215"/>
        <v>0.43632031875950839</v>
      </c>
    </row>
    <row r="875" spans="2:41" x14ac:dyDescent="0.25">
      <c r="B875" s="91">
        <v>40619</v>
      </c>
      <c r="C875" s="89">
        <v>128</v>
      </c>
      <c r="D875" s="89">
        <v>128.38999899999999</v>
      </c>
      <c r="E875" s="89">
        <v>127.099998</v>
      </c>
      <c r="F875" s="89">
        <v>127.849998</v>
      </c>
      <c r="G875" s="89">
        <v>100.22273300000001</v>
      </c>
      <c r="H875" s="89">
        <v>254303700</v>
      </c>
      <c r="J875" s="89">
        <v>0</v>
      </c>
      <c r="K875" s="89">
        <f t="shared" si="232"/>
        <v>88</v>
      </c>
      <c r="L875" s="89">
        <f t="shared" si="233"/>
        <v>112.621376</v>
      </c>
      <c r="M875" s="89">
        <f>+SPY__2[[#This Row],[Adj Close]]</f>
        <v>100.22273300000001</v>
      </c>
      <c r="N875" s="89">
        <f t="shared" si="228"/>
        <v>8819.600504</v>
      </c>
      <c r="O875" s="90">
        <f t="shared" si="229"/>
        <v>-1091.0805839999994</v>
      </c>
      <c r="P875" s="93">
        <f t="shared" si="230"/>
        <v>-0.11009138265190432</v>
      </c>
      <c r="Q875" s="96"/>
      <c r="R875" s="96"/>
      <c r="T875" s="90">
        <f t="shared" si="224"/>
        <v>95</v>
      </c>
      <c r="U875" s="89">
        <f t="shared" si="225"/>
        <v>103.31428490526316</v>
      </c>
      <c r="V875" s="89">
        <f t="shared" si="226"/>
        <v>100.22273300000001</v>
      </c>
      <c r="W875" s="90">
        <f t="shared" si="231"/>
        <v>9521.159635</v>
      </c>
      <c r="X875" s="93">
        <f t="shared" si="227"/>
        <v>-2.9923760379293562E-2</v>
      </c>
      <c r="AB875" s="89">
        <f t="shared" si="216"/>
        <v>195</v>
      </c>
      <c r="AC875" s="89">
        <f t="shared" si="217"/>
        <v>51.179276000000002</v>
      </c>
      <c r="AD875" s="89">
        <f t="shared" si="218"/>
        <v>100.22273300000001</v>
      </c>
      <c r="AE875" s="89">
        <f t="shared" si="219"/>
        <v>19543.432935000001</v>
      </c>
      <c r="AF875" s="90">
        <f t="shared" si="222"/>
        <v>9563.4741150000009</v>
      </c>
      <c r="AG875" s="93">
        <f t="shared" si="223"/>
        <v>0.95826789343405339</v>
      </c>
      <c r="AK875" s="90">
        <f t="shared" si="220"/>
        <v>142</v>
      </c>
      <c r="AL875" s="89">
        <f t="shared" si="221"/>
        <v>68.865979063380294</v>
      </c>
      <c r="AM875" s="89">
        <f t="shared" si="213"/>
        <v>100.22273300000001</v>
      </c>
      <c r="AN875" s="90">
        <f t="shared" si="214"/>
        <v>14231.628086000001</v>
      </c>
      <c r="AO875" s="93">
        <f t="shared" si="215"/>
        <v>0.45533011166167792</v>
      </c>
    </row>
    <row r="876" spans="2:41" x14ac:dyDescent="0.25">
      <c r="B876" s="91">
        <v>40620</v>
      </c>
      <c r="C876" s="89">
        <v>128.83999600000001</v>
      </c>
      <c r="D876" s="89">
        <v>128.88000500000001</v>
      </c>
      <c r="E876" s="89">
        <v>127.510002</v>
      </c>
      <c r="F876" s="89">
        <v>127.760002</v>
      </c>
      <c r="G876" s="89">
        <v>100.587273</v>
      </c>
      <c r="H876" s="89">
        <v>230435400</v>
      </c>
      <c r="J876" s="89">
        <v>0</v>
      </c>
      <c r="K876" s="89">
        <f t="shared" si="232"/>
        <v>88</v>
      </c>
      <c r="L876" s="89">
        <f t="shared" si="233"/>
        <v>112.621376</v>
      </c>
      <c r="M876" s="89">
        <f>+SPY__2[[#This Row],[Adj Close]]</f>
        <v>100.587273</v>
      </c>
      <c r="N876" s="89">
        <f t="shared" si="228"/>
        <v>8851.6800239999993</v>
      </c>
      <c r="O876" s="90">
        <f t="shared" si="229"/>
        <v>-1059.001064</v>
      </c>
      <c r="P876" s="93">
        <f t="shared" si="230"/>
        <v>-0.106854519340982</v>
      </c>
      <c r="Q876" s="96"/>
      <c r="R876" s="96"/>
      <c r="T876" s="90">
        <f t="shared" si="224"/>
        <v>95</v>
      </c>
      <c r="U876" s="89">
        <f t="shared" si="225"/>
        <v>103.31428490526316</v>
      </c>
      <c r="V876" s="89">
        <f t="shared" si="226"/>
        <v>100.587273</v>
      </c>
      <c r="W876" s="90">
        <f t="shared" si="231"/>
        <v>9555.7909349999991</v>
      </c>
      <c r="X876" s="93">
        <f t="shared" si="227"/>
        <v>-2.6395303493256361E-2</v>
      </c>
      <c r="AB876" s="89">
        <f t="shared" si="216"/>
        <v>195</v>
      </c>
      <c r="AC876" s="89">
        <f t="shared" si="217"/>
        <v>51.179276000000002</v>
      </c>
      <c r="AD876" s="89">
        <f t="shared" si="218"/>
        <v>100.587273</v>
      </c>
      <c r="AE876" s="89">
        <f t="shared" si="219"/>
        <v>19614.518235</v>
      </c>
      <c r="AF876" s="90">
        <f t="shared" si="222"/>
        <v>9634.5594149999997</v>
      </c>
      <c r="AG876" s="93">
        <f t="shared" si="223"/>
        <v>0.96539069837564706</v>
      </c>
      <c r="AK876" s="90">
        <f t="shared" si="220"/>
        <v>142</v>
      </c>
      <c r="AL876" s="89">
        <f t="shared" si="221"/>
        <v>68.865979063380294</v>
      </c>
      <c r="AM876" s="89">
        <f t="shared" si="213"/>
        <v>100.587273</v>
      </c>
      <c r="AN876" s="90">
        <f t="shared" si="214"/>
        <v>14283.392765999999</v>
      </c>
      <c r="AO876" s="93">
        <f t="shared" si="215"/>
        <v>0.46062358174600626</v>
      </c>
    </row>
    <row r="877" spans="2:41" x14ac:dyDescent="0.25">
      <c r="B877" s="91">
        <v>40623</v>
      </c>
      <c r="C877" s="89">
        <v>129.35000600000001</v>
      </c>
      <c r="D877" s="89">
        <v>130.009995</v>
      </c>
      <c r="E877" s="89">
        <v>129.199997</v>
      </c>
      <c r="F877" s="89">
        <v>129.740005</v>
      </c>
      <c r="G877" s="89">
        <v>102.146141</v>
      </c>
      <c r="H877" s="89">
        <v>153992600</v>
      </c>
      <c r="J877" s="89">
        <v>0</v>
      </c>
      <c r="K877" s="89">
        <f t="shared" si="232"/>
        <v>88</v>
      </c>
      <c r="L877" s="89">
        <f t="shared" si="233"/>
        <v>112.621376</v>
      </c>
      <c r="M877" s="89">
        <f>+SPY__2[[#This Row],[Adj Close]]</f>
        <v>102.146141</v>
      </c>
      <c r="N877" s="89">
        <f t="shared" si="228"/>
        <v>8988.8604080000005</v>
      </c>
      <c r="O877" s="90">
        <f t="shared" si="229"/>
        <v>-921.82067999999981</v>
      </c>
      <c r="P877" s="93">
        <f t="shared" si="230"/>
        <v>-9.3012848644292823E-2</v>
      </c>
      <c r="Q877" s="96"/>
      <c r="R877" s="96"/>
      <c r="T877" s="90">
        <f t="shared" si="224"/>
        <v>95</v>
      </c>
      <c r="U877" s="89">
        <f t="shared" si="225"/>
        <v>103.31428490526316</v>
      </c>
      <c r="V877" s="89">
        <f t="shared" si="226"/>
        <v>102.146141</v>
      </c>
      <c r="W877" s="90">
        <f t="shared" si="231"/>
        <v>9703.8833950000007</v>
      </c>
      <c r="X877" s="93">
        <f t="shared" si="227"/>
        <v>-1.1306702711385119E-2</v>
      </c>
      <c r="AB877" s="89">
        <f t="shared" si="216"/>
        <v>195</v>
      </c>
      <c r="AC877" s="89">
        <f t="shared" si="217"/>
        <v>51.179276000000002</v>
      </c>
      <c r="AD877" s="89">
        <f t="shared" si="218"/>
        <v>102.146141</v>
      </c>
      <c r="AE877" s="89">
        <f t="shared" si="219"/>
        <v>19918.497495</v>
      </c>
      <c r="AF877" s="90">
        <f t="shared" si="222"/>
        <v>9938.5386749999998</v>
      </c>
      <c r="AG877" s="93">
        <f t="shared" si="223"/>
        <v>0.99584966774442063</v>
      </c>
      <c r="AK877" s="90">
        <f t="shared" si="220"/>
        <v>142</v>
      </c>
      <c r="AL877" s="89">
        <f t="shared" si="221"/>
        <v>68.865979063380294</v>
      </c>
      <c r="AM877" s="89">
        <f t="shared" ref="AM877:AM940" si="234">+AD877</f>
        <v>102.146141</v>
      </c>
      <c r="AN877" s="90">
        <f t="shared" ref="AN877:AN940" si="235">+AM877*AK877</f>
        <v>14504.752022000001</v>
      </c>
      <c r="AO877" s="93">
        <f t="shared" ref="AO877:AO940" si="236">+AN877/(AL877*AK877)-1</f>
        <v>0.48325983873678124</v>
      </c>
    </row>
    <row r="878" spans="2:41" x14ac:dyDescent="0.25">
      <c r="B878" s="91">
        <v>40624</v>
      </c>
      <c r="C878" s="89">
        <v>129.720001</v>
      </c>
      <c r="D878" s="89">
        <v>129.88999899999999</v>
      </c>
      <c r="E878" s="89">
        <v>129.16999799999999</v>
      </c>
      <c r="F878" s="89">
        <v>129.28999300000001</v>
      </c>
      <c r="G878" s="89">
        <v>101.791832</v>
      </c>
      <c r="H878" s="89">
        <v>129538600</v>
      </c>
      <c r="J878" s="89">
        <v>0</v>
      </c>
      <c r="K878" s="89">
        <f t="shared" si="232"/>
        <v>88</v>
      </c>
      <c r="L878" s="89">
        <f t="shared" si="233"/>
        <v>112.621376</v>
      </c>
      <c r="M878" s="89">
        <f>+SPY__2[[#This Row],[Adj Close]]</f>
        <v>101.791832</v>
      </c>
      <c r="N878" s="89">
        <f t="shared" si="228"/>
        <v>8957.6812160000009</v>
      </c>
      <c r="O878" s="90">
        <f t="shared" si="229"/>
        <v>-952.99987199999987</v>
      </c>
      <c r="P878" s="93">
        <f t="shared" si="230"/>
        <v>-9.6158867744610022E-2</v>
      </c>
      <c r="Q878" s="96"/>
      <c r="R878" s="96"/>
      <c r="T878" s="90">
        <f t="shared" si="224"/>
        <v>95</v>
      </c>
      <c r="U878" s="89">
        <f t="shared" si="225"/>
        <v>103.31428490526316</v>
      </c>
      <c r="V878" s="89">
        <f t="shared" si="226"/>
        <v>101.791832</v>
      </c>
      <c r="W878" s="90">
        <f t="shared" si="231"/>
        <v>9670.2240399999991</v>
      </c>
      <c r="X878" s="93">
        <f t="shared" si="227"/>
        <v>-1.4736131665231245E-2</v>
      </c>
      <c r="AB878" s="89">
        <f t="shared" ref="AB878:AB941" si="237">+AB877</f>
        <v>195</v>
      </c>
      <c r="AC878" s="89">
        <f t="shared" ref="AC878:AC941" si="238">+AC877</f>
        <v>51.179276000000002</v>
      </c>
      <c r="AD878" s="89">
        <f t="shared" ref="AD878:AD941" si="239">+V878</f>
        <v>101.791832</v>
      </c>
      <c r="AE878" s="89">
        <f t="shared" ref="AE878:AE941" si="240">+AB878*AD878</f>
        <v>19849.40724</v>
      </c>
      <c r="AF878" s="90">
        <f t="shared" si="222"/>
        <v>9869.4484199999988</v>
      </c>
      <c r="AG878" s="93">
        <f t="shared" si="223"/>
        <v>0.98892676793630296</v>
      </c>
      <c r="AK878" s="90">
        <f t="shared" ref="AK878:AK941" si="241">+AK877</f>
        <v>142</v>
      </c>
      <c r="AL878" s="89">
        <f t="shared" ref="AL878:AL941" si="242">+AL877</f>
        <v>68.865979063380294</v>
      </c>
      <c r="AM878" s="89">
        <f t="shared" si="234"/>
        <v>101.791832</v>
      </c>
      <c r="AN878" s="90">
        <f t="shared" si="235"/>
        <v>14454.440144</v>
      </c>
      <c r="AO878" s="93">
        <f t="shared" si="236"/>
        <v>0.47811493257529447</v>
      </c>
    </row>
    <row r="879" spans="2:41" x14ac:dyDescent="0.25">
      <c r="B879" s="91">
        <v>40625</v>
      </c>
      <c r="C879" s="89">
        <v>128.929993</v>
      </c>
      <c r="D879" s="89">
        <v>130</v>
      </c>
      <c r="E879" s="89">
        <v>128.320007</v>
      </c>
      <c r="F879" s="89">
        <v>129.66000399999999</v>
      </c>
      <c r="G879" s="89">
        <v>102.08316000000001</v>
      </c>
      <c r="H879" s="89">
        <v>148603100</v>
      </c>
      <c r="J879" s="89">
        <v>0</v>
      </c>
      <c r="K879" s="89">
        <f t="shared" si="232"/>
        <v>88</v>
      </c>
      <c r="L879" s="89">
        <f t="shared" si="233"/>
        <v>112.621376</v>
      </c>
      <c r="M879" s="89">
        <f>+SPY__2[[#This Row],[Adj Close]]</f>
        <v>102.08316000000001</v>
      </c>
      <c r="N879" s="89">
        <f t="shared" si="228"/>
        <v>8983.3180800000009</v>
      </c>
      <c r="O879" s="90">
        <f t="shared" si="229"/>
        <v>-927.36300799999924</v>
      </c>
      <c r="P879" s="93">
        <f t="shared" si="230"/>
        <v>-9.3572076405814775E-2</v>
      </c>
      <c r="Q879" s="96"/>
      <c r="R879" s="96"/>
      <c r="T879" s="90">
        <f t="shared" si="224"/>
        <v>95</v>
      </c>
      <c r="U879" s="89">
        <f t="shared" si="225"/>
        <v>103.31428490526316</v>
      </c>
      <c r="V879" s="89">
        <f t="shared" si="226"/>
        <v>102.08316000000001</v>
      </c>
      <c r="W879" s="90">
        <f t="shared" si="231"/>
        <v>9697.9002</v>
      </c>
      <c r="X879" s="93">
        <f t="shared" si="227"/>
        <v>-1.1916308634300488E-2</v>
      </c>
      <c r="AB879" s="89">
        <f t="shared" si="237"/>
        <v>195</v>
      </c>
      <c r="AC879" s="89">
        <f t="shared" si="238"/>
        <v>51.179276000000002</v>
      </c>
      <c r="AD879" s="89">
        <f t="shared" si="239"/>
        <v>102.08316000000001</v>
      </c>
      <c r="AE879" s="89">
        <f t="shared" si="240"/>
        <v>19906.216200000003</v>
      </c>
      <c r="AF879" s="90">
        <f t="shared" si="222"/>
        <v>9926.2573800000009</v>
      </c>
      <c r="AG879" s="93">
        <f t="shared" si="223"/>
        <v>0.99461907198530919</v>
      </c>
      <c r="AK879" s="90">
        <f t="shared" si="241"/>
        <v>142</v>
      </c>
      <c r="AL879" s="89">
        <f t="shared" si="242"/>
        <v>68.865979063380294</v>
      </c>
      <c r="AM879" s="89">
        <f t="shared" si="234"/>
        <v>102.08316000000001</v>
      </c>
      <c r="AN879" s="90">
        <f t="shared" si="235"/>
        <v>14495.808720000001</v>
      </c>
      <c r="AO879" s="93">
        <f t="shared" si="236"/>
        <v>0.48234529427147965</v>
      </c>
    </row>
    <row r="880" spans="2:41" x14ac:dyDescent="0.25">
      <c r="B880" s="91">
        <v>40626</v>
      </c>
      <c r="C880" s="89">
        <v>130.39999399999999</v>
      </c>
      <c r="D880" s="89">
        <v>131.08999600000001</v>
      </c>
      <c r="E880" s="89">
        <v>129.66999799999999</v>
      </c>
      <c r="F880" s="89">
        <v>130.89999399999999</v>
      </c>
      <c r="G880" s="89">
        <v>103.05940200000001</v>
      </c>
      <c r="H880" s="89">
        <v>159129800</v>
      </c>
      <c r="J880" s="89">
        <v>0</v>
      </c>
      <c r="K880" s="89">
        <f t="shared" si="232"/>
        <v>88</v>
      </c>
      <c r="L880" s="89">
        <f t="shared" si="233"/>
        <v>112.621376</v>
      </c>
      <c r="M880" s="89">
        <f>+SPY__2[[#This Row],[Adj Close]]</f>
        <v>103.05940200000001</v>
      </c>
      <c r="N880" s="89">
        <f t="shared" si="228"/>
        <v>9069.2273760000007</v>
      </c>
      <c r="O880" s="90">
        <f t="shared" si="229"/>
        <v>-841.45371199999931</v>
      </c>
      <c r="P880" s="93">
        <f t="shared" si="230"/>
        <v>-8.4903722007445448E-2</v>
      </c>
      <c r="Q880" s="96"/>
      <c r="R880" s="96"/>
      <c r="T880" s="90">
        <f t="shared" si="224"/>
        <v>95</v>
      </c>
      <c r="U880" s="89">
        <f t="shared" si="225"/>
        <v>103.31428490526316</v>
      </c>
      <c r="V880" s="89">
        <f t="shared" si="226"/>
        <v>103.05940200000001</v>
      </c>
      <c r="W880" s="90">
        <f t="shared" si="231"/>
        <v>9790.6431900000007</v>
      </c>
      <c r="X880" s="93">
        <f t="shared" si="227"/>
        <v>-2.4670635381823791E-3</v>
      </c>
      <c r="AB880" s="89">
        <f t="shared" si="237"/>
        <v>195</v>
      </c>
      <c r="AC880" s="89">
        <f t="shared" si="238"/>
        <v>51.179276000000002</v>
      </c>
      <c r="AD880" s="89">
        <f t="shared" si="239"/>
        <v>103.05940200000001</v>
      </c>
      <c r="AE880" s="89">
        <f t="shared" si="240"/>
        <v>20096.58339</v>
      </c>
      <c r="AF880" s="90">
        <f t="shared" si="222"/>
        <v>10116.62457</v>
      </c>
      <c r="AG880" s="93">
        <f t="shared" si="223"/>
        <v>1.0136940194308339</v>
      </c>
      <c r="AK880" s="90">
        <f t="shared" si="241"/>
        <v>142</v>
      </c>
      <c r="AL880" s="89">
        <f t="shared" si="242"/>
        <v>68.865979063380294</v>
      </c>
      <c r="AM880" s="89">
        <f t="shared" si="234"/>
        <v>103.05940200000001</v>
      </c>
      <c r="AN880" s="90">
        <f t="shared" si="235"/>
        <v>14634.435084000001</v>
      </c>
      <c r="AO880" s="93">
        <f t="shared" si="236"/>
        <v>0.49652126349862913</v>
      </c>
    </row>
    <row r="881" spans="2:41" x14ac:dyDescent="0.25">
      <c r="B881" s="91">
        <v>40627</v>
      </c>
      <c r="C881" s="89">
        <v>131.240005</v>
      </c>
      <c r="D881" s="89">
        <v>131.86999499999999</v>
      </c>
      <c r="E881" s="89">
        <v>130.88999899999999</v>
      </c>
      <c r="F881" s="89">
        <v>131.300003</v>
      </c>
      <c r="G881" s="89">
        <v>103.37434399999999</v>
      </c>
      <c r="H881" s="89">
        <v>155642800</v>
      </c>
      <c r="J881" s="89">
        <v>0</v>
      </c>
      <c r="K881" s="89">
        <f t="shared" si="232"/>
        <v>88</v>
      </c>
      <c r="L881" s="89">
        <f t="shared" si="233"/>
        <v>112.621376</v>
      </c>
      <c r="M881" s="89">
        <f>+SPY__2[[#This Row],[Adj Close]]</f>
        <v>103.37434399999999</v>
      </c>
      <c r="N881" s="89">
        <f t="shared" si="228"/>
        <v>9096.9422720000002</v>
      </c>
      <c r="O881" s="90">
        <f t="shared" si="229"/>
        <v>-813.73881600000038</v>
      </c>
      <c r="P881" s="93">
        <f t="shared" si="230"/>
        <v>-8.2107254665402141E-2</v>
      </c>
      <c r="Q881" s="96"/>
      <c r="R881" s="96"/>
      <c r="T881" s="90">
        <f t="shared" si="224"/>
        <v>95</v>
      </c>
      <c r="U881" s="89">
        <f t="shared" si="225"/>
        <v>103.31428490526316</v>
      </c>
      <c r="V881" s="89">
        <f t="shared" si="226"/>
        <v>103.37434399999999</v>
      </c>
      <c r="W881" s="90">
        <f t="shared" si="231"/>
        <v>9820.5626799999991</v>
      </c>
      <c r="X881" s="93">
        <f t="shared" si="227"/>
        <v>5.8132420692746933E-4</v>
      </c>
      <c r="AB881" s="89">
        <f t="shared" si="237"/>
        <v>195</v>
      </c>
      <c r="AC881" s="89">
        <f t="shared" si="238"/>
        <v>51.179276000000002</v>
      </c>
      <c r="AD881" s="89">
        <f t="shared" si="239"/>
        <v>103.37434399999999</v>
      </c>
      <c r="AE881" s="89">
        <f t="shared" si="240"/>
        <v>20157.997079999997</v>
      </c>
      <c r="AF881" s="90">
        <f t="shared" si="222"/>
        <v>10178.038259999998</v>
      </c>
      <c r="AG881" s="93">
        <f t="shared" si="223"/>
        <v>1.0198477211752661</v>
      </c>
      <c r="AK881" s="90">
        <f t="shared" si="241"/>
        <v>142</v>
      </c>
      <c r="AL881" s="89">
        <f t="shared" si="242"/>
        <v>68.865979063380294</v>
      </c>
      <c r="AM881" s="89">
        <f t="shared" si="234"/>
        <v>103.37434399999999</v>
      </c>
      <c r="AN881" s="90">
        <f t="shared" si="235"/>
        <v>14679.156847999999</v>
      </c>
      <c r="AO881" s="93">
        <f t="shared" si="236"/>
        <v>0.50109452310058922</v>
      </c>
    </row>
    <row r="882" spans="2:41" x14ac:dyDescent="0.25">
      <c r="B882" s="91">
        <v>40630</v>
      </c>
      <c r="C882" s="89">
        <v>131.58000200000001</v>
      </c>
      <c r="D882" s="89">
        <v>131.91999799999999</v>
      </c>
      <c r="E882" s="89">
        <v>130.94000199999999</v>
      </c>
      <c r="F882" s="89">
        <v>130.979996</v>
      </c>
      <c r="G882" s="89">
        <v>103.122406</v>
      </c>
      <c r="H882" s="89">
        <v>109762400</v>
      </c>
      <c r="J882" s="89">
        <v>0</v>
      </c>
      <c r="K882" s="89">
        <f t="shared" si="232"/>
        <v>88</v>
      </c>
      <c r="L882" s="89">
        <f t="shared" si="233"/>
        <v>112.621376</v>
      </c>
      <c r="M882" s="89">
        <f>+SPY__2[[#This Row],[Adj Close]]</f>
        <v>103.122406</v>
      </c>
      <c r="N882" s="89">
        <f t="shared" si="228"/>
        <v>9074.7717279999997</v>
      </c>
      <c r="O882" s="90">
        <f t="shared" si="229"/>
        <v>-835.90935999999999</v>
      </c>
      <c r="P882" s="93">
        <f t="shared" si="230"/>
        <v>-8.4344290021816093E-2</v>
      </c>
      <c r="Q882" s="96"/>
      <c r="R882" s="96"/>
      <c r="T882" s="90">
        <f t="shared" si="224"/>
        <v>95</v>
      </c>
      <c r="U882" s="89">
        <f t="shared" si="225"/>
        <v>103.31428490526316</v>
      </c>
      <c r="V882" s="89">
        <f t="shared" si="226"/>
        <v>103.122406</v>
      </c>
      <c r="W882" s="90">
        <f t="shared" si="231"/>
        <v>9796.6285699999989</v>
      </c>
      <c r="X882" s="93">
        <f t="shared" si="227"/>
        <v>-1.8572349935841448E-3</v>
      </c>
      <c r="AB882" s="89">
        <f t="shared" si="237"/>
        <v>195</v>
      </c>
      <c r="AC882" s="89">
        <f t="shared" si="238"/>
        <v>51.179276000000002</v>
      </c>
      <c r="AD882" s="89">
        <f t="shared" si="239"/>
        <v>103.122406</v>
      </c>
      <c r="AE882" s="89">
        <f t="shared" si="240"/>
        <v>20108.869169999998</v>
      </c>
      <c r="AF882" s="90">
        <f t="shared" ref="AF882:AF945" si="243">+(AD882-AC882)*AB882</f>
        <v>10128.91035</v>
      </c>
      <c r="AG882" s="93">
        <f t="shared" ref="AG882:AG945" si="244">+AD882/AC882-1</f>
        <v>1.0149250645905972</v>
      </c>
      <c r="AK882" s="90">
        <f t="shared" si="241"/>
        <v>142</v>
      </c>
      <c r="AL882" s="89">
        <f t="shared" si="242"/>
        <v>68.865979063380294</v>
      </c>
      <c r="AM882" s="89">
        <f t="shared" si="234"/>
        <v>103.122406</v>
      </c>
      <c r="AN882" s="90">
        <f t="shared" si="235"/>
        <v>14643.381652</v>
      </c>
      <c r="AO882" s="93">
        <f t="shared" si="236"/>
        <v>0.4974361419459683</v>
      </c>
    </row>
    <row r="883" spans="2:41" x14ac:dyDescent="0.25">
      <c r="B883" s="91">
        <v>40631</v>
      </c>
      <c r="C883" s="89">
        <v>130.86999499999999</v>
      </c>
      <c r="D883" s="89">
        <v>131.89999399999999</v>
      </c>
      <c r="E883" s="89">
        <v>130.44000199999999</v>
      </c>
      <c r="F883" s="89">
        <v>131.86000100000001</v>
      </c>
      <c r="G883" s="89">
        <v>103.815231</v>
      </c>
      <c r="H883" s="89">
        <v>129798800</v>
      </c>
      <c r="J883" s="89">
        <v>0</v>
      </c>
      <c r="K883" s="89">
        <f t="shared" si="232"/>
        <v>88</v>
      </c>
      <c r="L883" s="89">
        <f t="shared" si="233"/>
        <v>112.621376</v>
      </c>
      <c r="M883" s="89">
        <f>+SPY__2[[#This Row],[Adj Close]]</f>
        <v>103.815231</v>
      </c>
      <c r="N883" s="89">
        <f t="shared" si="228"/>
        <v>9135.7403279999999</v>
      </c>
      <c r="O883" s="90">
        <f t="shared" si="229"/>
        <v>-774.94076000000007</v>
      </c>
      <c r="P883" s="93">
        <f t="shared" si="230"/>
        <v>-7.8192482748568048E-2</v>
      </c>
      <c r="Q883" s="96"/>
      <c r="R883" s="96"/>
      <c r="T883" s="90">
        <f t="shared" si="224"/>
        <v>95</v>
      </c>
      <c r="U883" s="89">
        <f t="shared" si="225"/>
        <v>103.31428490526316</v>
      </c>
      <c r="V883" s="89">
        <f t="shared" si="226"/>
        <v>103.815231</v>
      </c>
      <c r="W883" s="90">
        <f t="shared" si="231"/>
        <v>9862.4469449999997</v>
      </c>
      <c r="X883" s="93">
        <f t="shared" si="227"/>
        <v>4.848759251406376E-3</v>
      </c>
      <c r="AB883" s="89">
        <f t="shared" si="237"/>
        <v>195</v>
      </c>
      <c r="AC883" s="89">
        <f t="shared" si="238"/>
        <v>51.179276000000002</v>
      </c>
      <c r="AD883" s="89">
        <f t="shared" si="239"/>
        <v>103.815231</v>
      </c>
      <c r="AE883" s="89">
        <f t="shared" si="240"/>
        <v>20243.970044999998</v>
      </c>
      <c r="AF883" s="90">
        <f t="shared" si="243"/>
        <v>10264.011224999998</v>
      </c>
      <c r="AG883" s="93">
        <f t="shared" si="244"/>
        <v>1.0284622822722227</v>
      </c>
      <c r="AK883" s="90">
        <f t="shared" si="241"/>
        <v>142</v>
      </c>
      <c r="AL883" s="89">
        <f t="shared" si="242"/>
        <v>68.865979063380294</v>
      </c>
      <c r="AM883" s="89">
        <f t="shared" si="234"/>
        <v>103.815231</v>
      </c>
      <c r="AN883" s="90">
        <f t="shared" si="235"/>
        <v>14741.762801999999</v>
      </c>
      <c r="AO883" s="93">
        <f t="shared" si="236"/>
        <v>0.50749662477686441</v>
      </c>
    </row>
    <row r="884" spans="2:41" x14ac:dyDescent="0.25">
      <c r="B884" s="91">
        <v>40632</v>
      </c>
      <c r="C884" s="89">
        <v>132.550003</v>
      </c>
      <c r="D884" s="89">
        <v>133.16000399999999</v>
      </c>
      <c r="E884" s="89">
        <v>132.36000100000001</v>
      </c>
      <c r="F884" s="89">
        <v>132.770004</v>
      </c>
      <c r="G884" s="89">
        <v>104.531693</v>
      </c>
      <c r="H884" s="89">
        <v>135835000</v>
      </c>
      <c r="J884" s="89">
        <v>0</v>
      </c>
      <c r="K884" s="89">
        <f t="shared" si="232"/>
        <v>88</v>
      </c>
      <c r="L884" s="89">
        <f t="shared" si="233"/>
        <v>112.621376</v>
      </c>
      <c r="M884" s="89">
        <f>+SPY__2[[#This Row],[Adj Close]]</f>
        <v>104.531693</v>
      </c>
      <c r="N884" s="89">
        <f t="shared" si="228"/>
        <v>9198.7889840000007</v>
      </c>
      <c r="O884" s="90">
        <f t="shared" si="229"/>
        <v>-711.89210399999945</v>
      </c>
      <c r="P884" s="93">
        <f t="shared" si="230"/>
        <v>-7.1830795247964208E-2</v>
      </c>
      <c r="Q884" s="96"/>
      <c r="R884" s="96"/>
      <c r="T884" s="90">
        <f t="shared" si="224"/>
        <v>95</v>
      </c>
      <c r="U884" s="89">
        <f t="shared" si="225"/>
        <v>103.31428490526316</v>
      </c>
      <c r="V884" s="89">
        <f t="shared" si="226"/>
        <v>104.531693</v>
      </c>
      <c r="W884" s="90">
        <f t="shared" si="231"/>
        <v>9930.510835000001</v>
      </c>
      <c r="X884" s="93">
        <f t="shared" si="227"/>
        <v>1.1783540832259298E-2</v>
      </c>
      <c r="AB884" s="89">
        <f t="shared" si="237"/>
        <v>195</v>
      </c>
      <c r="AC884" s="89">
        <f t="shared" si="238"/>
        <v>51.179276000000002</v>
      </c>
      <c r="AD884" s="89">
        <f t="shared" si="239"/>
        <v>104.531693</v>
      </c>
      <c r="AE884" s="89">
        <f t="shared" si="240"/>
        <v>20383.680135000002</v>
      </c>
      <c r="AF884" s="90">
        <f t="shared" si="243"/>
        <v>10403.721315000001</v>
      </c>
      <c r="AG884" s="93">
        <f t="shared" si="244"/>
        <v>1.0424613470499269</v>
      </c>
      <c r="AK884" s="90">
        <f t="shared" si="241"/>
        <v>142</v>
      </c>
      <c r="AL884" s="89">
        <f t="shared" si="242"/>
        <v>68.865979063380294</v>
      </c>
      <c r="AM884" s="89">
        <f t="shared" si="234"/>
        <v>104.531693</v>
      </c>
      <c r="AN884" s="90">
        <f t="shared" si="235"/>
        <v>14843.500406000001</v>
      </c>
      <c r="AO884" s="93">
        <f t="shared" si="236"/>
        <v>0.51790033949557368</v>
      </c>
    </row>
    <row r="885" spans="2:41" x14ac:dyDescent="0.25">
      <c r="B885" s="91">
        <v>40633</v>
      </c>
      <c r="C885" s="89">
        <v>132.60000600000001</v>
      </c>
      <c r="D885" s="89">
        <v>132.96000699999999</v>
      </c>
      <c r="E885" s="89">
        <v>132.449997</v>
      </c>
      <c r="F885" s="89">
        <v>132.58999600000001</v>
      </c>
      <c r="G885" s="89">
        <v>104.38996899999999</v>
      </c>
      <c r="H885" s="89">
        <v>132537100</v>
      </c>
      <c r="J885" s="89">
        <v>0</v>
      </c>
      <c r="K885" s="89">
        <f t="shared" si="232"/>
        <v>88</v>
      </c>
      <c r="L885" s="89">
        <f t="shared" si="233"/>
        <v>112.621376</v>
      </c>
      <c r="M885" s="89">
        <f>+SPY__2[[#This Row],[Adj Close]]</f>
        <v>104.38996899999999</v>
      </c>
      <c r="N885" s="89">
        <f t="shared" si="228"/>
        <v>9186.3172720000002</v>
      </c>
      <c r="O885" s="90">
        <f t="shared" si="229"/>
        <v>-724.36381600000038</v>
      </c>
      <c r="P885" s="93">
        <f t="shared" si="230"/>
        <v>-7.3089206439814758E-2</v>
      </c>
      <c r="Q885" s="96"/>
      <c r="R885" s="96"/>
      <c r="T885" s="90">
        <f t="shared" si="224"/>
        <v>95</v>
      </c>
      <c r="U885" s="89">
        <f t="shared" si="225"/>
        <v>103.31428490526316</v>
      </c>
      <c r="V885" s="89">
        <f t="shared" si="226"/>
        <v>104.38996899999999</v>
      </c>
      <c r="W885" s="90">
        <f t="shared" si="231"/>
        <v>9917.0470549999991</v>
      </c>
      <c r="X885" s="93">
        <f t="shared" si="227"/>
        <v>1.0411765379039428E-2</v>
      </c>
      <c r="AB885" s="89">
        <f t="shared" si="237"/>
        <v>195</v>
      </c>
      <c r="AC885" s="89">
        <f t="shared" si="238"/>
        <v>51.179276000000002</v>
      </c>
      <c r="AD885" s="89">
        <f t="shared" si="239"/>
        <v>104.38996899999999</v>
      </c>
      <c r="AE885" s="89">
        <f t="shared" si="240"/>
        <v>20356.043954999997</v>
      </c>
      <c r="AF885" s="90">
        <f t="shared" si="243"/>
        <v>10376.085134999998</v>
      </c>
      <c r="AG885" s="93">
        <f t="shared" si="244"/>
        <v>1.0396921793110163</v>
      </c>
      <c r="AK885" s="90">
        <f t="shared" si="241"/>
        <v>142</v>
      </c>
      <c r="AL885" s="89">
        <f t="shared" si="242"/>
        <v>68.865979063380294</v>
      </c>
      <c r="AM885" s="89">
        <f t="shared" si="234"/>
        <v>104.38996899999999</v>
      </c>
      <c r="AN885" s="90">
        <f t="shared" si="235"/>
        <v>14823.375597999999</v>
      </c>
      <c r="AO885" s="93">
        <f t="shared" si="236"/>
        <v>0.51584237122259546</v>
      </c>
    </row>
    <row r="886" spans="2:41" x14ac:dyDescent="0.25">
      <c r="B886" s="91">
        <v>40634</v>
      </c>
      <c r="C886" s="89">
        <v>133.41000399999999</v>
      </c>
      <c r="D886" s="89">
        <v>133.770004</v>
      </c>
      <c r="E886" s="89">
        <v>132.83000200000001</v>
      </c>
      <c r="F886" s="89">
        <v>133.14999399999999</v>
      </c>
      <c r="G886" s="89">
        <v>104.830849</v>
      </c>
      <c r="H886" s="89">
        <v>153850100</v>
      </c>
      <c r="J886" s="89">
        <v>0</v>
      </c>
      <c r="K886" s="89">
        <f t="shared" si="232"/>
        <v>88</v>
      </c>
      <c r="L886" s="89">
        <f t="shared" si="233"/>
        <v>112.621376</v>
      </c>
      <c r="M886" s="89">
        <f>+SPY__2[[#This Row],[Adj Close]]</f>
        <v>104.830849</v>
      </c>
      <c r="N886" s="89">
        <f t="shared" si="228"/>
        <v>9225.1147120000005</v>
      </c>
      <c r="O886" s="90">
        <f t="shared" si="229"/>
        <v>-685.56637599999976</v>
      </c>
      <c r="P886" s="93">
        <f t="shared" si="230"/>
        <v>-6.9174496678143904E-2</v>
      </c>
      <c r="Q886" s="96"/>
      <c r="R886" s="96"/>
      <c r="T886" s="90">
        <f t="shared" si="224"/>
        <v>95</v>
      </c>
      <c r="U886" s="89">
        <f t="shared" si="225"/>
        <v>103.31428490526316</v>
      </c>
      <c r="V886" s="89">
        <f t="shared" si="226"/>
        <v>104.830849</v>
      </c>
      <c r="W886" s="90">
        <f t="shared" si="231"/>
        <v>9958.9306550000001</v>
      </c>
      <c r="X886" s="93">
        <f t="shared" si="227"/>
        <v>1.4679132669093153E-2</v>
      </c>
      <c r="AB886" s="89">
        <f t="shared" si="237"/>
        <v>195</v>
      </c>
      <c r="AC886" s="89">
        <f t="shared" si="238"/>
        <v>51.179276000000002</v>
      </c>
      <c r="AD886" s="89">
        <f t="shared" si="239"/>
        <v>104.830849</v>
      </c>
      <c r="AE886" s="89">
        <f t="shared" si="240"/>
        <v>20442.015555000002</v>
      </c>
      <c r="AF886" s="90">
        <f t="shared" si="243"/>
        <v>10462.056735</v>
      </c>
      <c r="AG886" s="93">
        <f t="shared" si="244"/>
        <v>1.0483066036338613</v>
      </c>
      <c r="AK886" s="90">
        <f t="shared" si="241"/>
        <v>142</v>
      </c>
      <c r="AL886" s="89">
        <f t="shared" si="242"/>
        <v>68.865979063380294</v>
      </c>
      <c r="AM886" s="89">
        <f t="shared" si="234"/>
        <v>104.830849</v>
      </c>
      <c r="AN886" s="90">
        <f t="shared" si="235"/>
        <v>14885.980557999999</v>
      </c>
      <c r="AO886" s="93">
        <f t="shared" si="236"/>
        <v>0.52224437125216361</v>
      </c>
    </row>
    <row r="887" spans="2:41" x14ac:dyDescent="0.25">
      <c r="B887" s="91">
        <v>40637</v>
      </c>
      <c r="C887" s="89">
        <v>133.429993</v>
      </c>
      <c r="D887" s="89">
        <v>133.66999799999999</v>
      </c>
      <c r="E887" s="89">
        <v>132.88000500000001</v>
      </c>
      <c r="F887" s="89">
        <v>133.259995</v>
      </c>
      <c r="G887" s="89">
        <v>104.917511</v>
      </c>
      <c r="H887" s="89">
        <v>100768900</v>
      </c>
      <c r="J887" s="89">
        <v>0</v>
      </c>
      <c r="K887" s="89">
        <f t="shared" si="232"/>
        <v>88</v>
      </c>
      <c r="L887" s="89">
        <f t="shared" si="233"/>
        <v>112.621376</v>
      </c>
      <c r="M887" s="89">
        <f>+SPY__2[[#This Row],[Adj Close]]</f>
        <v>104.917511</v>
      </c>
      <c r="N887" s="89">
        <f t="shared" si="228"/>
        <v>9232.7409680000001</v>
      </c>
      <c r="O887" s="90">
        <f t="shared" si="229"/>
        <v>-677.94011999999941</v>
      </c>
      <c r="P887" s="93">
        <f t="shared" si="230"/>
        <v>-6.8404997999669259E-2</v>
      </c>
      <c r="Q887" s="96"/>
      <c r="R887" s="96"/>
      <c r="T887" s="90">
        <f t="shared" si="224"/>
        <v>95</v>
      </c>
      <c r="U887" s="89">
        <f t="shared" si="225"/>
        <v>103.31428490526316</v>
      </c>
      <c r="V887" s="89">
        <f t="shared" si="226"/>
        <v>104.917511</v>
      </c>
      <c r="W887" s="90">
        <f t="shared" si="231"/>
        <v>9967.1635450000012</v>
      </c>
      <c r="X887" s="93">
        <f t="shared" si="227"/>
        <v>1.5517951812829889E-2</v>
      </c>
      <c r="AB887" s="89">
        <f t="shared" si="237"/>
        <v>195</v>
      </c>
      <c r="AC887" s="89">
        <f t="shared" si="238"/>
        <v>51.179276000000002</v>
      </c>
      <c r="AD887" s="89">
        <f t="shared" si="239"/>
        <v>104.917511</v>
      </c>
      <c r="AE887" s="89">
        <f t="shared" si="240"/>
        <v>20458.914645000001</v>
      </c>
      <c r="AF887" s="90">
        <f t="shared" si="243"/>
        <v>10478.955825000001</v>
      </c>
      <c r="AG887" s="93">
        <f t="shared" si="244"/>
        <v>1.049999906212038</v>
      </c>
      <c r="AK887" s="90">
        <f t="shared" si="241"/>
        <v>142</v>
      </c>
      <c r="AL887" s="89">
        <f t="shared" si="242"/>
        <v>68.865979063380294</v>
      </c>
      <c r="AM887" s="89">
        <f t="shared" si="234"/>
        <v>104.917511</v>
      </c>
      <c r="AN887" s="90">
        <f t="shared" si="235"/>
        <v>14898.286562000001</v>
      </c>
      <c r="AO887" s="93">
        <f t="shared" si="236"/>
        <v>0.52350278652743709</v>
      </c>
    </row>
    <row r="888" spans="2:41" x14ac:dyDescent="0.25">
      <c r="B888" s="91">
        <v>40638</v>
      </c>
      <c r="C888" s="89">
        <v>133</v>
      </c>
      <c r="D888" s="89">
        <v>133.83000200000001</v>
      </c>
      <c r="E888" s="89">
        <v>132.94000199999999</v>
      </c>
      <c r="F888" s="89">
        <v>133.240005</v>
      </c>
      <c r="G888" s="89">
        <v>104.901749</v>
      </c>
      <c r="H888" s="89">
        <v>120791500</v>
      </c>
      <c r="J888" s="89">
        <v>0</v>
      </c>
      <c r="K888" s="89">
        <f t="shared" si="232"/>
        <v>88</v>
      </c>
      <c r="L888" s="89">
        <f t="shared" si="233"/>
        <v>112.621376</v>
      </c>
      <c r="M888" s="89">
        <f>+SPY__2[[#This Row],[Adj Close]]</f>
        <v>104.901749</v>
      </c>
      <c r="N888" s="89">
        <f t="shared" si="228"/>
        <v>9231.3539119999987</v>
      </c>
      <c r="O888" s="90">
        <f t="shared" si="229"/>
        <v>-679.32717600000024</v>
      </c>
      <c r="P888" s="93">
        <f t="shared" si="230"/>
        <v>-6.8544953668475905E-2</v>
      </c>
      <c r="Q888" s="96"/>
      <c r="R888" s="96"/>
      <c r="T888" s="90">
        <f t="shared" si="224"/>
        <v>95</v>
      </c>
      <c r="U888" s="89">
        <f t="shared" si="225"/>
        <v>103.31428490526316</v>
      </c>
      <c r="V888" s="89">
        <f t="shared" si="226"/>
        <v>104.901749</v>
      </c>
      <c r="W888" s="90">
        <f t="shared" si="231"/>
        <v>9965.666154999999</v>
      </c>
      <c r="X888" s="93">
        <f t="shared" si="227"/>
        <v>1.5365388205440311E-2</v>
      </c>
      <c r="AB888" s="89">
        <f t="shared" si="237"/>
        <v>195</v>
      </c>
      <c r="AC888" s="89">
        <f t="shared" si="238"/>
        <v>51.179276000000002</v>
      </c>
      <c r="AD888" s="89">
        <f t="shared" si="239"/>
        <v>104.901749</v>
      </c>
      <c r="AE888" s="89">
        <f t="shared" si="240"/>
        <v>20455.841055000001</v>
      </c>
      <c r="AF888" s="90">
        <f t="shared" si="243"/>
        <v>10475.882234999999</v>
      </c>
      <c r="AG888" s="93">
        <f t="shared" si="244"/>
        <v>1.0496919299913503</v>
      </c>
      <c r="AK888" s="90">
        <f t="shared" si="241"/>
        <v>142</v>
      </c>
      <c r="AL888" s="89">
        <f t="shared" si="242"/>
        <v>68.865979063380294</v>
      </c>
      <c r="AM888" s="89">
        <f t="shared" si="234"/>
        <v>104.901749</v>
      </c>
      <c r="AN888" s="90">
        <f t="shared" si="235"/>
        <v>14896.048358</v>
      </c>
      <c r="AO888" s="93">
        <f t="shared" si="236"/>
        <v>0.5232739071850625</v>
      </c>
    </row>
    <row r="889" spans="2:41" x14ac:dyDescent="0.25">
      <c r="B889" s="91">
        <v>40639</v>
      </c>
      <c r="C889" s="89">
        <v>133.88000500000001</v>
      </c>
      <c r="D889" s="89">
        <v>134</v>
      </c>
      <c r="E889" s="89">
        <v>133.11999499999999</v>
      </c>
      <c r="F889" s="89">
        <v>133.66000399999999</v>
      </c>
      <c r="G889" s="89">
        <v>105.23239100000001</v>
      </c>
      <c r="H889" s="89">
        <v>120411600</v>
      </c>
      <c r="J889" s="89">
        <v>0</v>
      </c>
      <c r="K889" s="89">
        <f t="shared" si="232"/>
        <v>88</v>
      </c>
      <c r="L889" s="89">
        <f t="shared" si="233"/>
        <v>112.621376</v>
      </c>
      <c r="M889" s="89">
        <f>+SPY__2[[#This Row],[Adj Close]]</f>
        <v>105.23239100000001</v>
      </c>
      <c r="N889" s="89">
        <f t="shared" si="228"/>
        <v>9260.4504080000006</v>
      </c>
      <c r="O889" s="90">
        <f t="shared" si="229"/>
        <v>-650.23067999999921</v>
      </c>
      <c r="P889" s="93">
        <f t="shared" si="230"/>
        <v>-6.5609081174785033E-2</v>
      </c>
      <c r="Q889" s="96"/>
      <c r="R889" s="96"/>
      <c r="T889" s="90">
        <f t="shared" si="224"/>
        <v>95</v>
      </c>
      <c r="U889" s="89">
        <f t="shared" si="225"/>
        <v>103.31428490526316</v>
      </c>
      <c r="V889" s="89">
        <f t="shared" si="226"/>
        <v>105.23239100000001</v>
      </c>
      <c r="W889" s="90">
        <f t="shared" si="231"/>
        <v>9997.0771450000011</v>
      </c>
      <c r="X889" s="93">
        <f t="shared" si="227"/>
        <v>1.8565739447315543E-2</v>
      </c>
      <c r="AB889" s="89">
        <f t="shared" si="237"/>
        <v>195</v>
      </c>
      <c r="AC889" s="89">
        <f t="shared" si="238"/>
        <v>51.179276000000002</v>
      </c>
      <c r="AD889" s="89">
        <f t="shared" si="239"/>
        <v>105.23239100000001</v>
      </c>
      <c r="AE889" s="89">
        <f t="shared" si="240"/>
        <v>20520.316245000002</v>
      </c>
      <c r="AF889" s="90">
        <f t="shared" si="243"/>
        <v>10540.357425</v>
      </c>
      <c r="AG889" s="93">
        <f t="shared" si="244"/>
        <v>1.0561523965286264</v>
      </c>
      <c r="AK889" s="90">
        <f t="shared" si="241"/>
        <v>142</v>
      </c>
      <c r="AL889" s="89">
        <f t="shared" si="242"/>
        <v>68.865979063380294</v>
      </c>
      <c r="AM889" s="89">
        <f t="shared" si="234"/>
        <v>105.23239100000001</v>
      </c>
      <c r="AN889" s="90">
        <f t="shared" si="235"/>
        <v>14942.999522000002</v>
      </c>
      <c r="AO889" s="93">
        <f t="shared" si="236"/>
        <v>0.52807514582999193</v>
      </c>
    </row>
    <row r="890" spans="2:41" x14ac:dyDescent="0.25">
      <c r="B890" s="91">
        <v>40640</v>
      </c>
      <c r="C890" s="89">
        <v>133.41999799999999</v>
      </c>
      <c r="D890" s="89">
        <v>133.979996</v>
      </c>
      <c r="E890" s="89">
        <v>132.66000399999999</v>
      </c>
      <c r="F890" s="89">
        <v>133.320007</v>
      </c>
      <c r="G890" s="89">
        <v>104.96472900000001</v>
      </c>
      <c r="H890" s="89">
        <v>170731500</v>
      </c>
      <c r="J890" s="89">
        <v>0</v>
      </c>
      <c r="K890" s="89">
        <f t="shared" si="232"/>
        <v>88</v>
      </c>
      <c r="L890" s="89">
        <f t="shared" si="233"/>
        <v>112.621376</v>
      </c>
      <c r="M890" s="89">
        <f>+SPY__2[[#This Row],[Adj Close]]</f>
        <v>104.96472900000001</v>
      </c>
      <c r="N890" s="89">
        <f t="shared" si="228"/>
        <v>9236.8961520000012</v>
      </c>
      <c r="O890" s="90">
        <f t="shared" si="229"/>
        <v>-673.78493599999933</v>
      </c>
      <c r="P890" s="93">
        <f t="shared" si="230"/>
        <v>-6.7985734786262908E-2</v>
      </c>
      <c r="Q890" s="96"/>
      <c r="R890" s="96"/>
      <c r="T890" s="90">
        <f t="shared" si="224"/>
        <v>95</v>
      </c>
      <c r="U890" s="89">
        <f t="shared" si="225"/>
        <v>103.31428490526316</v>
      </c>
      <c r="V890" s="89">
        <f t="shared" si="226"/>
        <v>104.96472900000001</v>
      </c>
      <c r="W890" s="90">
        <f t="shared" si="231"/>
        <v>9971.6492550000003</v>
      </c>
      <c r="X890" s="93">
        <f t="shared" si="227"/>
        <v>1.5974984449151908E-2</v>
      </c>
      <c r="AB890" s="89">
        <f t="shared" si="237"/>
        <v>195</v>
      </c>
      <c r="AC890" s="89">
        <f t="shared" si="238"/>
        <v>51.179276000000002</v>
      </c>
      <c r="AD890" s="89">
        <f t="shared" si="239"/>
        <v>104.96472900000001</v>
      </c>
      <c r="AE890" s="89">
        <f t="shared" si="240"/>
        <v>20468.122155000001</v>
      </c>
      <c r="AF890" s="90">
        <f t="shared" si="243"/>
        <v>10488.163335000001</v>
      </c>
      <c r="AG890" s="93">
        <f t="shared" si="244"/>
        <v>1.050922506211303</v>
      </c>
      <c r="AK890" s="90">
        <f t="shared" si="241"/>
        <v>142</v>
      </c>
      <c r="AL890" s="89">
        <f t="shared" si="242"/>
        <v>68.865979063380294</v>
      </c>
      <c r="AM890" s="89">
        <f t="shared" si="234"/>
        <v>104.96472900000001</v>
      </c>
      <c r="AN890" s="90">
        <f t="shared" si="235"/>
        <v>14904.991518000001</v>
      </c>
      <c r="AO890" s="93">
        <f t="shared" si="236"/>
        <v>0.5241884371294061</v>
      </c>
    </row>
    <row r="891" spans="2:41" x14ac:dyDescent="0.25">
      <c r="B891" s="91">
        <v>40641</v>
      </c>
      <c r="C891" s="89">
        <v>133.91000399999999</v>
      </c>
      <c r="D891" s="89">
        <v>133.990005</v>
      </c>
      <c r="E891" s="89">
        <v>132.30999800000001</v>
      </c>
      <c r="F891" s="89">
        <v>132.86000100000001</v>
      </c>
      <c r="G891" s="89">
        <v>104.60253899999999</v>
      </c>
      <c r="H891" s="89">
        <v>147945400</v>
      </c>
      <c r="J891" s="89">
        <v>0</v>
      </c>
      <c r="K891" s="89">
        <f t="shared" si="232"/>
        <v>88</v>
      </c>
      <c r="L891" s="89">
        <f t="shared" si="233"/>
        <v>112.621376</v>
      </c>
      <c r="M891" s="89">
        <f>+SPY__2[[#This Row],[Adj Close]]</f>
        <v>104.60253899999999</v>
      </c>
      <c r="N891" s="89">
        <f t="shared" si="228"/>
        <v>9205.023432</v>
      </c>
      <c r="O891" s="90">
        <f t="shared" si="229"/>
        <v>-705.65765600000043</v>
      </c>
      <c r="P891" s="93">
        <f t="shared" si="230"/>
        <v>-7.120173172098343E-2</v>
      </c>
      <c r="Q891" s="96"/>
      <c r="R891" s="96"/>
      <c r="T891" s="90">
        <f t="shared" si="224"/>
        <v>95</v>
      </c>
      <c r="U891" s="89">
        <f t="shared" si="225"/>
        <v>103.31428490526316</v>
      </c>
      <c r="V891" s="89">
        <f t="shared" si="226"/>
        <v>104.60253899999999</v>
      </c>
      <c r="W891" s="90">
        <f t="shared" si="231"/>
        <v>9937.2412049999984</v>
      </c>
      <c r="X891" s="93">
        <f t="shared" si="227"/>
        <v>1.2469273691611216E-2</v>
      </c>
      <c r="AB891" s="89">
        <f t="shared" si="237"/>
        <v>195</v>
      </c>
      <c r="AC891" s="89">
        <f t="shared" si="238"/>
        <v>51.179276000000002</v>
      </c>
      <c r="AD891" s="89">
        <f t="shared" si="239"/>
        <v>104.60253899999999</v>
      </c>
      <c r="AE891" s="89">
        <f t="shared" si="240"/>
        <v>20397.495104999998</v>
      </c>
      <c r="AF891" s="90">
        <f t="shared" si="243"/>
        <v>10417.536284999998</v>
      </c>
      <c r="AG891" s="93">
        <f t="shared" si="244"/>
        <v>1.0438456182928415</v>
      </c>
      <c r="AK891" s="90">
        <f t="shared" si="241"/>
        <v>142</v>
      </c>
      <c r="AL891" s="89">
        <f t="shared" si="242"/>
        <v>68.865979063380294</v>
      </c>
      <c r="AM891" s="89">
        <f t="shared" si="234"/>
        <v>104.60253899999999</v>
      </c>
      <c r="AN891" s="90">
        <f t="shared" si="235"/>
        <v>14853.560538</v>
      </c>
      <c r="AO891" s="93">
        <f t="shared" si="236"/>
        <v>0.51892909129673215</v>
      </c>
    </row>
    <row r="892" spans="2:41" x14ac:dyDescent="0.25">
      <c r="B892" s="91">
        <v>40644</v>
      </c>
      <c r="C892" s="89">
        <v>133</v>
      </c>
      <c r="D892" s="89">
        <v>133.449997</v>
      </c>
      <c r="E892" s="89">
        <v>132.13999899999999</v>
      </c>
      <c r="F892" s="89">
        <v>132.46000699999999</v>
      </c>
      <c r="G892" s="89">
        <v>104.287643</v>
      </c>
      <c r="H892" s="89">
        <v>121385400</v>
      </c>
      <c r="J892" s="89">
        <v>0</v>
      </c>
      <c r="K892" s="89">
        <f t="shared" si="232"/>
        <v>88</v>
      </c>
      <c r="L892" s="89">
        <f t="shared" si="233"/>
        <v>112.621376</v>
      </c>
      <c r="M892" s="89">
        <f>+SPY__2[[#This Row],[Adj Close]]</f>
        <v>104.287643</v>
      </c>
      <c r="N892" s="89">
        <f t="shared" si="228"/>
        <v>9177.3125839999993</v>
      </c>
      <c r="O892" s="90">
        <f t="shared" si="229"/>
        <v>-733.36850399999958</v>
      </c>
      <c r="P892" s="93">
        <f t="shared" si="230"/>
        <v>-7.399779061481182E-2</v>
      </c>
      <c r="Q892" s="96"/>
      <c r="R892" s="96"/>
      <c r="T892" s="90">
        <f t="shared" si="224"/>
        <v>95</v>
      </c>
      <c r="U892" s="89">
        <f t="shared" si="225"/>
        <v>103.31428490526316</v>
      </c>
      <c r="V892" s="89">
        <f t="shared" si="226"/>
        <v>104.287643</v>
      </c>
      <c r="W892" s="90">
        <f t="shared" si="231"/>
        <v>9907.3260850000006</v>
      </c>
      <c r="X892" s="93">
        <f t="shared" si="227"/>
        <v>9.4213311898678764E-3</v>
      </c>
      <c r="AB892" s="89">
        <f t="shared" si="237"/>
        <v>195</v>
      </c>
      <c r="AC892" s="89">
        <f t="shared" si="238"/>
        <v>51.179276000000002</v>
      </c>
      <c r="AD892" s="89">
        <f t="shared" si="239"/>
        <v>104.287643</v>
      </c>
      <c r="AE892" s="89">
        <f t="shared" si="240"/>
        <v>20336.090385</v>
      </c>
      <c r="AF892" s="90">
        <f t="shared" si="243"/>
        <v>10356.131565</v>
      </c>
      <c r="AG892" s="93">
        <f t="shared" si="244"/>
        <v>1.0376928153497129</v>
      </c>
      <c r="AK892" s="90">
        <f t="shared" si="241"/>
        <v>142</v>
      </c>
      <c r="AL892" s="89">
        <f t="shared" si="242"/>
        <v>68.865979063380294</v>
      </c>
      <c r="AM892" s="89">
        <f t="shared" si="234"/>
        <v>104.287643</v>
      </c>
      <c r="AN892" s="90">
        <f t="shared" si="235"/>
        <v>14808.845306000001</v>
      </c>
      <c r="AO892" s="93">
        <f t="shared" si="236"/>
        <v>0.51435649965884678</v>
      </c>
    </row>
    <row r="893" spans="2:41" x14ac:dyDescent="0.25">
      <c r="B893" s="91">
        <v>40645</v>
      </c>
      <c r="C893" s="89">
        <v>131.720001</v>
      </c>
      <c r="D893" s="89">
        <v>131.979996</v>
      </c>
      <c r="E893" s="89">
        <v>130.990005</v>
      </c>
      <c r="F893" s="89">
        <v>131.470001</v>
      </c>
      <c r="G893" s="89">
        <v>103.508194</v>
      </c>
      <c r="H893" s="89">
        <v>161187400</v>
      </c>
      <c r="J893" s="89">
        <v>0</v>
      </c>
      <c r="K893" s="89">
        <f t="shared" si="232"/>
        <v>88</v>
      </c>
      <c r="L893" s="89">
        <f t="shared" si="233"/>
        <v>112.621376</v>
      </c>
      <c r="M893" s="89">
        <f>+SPY__2[[#This Row],[Adj Close]]</f>
        <v>103.508194</v>
      </c>
      <c r="N893" s="89">
        <f t="shared" si="228"/>
        <v>9108.7210720000003</v>
      </c>
      <c r="O893" s="90">
        <f t="shared" si="229"/>
        <v>-801.96001599999954</v>
      </c>
      <c r="P893" s="93">
        <f t="shared" si="230"/>
        <v>-8.0918759152791675E-2</v>
      </c>
      <c r="Q893" s="96"/>
      <c r="R893" s="96"/>
      <c r="T893" s="90">
        <f t="shared" si="224"/>
        <v>95</v>
      </c>
      <c r="U893" s="89">
        <f t="shared" si="225"/>
        <v>103.31428490526316</v>
      </c>
      <c r="V893" s="89">
        <f t="shared" si="226"/>
        <v>103.508194</v>
      </c>
      <c r="W893" s="90">
        <f t="shared" si="231"/>
        <v>9833.2784300000003</v>
      </c>
      <c r="X893" s="93">
        <f t="shared" si="227"/>
        <v>1.8768856108779541E-3</v>
      </c>
      <c r="AB893" s="89">
        <f t="shared" si="237"/>
        <v>195</v>
      </c>
      <c r="AC893" s="89">
        <f t="shared" si="238"/>
        <v>51.179276000000002</v>
      </c>
      <c r="AD893" s="89">
        <f t="shared" si="239"/>
        <v>103.508194</v>
      </c>
      <c r="AE893" s="89">
        <f t="shared" si="240"/>
        <v>20184.097829999999</v>
      </c>
      <c r="AF893" s="90">
        <f t="shared" si="243"/>
        <v>10204.139010000001</v>
      </c>
      <c r="AG893" s="93">
        <f t="shared" si="244"/>
        <v>1.0224630375779444</v>
      </c>
      <c r="AK893" s="90">
        <f t="shared" si="241"/>
        <v>142</v>
      </c>
      <c r="AL893" s="89">
        <f t="shared" si="242"/>
        <v>68.865979063380294</v>
      </c>
      <c r="AM893" s="89">
        <f t="shared" si="234"/>
        <v>103.508194</v>
      </c>
      <c r="AN893" s="90">
        <f t="shared" si="235"/>
        <v>14698.163548</v>
      </c>
      <c r="AO893" s="93">
        <f t="shared" si="236"/>
        <v>0.50303815334908708</v>
      </c>
    </row>
    <row r="894" spans="2:41" x14ac:dyDescent="0.25">
      <c r="B894" s="91">
        <v>40646</v>
      </c>
      <c r="C894" s="89">
        <v>132.08000200000001</v>
      </c>
      <c r="D894" s="89">
        <v>132.179993</v>
      </c>
      <c r="E894" s="89">
        <v>130.96000699999999</v>
      </c>
      <c r="F894" s="89">
        <v>131.46000699999999</v>
      </c>
      <c r="G894" s="89">
        <v>103.500343</v>
      </c>
      <c r="H894" s="89">
        <v>162059000</v>
      </c>
      <c r="J894" s="89">
        <v>0</v>
      </c>
      <c r="K894" s="89">
        <f t="shared" si="232"/>
        <v>88</v>
      </c>
      <c r="L894" s="89">
        <f t="shared" si="233"/>
        <v>112.621376</v>
      </c>
      <c r="M894" s="89">
        <f>+SPY__2[[#This Row],[Adj Close]]</f>
        <v>103.500343</v>
      </c>
      <c r="N894" s="89">
        <f t="shared" si="228"/>
        <v>9108.0301839999993</v>
      </c>
      <c r="O894" s="90">
        <f t="shared" si="229"/>
        <v>-802.65090399999974</v>
      </c>
      <c r="P894" s="93">
        <f t="shared" si="230"/>
        <v>-8.0988470607924357E-2</v>
      </c>
      <c r="Q894" s="96"/>
      <c r="R894" s="96"/>
      <c r="T894" s="90">
        <f t="shared" si="224"/>
        <v>95</v>
      </c>
      <c r="U894" s="89">
        <f t="shared" si="225"/>
        <v>103.31428490526316</v>
      </c>
      <c r="V894" s="89">
        <f t="shared" si="226"/>
        <v>103.500343</v>
      </c>
      <c r="W894" s="90">
        <f t="shared" si="231"/>
        <v>9832.5325850000008</v>
      </c>
      <c r="X894" s="93">
        <f t="shared" si="227"/>
        <v>1.800894183291879E-3</v>
      </c>
      <c r="AB894" s="89">
        <f t="shared" si="237"/>
        <v>195</v>
      </c>
      <c r="AC894" s="89">
        <f t="shared" si="238"/>
        <v>51.179276000000002</v>
      </c>
      <c r="AD894" s="89">
        <f t="shared" si="239"/>
        <v>103.500343</v>
      </c>
      <c r="AE894" s="89">
        <f t="shared" si="240"/>
        <v>20182.566885</v>
      </c>
      <c r="AF894" s="90">
        <f t="shared" si="243"/>
        <v>10202.608065</v>
      </c>
      <c r="AG894" s="93">
        <f t="shared" si="244"/>
        <v>1.0223096356423644</v>
      </c>
      <c r="AK894" s="90">
        <f t="shared" si="241"/>
        <v>142</v>
      </c>
      <c r="AL894" s="89">
        <f t="shared" si="242"/>
        <v>68.865979063380294</v>
      </c>
      <c r="AM894" s="89">
        <f t="shared" si="234"/>
        <v>103.500343</v>
      </c>
      <c r="AN894" s="90">
        <f t="shared" si="235"/>
        <v>14697.048706</v>
      </c>
      <c r="AO894" s="93">
        <f t="shared" si="236"/>
        <v>0.50292414930664431</v>
      </c>
    </row>
    <row r="895" spans="2:41" x14ac:dyDescent="0.25">
      <c r="B895" s="91">
        <v>40647</v>
      </c>
      <c r="C895" s="89">
        <v>130.699997</v>
      </c>
      <c r="D895" s="89">
        <v>131.759995</v>
      </c>
      <c r="E895" s="89">
        <v>130.270004</v>
      </c>
      <c r="F895" s="89">
        <v>131.55999800000001</v>
      </c>
      <c r="G895" s="89">
        <v>103.579033</v>
      </c>
      <c r="H895" s="89">
        <v>161220400</v>
      </c>
      <c r="J895" s="89">
        <v>0</v>
      </c>
      <c r="K895" s="89">
        <f t="shared" si="232"/>
        <v>88</v>
      </c>
      <c r="L895" s="89">
        <f t="shared" si="233"/>
        <v>112.621376</v>
      </c>
      <c r="M895" s="89">
        <f>+SPY__2[[#This Row],[Adj Close]]</f>
        <v>103.579033</v>
      </c>
      <c r="N895" s="89">
        <f t="shared" si="228"/>
        <v>9114.9549040000002</v>
      </c>
      <c r="O895" s="90">
        <f t="shared" si="229"/>
        <v>-795.72618400000022</v>
      </c>
      <c r="P895" s="93">
        <f t="shared" si="230"/>
        <v>-8.0289757780974025E-2</v>
      </c>
      <c r="Q895" s="96"/>
      <c r="R895" s="96"/>
      <c r="T895" s="90">
        <f t="shared" si="224"/>
        <v>95</v>
      </c>
      <c r="U895" s="89">
        <f t="shared" si="225"/>
        <v>103.31428490526316</v>
      </c>
      <c r="V895" s="89">
        <f t="shared" si="226"/>
        <v>103.579033</v>
      </c>
      <c r="W895" s="90">
        <f t="shared" si="231"/>
        <v>9840.008135</v>
      </c>
      <c r="X895" s="93">
        <f t="shared" si="227"/>
        <v>2.5625507158046901E-3</v>
      </c>
      <c r="AB895" s="89">
        <f t="shared" si="237"/>
        <v>195</v>
      </c>
      <c r="AC895" s="89">
        <f t="shared" si="238"/>
        <v>51.179276000000002</v>
      </c>
      <c r="AD895" s="89">
        <f t="shared" si="239"/>
        <v>103.579033</v>
      </c>
      <c r="AE895" s="89">
        <f t="shared" si="240"/>
        <v>20197.911434999998</v>
      </c>
      <c r="AF895" s="90">
        <f t="shared" si="243"/>
        <v>10217.952614999998</v>
      </c>
      <c r="AG895" s="93">
        <f t="shared" si="244"/>
        <v>1.0238471720467479</v>
      </c>
      <c r="AK895" s="90">
        <f t="shared" si="241"/>
        <v>142</v>
      </c>
      <c r="AL895" s="89">
        <f t="shared" si="242"/>
        <v>68.865979063380294</v>
      </c>
      <c r="AM895" s="89">
        <f t="shared" si="234"/>
        <v>103.579033</v>
      </c>
      <c r="AN895" s="90">
        <f t="shared" si="235"/>
        <v>14708.222685999999</v>
      </c>
      <c r="AO895" s="93">
        <f t="shared" si="236"/>
        <v>0.5040668035035385</v>
      </c>
    </row>
    <row r="896" spans="2:41" x14ac:dyDescent="0.25">
      <c r="B896" s="91">
        <v>40648</v>
      </c>
      <c r="C896" s="89">
        <v>131.800003</v>
      </c>
      <c r="D896" s="89">
        <v>132.36999499999999</v>
      </c>
      <c r="E896" s="89">
        <v>131.41000399999999</v>
      </c>
      <c r="F896" s="89">
        <v>132.03999300000001</v>
      </c>
      <c r="G896" s="89">
        <v>103.956947</v>
      </c>
      <c r="H896" s="89">
        <v>170006700</v>
      </c>
      <c r="J896" s="89">
        <v>0</v>
      </c>
      <c r="K896" s="89">
        <f t="shared" si="232"/>
        <v>88</v>
      </c>
      <c r="L896" s="89">
        <f t="shared" si="233"/>
        <v>112.621376</v>
      </c>
      <c r="M896" s="89">
        <f>+SPY__2[[#This Row],[Adj Close]]</f>
        <v>103.956947</v>
      </c>
      <c r="N896" s="89">
        <f t="shared" si="228"/>
        <v>9148.2113360000003</v>
      </c>
      <c r="O896" s="90">
        <f t="shared" si="229"/>
        <v>-762.46975199999986</v>
      </c>
      <c r="P896" s="93">
        <f t="shared" si="230"/>
        <v>-7.6934142591189802E-2</v>
      </c>
      <c r="Q896" s="96"/>
      <c r="R896" s="96"/>
      <c r="T896" s="90">
        <f t="shared" si="224"/>
        <v>95</v>
      </c>
      <c r="U896" s="89">
        <f t="shared" si="225"/>
        <v>103.31428490526316</v>
      </c>
      <c r="V896" s="89">
        <f t="shared" si="226"/>
        <v>103.956947</v>
      </c>
      <c r="W896" s="90">
        <f t="shared" si="231"/>
        <v>9875.9099650000007</v>
      </c>
      <c r="X896" s="93">
        <f t="shared" si="227"/>
        <v>6.2204572709974038E-3</v>
      </c>
      <c r="AB896" s="89">
        <f t="shared" si="237"/>
        <v>195</v>
      </c>
      <c r="AC896" s="89">
        <f t="shared" si="238"/>
        <v>51.179276000000002</v>
      </c>
      <c r="AD896" s="89">
        <f t="shared" si="239"/>
        <v>103.956947</v>
      </c>
      <c r="AE896" s="89">
        <f t="shared" si="240"/>
        <v>20271.604664999999</v>
      </c>
      <c r="AF896" s="90">
        <f t="shared" si="243"/>
        <v>10291.645844999999</v>
      </c>
      <c r="AG896" s="93">
        <f t="shared" si="244"/>
        <v>1.0312312936978629</v>
      </c>
      <c r="AK896" s="90">
        <f t="shared" si="241"/>
        <v>142</v>
      </c>
      <c r="AL896" s="89">
        <f t="shared" si="242"/>
        <v>68.865979063380294</v>
      </c>
      <c r="AM896" s="89">
        <f t="shared" si="234"/>
        <v>103.956947</v>
      </c>
      <c r="AN896" s="90">
        <f t="shared" si="235"/>
        <v>14761.886474000001</v>
      </c>
      <c r="AO896" s="93">
        <f t="shared" si="236"/>
        <v>0.50955447688217737</v>
      </c>
    </row>
    <row r="897" spans="2:41" x14ac:dyDescent="0.25">
      <c r="B897" s="91">
        <v>40651</v>
      </c>
      <c r="C897" s="89">
        <v>130.58999600000001</v>
      </c>
      <c r="D897" s="89">
        <v>132.029999</v>
      </c>
      <c r="E897" s="89">
        <v>129.509995</v>
      </c>
      <c r="F897" s="89">
        <v>130.55999800000001</v>
      </c>
      <c r="G897" s="89">
        <v>102.791718</v>
      </c>
      <c r="H897" s="89">
        <v>210759300</v>
      </c>
      <c r="J897" s="89">
        <v>0</v>
      </c>
      <c r="K897" s="89">
        <f t="shared" si="232"/>
        <v>88</v>
      </c>
      <c r="L897" s="89">
        <f t="shared" si="233"/>
        <v>112.621376</v>
      </c>
      <c r="M897" s="89">
        <f>+SPY__2[[#This Row],[Adj Close]]</f>
        <v>102.791718</v>
      </c>
      <c r="N897" s="89">
        <f t="shared" si="228"/>
        <v>9045.6711840000007</v>
      </c>
      <c r="O897" s="90">
        <f t="shared" si="229"/>
        <v>-865.00990399999955</v>
      </c>
      <c r="P897" s="93">
        <f t="shared" si="230"/>
        <v>-8.7280570963721771E-2</v>
      </c>
      <c r="Q897" s="96"/>
      <c r="R897" s="96"/>
      <c r="T897" s="90">
        <f t="shared" si="224"/>
        <v>95</v>
      </c>
      <c r="U897" s="89">
        <f t="shared" si="225"/>
        <v>103.31428490526316</v>
      </c>
      <c r="V897" s="89">
        <f t="shared" si="226"/>
        <v>102.791718</v>
      </c>
      <c r="W897" s="90">
        <f t="shared" si="231"/>
        <v>9765.2132099999999</v>
      </c>
      <c r="X897" s="93">
        <f t="shared" si="227"/>
        <v>-5.0580314788254421E-3</v>
      </c>
      <c r="AB897" s="89">
        <f t="shared" si="237"/>
        <v>195</v>
      </c>
      <c r="AC897" s="89">
        <f t="shared" si="238"/>
        <v>51.179276000000002</v>
      </c>
      <c r="AD897" s="89">
        <f t="shared" si="239"/>
        <v>102.791718</v>
      </c>
      <c r="AE897" s="89">
        <f t="shared" si="240"/>
        <v>20044.385010000002</v>
      </c>
      <c r="AF897" s="90">
        <f t="shared" si="243"/>
        <v>10064.42619</v>
      </c>
      <c r="AG897" s="93">
        <f t="shared" si="244"/>
        <v>1.0084636992520175</v>
      </c>
      <c r="AK897" s="90">
        <f t="shared" si="241"/>
        <v>142</v>
      </c>
      <c r="AL897" s="89">
        <f t="shared" si="242"/>
        <v>68.865979063380294</v>
      </c>
      <c r="AM897" s="89">
        <f t="shared" si="234"/>
        <v>102.791718</v>
      </c>
      <c r="AN897" s="90">
        <f t="shared" si="235"/>
        <v>14596.423956000001</v>
      </c>
      <c r="AO897" s="93">
        <f t="shared" si="236"/>
        <v>0.49263423533696393</v>
      </c>
    </row>
    <row r="898" spans="2:41" x14ac:dyDescent="0.25">
      <c r="B898" s="91">
        <v>40652</v>
      </c>
      <c r="C898" s="89">
        <v>130.759995</v>
      </c>
      <c r="D898" s="89">
        <v>131.35000600000001</v>
      </c>
      <c r="E898" s="89">
        <v>130.44000199999999</v>
      </c>
      <c r="F898" s="89">
        <v>131.30999800000001</v>
      </c>
      <c r="G898" s="89">
        <v>103.382187</v>
      </c>
      <c r="H898" s="89">
        <v>124258800</v>
      </c>
      <c r="J898" s="89">
        <v>0</v>
      </c>
      <c r="K898" s="89">
        <f t="shared" si="232"/>
        <v>88</v>
      </c>
      <c r="L898" s="89">
        <f t="shared" si="233"/>
        <v>112.621376</v>
      </c>
      <c r="M898" s="89">
        <f>+SPY__2[[#This Row],[Adj Close]]</f>
        <v>103.382187</v>
      </c>
      <c r="N898" s="89">
        <f t="shared" si="228"/>
        <v>9097.6324559999994</v>
      </c>
      <c r="O898" s="90">
        <f t="shared" si="229"/>
        <v>-813.04863199999966</v>
      </c>
      <c r="P898" s="93">
        <f t="shared" si="230"/>
        <v>-8.2037614244741541E-2</v>
      </c>
      <c r="Q898" s="96"/>
      <c r="R898" s="96"/>
      <c r="T898" s="90">
        <f t="shared" ref="T898:T961" si="245">+T897</f>
        <v>95</v>
      </c>
      <c r="U898" s="89">
        <f t="shared" ref="U898:U961" si="246">+U897</f>
        <v>103.31428490526316</v>
      </c>
      <c r="V898" s="89">
        <f t="shared" si="226"/>
        <v>103.382187</v>
      </c>
      <c r="W898" s="90">
        <f t="shared" si="231"/>
        <v>9821.3077649999996</v>
      </c>
      <c r="X898" s="93">
        <f t="shared" si="227"/>
        <v>6.572382008847022E-4</v>
      </c>
      <c r="AB898" s="89">
        <f t="shared" si="237"/>
        <v>195</v>
      </c>
      <c r="AC898" s="89">
        <f t="shared" si="238"/>
        <v>51.179276000000002</v>
      </c>
      <c r="AD898" s="89">
        <f t="shared" si="239"/>
        <v>103.382187</v>
      </c>
      <c r="AE898" s="89">
        <f t="shared" si="240"/>
        <v>20159.526464999999</v>
      </c>
      <c r="AF898" s="90">
        <f t="shared" si="243"/>
        <v>10179.567644999999</v>
      </c>
      <c r="AG898" s="93">
        <f t="shared" si="244"/>
        <v>1.0200009667975762</v>
      </c>
      <c r="AK898" s="90">
        <f t="shared" si="241"/>
        <v>142</v>
      </c>
      <c r="AL898" s="89">
        <f t="shared" si="242"/>
        <v>68.865979063380294</v>
      </c>
      <c r="AM898" s="89">
        <f t="shared" si="234"/>
        <v>103.382187</v>
      </c>
      <c r="AN898" s="90">
        <f t="shared" si="235"/>
        <v>14680.270554000001</v>
      </c>
      <c r="AO898" s="93">
        <f t="shared" si="236"/>
        <v>0.50120841097536672</v>
      </c>
    </row>
    <row r="899" spans="2:41" x14ac:dyDescent="0.25">
      <c r="B899" s="91">
        <v>40653</v>
      </c>
      <c r="C899" s="89">
        <v>132.88000500000001</v>
      </c>
      <c r="D899" s="89">
        <v>133.38999899999999</v>
      </c>
      <c r="E899" s="89">
        <v>132.78999300000001</v>
      </c>
      <c r="F899" s="89">
        <v>133.10000600000001</v>
      </c>
      <c r="G899" s="89">
        <v>104.791527</v>
      </c>
      <c r="H899" s="89">
        <v>156133800</v>
      </c>
      <c r="J899" s="89">
        <v>0</v>
      </c>
      <c r="K899" s="89">
        <f t="shared" si="232"/>
        <v>88</v>
      </c>
      <c r="L899" s="89">
        <f t="shared" si="233"/>
        <v>112.621376</v>
      </c>
      <c r="M899" s="89">
        <f>+SPY__2[[#This Row],[Adj Close]]</f>
        <v>104.791527</v>
      </c>
      <c r="N899" s="89">
        <f t="shared" si="228"/>
        <v>9221.6543760000004</v>
      </c>
      <c r="O899" s="90">
        <f t="shared" si="229"/>
        <v>-689.02671199999963</v>
      </c>
      <c r="P899" s="93">
        <f t="shared" si="230"/>
        <v>-6.9523648867511612E-2</v>
      </c>
      <c r="Q899" s="96"/>
      <c r="R899" s="96"/>
      <c r="T899" s="90">
        <f t="shared" si="245"/>
        <v>95</v>
      </c>
      <c r="U899" s="89">
        <f t="shared" si="246"/>
        <v>103.31428490526316</v>
      </c>
      <c r="V899" s="89">
        <f t="shared" ref="V899:V962" si="247">+M899</f>
        <v>104.791527</v>
      </c>
      <c r="W899" s="90">
        <f t="shared" si="231"/>
        <v>9955.1950649999999</v>
      </c>
      <c r="X899" s="93">
        <f t="shared" ref="X899:X962" si="248">+W899/(U899*T899)-1</f>
        <v>1.4298527024519725E-2</v>
      </c>
      <c r="AB899" s="89">
        <f t="shared" si="237"/>
        <v>195</v>
      </c>
      <c r="AC899" s="89">
        <f t="shared" si="238"/>
        <v>51.179276000000002</v>
      </c>
      <c r="AD899" s="89">
        <f t="shared" si="239"/>
        <v>104.791527</v>
      </c>
      <c r="AE899" s="89">
        <f t="shared" si="240"/>
        <v>20434.347764999999</v>
      </c>
      <c r="AF899" s="90">
        <f t="shared" si="243"/>
        <v>10454.388945000001</v>
      </c>
      <c r="AG899" s="93">
        <f t="shared" si="244"/>
        <v>1.0475382848323216</v>
      </c>
      <c r="AK899" s="90">
        <f t="shared" si="241"/>
        <v>142</v>
      </c>
      <c r="AL899" s="89">
        <f t="shared" si="242"/>
        <v>68.865979063380294</v>
      </c>
      <c r="AM899" s="89">
        <f t="shared" si="234"/>
        <v>104.791527</v>
      </c>
      <c r="AN899" s="90">
        <f t="shared" si="235"/>
        <v>14880.396834000001</v>
      </c>
      <c r="AO899" s="93">
        <f t="shared" si="236"/>
        <v>0.52167337813575432</v>
      </c>
    </row>
    <row r="900" spans="2:41" x14ac:dyDescent="0.25">
      <c r="B900" s="91">
        <v>40654</v>
      </c>
      <c r="C900" s="89">
        <v>133.78999300000001</v>
      </c>
      <c r="D900" s="89">
        <v>133.83999600000001</v>
      </c>
      <c r="E900" s="89">
        <v>133.10000600000001</v>
      </c>
      <c r="F900" s="89">
        <v>133.779999</v>
      </c>
      <c r="G900" s="89">
        <v>105.326881</v>
      </c>
      <c r="H900" s="89">
        <v>135935400</v>
      </c>
      <c r="J900" s="89">
        <v>0</v>
      </c>
      <c r="K900" s="89">
        <f t="shared" si="232"/>
        <v>88</v>
      </c>
      <c r="L900" s="89">
        <f t="shared" si="233"/>
        <v>112.621376</v>
      </c>
      <c r="M900" s="89">
        <f>+SPY__2[[#This Row],[Adj Close]]</f>
        <v>105.326881</v>
      </c>
      <c r="N900" s="89">
        <f t="shared" ref="N900:N963" si="249">+K900*M900</f>
        <v>9268.7655279999999</v>
      </c>
      <c r="O900" s="90">
        <f t="shared" ref="O900:O931" si="250">+(M900-L900)*K900</f>
        <v>-641.9155599999998</v>
      </c>
      <c r="P900" s="93">
        <f t="shared" ref="P900:P963" si="251">+M900/L900-1</f>
        <v>-6.4770075265285332E-2</v>
      </c>
      <c r="Q900" s="96"/>
      <c r="R900" s="96"/>
      <c r="T900" s="90">
        <f t="shared" si="245"/>
        <v>95</v>
      </c>
      <c r="U900" s="89">
        <f t="shared" si="246"/>
        <v>103.31428490526316</v>
      </c>
      <c r="V900" s="89">
        <f t="shared" si="247"/>
        <v>105.326881</v>
      </c>
      <c r="W900" s="90">
        <f t="shared" ref="W900:W963" si="252">+V900*T900</f>
        <v>10006.053695000001</v>
      </c>
      <c r="X900" s="93">
        <f t="shared" si="248"/>
        <v>1.9480327396955266E-2</v>
      </c>
      <c r="AB900" s="89">
        <f t="shared" si="237"/>
        <v>195</v>
      </c>
      <c r="AC900" s="89">
        <f t="shared" si="238"/>
        <v>51.179276000000002</v>
      </c>
      <c r="AD900" s="89">
        <f t="shared" si="239"/>
        <v>105.326881</v>
      </c>
      <c r="AE900" s="89">
        <f t="shared" si="240"/>
        <v>20538.741795000002</v>
      </c>
      <c r="AF900" s="90">
        <f t="shared" si="243"/>
        <v>10558.782975</v>
      </c>
      <c r="AG900" s="93">
        <f t="shared" si="244"/>
        <v>1.0579986516417308</v>
      </c>
      <c r="AK900" s="90">
        <f t="shared" si="241"/>
        <v>142</v>
      </c>
      <c r="AL900" s="89">
        <f t="shared" si="242"/>
        <v>68.865979063380294</v>
      </c>
      <c r="AM900" s="89">
        <f t="shared" si="234"/>
        <v>105.326881</v>
      </c>
      <c r="AN900" s="90">
        <f t="shared" si="235"/>
        <v>14956.417101999999</v>
      </c>
      <c r="AO900" s="93">
        <f t="shared" si="236"/>
        <v>0.52944723116567016</v>
      </c>
    </row>
    <row r="901" spans="2:41" x14ac:dyDescent="0.25">
      <c r="B901" s="91">
        <v>40658</v>
      </c>
      <c r="C901" s="89">
        <v>133.679993</v>
      </c>
      <c r="D901" s="89">
        <v>133.86000100000001</v>
      </c>
      <c r="E901" s="89">
        <v>133.199997</v>
      </c>
      <c r="F901" s="89">
        <v>133.63999899999999</v>
      </c>
      <c r="G901" s="89">
        <v>105.216675</v>
      </c>
      <c r="H901" s="89">
        <v>65757100</v>
      </c>
      <c r="J901" s="89">
        <v>0</v>
      </c>
      <c r="K901" s="89">
        <f t="shared" ref="K901:K964" si="253">+$K$3</f>
        <v>88</v>
      </c>
      <c r="L901" s="89">
        <f t="shared" ref="L901:L964" si="254">+$L$3</f>
        <v>112.621376</v>
      </c>
      <c r="M901" s="89">
        <f>+SPY__2[[#This Row],[Adj Close]]</f>
        <v>105.216675</v>
      </c>
      <c r="N901" s="89">
        <f t="shared" si="249"/>
        <v>9259.0673999999999</v>
      </c>
      <c r="O901" s="90">
        <f t="shared" si="250"/>
        <v>-651.61368800000025</v>
      </c>
      <c r="P901" s="93">
        <f t="shared" si="251"/>
        <v>-6.5748628395376763E-2</v>
      </c>
      <c r="Q901" s="96"/>
      <c r="R901" s="96"/>
      <c r="T901" s="90">
        <f t="shared" si="245"/>
        <v>95</v>
      </c>
      <c r="U901" s="89">
        <f t="shared" si="246"/>
        <v>103.31428490526316</v>
      </c>
      <c r="V901" s="89">
        <f t="shared" si="247"/>
        <v>105.216675</v>
      </c>
      <c r="W901" s="90">
        <f t="shared" si="252"/>
        <v>9995.5841249999994</v>
      </c>
      <c r="X901" s="93">
        <f t="shared" si="248"/>
        <v>1.8413621083292364E-2</v>
      </c>
      <c r="AB901" s="89">
        <f t="shared" si="237"/>
        <v>195</v>
      </c>
      <c r="AC901" s="89">
        <f t="shared" si="238"/>
        <v>51.179276000000002</v>
      </c>
      <c r="AD901" s="89">
        <f t="shared" si="239"/>
        <v>105.216675</v>
      </c>
      <c r="AE901" s="89">
        <f t="shared" si="240"/>
        <v>20517.251625000001</v>
      </c>
      <c r="AF901" s="90">
        <f t="shared" si="243"/>
        <v>10537.292804999999</v>
      </c>
      <c r="AG901" s="93">
        <f t="shared" si="244"/>
        <v>1.0558453191092423</v>
      </c>
      <c r="AK901" s="90">
        <f t="shared" si="241"/>
        <v>142</v>
      </c>
      <c r="AL901" s="89">
        <f t="shared" si="242"/>
        <v>68.865979063380294</v>
      </c>
      <c r="AM901" s="89">
        <f t="shared" si="234"/>
        <v>105.216675</v>
      </c>
      <c r="AN901" s="90">
        <f t="shared" si="235"/>
        <v>14940.76785</v>
      </c>
      <c r="AO901" s="93">
        <f t="shared" si="236"/>
        <v>0.52784693445169228</v>
      </c>
    </row>
    <row r="902" spans="2:41" x14ac:dyDescent="0.25">
      <c r="B902" s="91">
        <v>40659</v>
      </c>
      <c r="C902" s="89">
        <v>134.050003</v>
      </c>
      <c r="D902" s="89">
        <v>135.05999800000001</v>
      </c>
      <c r="E902" s="89">
        <v>133.91000399999999</v>
      </c>
      <c r="F902" s="89">
        <v>134.78999300000001</v>
      </c>
      <c r="G902" s="89">
        <v>106.12206999999999</v>
      </c>
      <c r="H902" s="89">
        <v>146600000</v>
      </c>
      <c r="J902" s="89">
        <v>0</v>
      </c>
      <c r="K902" s="89">
        <f t="shared" si="253"/>
        <v>88</v>
      </c>
      <c r="L902" s="89">
        <f t="shared" si="254"/>
        <v>112.621376</v>
      </c>
      <c r="M902" s="89">
        <f>+SPY__2[[#This Row],[Adj Close]]</f>
        <v>106.12206999999999</v>
      </c>
      <c r="N902" s="89">
        <f t="shared" si="249"/>
        <v>9338.7421599999998</v>
      </c>
      <c r="O902" s="90">
        <f t="shared" si="250"/>
        <v>-571.93892800000037</v>
      </c>
      <c r="P902" s="93">
        <f t="shared" si="251"/>
        <v>-5.770934640329739E-2</v>
      </c>
      <c r="Q902" s="96"/>
      <c r="R902" s="96"/>
      <c r="T902" s="90">
        <f t="shared" si="245"/>
        <v>95</v>
      </c>
      <c r="U902" s="89">
        <f t="shared" si="246"/>
        <v>103.31428490526316</v>
      </c>
      <c r="V902" s="89">
        <f t="shared" si="247"/>
        <v>106.12206999999999</v>
      </c>
      <c r="W902" s="90">
        <f t="shared" si="252"/>
        <v>10081.596649999999</v>
      </c>
      <c r="X902" s="93">
        <f t="shared" si="248"/>
        <v>2.7177123640854672E-2</v>
      </c>
      <c r="AB902" s="89">
        <f t="shared" si="237"/>
        <v>195</v>
      </c>
      <c r="AC902" s="89">
        <f t="shared" si="238"/>
        <v>51.179276000000002</v>
      </c>
      <c r="AD902" s="89">
        <f t="shared" si="239"/>
        <v>106.12206999999999</v>
      </c>
      <c r="AE902" s="89">
        <f t="shared" si="240"/>
        <v>20693.803649999998</v>
      </c>
      <c r="AF902" s="90">
        <f t="shared" si="243"/>
        <v>10713.844829999998</v>
      </c>
      <c r="AG902" s="93">
        <f t="shared" si="244"/>
        <v>1.0735359757726934</v>
      </c>
      <c r="AK902" s="90">
        <f t="shared" si="241"/>
        <v>142</v>
      </c>
      <c r="AL902" s="89">
        <f t="shared" si="242"/>
        <v>68.865979063380294</v>
      </c>
      <c r="AM902" s="89">
        <f t="shared" si="234"/>
        <v>106.12206999999999</v>
      </c>
      <c r="AN902" s="90">
        <f t="shared" si="235"/>
        <v>15069.333939999999</v>
      </c>
      <c r="AO902" s="93">
        <f t="shared" si="236"/>
        <v>0.54099413735672486</v>
      </c>
    </row>
    <row r="903" spans="2:41" x14ac:dyDescent="0.25">
      <c r="B903" s="91">
        <v>40660</v>
      </c>
      <c r="C903" s="89">
        <v>135.050003</v>
      </c>
      <c r="D903" s="89">
        <v>135.86999499999999</v>
      </c>
      <c r="E903" s="89">
        <v>134.5</v>
      </c>
      <c r="F903" s="89">
        <v>135.66999799999999</v>
      </c>
      <c r="G903" s="89">
        <v>106.814911</v>
      </c>
      <c r="H903" s="89">
        <v>143031000</v>
      </c>
      <c r="J903" s="89">
        <v>0</v>
      </c>
      <c r="K903" s="89">
        <f t="shared" si="253"/>
        <v>88</v>
      </c>
      <c r="L903" s="89">
        <f t="shared" si="254"/>
        <v>112.621376</v>
      </c>
      <c r="M903" s="89">
        <f>+SPY__2[[#This Row],[Adj Close]]</f>
        <v>106.814911</v>
      </c>
      <c r="N903" s="89">
        <f t="shared" si="249"/>
        <v>9399.712168</v>
      </c>
      <c r="O903" s="90">
        <f t="shared" si="250"/>
        <v>-510.96892000000025</v>
      </c>
      <c r="P903" s="93">
        <f t="shared" si="251"/>
        <v>-5.155739706110507E-2</v>
      </c>
      <c r="Q903" s="96"/>
      <c r="R903" s="96"/>
      <c r="T903" s="90">
        <f t="shared" si="245"/>
        <v>95</v>
      </c>
      <c r="U903" s="89">
        <f t="shared" si="246"/>
        <v>103.31428490526316</v>
      </c>
      <c r="V903" s="89">
        <f t="shared" si="247"/>
        <v>106.814911</v>
      </c>
      <c r="W903" s="90">
        <f t="shared" si="252"/>
        <v>10147.416545</v>
      </c>
      <c r="X903" s="93">
        <f t="shared" si="248"/>
        <v>3.38832727531031E-2</v>
      </c>
      <c r="AB903" s="89">
        <f t="shared" si="237"/>
        <v>195</v>
      </c>
      <c r="AC903" s="89">
        <f t="shared" si="238"/>
        <v>51.179276000000002</v>
      </c>
      <c r="AD903" s="89">
        <f t="shared" si="239"/>
        <v>106.814911</v>
      </c>
      <c r="AE903" s="89">
        <f t="shared" si="240"/>
        <v>20828.907644999999</v>
      </c>
      <c r="AF903" s="90">
        <f t="shared" si="243"/>
        <v>10848.948824999999</v>
      </c>
      <c r="AG903" s="93">
        <f t="shared" si="244"/>
        <v>1.0870735060808596</v>
      </c>
      <c r="AK903" s="90">
        <f t="shared" si="241"/>
        <v>142</v>
      </c>
      <c r="AL903" s="89">
        <f t="shared" si="242"/>
        <v>68.865979063380294</v>
      </c>
      <c r="AM903" s="89">
        <f t="shared" si="234"/>
        <v>106.814911</v>
      </c>
      <c r="AN903" s="90">
        <f t="shared" si="235"/>
        <v>15167.717361999999</v>
      </c>
      <c r="AO903" s="93">
        <f t="shared" si="236"/>
        <v>0.55105485252295172</v>
      </c>
    </row>
    <row r="904" spans="2:41" x14ac:dyDescent="0.25">
      <c r="B904" s="91">
        <v>40661</v>
      </c>
      <c r="C904" s="89">
        <v>135.429993</v>
      </c>
      <c r="D904" s="89">
        <v>136.28999300000001</v>
      </c>
      <c r="E904" s="89">
        <v>135.41000399999999</v>
      </c>
      <c r="F904" s="89">
        <v>136.11000100000001</v>
      </c>
      <c r="G904" s="89">
        <v>107.161339</v>
      </c>
      <c r="H904" s="89">
        <v>124791100</v>
      </c>
      <c r="J904" s="89">
        <v>0</v>
      </c>
      <c r="K904" s="89">
        <f t="shared" si="253"/>
        <v>88</v>
      </c>
      <c r="L904" s="89">
        <f t="shared" si="254"/>
        <v>112.621376</v>
      </c>
      <c r="M904" s="89">
        <f>+SPY__2[[#This Row],[Adj Close]]</f>
        <v>107.161339</v>
      </c>
      <c r="N904" s="89">
        <f t="shared" si="249"/>
        <v>9430.1978319999998</v>
      </c>
      <c r="O904" s="90">
        <f t="shared" si="250"/>
        <v>-480.48325599999998</v>
      </c>
      <c r="P904" s="93">
        <f t="shared" si="251"/>
        <v>-4.8481355795191083E-2</v>
      </c>
      <c r="Q904" s="96"/>
      <c r="R904" s="96"/>
      <c r="T904" s="90">
        <f t="shared" si="245"/>
        <v>95</v>
      </c>
      <c r="U904" s="89">
        <f t="shared" si="246"/>
        <v>103.31428490526316</v>
      </c>
      <c r="V904" s="89">
        <f t="shared" si="247"/>
        <v>107.161339</v>
      </c>
      <c r="W904" s="90">
        <f t="shared" si="252"/>
        <v>10180.327205</v>
      </c>
      <c r="X904" s="93">
        <f t="shared" si="248"/>
        <v>3.7236419903254436E-2</v>
      </c>
      <c r="AB904" s="89">
        <f t="shared" si="237"/>
        <v>195</v>
      </c>
      <c r="AC904" s="89">
        <f t="shared" si="238"/>
        <v>51.179276000000002</v>
      </c>
      <c r="AD904" s="89">
        <f t="shared" si="239"/>
        <v>107.161339</v>
      </c>
      <c r="AE904" s="89">
        <f t="shared" si="240"/>
        <v>20896.461104999998</v>
      </c>
      <c r="AF904" s="90">
        <f t="shared" si="243"/>
        <v>10916.502284999999</v>
      </c>
      <c r="AG904" s="93">
        <f t="shared" si="244"/>
        <v>1.0938424177786334</v>
      </c>
      <c r="AK904" s="90">
        <f t="shared" si="241"/>
        <v>142</v>
      </c>
      <c r="AL904" s="89">
        <f t="shared" si="242"/>
        <v>68.865979063380294</v>
      </c>
      <c r="AM904" s="89">
        <f t="shared" si="234"/>
        <v>107.161339</v>
      </c>
      <c r="AN904" s="90">
        <f t="shared" si="235"/>
        <v>15216.910137999999</v>
      </c>
      <c r="AO904" s="93">
        <f t="shared" si="236"/>
        <v>0.55608531901325131</v>
      </c>
    </row>
    <row r="905" spans="2:41" x14ac:dyDescent="0.25">
      <c r="B905" s="91">
        <v>40662</v>
      </c>
      <c r="C905" s="89">
        <v>136.16000399999999</v>
      </c>
      <c r="D905" s="89">
        <v>136.570007</v>
      </c>
      <c r="E905" s="89">
        <v>135.979996</v>
      </c>
      <c r="F905" s="89">
        <v>136.429993</v>
      </c>
      <c r="G905" s="89">
        <v>107.413246</v>
      </c>
      <c r="H905" s="89">
        <v>115094100</v>
      </c>
      <c r="J905" s="89">
        <v>0</v>
      </c>
      <c r="K905" s="89">
        <f t="shared" si="253"/>
        <v>88</v>
      </c>
      <c r="L905" s="89">
        <f t="shared" si="254"/>
        <v>112.621376</v>
      </c>
      <c r="M905" s="89">
        <f>+SPY__2[[#This Row],[Adj Close]]</f>
        <v>107.413246</v>
      </c>
      <c r="N905" s="89">
        <f t="shared" si="249"/>
        <v>9452.3656480000009</v>
      </c>
      <c r="O905" s="90">
        <f t="shared" si="250"/>
        <v>-458.31543999999974</v>
      </c>
      <c r="P905" s="93">
        <f t="shared" si="251"/>
        <v>-4.6244595697356727E-2</v>
      </c>
      <c r="Q905" s="96"/>
      <c r="R905" s="96"/>
      <c r="T905" s="90">
        <f t="shared" si="245"/>
        <v>95</v>
      </c>
      <c r="U905" s="89">
        <f t="shared" si="246"/>
        <v>103.31428490526316</v>
      </c>
      <c r="V905" s="89">
        <f t="shared" si="247"/>
        <v>107.413246</v>
      </c>
      <c r="W905" s="90">
        <f t="shared" si="252"/>
        <v>10204.25837</v>
      </c>
      <c r="X905" s="93">
        <f t="shared" si="248"/>
        <v>3.9674679048453898E-2</v>
      </c>
      <c r="AB905" s="89">
        <f t="shared" si="237"/>
        <v>195</v>
      </c>
      <c r="AC905" s="89">
        <f t="shared" si="238"/>
        <v>51.179276000000002</v>
      </c>
      <c r="AD905" s="89">
        <f t="shared" si="239"/>
        <v>107.413246</v>
      </c>
      <c r="AE905" s="89">
        <f t="shared" si="240"/>
        <v>20945.582969999999</v>
      </c>
      <c r="AF905" s="90">
        <f t="shared" si="243"/>
        <v>10965.62415</v>
      </c>
      <c r="AG905" s="93">
        <f t="shared" si="244"/>
        <v>1.0987644686493807</v>
      </c>
      <c r="AK905" s="90">
        <f t="shared" si="241"/>
        <v>142</v>
      </c>
      <c r="AL905" s="89">
        <f t="shared" si="242"/>
        <v>68.865979063380294</v>
      </c>
      <c r="AM905" s="89">
        <f t="shared" si="234"/>
        <v>107.413246</v>
      </c>
      <c r="AN905" s="90">
        <f t="shared" si="235"/>
        <v>15252.680931999999</v>
      </c>
      <c r="AO905" s="93">
        <f t="shared" si="236"/>
        <v>0.5597432500181696</v>
      </c>
    </row>
    <row r="906" spans="2:41" x14ac:dyDescent="0.25">
      <c r="B906" s="91">
        <v>40665</v>
      </c>
      <c r="C906" s="89">
        <v>137.070007</v>
      </c>
      <c r="D906" s="89">
        <v>137.179993</v>
      </c>
      <c r="E906" s="89">
        <v>135.949997</v>
      </c>
      <c r="F906" s="89">
        <v>136.220001</v>
      </c>
      <c r="G906" s="89">
        <v>107.247955</v>
      </c>
      <c r="H906" s="89">
        <v>126278700</v>
      </c>
      <c r="J906" s="89">
        <v>0</v>
      </c>
      <c r="K906" s="89">
        <f t="shared" si="253"/>
        <v>88</v>
      </c>
      <c r="L906" s="89">
        <f t="shared" si="254"/>
        <v>112.621376</v>
      </c>
      <c r="M906" s="89">
        <f>+SPY__2[[#This Row],[Adj Close]]</f>
        <v>107.247955</v>
      </c>
      <c r="N906" s="89">
        <f t="shared" si="249"/>
        <v>9437.8200400000005</v>
      </c>
      <c r="O906" s="90">
        <f t="shared" si="250"/>
        <v>-472.86104799999941</v>
      </c>
      <c r="P906" s="93">
        <f t="shared" si="251"/>
        <v>-4.7712265564931466E-2</v>
      </c>
      <c r="Q906" s="96"/>
      <c r="R906" s="96"/>
      <c r="T906" s="90">
        <f t="shared" si="245"/>
        <v>95</v>
      </c>
      <c r="U906" s="89">
        <f t="shared" si="246"/>
        <v>103.31428490526316</v>
      </c>
      <c r="V906" s="89">
        <f t="shared" si="247"/>
        <v>107.247955</v>
      </c>
      <c r="W906" s="90">
        <f t="shared" si="252"/>
        <v>10188.555725</v>
      </c>
      <c r="X906" s="93">
        <f t="shared" si="248"/>
        <v>3.8074793803624774E-2</v>
      </c>
      <c r="AB906" s="89">
        <f t="shared" si="237"/>
        <v>195</v>
      </c>
      <c r="AC906" s="89">
        <f t="shared" si="238"/>
        <v>51.179276000000002</v>
      </c>
      <c r="AD906" s="89">
        <f t="shared" si="239"/>
        <v>107.247955</v>
      </c>
      <c r="AE906" s="89">
        <f t="shared" si="240"/>
        <v>20913.351225000002</v>
      </c>
      <c r="AF906" s="90">
        <f t="shared" si="243"/>
        <v>10933.392405000001</v>
      </c>
      <c r="AG906" s="93">
        <f t="shared" si="244"/>
        <v>1.0955348215555061</v>
      </c>
      <c r="AK906" s="90">
        <f t="shared" si="241"/>
        <v>142</v>
      </c>
      <c r="AL906" s="89">
        <f t="shared" si="242"/>
        <v>68.865979063380294</v>
      </c>
      <c r="AM906" s="89">
        <f t="shared" si="234"/>
        <v>107.247955</v>
      </c>
      <c r="AN906" s="90">
        <f t="shared" si="235"/>
        <v>15229.20961</v>
      </c>
      <c r="AO906" s="93">
        <f t="shared" si="236"/>
        <v>0.55734306632444941</v>
      </c>
    </row>
    <row r="907" spans="2:41" x14ac:dyDescent="0.25">
      <c r="B907" s="91">
        <v>40666</v>
      </c>
      <c r="C907" s="89">
        <v>135.96000699999999</v>
      </c>
      <c r="D907" s="89">
        <v>136.19000199999999</v>
      </c>
      <c r="E907" s="89">
        <v>135.03999300000001</v>
      </c>
      <c r="F907" s="89">
        <v>135.729996</v>
      </c>
      <c r="G907" s="89">
        <v>106.862122</v>
      </c>
      <c r="H907" s="89">
        <v>138375000</v>
      </c>
      <c r="J907" s="89">
        <v>0</v>
      </c>
      <c r="K907" s="89">
        <f t="shared" si="253"/>
        <v>88</v>
      </c>
      <c r="L907" s="89">
        <f t="shared" si="254"/>
        <v>112.621376</v>
      </c>
      <c r="M907" s="89">
        <f>+SPY__2[[#This Row],[Adj Close]]</f>
        <v>106.862122</v>
      </c>
      <c r="N907" s="89">
        <f t="shared" si="249"/>
        <v>9403.8667359999999</v>
      </c>
      <c r="O907" s="90">
        <f t="shared" si="250"/>
        <v>-506.81435199999987</v>
      </c>
      <c r="P907" s="93">
        <f t="shared" si="251"/>
        <v>-5.1138196002861847E-2</v>
      </c>
      <c r="Q907" s="96"/>
      <c r="R907" s="96"/>
      <c r="T907" s="90">
        <f t="shared" si="245"/>
        <v>95</v>
      </c>
      <c r="U907" s="89">
        <f t="shared" si="246"/>
        <v>103.31428490526316</v>
      </c>
      <c r="V907" s="89">
        <f t="shared" si="247"/>
        <v>106.862122</v>
      </c>
      <c r="W907" s="90">
        <f t="shared" si="252"/>
        <v>10151.901589999999</v>
      </c>
      <c r="X907" s="93">
        <f t="shared" si="248"/>
        <v>3.4340237634999937E-2</v>
      </c>
      <c r="AB907" s="89">
        <f t="shared" si="237"/>
        <v>195</v>
      </c>
      <c r="AC907" s="89">
        <f t="shared" si="238"/>
        <v>51.179276000000002</v>
      </c>
      <c r="AD907" s="89">
        <f t="shared" si="239"/>
        <v>106.862122</v>
      </c>
      <c r="AE907" s="89">
        <f t="shared" si="240"/>
        <v>20838.113789999999</v>
      </c>
      <c r="AF907" s="90">
        <f t="shared" si="243"/>
        <v>10858.15497</v>
      </c>
      <c r="AG907" s="93">
        <f t="shared" si="244"/>
        <v>1.0879959693060135</v>
      </c>
      <c r="AK907" s="90">
        <f t="shared" si="241"/>
        <v>142</v>
      </c>
      <c r="AL907" s="89">
        <f t="shared" si="242"/>
        <v>68.865979063380294</v>
      </c>
      <c r="AM907" s="89">
        <f t="shared" si="234"/>
        <v>106.862122</v>
      </c>
      <c r="AN907" s="90">
        <f t="shared" si="235"/>
        <v>15174.421323999999</v>
      </c>
      <c r="AO907" s="93">
        <f t="shared" si="236"/>
        <v>0.55174040147821368</v>
      </c>
    </row>
    <row r="908" spans="2:41" x14ac:dyDescent="0.25">
      <c r="B908" s="91">
        <v>40667</v>
      </c>
      <c r="C908" s="89">
        <v>135.66999799999999</v>
      </c>
      <c r="D908" s="89">
        <v>135.729996</v>
      </c>
      <c r="E908" s="89">
        <v>134.229996</v>
      </c>
      <c r="F908" s="89">
        <v>134.83000200000001</v>
      </c>
      <c r="G908" s="89">
        <v>106.153572</v>
      </c>
      <c r="H908" s="89">
        <v>182678500</v>
      </c>
      <c r="J908" s="89">
        <v>0</v>
      </c>
      <c r="K908" s="89">
        <f t="shared" si="253"/>
        <v>88</v>
      </c>
      <c r="L908" s="89">
        <f t="shared" si="254"/>
        <v>112.621376</v>
      </c>
      <c r="M908" s="89">
        <f>+SPY__2[[#This Row],[Adj Close]]</f>
        <v>106.153572</v>
      </c>
      <c r="N908" s="89">
        <f t="shared" si="249"/>
        <v>9341.5143360000002</v>
      </c>
      <c r="O908" s="90">
        <f t="shared" si="250"/>
        <v>-569.16675200000009</v>
      </c>
      <c r="P908" s="93">
        <f t="shared" si="251"/>
        <v>-5.7429630410482657E-2</v>
      </c>
      <c r="Q908" s="96"/>
      <c r="R908" s="96"/>
      <c r="T908" s="90">
        <f t="shared" si="245"/>
        <v>95</v>
      </c>
      <c r="U908" s="89">
        <f t="shared" si="246"/>
        <v>103.31428490526316</v>
      </c>
      <c r="V908" s="89">
        <f t="shared" si="247"/>
        <v>106.153572</v>
      </c>
      <c r="W908" s="90">
        <f t="shared" si="252"/>
        <v>10084.58934</v>
      </c>
      <c r="X908" s="93">
        <f t="shared" si="248"/>
        <v>2.7482037913153956E-2</v>
      </c>
      <c r="AB908" s="89">
        <f t="shared" si="237"/>
        <v>195</v>
      </c>
      <c r="AC908" s="89">
        <f t="shared" si="238"/>
        <v>51.179276000000002</v>
      </c>
      <c r="AD908" s="89">
        <f t="shared" si="239"/>
        <v>106.153572</v>
      </c>
      <c r="AE908" s="89">
        <f t="shared" si="240"/>
        <v>20699.946540000001</v>
      </c>
      <c r="AF908" s="90">
        <f t="shared" si="243"/>
        <v>10719.987719999999</v>
      </c>
      <c r="AG908" s="93">
        <f t="shared" si="244"/>
        <v>1.0741514983525753</v>
      </c>
      <c r="AK908" s="90">
        <f t="shared" si="241"/>
        <v>142</v>
      </c>
      <c r="AL908" s="89">
        <f t="shared" si="242"/>
        <v>68.865979063380294</v>
      </c>
      <c r="AM908" s="89">
        <f t="shared" si="234"/>
        <v>106.153572</v>
      </c>
      <c r="AN908" s="90">
        <f t="shared" si="235"/>
        <v>15073.807224</v>
      </c>
      <c r="AO908" s="93">
        <f t="shared" si="236"/>
        <v>0.54145157658039467</v>
      </c>
    </row>
    <row r="909" spans="2:41" x14ac:dyDescent="0.25">
      <c r="B909" s="91">
        <v>40668</v>
      </c>
      <c r="C909" s="89">
        <v>134.08000200000001</v>
      </c>
      <c r="D909" s="89">
        <v>134.949997</v>
      </c>
      <c r="E909" s="89">
        <v>133.020004</v>
      </c>
      <c r="F909" s="89">
        <v>133.61000100000001</v>
      </c>
      <c r="G909" s="89">
        <v>105.193062</v>
      </c>
      <c r="H909" s="89">
        <v>226900000</v>
      </c>
      <c r="J909" s="89">
        <v>0</v>
      </c>
      <c r="K909" s="89">
        <f t="shared" si="253"/>
        <v>88</v>
      </c>
      <c r="L909" s="89">
        <f t="shared" si="254"/>
        <v>112.621376</v>
      </c>
      <c r="M909" s="89">
        <f>+SPY__2[[#This Row],[Adj Close]]</f>
        <v>105.193062</v>
      </c>
      <c r="N909" s="89">
        <f t="shared" si="249"/>
        <v>9256.9894559999993</v>
      </c>
      <c r="O909" s="90">
        <f t="shared" si="250"/>
        <v>-653.69163200000003</v>
      </c>
      <c r="P909" s="93">
        <f t="shared" si="251"/>
        <v>-6.5958295519315979E-2</v>
      </c>
      <c r="Q909" s="96"/>
      <c r="R909" s="96"/>
      <c r="T909" s="90">
        <f t="shared" si="245"/>
        <v>95</v>
      </c>
      <c r="U909" s="89">
        <f t="shared" si="246"/>
        <v>103.31428490526316</v>
      </c>
      <c r="V909" s="89">
        <f t="shared" si="247"/>
        <v>105.193062</v>
      </c>
      <c r="W909" s="90">
        <f t="shared" si="252"/>
        <v>9993.3408899999995</v>
      </c>
      <c r="X909" s="93">
        <f t="shared" si="248"/>
        <v>1.8185066048316711E-2</v>
      </c>
      <c r="AB909" s="89">
        <f t="shared" si="237"/>
        <v>195</v>
      </c>
      <c r="AC909" s="89">
        <f t="shared" si="238"/>
        <v>51.179276000000002</v>
      </c>
      <c r="AD909" s="89">
        <f t="shared" si="239"/>
        <v>105.193062</v>
      </c>
      <c r="AE909" s="89">
        <f t="shared" si="240"/>
        <v>20512.647089999999</v>
      </c>
      <c r="AF909" s="90">
        <f t="shared" si="243"/>
        <v>10532.688269999999</v>
      </c>
      <c r="AG909" s="93">
        <f t="shared" si="244"/>
        <v>1.0553839409529746</v>
      </c>
      <c r="AK909" s="90">
        <f t="shared" si="241"/>
        <v>142</v>
      </c>
      <c r="AL909" s="89">
        <f t="shared" si="242"/>
        <v>68.865979063380294</v>
      </c>
      <c r="AM909" s="89">
        <f t="shared" si="234"/>
        <v>105.193062</v>
      </c>
      <c r="AN909" s="90">
        <f t="shared" si="235"/>
        <v>14937.414804</v>
      </c>
      <c r="AO909" s="93">
        <f t="shared" si="236"/>
        <v>0.52750405106687515</v>
      </c>
    </row>
    <row r="910" spans="2:41" x14ac:dyDescent="0.25">
      <c r="B910" s="91">
        <v>40669</v>
      </c>
      <c r="C910" s="89">
        <v>134.94000199999999</v>
      </c>
      <c r="D910" s="89">
        <v>135.63000500000001</v>
      </c>
      <c r="E910" s="89">
        <v>133.679993</v>
      </c>
      <c r="F910" s="89">
        <v>134.199997</v>
      </c>
      <c r="G910" s="89">
        <v>105.657524</v>
      </c>
      <c r="H910" s="89">
        <v>222787200</v>
      </c>
      <c r="J910" s="89">
        <v>0</v>
      </c>
      <c r="K910" s="89">
        <f t="shared" si="253"/>
        <v>88</v>
      </c>
      <c r="L910" s="89">
        <f t="shared" si="254"/>
        <v>112.621376</v>
      </c>
      <c r="M910" s="89">
        <f>+SPY__2[[#This Row],[Adj Close]]</f>
        <v>105.657524</v>
      </c>
      <c r="N910" s="89">
        <f t="shared" si="249"/>
        <v>9297.8621119999989</v>
      </c>
      <c r="O910" s="90">
        <f t="shared" si="250"/>
        <v>-612.81897600000025</v>
      </c>
      <c r="P910" s="93">
        <f t="shared" si="251"/>
        <v>-6.1834193892285616E-2</v>
      </c>
      <c r="Q910" s="96"/>
      <c r="R910" s="96"/>
      <c r="T910" s="90">
        <f t="shared" si="245"/>
        <v>95</v>
      </c>
      <c r="U910" s="89">
        <f t="shared" si="246"/>
        <v>103.31428490526316</v>
      </c>
      <c r="V910" s="89">
        <f t="shared" si="247"/>
        <v>105.657524</v>
      </c>
      <c r="W910" s="90">
        <f t="shared" si="252"/>
        <v>10037.46478</v>
      </c>
      <c r="X910" s="93">
        <f t="shared" si="248"/>
        <v>2.2680688318033937E-2</v>
      </c>
      <c r="AB910" s="89">
        <f t="shared" si="237"/>
        <v>195</v>
      </c>
      <c r="AC910" s="89">
        <f t="shared" si="238"/>
        <v>51.179276000000002</v>
      </c>
      <c r="AD910" s="89">
        <f t="shared" si="239"/>
        <v>105.657524</v>
      </c>
      <c r="AE910" s="89">
        <f t="shared" si="240"/>
        <v>20603.21718</v>
      </c>
      <c r="AF910" s="90">
        <f t="shared" si="243"/>
        <v>10623.258359999998</v>
      </c>
      <c r="AG910" s="93">
        <f t="shared" si="244"/>
        <v>1.0644591377181651</v>
      </c>
      <c r="AK910" s="90">
        <f t="shared" si="241"/>
        <v>142</v>
      </c>
      <c r="AL910" s="89">
        <f t="shared" si="242"/>
        <v>68.865979063380294</v>
      </c>
      <c r="AM910" s="89">
        <f t="shared" si="234"/>
        <v>105.657524</v>
      </c>
      <c r="AN910" s="90">
        <f t="shared" si="235"/>
        <v>15003.368407999998</v>
      </c>
      <c r="AO910" s="93">
        <f t="shared" si="236"/>
        <v>0.53424848433155758</v>
      </c>
    </row>
    <row r="911" spans="2:41" x14ac:dyDescent="0.25">
      <c r="B911" s="91">
        <v>40672</v>
      </c>
      <c r="C911" s="89">
        <v>134.19000199999999</v>
      </c>
      <c r="D911" s="89">
        <v>135.11000100000001</v>
      </c>
      <c r="E911" s="89">
        <v>133.979996</v>
      </c>
      <c r="F911" s="89">
        <v>134.720001</v>
      </c>
      <c r="G911" s="89">
        <v>106.06694</v>
      </c>
      <c r="H911" s="89">
        <v>114104500</v>
      </c>
      <c r="J911" s="89">
        <v>0</v>
      </c>
      <c r="K911" s="89">
        <f t="shared" si="253"/>
        <v>88</v>
      </c>
      <c r="L911" s="89">
        <f t="shared" si="254"/>
        <v>112.621376</v>
      </c>
      <c r="M911" s="89">
        <f>+SPY__2[[#This Row],[Adj Close]]</f>
        <v>106.06694</v>
      </c>
      <c r="N911" s="89">
        <f t="shared" si="249"/>
        <v>9333.8907199999994</v>
      </c>
      <c r="O911" s="90">
        <f t="shared" si="250"/>
        <v>-576.7903679999996</v>
      </c>
      <c r="P911" s="93">
        <f t="shared" si="251"/>
        <v>-5.8198862709686661E-2</v>
      </c>
      <c r="Q911" s="96"/>
      <c r="R911" s="96"/>
      <c r="T911" s="90">
        <f t="shared" si="245"/>
        <v>95</v>
      </c>
      <c r="U911" s="89">
        <f t="shared" si="246"/>
        <v>103.31428490526316</v>
      </c>
      <c r="V911" s="89">
        <f t="shared" si="247"/>
        <v>106.06694</v>
      </c>
      <c r="W911" s="90">
        <f t="shared" si="252"/>
        <v>10076.3593</v>
      </c>
      <c r="X911" s="93">
        <f t="shared" si="248"/>
        <v>2.6643509145525712E-2</v>
      </c>
      <c r="AB911" s="89">
        <f t="shared" si="237"/>
        <v>195</v>
      </c>
      <c r="AC911" s="89">
        <f t="shared" si="238"/>
        <v>51.179276000000002</v>
      </c>
      <c r="AD911" s="89">
        <f t="shared" si="239"/>
        <v>106.06694</v>
      </c>
      <c r="AE911" s="89">
        <f t="shared" si="240"/>
        <v>20683.0533</v>
      </c>
      <c r="AF911" s="90">
        <f t="shared" si="243"/>
        <v>10703.09448</v>
      </c>
      <c r="AG911" s="93">
        <f t="shared" si="244"/>
        <v>1.0724587819491624</v>
      </c>
      <c r="AK911" s="90">
        <f t="shared" si="241"/>
        <v>142</v>
      </c>
      <c r="AL911" s="89">
        <f t="shared" si="242"/>
        <v>68.865979063380294</v>
      </c>
      <c r="AM911" s="89">
        <f t="shared" si="234"/>
        <v>106.06694</v>
      </c>
      <c r="AN911" s="90">
        <f t="shared" si="235"/>
        <v>15061.50548</v>
      </c>
      <c r="AO911" s="93">
        <f t="shared" si="236"/>
        <v>0.54019359693386604</v>
      </c>
    </row>
    <row r="912" spans="2:41" x14ac:dyDescent="0.25">
      <c r="B912" s="91">
        <v>40673</v>
      </c>
      <c r="C912" s="89">
        <v>135.16999799999999</v>
      </c>
      <c r="D912" s="89">
        <v>136.11000100000001</v>
      </c>
      <c r="E912" s="89">
        <v>135</v>
      </c>
      <c r="F912" s="89">
        <v>135.86999499999999</v>
      </c>
      <c r="G912" s="89">
        <v>106.972382</v>
      </c>
      <c r="H912" s="89">
        <v>114806900</v>
      </c>
      <c r="J912" s="89">
        <v>0</v>
      </c>
      <c r="K912" s="89">
        <f t="shared" si="253"/>
        <v>88</v>
      </c>
      <c r="L912" s="89">
        <f t="shared" si="254"/>
        <v>112.621376</v>
      </c>
      <c r="M912" s="89">
        <f>+SPY__2[[#This Row],[Adj Close]]</f>
        <v>106.972382</v>
      </c>
      <c r="N912" s="89">
        <f t="shared" si="249"/>
        <v>9413.5696159999989</v>
      </c>
      <c r="O912" s="90">
        <f t="shared" si="250"/>
        <v>-497.11147200000016</v>
      </c>
      <c r="P912" s="93">
        <f t="shared" si="251"/>
        <v>-5.0159163390083306E-2</v>
      </c>
      <c r="Q912" s="96"/>
      <c r="R912" s="96"/>
      <c r="T912" s="90">
        <f t="shared" si="245"/>
        <v>95</v>
      </c>
      <c r="U912" s="89">
        <f t="shared" si="246"/>
        <v>103.31428490526316</v>
      </c>
      <c r="V912" s="89">
        <f t="shared" si="247"/>
        <v>106.972382</v>
      </c>
      <c r="W912" s="90">
        <f t="shared" si="252"/>
        <v>10162.37629</v>
      </c>
      <c r="X912" s="93">
        <f t="shared" si="248"/>
        <v>3.5407466625658079E-2</v>
      </c>
      <c r="AB912" s="89">
        <f t="shared" si="237"/>
        <v>195</v>
      </c>
      <c r="AC912" s="89">
        <f t="shared" si="238"/>
        <v>51.179276000000002</v>
      </c>
      <c r="AD912" s="89">
        <f t="shared" si="239"/>
        <v>106.972382</v>
      </c>
      <c r="AE912" s="89">
        <f t="shared" si="240"/>
        <v>20859.61449</v>
      </c>
      <c r="AF912" s="90">
        <f t="shared" si="243"/>
        <v>10879.655669999998</v>
      </c>
      <c r="AG912" s="93">
        <f t="shared" si="244"/>
        <v>1.0901503569530759</v>
      </c>
      <c r="AK912" s="90">
        <f t="shared" si="241"/>
        <v>142</v>
      </c>
      <c r="AL912" s="89">
        <f t="shared" si="242"/>
        <v>68.865979063380294</v>
      </c>
      <c r="AM912" s="89">
        <f t="shared" si="234"/>
        <v>106.972382</v>
      </c>
      <c r="AN912" s="90">
        <f t="shared" si="235"/>
        <v>15190.078244</v>
      </c>
      <c r="AO912" s="93">
        <f t="shared" si="236"/>
        <v>0.55334148232393199</v>
      </c>
    </row>
    <row r="913" spans="2:41" x14ac:dyDescent="0.25">
      <c r="B913" s="91">
        <v>40674</v>
      </c>
      <c r="C913" s="89">
        <v>135.66999799999999</v>
      </c>
      <c r="D913" s="89">
        <v>135.69000199999999</v>
      </c>
      <c r="E913" s="89">
        <v>133.820007</v>
      </c>
      <c r="F913" s="89">
        <v>134.44000199999999</v>
      </c>
      <c r="G913" s="89">
        <v>105.846512</v>
      </c>
      <c r="H913" s="89">
        <v>193564200</v>
      </c>
      <c r="J913" s="89">
        <v>0</v>
      </c>
      <c r="K913" s="89">
        <f t="shared" si="253"/>
        <v>88</v>
      </c>
      <c r="L913" s="89">
        <f t="shared" si="254"/>
        <v>112.621376</v>
      </c>
      <c r="M913" s="89">
        <f>+SPY__2[[#This Row],[Adj Close]]</f>
        <v>105.846512</v>
      </c>
      <c r="N913" s="89">
        <f t="shared" si="249"/>
        <v>9314.4930560000012</v>
      </c>
      <c r="O913" s="90">
        <f t="shared" si="250"/>
        <v>-596.18803199999945</v>
      </c>
      <c r="P913" s="93">
        <f t="shared" si="251"/>
        <v>-6.0156111038813798E-2</v>
      </c>
      <c r="Q913" s="96"/>
      <c r="R913" s="96"/>
      <c r="T913" s="90">
        <f t="shared" si="245"/>
        <v>95</v>
      </c>
      <c r="U913" s="89">
        <f t="shared" si="246"/>
        <v>103.31428490526316</v>
      </c>
      <c r="V913" s="89">
        <f t="shared" si="247"/>
        <v>105.846512</v>
      </c>
      <c r="W913" s="90">
        <f t="shared" si="252"/>
        <v>10055.41864</v>
      </c>
      <c r="X913" s="93">
        <f t="shared" si="248"/>
        <v>2.4509941650942446E-2</v>
      </c>
      <c r="AB913" s="89">
        <f t="shared" si="237"/>
        <v>195</v>
      </c>
      <c r="AC913" s="89">
        <f t="shared" si="238"/>
        <v>51.179276000000002</v>
      </c>
      <c r="AD913" s="89">
        <f t="shared" si="239"/>
        <v>105.846512</v>
      </c>
      <c r="AE913" s="89">
        <f t="shared" si="240"/>
        <v>20640.06984</v>
      </c>
      <c r="AF913" s="90">
        <f t="shared" si="243"/>
        <v>10660.11102</v>
      </c>
      <c r="AG913" s="93">
        <f t="shared" si="244"/>
        <v>1.0681518042576452</v>
      </c>
      <c r="AK913" s="90">
        <f t="shared" si="241"/>
        <v>142</v>
      </c>
      <c r="AL913" s="89">
        <f t="shared" si="242"/>
        <v>68.865979063380294</v>
      </c>
      <c r="AM913" s="89">
        <f t="shared" si="234"/>
        <v>105.846512</v>
      </c>
      <c r="AN913" s="90">
        <f t="shared" si="235"/>
        <v>15030.204704</v>
      </c>
      <c r="AO913" s="93">
        <f t="shared" si="236"/>
        <v>0.53699277117057975</v>
      </c>
    </row>
    <row r="914" spans="2:41" x14ac:dyDescent="0.25">
      <c r="B914" s="91">
        <v>40675</v>
      </c>
      <c r="C914" s="89">
        <v>134.08000200000001</v>
      </c>
      <c r="D914" s="89">
        <v>135.36000100000001</v>
      </c>
      <c r="E914" s="89">
        <v>133.38999899999999</v>
      </c>
      <c r="F914" s="89">
        <v>135.08000200000001</v>
      </c>
      <c r="G914" s="89">
        <v>106.35037199999999</v>
      </c>
      <c r="H914" s="89">
        <v>171550700</v>
      </c>
      <c r="J914" s="89">
        <v>0</v>
      </c>
      <c r="K914" s="89">
        <f t="shared" si="253"/>
        <v>88</v>
      </c>
      <c r="L914" s="89">
        <f t="shared" si="254"/>
        <v>112.621376</v>
      </c>
      <c r="M914" s="89">
        <f>+SPY__2[[#This Row],[Adj Close]]</f>
        <v>106.35037199999999</v>
      </c>
      <c r="N914" s="89">
        <f t="shared" si="249"/>
        <v>9358.8327360000003</v>
      </c>
      <c r="O914" s="90">
        <f t="shared" si="250"/>
        <v>-551.84835200000043</v>
      </c>
      <c r="P914" s="93">
        <f t="shared" si="251"/>
        <v>-5.5682182394930169E-2</v>
      </c>
      <c r="Q914" s="96"/>
      <c r="R914" s="96"/>
      <c r="T914" s="90">
        <f t="shared" si="245"/>
        <v>95</v>
      </c>
      <c r="U914" s="89">
        <f t="shared" si="246"/>
        <v>103.31428490526316</v>
      </c>
      <c r="V914" s="89">
        <f t="shared" si="247"/>
        <v>106.35037199999999</v>
      </c>
      <c r="W914" s="90">
        <f t="shared" si="252"/>
        <v>10103.285339999999</v>
      </c>
      <c r="X914" s="93">
        <f t="shared" si="248"/>
        <v>2.9386905184707546E-2</v>
      </c>
      <c r="AB914" s="89">
        <f t="shared" si="237"/>
        <v>195</v>
      </c>
      <c r="AC914" s="89">
        <f t="shared" si="238"/>
        <v>51.179276000000002</v>
      </c>
      <c r="AD914" s="89">
        <f t="shared" si="239"/>
        <v>106.35037199999999</v>
      </c>
      <c r="AE914" s="89">
        <f t="shared" si="240"/>
        <v>20738.322539999997</v>
      </c>
      <c r="AF914" s="90">
        <f t="shared" si="243"/>
        <v>10758.363719999998</v>
      </c>
      <c r="AG914" s="93">
        <f t="shared" si="244"/>
        <v>1.0779968048004429</v>
      </c>
      <c r="AK914" s="90">
        <f t="shared" si="241"/>
        <v>142</v>
      </c>
      <c r="AL914" s="89">
        <f t="shared" si="242"/>
        <v>68.865979063380294</v>
      </c>
      <c r="AM914" s="89">
        <f t="shared" si="234"/>
        <v>106.35037199999999</v>
      </c>
      <c r="AN914" s="90">
        <f t="shared" si="235"/>
        <v>15101.752823999999</v>
      </c>
      <c r="AO914" s="93">
        <f t="shared" si="236"/>
        <v>0.5443093011444915</v>
      </c>
    </row>
    <row r="915" spans="2:41" x14ac:dyDescent="0.25">
      <c r="B915" s="91">
        <v>40676</v>
      </c>
      <c r="C915" s="89">
        <v>135.14999399999999</v>
      </c>
      <c r="D915" s="89">
        <v>135.33999600000001</v>
      </c>
      <c r="E915" s="89">
        <v>133.55999800000001</v>
      </c>
      <c r="F915" s="89">
        <v>134.03999300000001</v>
      </c>
      <c r="G915" s="89">
        <v>105.531578</v>
      </c>
      <c r="H915" s="89">
        <v>157444900</v>
      </c>
      <c r="J915" s="89">
        <v>0</v>
      </c>
      <c r="K915" s="89">
        <f t="shared" si="253"/>
        <v>88</v>
      </c>
      <c r="L915" s="89">
        <f t="shared" si="254"/>
        <v>112.621376</v>
      </c>
      <c r="M915" s="89">
        <f>+SPY__2[[#This Row],[Adj Close]]</f>
        <v>105.531578</v>
      </c>
      <c r="N915" s="89">
        <f t="shared" si="249"/>
        <v>9286.7788639999999</v>
      </c>
      <c r="O915" s="90">
        <f t="shared" si="250"/>
        <v>-623.90222400000016</v>
      </c>
      <c r="P915" s="93">
        <f t="shared" si="251"/>
        <v>-6.2952507346385134E-2</v>
      </c>
      <c r="Q915" s="96"/>
      <c r="R915" s="96"/>
      <c r="T915" s="90">
        <f t="shared" si="245"/>
        <v>95</v>
      </c>
      <c r="U915" s="89">
        <f t="shared" si="246"/>
        <v>103.31428490526316</v>
      </c>
      <c r="V915" s="89">
        <f t="shared" si="247"/>
        <v>105.531578</v>
      </c>
      <c r="W915" s="90">
        <f t="shared" si="252"/>
        <v>10025.49991</v>
      </c>
      <c r="X915" s="93">
        <f t="shared" si="248"/>
        <v>2.1461631339461329E-2</v>
      </c>
      <c r="AB915" s="89">
        <f t="shared" si="237"/>
        <v>195</v>
      </c>
      <c r="AC915" s="89">
        <f t="shared" si="238"/>
        <v>51.179276000000002</v>
      </c>
      <c r="AD915" s="89">
        <f t="shared" si="239"/>
        <v>105.531578</v>
      </c>
      <c r="AE915" s="89">
        <f t="shared" si="240"/>
        <v>20578.657709999999</v>
      </c>
      <c r="AF915" s="90">
        <f t="shared" si="243"/>
        <v>10598.69889</v>
      </c>
      <c r="AG915" s="93">
        <f t="shared" si="244"/>
        <v>1.0619982588264825</v>
      </c>
      <c r="AK915" s="90">
        <f t="shared" si="241"/>
        <v>142</v>
      </c>
      <c r="AL915" s="89">
        <f t="shared" si="242"/>
        <v>68.865979063380294</v>
      </c>
      <c r="AM915" s="89">
        <f t="shared" si="234"/>
        <v>105.531578</v>
      </c>
      <c r="AN915" s="90">
        <f t="shared" si="235"/>
        <v>14985.484075999999</v>
      </c>
      <c r="AO915" s="93">
        <f t="shared" si="236"/>
        <v>0.53241962773628471</v>
      </c>
    </row>
    <row r="916" spans="2:41" x14ac:dyDescent="0.25">
      <c r="B916" s="91">
        <v>40679</v>
      </c>
      <c r="C916" s="89">
        <v>133.55999800000001</v>
      </c>
      <c r="D916" s="89">
        <v>134.61000100000001</v>
      </c>
      <c r="E916" s="89">
        <v>132.970001</v>
      </c>
      <c r="F916" s="89">
        <v>133.19000199999999</v>
      </c>
      <c r="G916" s="89">
        <v>104.862381</v>
      </c>
      <c r="H916" s="89">
        <v>141675400</v>
      </c>
      <c r="J916" s="89">
        <v>0</v>
      </c>
      <c r="K916" s="89">
        <f t="shared" si="253"/>
        <v>88</v>
      </c>
      <c r="L916" s="89">
        <f t="shared" si="254"/>
        <v>112.621376</v>
      </c>
      <c r="M916" s="89">
        <f>+SPY__2[[#This Row],[Adj Close]]</f>
        <v>104.862381</v>
      </c>
      <c r="N916" s="89">
        <f t="shared" si="249"/>
        <v>9227.8895279999997</v>
      </c>
      <c r="O916" s="90">
        <f t="shared" si="250"/>
        <v>-682.79155999999989</v>
      </c>
      <c r="P916" s="93">
        <f t="shared" si="251"/>
        <v>-6.889451430605853E-2</v>
      </c>
      <c r="Q916" s="96"/>
      <c r="R916" s="96"/>
      <c r="T916" s="90">
        <f t="shared" si="245"/>
        <v>95</v>
      </c>
      <c r="U916" s="89">
        <f t="shared" si="246"/>
        <v>103.31428490526316</v>
      </c>
      <c r="V916" s="89">
        <f t="shared" si="247"/>
        <v>104.862381</v>
      </c>
      <c r="W916" s="90">
        <f t="shared" si="252"/>
        <v>9961.926195</v>
      </c>
      <c r="X916" s="93">
        <f t="shared" si="248"/>
        <v>1.4984337317500707E-2</v>
      </c>
      <c r="AB916" s="89">
        <f t="shared" si="237"/>
        <v>195</v>
      </c>
      <c r="AC916" s="89">
        <f t="shared" si="238"/>
        <v>51.179276000000002</v>
      </c>
      <c r="AD916" s="89">
        <f t="shared" si="239"/>
        <v>104.862381</v>
      </c>
      <c r="AE916" s="89">
        <f t="shared" si="240"/>
        <v>20448.164294999999</v>
      </c>
      <c r="AF916" s="90">
        <f t="shared" si="243"/>
        <v>10468.205474999999</v>
      </c>
      <c r="AG916" s="93">
        <f t="shared" si="244"/>
        <v>1.0489227123885065</v>
      </c>
      <c r="AK916" s="90">
        <f t="shared" si="241"/>
        <v>142</v>
      </c>
      <c r="AL916" s="89">
        <f t="shared" si="242"/>
        <v>68.865979063380294</v>
      </c>
      <c r="AM916" s="89">
        <f t="shared" si="234"/>
        <v>104.862381</v>
      </c>
      <c r="AN916" s="90">
        <f t="shared" si="235"/>
        <v>14890.458102000001</v>
      </c>
      <c r="AO916" s="93">
        <f t="shared" si="236"/>
        <v>0.52270224610457783</v>
      </c>
    </row>
    <row r="917" spans="2:41" x14ac:dyDescent="0.25">
      <c r="B917" s="91">
        <v>40680</v>
      </c>
      <c r="C917" s="89">
        <v>132.69000199999999</v>
      </c>
      <c r="D917" s="89">
        <v>133.35000600000001</v>
      </c>
      <c r="E917" s="89">
        <v>132.11999499999999</v>
      </c>
      <c r="F917" s="89">
        <v>133.16999799999999</v>
      </c>
      <c r="G917" s="89">
        <v>104.846603</v>
      </c>
      <c r="H917" s="89">
        <v>192686200</v>
      </c>
      <c r="J917" s="89">
        <v>0</v>
      </c>
      <c r="K917" s="89">
        <f t="shared" si="253"/>
        <v>88</v>
      </c>
      <c r="L917" s="89">
        <f t="shared" si="254"/>
        <v>112.621376</v>
      </c>
      <c r="M917" s="89">
        <f>+SPY__2[[#This Row],[Adj Close]]</f>
        <v>104.846603</v>
      </c>
      <c r="N917" s="89">
        <f t="shared" si="249"/>
        <v>9226.501064</v>
      </c>
      <c r="O917" s="90">
        <f t="shared" si="250"/>
        <v>-684.18002399999966</v>
      </c>
      <c r="P917" s="93">
        <f t="shared" si="251"/>
        <v>-6.9034612043809451E-2</v>
      </c>
      <c r="Q917" s="96"/>
      <c r="R917" s="96"/>
      <c r="T917" s="90">
        <f t="shared" si="245"/>
        <v>95</v>
      </c>
      <c r="U917" s="89">
        <f t="shared" si="246"/>
        <v>103.31428490526316</v>
      </c>
      <c r="V917" s="89">
        <f t="shared" si="247"/>
        <v>104.846603</v>
      </c>
      <c r="W917" s="90">
        <f t="shared" si="252"/>
        <v>9960.4272849999998</v>
      </c>
      <c r="X917" s="93">
        <f t="shared" si="248"/>
        <v>1.4831618842853445E-2</v>
      </c>
      <c r="AB917" s="89">
        <f t="shared" si="237"/>
        <v>195</v>
      </c>
      <c r="AC917" s="89">
        <f t="shared" si="238"/>
        <v>51.179276000000002</v>
      </c>
      <c r="AD917" s="89">
        <f t="shared" si="239"/>
        <v>104.846603</v>
      </c>
      <c r="AE917" s="89">
        <f t="shared" si="240"/>
        <v>20445.087585000001</v>
      </c>
      <c r="AF917" s="90">
        <f t="shared" si="243"/>
        <v>10465.128764999999</v>
      </c>
      <c r="AG917" s="93">
        <f t="shared" si="244"/>
        <v>1.0486144235412787</v>
      </c>
      <c r="AK917" s="90">
        <f t="shared" si="241"/>
        <v>142</v>
      </c>
      <c r="AL917" s="89">
        <f t="shared" si="242"/>
        <v>68.865979063380294</v>
      </c>
      <c r="AM917" s="89">
        <f t="shared" si="234"/>
        <v>104.846603</v>
      </c>
      <c r="AN917" s="90">
        <f t="shared" si="235"/>
        <v>14888.217626</v>
      </c>
      <c r="AO917" s="93">
        <f t="shared" si="236"/>
        <v>0.52247313442687293</v>
      </c>
    </row>
    <row r="918" spans="2:41" x14ac:dyDescent="0.25">
      <c r="B918" s="91">
        <v>40681</v>
      </c>
      <c r="C918" s="89">
        <v>133.240005</v>
      </c>
      <c r="D918" s="89">
        <v>134.5</v>
      </c>
      <c r="E918" s="89">
        <v>132.949997</v>
      </c>
      <c r="F918" s="89">
        <v>134.36000100000001</v>
      </c>
      <c r="G918" s="89">
        <v>105.78351600000001</v>
      </c>
      <c r="H918" s="89">
        <v>135217900</v>
      </c>
      <c r="J918" s="89">
        <v>0</v>
      </c>
      <c r="K918" s="89">
        <f t="shared" si="253"/>
        <v>88</v>
      </c>
      <c r="L918" s="89">
        <f t="shared" si="254"/>
        <v>112.621376</v>
      </c>
      <c r="M918" s="89">
        <f>+SPY__2[[#This Row],[Adj Close]]</f>
        <v>105.78351600000001</v>
      </c>
      <c r="N918" s="89">
        <f t="shared" si="249"/>
        <v>9308.9494080000004</v>
      </c>
      <c r="O918" s="90">
        <f t="shared" si="250"/>
        <v>-601.7316799999993</v>
      </c>
      <c r="P918" s="93">
        <f t="shared" si="251"/>
        <v>-6.0715471989970959E-2</v>
      </c>
      <c r="Q918" s="96"/>
      <c r="R918" s="96"/>
      <c r="T918" s="90">
        <f t="shared" si="245"/>
        <v>95</v>
      </c>
      <c r="U918" s="89">
        <f t="shared" si="246"/>
        <v>103.31428490526316</v>
      </c>
      <c r="V918" s="89">
        <f t="shared" si="247"/>
        <v>105.78351600000001</v>
      </c>
      <c r="W918" s="90">
        <f t="shared" si="252"/>
        <v>10049.434020000001</v>
      </c>
      <c r="X918" s="93">
        <f t="shared" si="248"/>
        <v>2.3900190539972943E-2</v>
      </c>
      <c r="AB918" s="89">
        <f t="shared" si="237"/>
        <v>195</v>
      </c>
      <c r="AC918" s="89">
        <f t="shared" si="238"/>
        <v>51.179276000000002</v>
      </c>
      <c r="AD918" s="89">
        <f t="shared" si="239"/>
        <v>105.78351600000001</v>
      </c>
      <c r="AE918" s="89">
        <f t="shared" si="240"/>
        <v>20627.785620000002</v>
      </c>
      <c r="AF918" s="90">
        <f t="shared" si="243"/>
        <v>10647.826800000001</v>
      </c>
      <c r="AG918" s="93">
        <f t="shared" si="244"/>
        <v>1.0669209154111519</v>
      </c>
      <c r="AK918" s="90">
        <f t="shared" si="241"/>
        <v>142</v>
      </c>
      <c r="AL918" s="89">
        <f t="shared" si="242"/>
        <v>68.865979063380294</v>
      </c>
      <c r="AM918" s="89">
        <f t="shared" si="234"/>
        <v>105.78351600000001</v>
      </c>
      <c r="AN918" s="90">
        <f t="shared" si="235"/>
        <v>15021.259272000001</v>
      </c>
      <c r="AO918" s="93">
        <f t="shared" si="236"/>
        <v>0.53607800889090584</v>
      </c>
    </row>
    <row r="919" spans="2:41" x14ac:dyDescent="0.25">
      <c r="B919" s="91">
        <v>40682</v>
      </c>
      <c r="C919" s="89">
        <v>134.800003</v>
      </c>
      <c r="D919" s="89">
        <v>135.029999</v>
      </c>
      <c r="E919" s="89">
        <v>133.94000199999999</v>
      </c>
      <c r="F919" s="89">
        <v>134.679993</v>
      </c>
      <c r="G919" s="89">
        <v>106.03546900000001</v>
      </c>
      <c r="H919" s="89">
        <v>119489500</v>
      </c>
      <c r="J919" s="89">
        <v>0</v>
      </c>
      <c r="K919" s="89">
        <f t="shared" si="253"/>
        <v>88</v>
      </c>
      <c r="L919" s="89">
        <f t="shared" si="254"/>
        <v>112.621376</v>
      </c>
      <c r="M919" s="89">
        <f>+SPY__2[[#This Row],[Adj Close]]</f>
        <v>106.03546900000001</v>
      </c>
      <c r="N919" s="89">
        <f t="shared" si="249"/>
        <v>9331.1212720000003</v>
      </c>
      <c r="O919" s="90">
        <f t="shared" si="250"/>
        <v>-579.55981599999927</v>
      </c>
      <c r="P919" s="93">
        <f t="shared" si="251"/>
        <v>-5.8478303443921575E-2</v>
      </c>
      <c r="Q919" s="96"/>
      <c r="R919" s="96"/>
      <c r="T919" s="90">
        <f t="shared" si="245"/>
        <v>95</v>
      </c>
      <c r="U919" s="89">
        <f t="shared" si="246"/>
        <v>103.31428490526316</v>
      </c>
      <c r="V919" s="89">
        <f t="shared" si="247"/>
        <v>106.03546900000001</v>
      </c>
      <c r="W919" s="90">
        <f t="shared" si="252"/>
        <v>10073.369555000001</v>
      </c>
      <c r="X919" s="93">
        <f t="shared" si="248"/>
        <v>2.6338894928538803E-2</v>
      </c>
      <c r="AB919" s="89">
        <f t="shared" si="237"/>
        <v>195</v>
      </c>
      <c r="AC919" s="89">
        <f t="shared" si="238"/>
        <v>51.179276000000002</v>
      </c>
      <c r="AD919" s="89">
        <f t="shared" si="239"/>
        <v>106.03546900000001</v>
      </c>
      <c r="AE919" s="89">
        <f t="shared" si="240"/>
        <v>20676.916455000002</v>
      </c>
      <c r="AF919" s="90">
        <f t="shared" si="243"/>
        <v>10696.957635000001</v>
      </c>
      <c r="AG919" s="93">
        <f t="shared" si="244"/>
        <v>1.0718438650832027</v>
      </c>
      <c r="AK919" s="90">
        <f t="shared" si="241"/>
        <v>142</v>
      </c>
      <c r="AL919" s="89">
        <f t="shared" si="242"/>
        <v>68.865979063380294</v>
      </c>
      <c r="AM919" s="89">
        <f t="shared" si="234"/>
        <v>106.03546900000001</v>
      </c>
      <c r="AN919" s="90">
        <f t="shared" si="235"/>
        <v>15057.036598000001</v>
      </c>
      <c r="AO919" s="93">
        <f t="shared" si="236"/>
        <v>0.5397366078598993</v>
      </c>
    </row>
    <row r="920" spans="2:41" x14ac:dyDescent="0.25">
      <c r="B920" s="91">
        <v>40683</v>
      </c>
      <c r="C920" s="89">
        <v>134.33000200000001</v>
      </c>
      <c r="D920" s="89">
        <v>134.679993</v>
      </c>
      <c r="E920" s="89">
        <v>133.36000100000001</v>
      </c>
      <c r="F920" s="89">
        <v>133.61000100000001</v>
      </c>
      <c r="G920" s="89">
        <v>105.193062</v>
      </c>
      <c r="H920" s="89">
        <v>182594900</v>
      </c>
      <c r="J920" s="89">
        <v>0</v>
      </c>
      <c r="K920" s="89">
        <f t="shared" si="253"/>
        <v>88</v>
      </c>
      <c r="L920" s="89">
        <f t="shared" si="254"/>
        <v>112.621376</v>
      </c>
      <c r="M920" s="89">
        <f>+SPY__2[[#This Row],[Adj Close]]</f>
        <v>105.193062</v>
      </c>
      <c r="N920" s="89">
        <f t="shared" si="249"/>
        <v>9256.9894559999993</v>
      </c>
      <c r="O920" s="90">
        <f t="shared" si="250"/>
        <v>-653.69163200000003</v>
      </c>
      <c r="P920" s="93">
        <f t="shared" si="251"/>
        <v>-6.5958295519315979E-2</v>
      </c>
      <c r="Q920" s="96"/>
      <c r="R920" s="96"/>
      <c r="T920" s="90">
        <f t="shared" si="245"/>
        <v>95</v>
      </c>
      <c r="U920" s="89">
        <f t="shared" si="246"/>
        <v>103.31428490526316</v>
      </c>
      <c r="V920" s="89">
        <f t="shared" si="247"/>
        <v>105.193062</v>
      </c>
      <c r="W920" s="90">
        <f t="shared" si="252"/>
        <v>9993.3408899999995</v>
      </c>
      <c r="X920" s="93">
        <f t="shared" si="248"/>
        <v>1.8185066048316711E-2</v>
      </c>
      <c r="AB920" s="89">
        <f t="shared" si="237"/>
        <v>195</v>
      </c>
      <c r="AC920" s="89">
        <f t="shared" si="238"/>
        <v>51.179276000000002</v>
      </c>
      <c r="AD920" s="89">
        <f t="shared" si="239"/>
        <v>105.193062</v>
      </c>
      <c r="AE920" s="89">
        <f t="shared" si="240"/>
        <v>20512.647089999999</v>
      </c>
      <c r="AF920" s="90">
        <f t="shared" si="243"/>
        <v>10532.688269999999</v>
      </c>
      <c r="AG920" s="93">
        <f t="shared" si="244"/>
        <v>1.0553839409529746</v>
      </c>
      <c r="AK920" s="90">
        <f t="shared" si="241"/>
        <v>142</v>
      </c>
      <c r="AL920" s="89">
        <f t="shared" si="242"/>
        <v>68.865979063380294</v>
      </c>
      <c r="AM920" s="89">
        <f t="shared" si="234"/>
        <v>105.193062</v>
      </c>
      <c r="AN920" s="90">
        <f t="shared" si="235"/>
        <v>14937.414804</v>
      </c>
      <c r="AO920" s="93">
        <f t="shared" si="236"/>
        <v>0.52750405106687515</v>
      </c>
    </row>
    <row r="921" spans="2:41" x14ac:dyDescent="0.25">
      <c r="B921" s="91">
        <v>40686</v>
      </c>
      <c r="C921" s="89">
        <v>131.979996</v>
      </c>
      <c r="D921" s="89">
        <v>132.720001</v>
      </c>
      <c r="E921" s="89">
        <v>131.58999600000001</v>
      </c>
      <c r="F921" s="89">
        <v>132.05999800000001</v>
      </c>
      <c r="G921" s="89">
        <v>103.972679</v>
      </c>
      <c r="H921" s="89">
        <v>168700000</v>
      </c>
      <c r="J921" s="89">
        <v>0</v>
      </c>
      <c r="K921" s="89">
        <f t="shared" si="253"/>
        <v>88</v>
      </c>
      <c r="L921" s="89">
        <f t="shared" si="254"/>
        <v>112.621376</v>
      </c>
      <c r="M921" s="89">
        <f>+SPY__2[[#This Row],[Adj Close]]</f>
        <v>103.972679</v>
      </c>
      <c r="N921" s="89">
        <f t="shared" si="249"/>
        <v>9149.5957519999993</v>
      </c>
      <c r="O921" s="90">
        <f t="shared" si="250"/>
        <v>-761.08533599999987</v>
      </c>
      <c r="P921" s="93">
        <f t="shared" si="251"/>
        <v>-7.6794453301653798E-2</v>
      </c>
      <c r="Q921" s="96"/>
      <c r="R921" s="96"/>
      <c r="T921" s="90">
        <f t="shared" si="245"/>
        <v>95</v>
      </c>
      <c r="U921" s="89">
        <f t="shared" si="246"/>
        <v>103.31428490526316</v>
      </c>
      <c r="V921" s="89">
        <f t="shared" si="247"/>
        <v>103.972679</v>
      </c>
      <c r="W921" s="90">
        <f t="shared" si="252"/>
        <v>9877.4045050000004</v>
      </c>
      <c r="X921" s="93">
        <f t="shared" si="248"/>
        <v>6.3727305022782677E-3</v>
      </c>
      <c r="AB921" s="89">
        <f t="shared" si="237"/>
        <v>195</v>
      </c>
      <c r="AC921" s="89">
        <f t="shared" si="238"/>
        <v>51.179276000000002</v>
      </c>
      <c r="AD921" s="89">
        <f t="shared" si="239"/>
        <v>103.972679</v>
      </c>
      <c r="AE921" s="89">
        <f t="shared" si="240"/>
        <v>20274.672405000001</v>
      </c>
      <c r="AF921" s="90">
        <f t="shared" si="243"/>
        <v>10294.713585</v>
      </c>
      <c r="AG921" s="93">
        <f t="shared" si="244"/>
        <v>1.0315386837437872</v>
      </c>
      <c r="AK921" s="90">
        <f t="shared" si="241"/>
        <v>142</v>
      </c>
      <c r="AL921" s="89">
        <f t="shared" si="242"/>
        <v>68.865979063380294</v>
      </c>
      <c r="AM921" s="89">
        <f t="shared" si="234"/>
        <v>103.972679</v>
      </c>
      <c r="AN921" s="90">
        <f t="shared" si="235"/>
        <v>14764.120418</v>
      </c>
      <c r="AO921" s="93">
        <f t="shared" si="236"/>
        <v>0.5097829205958071</v>
      </c>
    </row>
    <row r="922" spans="2:41" x14ac:dyDescent="0.25">
      <c r="B922" s="91">
        <v>40687</v>
      </c>
      <c r="C922" s="89">
        <v>132.44000199999999</v>
      </c>
      <c r="D922" s="89">
        <v>132.729996</v>
      </c>
      <c r="E922" s="89">
        <v>131.699997</v>
      </c>
      <c r="F922" s="89">
        <v>131.949997</v>
      </c>
      <c r="G922" s="89">
        <v>103.886101</v>
      </c>
      <c r="H922" s="89">
        <v>147199600</v>
      </c>
      <c r="J922" s="89">
        <v>0</v>
      </c>
      <c r="K922" s="89">
        <f t="shared" si="253"/>
        <v>88</v>
      </c>
      <c r="L922" s="89">
        <f t="shared" si="254"/>
        <v>112.621376</v>
      </c>
      <c r="M922" s="89">
        <f>+SPY__2[[#This Row],[Adj Close]]</f>
        <v>103.886101</v>
      </c>
      <c r="N922" s="89">
        <f t="shared" si="249"/>
        <v>9141.9768879999992</v>
      </c>
      <c r="O922" s="90">
        <f t="shared" si="250"/>
        <v>-768.70420000000013</v>
      </c>
      <c r="P922" s="93">
        <f t="shared" si="251"/>
        <v>-7.7563206118170691E-2</v>
      </c>
      <c r="Q922" s="96"/>
      <c r="R922" s="96"/>
      <c r="T922" s="90">
        <f t="shared" si="245"/>
        <v>95</v>
      </c>
      <c r="U922" s="89">
        <f t="shared" si="246"/>
        <v>103.31428490526316</v>
      </c>
      <c r="V922" s="89">
        <f t="shared" si="247"/>
        <v>103.886101</v>
      </c>
      <c r="W922" s="90">
        <f t="shared" si="252"/>
        <v>9869.1795949999996</v>
      </c>
      <c r="X922" s="93">
        <f t="shared" si="248"/>
        <v>5.5347244116452643E-3</v>
      </c>
      <c r="AB922" s="89">
        <f t="shared" si="237"/>
        <v>195</v>
      </c>
      <c r="AC922" s="89">
        <f t="shared" si="238"/>
        <v>51.179276000000002</v>
      </c>
      <c r="AD922" s="89">
        <f t="shared" si="239"/>
        <v>103.886101</v>
      </c>
      <c r="AE922" s="89">
        <f t="shared" si="240"/>
        <v>20257.789694999999</v>
      </c>
      <c r="AF922" s="90">
        <f t="shared" si="243"/>
        <v>10277.830875</v>
      </c>
      <c r="AG922" s="93">
        <f t="shared" si="244"/>
        <v>1.0298470224549483</v>
      </c>
      <c r="AK922" s="90">
        <f t="shared" si="241"/>
        <v>142</v>
      </c>
      <c r="AL922" s="89">
        <f t="shared" si="242"/>
        <v>68.865979063380294</v>
      </c>
      <c r="AM922" s="89">
        <f t="shared" si="234"/>
        <v>103.886101</v>
      </c>
      <c r="AN922" s="90">
        <f t="shared" si="235"/>
        <v>14751.826342</v>
      </c>
      <c r="AO922" s="93">
        <f t="shared" si="236"/>
        <v>0.50852572508101868</v>
      </c>
    </row>
    <row r="923" spans="2:41" x14ac:dyDescent="0.25">
      <c r="B923" s="91">
        <v>40688</v>
      </c>
      <c r="C923" s="89">
        <v>131.41999799999999</v>
      </c>
      <c r="D923" s="89">
        <v>132.94000199999999</v>
      </c>
      <c r="E923" s="89">
        <v>131.38000500000001</v>
      </c>
      <c r="F923" s="89">
        <v>132.38999899999999</v>
      </c>
      <c r="G923" s="89">
        <v>104.23247499999999</v>
      </c>
      <c r="H923" s="89">
        <v>151050100</v>
      </c>
      <c r="J923" s="89">
        <v>0</v>
      </c>
      <c r="K923" s="89">
        <f t="shared" si="253"/>
        <v>88</v>
      </c>
      <c r="L923" s="89">
        <f t="shared" si="254"/>
        <v>112.621376</v>
      </c>
      <c r="M923" s="89">
        <f>+SPY__2[[#This Row],[Adj Close]]</f>
        <v>104.23247499999999</v>
      </c>
      <c r="N923" s="89">
        <f t="shared" si="249"/>
        <v>9172.4578000000001</v>
      </c>
      <c r="O923" s="90">
        <f t="shared" si="250"/>
        <v>-738.22328800000037</v>
      </c>
      <c r="P923" s="93">
        <f t="shared" si="251"/>
        <v>-7.4487644334944036E-2</v>
      </c>
      <c r="Q923" s="96"/>
      <c r="R923" s="96"/>
      <c r="T923" s="90">
        <f t="shared" si="245"/>
        <v>95</v>
      </c>
      <c r="U923" s="89">
        <f t="shared" si="246"/>
        <v>103.31428490526316</v>
      </c>
      <c r="V923" s="89">
        <f t="shared" si="247"/>
        <v>104.23247499999999</v>
      </c>
      <c r="W923" s="90">
        <f t="shared" si="252"/>
        <v>9902.0851249999996</v>
      </c>
      <c r="X923" s="93">
        <f t="shared" si="248"/>
        <v>8.8873488848013604E-3</v>
      </c>
      <c r="AB923" s="89">
        <f t="shared" si="237"/>
        <v>195</v>
      </c>
      <c r="AC923" s="89">
        <f t="shared" si="238"/>
        <v>51.179276000000002</v>
      </c>
      <c r="AD923" s="89">
        <f t="shared" si="239"/>
        <v>104.23247499999999</v>
      </c>
      <c r="AE923" s="89">
        <f t="shared" si="240"/>
        <v>20325.332624999999</v>
      </c>
      <c r="AF923" s="90">
        <f t="shared" si="243"/>
        <v>10345.373804999999</v>
      </c>
      <c r="AG923" s="93">
        <f t="shared" si="244"/>
        <v>1.0366148790381482</v>
      </c>
      <c r="AK923" s="90">
        <f t="shared" si="241"/>
        <v>142</v>
      </c>
      <c r="AL923" s="89">
        <f t="shared" si="242"/>
        <v>68.865979063380294</v>
      </c>
      <c r="AM923" s="89">
        <f t="shared" si="234"/>
        <v>104.23247499999999</v>
      </c>
      <c r="AN923" s="90">
        <f t="shared" si="235"/>
        <v>14801.01145</v>
      </c>
      <c r="AO923" s="93">
        <f t="shared" si="236"/>
        <v>0.51355540743957806</v>
      </c>
    </row>
    <row r="924" spans="2:41" x14ac:dyDescent="0.25">
      <c r="B924" s="91">
        <v>40689</v>
      </c>
      <c r="C924" s="89">
        <v>132.029999</v>
      </c>
      <c r="D924" s="89">
        <v>133.240005</v>
      </c>
      <c r="E924" s="89">
        <v>131.779999</v>
      </c>
      <c r="F924" s="89">
        <v>133</v>
      </c>
      <c r="G924" s="89">
        <v>104.71275300000001</v>
      </c>
      <c r="H924" s="89">
        <v>164850000</v>
      </c>
      <c r="J924" s="89">
        <v>0</v>
      </c>
      <c r="K924" s="89">
        <f t="shared" si="253"/>
        <v>88</v>
      </c>
      <c r="L924" s="89">
        <f t="shared" si="254"/>
        <v>112.621376</v>
      </c>
      <c r="M924" s="89">
        <f>+SPY__2[[#This Row],[Adj Close]]</f>
        <v>104.71275300000001</v>
      </c>
      <c r="N924" s="89">
        <f t="shared" si="249"/>
        <v>9214.722264</v>
      </c>
      <c r="O924" s="90">
        <f t="shared" si="250"/>
        <v>-695.95882399999925</v>
      </c>
      <c r="P924" s="93">
        <f t="shared" si="251"/>
        <v>-7.0223107556419806E-2</v>
      </c>
      <c r="Q924" s="96"/>
      <c r="R924" s="96"/>
      <c r="T924" s="90">
        <f t="shared" si="245"/>
        <v>95</v>
      </c>
      <c r="U924" s="89">
        <f t="shared" si="246"/>
        <v>103.31428490526316</v>
      </c>
      <c r="V924" s="89">
        <f t="shared" si="247"/>
        <v>104.71275300000001</v>
      </c>
      <c r="W924" s="90">
        <f t="shared" si="252"/>
        <v>9947.7115350000004</v>
      </c>
      <c r="X924" s="93">
        <f t="shared" si="248"/>
        <v>1.3536057438903182E-2</v>
      </c>
      <c r="AB924" s="89">
        <f t="shared" si="237"/>
        <v>195</v>
      </c>
      <c r="AC924" s="89">
        <f t="shared" si="238"/>
        <v>51.179276000000002</v>
      </c>
      <c r="AD924" s="89">
        <f t="shared" si="239"/>
        <v>104.71275300000001</v>
      </c>
      <c r="AE924" s="89">
        <f t="shared" si="240"/>
        <v>20418.986835</v>
      </c>
      <c r="AF924" s="90">
        <f t="shared" si="243"/>
        <v>10439.028015000002</v>
      </c>
      <c r="AG924" s="93">
        <f t="shared" si="244"/>
        <v>1.0459991071386003</v>
      </c>
      <c r="AK924" s="90">
        <f t="shared" si="241"/>
        <v>142</v>
      </c>
      <c r="AL924" s="89">
        <f t="shared" si="242"/>
        <v>68.865979063380294</v>
      </c>
      <c r="AM924" s="89">
        <f t="shared" si="234"/>
        <v>104.71275300000001</v>
      </c>
      <c r="AN924" s="90">
        <f t="shared" si="235"/>
        <v>14869.210926000002</v>
      </c>
      <c r="AO924" s="93">
        <f t="shared" si="236"/>
        <v>0.52052950417837529</v>
      </c>
    </row>
    <row r="925" spans="2:41" x14ac:dyDescent="0.25">
      <c r="B925" s="91">
        <v>40690</v>
      </c>
      <c r="C925" s="89">
        <v>133.36999499999999</v>
      </c>
      <c r="D925" s="89">
        <v>133.86999499999999</v>
      </c>
      <c r="E925" s="89">
        <v>132.96000699999999</v>
      </c>
      <c r="F925" s="89">
        <v>133.509995</v>
      </c>
      <c r="G925" s="89">
        <v>105.11432600000001</v>
      </c>
      <c r="H925" s="89">
        <v>120921900</v>
      </c>
      <c r="J925" s="89">
        <v>0</v>
      </c>
      <c r="K925" s="89">
        <f t="shared" si="253"/>
        <v>88</v>
      </c>
      <c r="L925" s="89">
        <f t="shared" si="254"/>
        <v>112.621376</v>
      </c>
      <c r="M925" s="89">
        <f>+SPY__2[[#This Row],[Adj Close]]</f>
        <v>105.11432600000001</v>
      </c>
      <c r="N925" s="89">
        <f t="shared" si="249"/>
        <v>9250.0606880000014</v>
      </c>
      <c r="O925" s="90">
        <f t="shared" si="250"/>
        <v>-660.62039999999934</v>
      </c>
      <c r="P925" s="93">
        <f t="shared" si="251"/>
        <v>-6.6657416794481339E-2</v>
      </c>
      <c r="Q925" s="96"/>
      <c r="R925" s="96"/>
      <c r="T925" s="90">
        <f t="shared" si="245"/>
        <v>95</v>
      </c>
      <c r="U925" s="89">
        <f t="shared" si="246"/>
        <v>103.31428490526316</v>
      </c>
      <c r="V925" s="89">
        <f t="shared" si="247"/>
        <v>105.11432600000001</v>
      </c>
      <c r="W925" s="90">
        <f t="shared" si="252"/>
        <v>9985.8609699999997</v>
      </c>
      <c r="X925" s="93">
        <f t="shared" si="248"/>
        <v>1.7422964272437502E-2</v>
      </c>
      <c r="AB925" s="89">
        <f t="shared" si="237"/>
        <v>195</v>
      </c>
      <c r="AC925" s="89">
        <f t="shared" si="238"/>
        <v>51.179276000000002</v>
      </c>
      <c r="AD925" s="89">
        <f t="shared" si="239"/>
        <v>105.11432600000001</v>
      </c>
      <c r="AE925" s="89">
        <f t="shared" si="240"/>
        <v>20497.293570000002</v>
      </c>
      <c r="AF925" s="90">
        <f t="shared" si="243"/>
        <v>10517.33475</v>
      </c>
      <c r="AG925" s="93">
        <f t="shared" si="244"/>
        <v>1.0538455057472871</v>
      </c>
      <c r="AK925" s="90">
        <f t="shared" si="241"/>
        <v>142</v>
      </c>
      <c r="AL925" s="89">
        <f t="shared" si="242"/>
        <v>68.865979063380294</v>
      </c>
      <c r="AM925" s="89">
        <f t="shared" si="234"/>
        <v>105.11432600000001</v>
      </c>
      <c r="AN925" s="90">
        <f t="shared" si="235"/>
        <v>14926.234292000001</v>
      </c>
      <c r="AO925" s="93">
        <f t="shared" si="236"/>
        <v>0.52636072890590602</v>
      </c>
    </row>
    <row r="926" spans="2:41" x14ac:dyDescent="0.25">
      <c r="B926" s="91">
        <v>40694</v>
      </c>
      <c r="C926" s="89">
        <v>134.770004</v>
      </c>
      <c r="D926" s="89">
        <v>134.91999799999999</v>
      </c>
      <c r="E926" s="89">
        <v>133.83999600000001</v>
      </c>
      <c r="F926" s="89">
        <v>134.89999399999999</v>
      </c>
      <c r="G926" s="89">
        <v>106.20863300000001</v>
      </c>
      <c r="H926" s="89">
        <v>164731200</v>
      </c>
      <c r="J926" s="89">
        <v>0</v>
      </c>
      <c r="K926" s="89">
        <f t="shared" si="253"/>
        <v>88</v>
      </c>
      <c r="L926" s="89">
        <f t="shared" si="254"/>
        <v>112.621376</v>
      </c>
      <c r="M926" s="89">
        <f>+SPY__2[[#This Row],[Adj Close]]</f>
        <v>106.20863300000001</v>
      </c>
      <c r="N926" s="89">
        <f t="shared" si="249"/>
        <v>9346.3597040000004</v>
      </c>
      <c r="O926" s="90">
        <f t="shared" si="250"/>
        <v>-564.32138399999928</v>
      </c>
      <c r="P926" s="93">
        <f t="shared" si="251"/>
        <v>-5.6940726776415818E-2</v>
      </c>
      <c r="Q926" s="96"/>
      <c r="R926" s="96"/>
      <c r="T926" s="90">
        <f t="shared" si="245"/>
        <v>95</v>
      </c>
      <c r="U926" s="89">
        <f t="shared" si="246"/>
        <v>103.31428490526316</v>
      </c>
      <c r="V926" s="89">
        <f t="shared" si="247"/>
        <v>106.20863300000001</v>
      </c>
      <c r="W926" s="90">
        <f t="shared" si="252"/>
        <v>10089.820135</v>
      </c>
      <c r="X926" s="93">
        <f t="shared" si="248"/>
        <v>2.801498454343343E-2</v>
      </c>
      <c r="AB926" s="89">
        <f t="shared" si="237"/>
        <v>195</v>
      </c>
      <c r="AC926" s="89">
        <f t="shared" si="238"/>
        <v>51.179276000000002</v>
      </c>
      <c r="AD926" s="89">
        <f t="shared" si="239"/>
        <v>106.20863300000001</v>
      </c>
      <c r="AE926" s="89">
        <f t="shared" si="240"/>
        <v>20710.683435000003</v>
      </c>
      <c r="AF926" s="90">
        <f t="shared" si="243"/>
        <v>10730.724615000001</v>
      </c>
      <c r="AG926" s="93">
        <f t="shared" si="244"/>
        <v>1.0752273439741509</v>
      </c>
      <c r="AK926" s="90">
        <f t="shared" si="241"/>
        <v>142</v>
      </c>
      <c r="AL926" s="89">
        <f t="shared" si="242"/>
        <v>68.865979063380294</v>
      </c>
      <c r="AM926" s="89">
        <f t="shared" si="234"/>
        <v>106.20863300000001</v>
      </c>
      <c r="AN926" s="90">
        <f t="shared" si="235"/>
        <v>15081.625886000002</v>
      </c>
      <c r="AO926" s="93">
        <f t="shared" si="236"/>
        <v>0.54225111505714141</v>
      </c>
    </row>
    <row r="927" spans="2:41" x14ac:dyDescent="0.25">
      <c r="B927" s="91">
        <v>40695</v>
      </c>
      <c r="C927" s="89">
        <v>134.509995</v>
      </c>
      <c r="D927" s="89">
        <v>134.91999799999999</v>
      </c>
      <c r="E927" s="89">
        <v>131.759995</v>
      </c>
      <c r="F927" s="89">
        <v>131.86999499999999</v>
      </c>
      <c r="G927" s="89">
        <v>103.82311199999999</v>
      </c>
      <c r="H927" s="89">
        <v>233094300</v>
      </c>
      <c r="J927" s="89">
        <v>0</v>
      </c>
      <c r="K927" s="89">
        <f t="shared" si="253"/>
        <v>88</v>
      </c>
      <c r="L927" s="89">
        <f t="shared" si="254"/>
        <v>112.621376</v>
      </c>
      <c r="M927" s="89">
        <f>+SPY__2[[#This Row],[Adj Close]]</f>
        <v>103.82311199999999</v>
      </c>
      <c r="N927" s="89">
        <f t="shared" si="249"/>
        <v>9136.4338559999997</v>
      </c>
      <c r="O927" s="90">
        <f t="shared" si="250"/>
        <v>-774.24723200000028</v>
      </c>
      <c r="P927" s="93">
        <f t="shared" si="251"/>
        <v>-7.8122504914164836E-2</v>
      </c>
      <c r="Q927" s="96"/>
      <c r="R927" s="96"/>
      <c r="T927" s="90">
        <f t="shared" si="245"/>
        <v>95</v>
      </c>
      <c r="U927" s="89">
        <f t="shared" si="246"/>
        <v>103.31428490526316</v>
      </c>
      <c r="V927" s="89">
        <f t="shared" si="247"/>
        <v>103.82311199999999</v>
      </c>
      <c r="W927" s="90">
        <f t="shared" si="252"/>
        <v>9863.1956399999999</v>
      </c>
      <c r="X927" s="93">
        <f t="shared" si="248"/>
        <v>4.9250410551011647E-3</v>
      </c>
      <c r="AB927" s="89">
        <f t="shared" si="237"/>
        <v>195</v>
      </c>
      <c r="AC927" s="89">
        <f t="shared" si="238"/>
        <v>51.179276000000002</v>
      </c>
      <c r="AD927" s="89">
        <f t="shared" si="239"/>
        <v>103.82311199999999</v>
      </c>
      <c r="AE927" s="89">
        <f t="shared" si="240"/>
        <v>20245.506839999998</v>
      </c>
      <c r="AF927" s="90">
        <f t="shared" si="243"/>
        <v>10265.548019999998</v>
      </c>
      <c r="AG927" s="93">
        <f t="shared" si="244"/>
        <v>1.0286162703825665</v>
      </c>
      <c r="AK927" s="90">
        <f t="shared" si="241"/>
        <v>142</v>
      </c>
      <c r="AL927" s="89">
        <f t="shared" si="242"/>
        <v>68.865979063380294</v>
      </c>
      <c r="AM927" s="89">
        <f t="shared" si="234"/>
        <v>103.82311199999999</v>
      </c>
      <c r="AN927" s="90">
        <f t="shared" si="235"/>
        <v>14742.881904</v>
      </c>
      <c r="AO927" s="93">
        <f t="shared" si="236"/>
        <v>0.5076110644480516</v>
      </c>
    </row>
    <row r="928" spans="2:41" x14ac:dyDescent="0.25">
      <c r="B928" s="91">
        <v>40696</v>
      </c>
      <c r="C928" s="89">
        <v>131.96000699999999</v>
      </c>
      <c r="D928" s="89">
        <v>132.240005</v>
      </c>
      <c r="E928" s="89">
        <v>130.96000699999999</v>
      </c>
      <c r="F928" s="89">
        <v>131.729996</v>
      </c>
      <c r="G928" s="89">
        <v>103.712906</v>
      </c>
      <c r="H928" s="89">
        <v>200466800</v>
      </c>
      <c r="J928" s="89">
        <v>0</v>
      </c>
      <c r="K928" s="89">
        <f t="shared" si="253"/>
        <v>88</v>
      </c>
      <c r="L928" s="89">
        <f t="shared" si="254"/>
        <v>112.621376</v>
      </c>
      <c r="M928" s="89">
        <f>+SPY__2[[#This Row],[Adj Close]]</f>
        <v>103.712906</v>
      </c>
      <c r="N928" s="89">
        <f t="shared" si="249"/>
        <v>9126.7357279999997</v>
      </c>
      <c r="O928" s="90">
        <f t="shared" si="250"/>
        <v>-783.94535999999948</v>
      </c>
      <c r="P928" s="93">
        <f t="shared" si="251"/>
        <v>-7.9101058044256156E-2</v>
      </c>
      <c r="Q928" s="96"/>
      <c r="R928" s="96"/>
      <c r="T928" s="90">
        <f t="shared" si="245"/>
        <v>95</v>
      </c>
      <c r="U928" s="89">
        <f t="shared" si="246"/>
        <v>103.31428490526316</v>
      </c>
      <c r="V928" s="89">
        <f t="shared" si="247"/>
        <v>103.712906</v>
      </c>
      <c r="W928" s="90">
        <f t="shared" si="252"/>
        <v>9852.7260700000006</v>
      </c>
      <c r="X928" s="93">
        <f t="shared" si="248"/>
        <v>3.858334741438485E-3</v>
      </c>
      <c r="AB928" s="89">
        <f t="shared" si="237"/>
        <v>195</v>
      </c>
      <c r="AC928" s="89">
        <f t="shared" si="238"/>
        <v>51.179276000000002</v>
      </c>
      <c r="AD928" s="89">
        <f t="shared" si="239"/>
        <v>103.712906</v>
      </c>
      <c r="AE928" s="89">
        <f t="shared" si="240"/>
        <v>20224.016670000001</v>
      </c>
      <c r="AF928" s="90">
        <f t="shared" si="243"/>
        <v>10244.057850000001</v>
      </c>
      <c r="AG928" s="93">
        <f t="shared" si="244"/>
        <v>1.026462937850078</v>
      </c>
      <c r="AK928" s="90">
        <f t="shared" si="241"/>
        <v>142</v>
      </c>
      <c r="AL928" s="89">
        <f t="shared" si="242"/>
        <v>68.865979063380294</v>
      </c>
      <c r="AM928" s="89">
        <f t="shared" si="234"/>
        <v>103.712906</v>
      </c>
      <c r="AN928" s="90">
        <f t="shared" si="235"/>
        <v>14727.232652000001</v>
      </c>
      <c r="AO928" s="93">
        <f t="shared" si="236"/>
        <v>0.50601076773407394</v>
      </c>
    </row>
    <row r="929" spans="2:41" x14ac:dyDescent="0.25">
      <c r="B929" s="91">
        <v>40697</v>
      </c>
      <c r="C929" s="89">
        <v>130.14999399999999</v>
      </c>
      <c r="D929" s="89">
        <v>131.41999799999999</v>
      </c>
      <c r="E929" s="89">
        <v>130.08000200000001</v>
      </c>
      <c r="F929" s="89">
        <v>130.41999799999999</v>
      </c>
      <c r="G929" s="89">
        <v>102.681511</v>
      </c>
      <c r="H929" s="89">
        <v>234690200</v>
      </c>
      <c r="J929" s="89">
        <v>0</v>
      </c>
      <c r="K929" s="89">
        <f t="shared" si="253"/>
        <v>88</v>
      </c>
      <c r="L929" s="89">
        <f t="shared" si="254"/>
        <v>112.621376</v>
      </c>
      <c r="M929" s="89">
        <f>+SPY__2[[#This Row],[Adj Close]]</f>
        <v>102.681511</v>
      </c>
      <c r="N929" s="89">
        <f t="shared" si="249"/>
        <v>9035.972968</v>
      </c>
      <c r="O929" s="90">
        <f t="shared" si="250"/>
        <v>-874.70811999999978</v>
      </c>
      <c r="P929" s="93">
        <f t="shared" si="251"/>
        <v>-8.8259132973122267E-2</v>
      </c>
      <c r="Q929" s="96"/>
      <c r="R929" s="96"/>
      <c r="T929" s="90">
        <f t="shared" si="245"/>
        <v>95</v>
      </c>
      <c r="U929" s="89">
        <f t="shared" si="246"/>
        <v>103.31428490526316</v>
      </c>
      <c r="V929" s="89">
        <f t="shared" si="247"/>
        <v>102.681511</v>
      </c>
      <c r="W929" s="90">
        <f t="shared" si="252"/>
        <v>9754.7435449999994</v>
      </c>
      <c r="X929" s="93">
        <f t="shared" si="248"/>
        <v>-6.1247474716918937E-3</v>
      </c>
      <c r="AB929" s="89">
        <f t="shared" si="237"/>
        <v>195</v>
      </c>
      <c r="AC929" s="89">
        <f t="shared" si="238"/>
        <v>51.179276000000002</v>
      </c>
      <c r="AD929" s="89">
        <f t="shared" si="239"/>
        <v>102.681511</v>
      </c>
      <c r="AE929" s="89">
        <f t="shared" si="240"/>
        <v>20022.894645</v>
      </c>
      <c r="AF929" s="90">
        <f t="shared" si="243"/>
        <v>10042.935825</v>
      </c>
      <c r="AG929" s="93">
        <f t="shared" si="244"/>
        <v>1.0063103471803703</v>
      </c>
      <c r="AK929" s="90">
        <f t="shared" si="241"/>
        <v>142</v>
      </c>
      <c r="AL929" s="89">
        <f t="shared" si="242"/>
        <v>68.865979063380294</v>
      </c>
      <c r="AM929" s="89">
        <f t="shared" si="234"/>
        <v>102.681511</v>
      </c>
      <c r="AN929" s="90">
        <f t="shared" si="235"/>
        <v>14580.774562000001</v>
      </c>
      <c r="AO929" s="93">
        <f t="shared" si="236"/>
        <v>0.49103392410202784</v>
      </c>
    </row>
    <row r="930" spans="2:41" x14ac:dyDescent="0.25">
      <c r="B930" s="91">
        <v>40700</v>
      </c>
      <c r="C930" s="89">
        <v>130.08999600000001</v>
      </c>
      <c r="D930" s="89">
        <v>130.36000100000001</v>
      </c>
      <c r="E930" s="89">
        <v>128.86999499999999</v>
      </c>
      <c r="F930" s="89">
        <v>129.03999300000001</v>
      </c>
      <c r="G930" s="89">
        <v>101.595016</v>
      </c>
      <c r="H930" s="89">
        <v>179951200</v>
      </c>
      <c r="J930" s="89">
        <v>0</v>
      </c>
      <c r="K930" s="89">
        <f t="shared" si="253"/>
        <v>88</v>
      </c>
      <c r="L930" s="89">
        <f t="shared" si="254"/>
        <v>112.621376</v>
      </c>
      <c r="M930" s="89">
        <f>+SPY__2[[#This Row],[Adj Close]]</f>
        <v>101.595016</v>
      </c>
      <c r="N930" s="89">
        <f t="shared" si="249"/>
        <v>8940.3614080000007</v>
      </c>
      <c r="O930" s="90">
        <f t="shared" si="250"/>
        <v>-970.31967999999972</v>
      </c>
      <c r="P930" s="93">
        <f t="shared" si="251"/>
        <v>-9.7906457829106897E-2</v>
      </c>
      <c r="Q930" s="96"/>
      <c r="R930" s="96"/>
      <c r="T930" s="90">
        <f t="shared" si="245"/>
        <v>95</v>
      </c>
      <c r="U930" s="89">
        <f t="shared" si="246"/>
        <v>103.31428490526316</v>
      </c>
      <c r="V930" s="89">
        <f t="shared" si="247"/>
        <v>101.595016</v>
      </c>
      <c r="W930" s="90">
        <f t="shared" si="252"/>
        <v>9651.5265199999994</v>
      </c>
      <c r="X930" s="93">
        <f t="shared" si="248"/>
        <v>-1.664115380404263E-2</v>
      </c>
      <c r="AB930" s="89">
        <f t="shared" si="237"/>
        <v>195</v>
      </c>
      <c r="AC930" s="89">
        <f t="shared" si="238"/>
        <v>51.179276000000002</v>
      </c>
      <c r="AD930" s="89">
        <f t="shared" si="239"/>
        <v>101.595016</v>
      </c>
      <c r="AE930" s="89">
        <f t="shared" si="240"/>
        <v>19811.028119999999</v>
      </c>
      <c r="AF930" s="90">
        <f t="shared" si="243"/>
        <v>9831.0692999999992</v>
      </c>
      <c r="AG930" s="93">
        <f t="shared" si="244"/>
        <v>0.98508114886189468</v>
      </c>
      <c r="AK930" s="90">
        <f t="shared" si="241"/>
        <v>142</v>
      </c>
      <c r="AL930" s="89">
        <f t="shared" si="242"/>
        <v>68.865979063380294</v>
      </c>
      <c r="AM930" s="89">
        <f t="shared" si="234"/>
        <v>101.595016</v>
      </c>
      <c r="AN930" s="90">
        <f t="shared" si="235"/>
        <v>14426.492272</v>
      </c>
      <c r="AO930" s="93">
        <f t="shared" si="236"/>
        <v>0.47525697567586733</v>
      </c>
    </row>
    <row r="931" spans="2:41" x14ac:dyDescent="0.25">
      <c r="B931" s="91">
        <v>40701</v>
      </c>
      <c r="C931" s="89">
        <v>129.699997</v>
      </c>
      <c r="D931" s="89">
        <v>130.070007</v>
      </c>
      <c r="E931" s="89">
        <v>128.85000600000001</v>
      </c>
      <c r="F931" s="89">
        <v>128.96000699999999</v>
      </c>
      <c r="G931" s="89">
        <v>101.53203600000001</v>
      </c>
      <c r="H931" s="89">
        <v>161660500</v>
      </c>
      <c r="J931" s="89">
        <v>0</v>
      </c>
      <c r="K931" s="89">
        <f t="shared" si="253"/>
        <v>88</v>
      </c>
      <c r="L931" s="89">
        <f t="shared" si="254"/>
        <v>112.621376</v>
      </c>
      <c r="M931" s="89">
        <f>+SPY__2[[#This Row],[Adj Close]]</f>
        <v>101.53203600000001</v>
      </c>
      <c r="N931" s="89">
        <f t="shared" si="249"/>
        <v>8934.819168</v>
      </c>
      <c r="O931" s="90">
        <f t="shared" si="250"/>
        <v>-975.86191999999937</v>
      </c>
      <c r="P931" s="93">
        <f t="shared" si="251"/>
        <v>-9.8465676711319783E-2</v>
      </c>
      <c r="Q931" s="96"/>
      <c r="R931" s="96"/>
      <c r="T931" s="90">
        <f t="shared" si="245"/>
        <v>95</v>
      </c>
      <c r="U931" s="89">
        <f t="shared" si="246"/>
        <v>103.31428490526316</v>
      </c>
      <c r="V931" s="89">
        <f t="shared" si="247"/>
        <v>101.53203600000001</v>
      </c>
      <c r="W931" s="90">
        <f t="shared" si="252"/>
        <v>9645.54342</v>
      </c>
      <c r="X931" s="93">
        <f t="shared" si="248"/>
        <v>-1.7250750047754226E-2</v>
      </c>
      <c r="AB931" s="89">
        <f t="shared" si="237"/>
        <v>195</v>
      </c>
      <c r="AC931" s="89">
        <f t="shared" si="238"/>
        <v>51.179276000000002</v>
      </c>
      <c r="AD931" s="89">
        <f t="shared" si="239"/>
        <v>101.53203600000001</v>
      </c>
      <c r="AE931" s="89">
        <f t="shared" si="240"/>
        <v>19798.747020000003</v>
      </c>
      <c r="AF931" s="90">
        <f t="shared" si="243"/>
        <v>9818.7882000000009</v>
      </c>
      <c r="AG931" s="93">
        <f t="shared" si="244"/>
        <v>0.98385057264194198</v>
      </c>
      <c r="AK931" s="90">
        <f t="shared" si="241"/>
        <v>142</v>
      </c>
      <c r="AL931" s="89">
        <f t="shared" si="242"/>
        <v>68.865979063380294</v>
      </c>
      <c r="AM931" s="89">
        <f t="shared" si="234"/>
        <v>101.53203600000001</v>
      </c>
      <c r="AN931" s="90">
        <f t="shared" si="235"/>
        <v>14417.549112000001</v>
      </c>
      <c r="AO931" s="93">
        <f t="shared" si="236"/>
        <v>0.47434244573152373</v>
      </c>
    </row>
    <row r="932" spans="2:41" x14ac:dyDescent="0.25">
      <c r="B932" s="91">
        <v>40702</v>
      </c>
      <c r="C932" s="89">
        <v>128.759995</v>
      </c>
      <c r="D932" s="89">
        <v>129.19000199999999</v>
      </c>
      <c r="E932" s="89">
        <v>128.179993</v>
      </c>
      <c r="F932" s="89">
        <v>128.41999799999999</v>
      </c>
      <c r="G932" s="89">
        <v>101.10684999999999</v>
      </c>
      <c r="H932" s="89">
        <v>198696400</v>
      </c>
      <c r="J932" s="89">
        <v>0</v>
      </c>
      <c r="K932" s="89">
        <f t="shared" si="253"/>
        <v>88</v>
      </c>
      <c r="L932" s="89">
        <f t="shared" si="254"/>
        <v>112.621376</v>
      </c>
      <c r="M932" s="89">
        <f>+SPY__2[[#This Row],[Adj Close]]</f>
        <v>101.10684999999999</v>
      </c>
      <c r="N932" s="89">
        <f t="shared" si="249"/>
        <v>8897.4027999999998</v>
      </c>
      <c r="O932" s="90">
        <f t="shared" ref="O932:O963" si="255">+(M932-L932)*K932</f>
        <v>-1013.2782880000003</v>
      </c>
      <c r="P932" s="93">
        <f t="shared" si="251"/>
        <v>-0.10224103459719769</v>
      </c>
      <c r="Q932" s="96"/>
      <c r="R932" s="96"/>
      <c r="T932" s="90">
        <f t="shared" si="245"/>
        <v>95</v>
      </c>
      <c r="U932" s="89">
        <f t="shared" si="246"/>
        <v>103.31428490526316</v>
      </c>
      <c r="V932" s="89">
        <f t="shared" si="247"/>
        <v>101.10684999999999</v>
      </c>
      <c r="W932" s="90">
        <f t="shared" si="252"/>
        <v>9605.1507499999989</v>
      </c>
      <c r="X932" s="93">
        <f t="shared" si="248"/>
        <v>-2.1366211916264422E-2</v>
      </c>
      <c r="AB932" s="89">
        <f t="shared" si="237"/>
        <v>195</v>
      </c>
      <c r="AC932" s="89">
        <f t="shared" si="238"/>
        <v>51.179276000000002</v>
      </c>
      <c r="AD932" s="89">
        <f t="shared" si="239"/>
        <v>101.10684999999999</v>
      </c>
      <c r="AE932" s="89">
        <f t="shared" si="240"/>
        <v>19715.835749999998</v>
      </c>
      <c r="AF932" s="90">
        <f t="shared" si="243"/>
        <v>9735.8769299999985</v>
      </c>
      <c r="AG932" s="93">
        <f t="shared" si="244"/>
        <v>0.97554279587698733</v>
      </c>
      <c r="AK932" s="90">
        <f t="shared" si="241"/>
        <v>142</v>
      </c>
      <c r="AL932" s="89">
        <f t="shared" si="242"/>
        <v>68.865979063380294</v>
      </c>
      <c r="AM932" s="89">
        <f t="shared" si="234"/>
        <v>101.10684999999999</v>
      </c>
      <c r="AN932" s="90">
        <f t="shared" si="235"/>
        <v>14357.172699999999</v>
      </c>
      <c r="AO932" s="93">
        <f t="shared" si="236"/>
        <v>0.46816833761917565</v>
      </c>
    </row>
    <row r="933" spans="2:41" x14ac:dyDescent="0.25">
      <c r="B933" s="91">
        <v>40703</v>
      </c>
      <c r="C933" s="89">
        <v>128.770004</v>
      </c>
      <c r="D933" s="89">
        <v>129.929993</v>
      </c>
      <c r="E933" s="89">
        <v>128.46000699999999</v>
      </c>
      <c r="F933" s="89">
        <v>129.39999399999999</v>
      </c>
      <c r="G933" s="89">
        <v>101.878433</v>
      </c>
      <c r="H933" s="89">
        <v>160964400</v>
      </c>
      <c r="J933" s="89">
        <v>0</v>
      </c>
      <c r="K933" s="89">
        <f t="shared" si="253"/>
        <v>88</v>
      </c>
      <c r="L933" s="89">
        <f t="shared" si="254"/>
        <v>112.621376</v>
      </c>
      <c r="M933" s="89">
        <f>+SPY__2[[#This Row],[Adj Close]]</f>
        <v>101.878433</v>
      </c>
      <c r="N933" s="89">
        <f t="shared" si="249"/>
        <v>8965.3021040000003</v>
      </c>
      <c r="O933" s="90">
        <f t="shared" si="255"/>
        <v>-945.37898399999972</v>
      </c>
      <c r="P933" s="93">
        <f t="shared" si="251"/>
        <v>-9.5389910703985725E-2</v>
      </c>
      <c r="Q933" s="96"/>
      <c r="R933" s="96"/>
      <c r="T933" s="90">
        <f t="shared" si="245"/>
        <v>95</v>
      </c>
      <c r="U933" s="89">
        <f t="shared" si="246"/>
        <v>103.31428490526316</v>
      </c>
      <c r="V933" s="89">
        <f t="shared" si="247"/>
        <v>101.878433</v>
      </c>
      <c r="W933" s="90">
        <f t="shared" si="252"/>
        <v>9678.4511349999993</v>
      </c>
      <c r="X933" s="93">
        <f t="shared" si="248"/>
        <v>-1.3897902952915153E-2</v>
      </c>
      <c r="AB933" s="89">
        <f t="shared" si="237"/>
        <v>195</v>
      </c>
      <c r="AC933" s="89">
        <f t="shared" si="238"/>
        <v>51.179276000000002</v>
      </c>
      <c r="AD933" s="89">
        <f t="shared" si="239"/>
        <v>101.878433</v>
      </c>
      <c r="AE933" s="89">
        <f t="shared" si="240"/>
        <v>19866.294435</v>
      </c>
      <c r="AF933" s="90">
        <f t="shared" si="243"/>
        <v>9886.335615</v>
      </c>
      <c r="AG933" s="93">
        <f t="shared" si="244"/>
        <v>0.99061887862579368</v>
      </c>
      <c r="AK933" s="90">
        <f t="shared" si="241"/>
        <v>142</v>
      </c>
      <c r="AL933" s="89">
        <f t="shared" si="242"/>
        <v>68.865979063380294</v>
      </c>
      <c r="AM933" s="89">
        <f t="shared" si="234"/>
        <v>101.878433</v>
      </c>
      <c r="AN933" s="90">
        <f t="shared" si="235"/>
        <v>14466.737486</v>
      </c>
      <c r="AO933" s="93">
        <f t="shared" si="236"/>
        <v>0.47937246207212048</v>
      </c>
    </row>
    <row r="934" spans="2:41" x14ac:dyDescent="0.25">
      <c r="B934" s="91">
        <v>40704</v>
      </c>
      <c r="C934" s="89">
        <v>128.85000600000001</v>
      </c>
      <c r="D934" s="89">
        <v>128.929993</v>
      </c>
      <c r="E934" s="89">
        <v>127.260002</v>
      </c>
      <c r="F934" s="89">
        <v>127.599998</v>
      </c>
      <c r="G934" s="89">
        <v>100.46127300000001</v>
      </c>
      <c r="H934" s="89">
        <v>238629400</v>
      </c>
      <c r="J934" s="89">
        <v>0</v>
      </c>
      <c r="K934" s="89">
        <f t="shared" si="253"/>
        <v>88</v>
      </c>
      <c r="L934" s="89">
        <f t="shared" si="254"/>
        <v>112.621376</v>
      </c>
      <c r="M934" s="89">
        <f>+SPY__2[[#This Row],[Adj Close]]</f>
        <v>100.46127300000001</v>
      </c>
      <c r="N934" s="89">
        <f t="shared" si="249"/>
        <v>8840.5920240000014</v>
      </c>
      <c r="O934" s="90">
        <f t="shared" si="255"/>
        <v>-1070.0890639999993</v>
      </c>
      <c r="P934" s="93">
        <f t="shared" si="251"/>
        <v>-0.10797331227776863</v>
      </c>
      <c r="Q934" s="96"/>
      <c r="R934" s="96"/>
      <c r="T934" s="90">
        <f t="shared" si="245"/>
        <v>95</v>
      </c>
      <c r="U934" s="89">
        <f t="shared" si="246"/>
        <v>103.31428490526316</v>
      </c>
      <c r="V934" s="89">
        <f t="shared" si="247"/>
        <v>100.46127300000001</v>
      </c>
      <c r="W934" s="90">
        <f t="shared" si="252"/>
        <v>9543.8209349999997</v>
      </c>
      <c r="X934" s="93">
        <f t="shared" si="248"/>
        <v>-2.7614883148824099E-2</v>
      </c>
      <c r="AB934" s="89">
        <f t="shared" si="237"/>
        <v>195</v>
      </c>
      <c r="AC934" s="89">
        <f t="shared" si="238"/>
        <v>51.179276000000002</v>
      </c>
      <c r="AD934" s="89">
        <f t="shared" si="239"/>
        <v>100.46127300000001</v>
      </c>
      <c r="AE934" s="89">
        <f t="shared" si="240"/>
        <v>19589.948235</v>
      </c>
      <c r="AF934" s="90">
        <f t="shared" si="243"/>
        <v>9609.989415</v>
      </c>
      <c r="AG934" s="93">
        <f t="shared" si="244"/>
        <v>0.96292876436939046</v>
      </c>
      <c r="AK934" s="90">
        <f t="shared" si="241"/>
        <v>142</v>
      </c>
      <c r="AL934" s="89">
        <f t="shared" si="242"/>
        <v>68.865979063380294</v>
      </c>
      <c r="AM934" s="89">
        <f t="shared" si="234"/>
        <v>100.46127300000001</v>
      </c>
      <c r="AN934" s="90">
        <f t="shared" si="235"/>
        <v>14265.500766000001</v>
      </c>
      <c r="AO934" s="93">
        <f t="shared" si="236"/>
        <v>0.45879394101899318</v>
      </c>
    </row>
    <row r="935" spans="2:41" x14ac:dyDescent="0.25">
      <c r="B935" s="91">
        <v>40707</v>
      </c>
      <c r="C935" s="89">
        <v>127.889999</v>
      </c>
      <c r="D935" s="89">
        <v>128.240005</v>
      </c>
      <c r="E935" s="89">
        <v>127.050003</v>
      </c>
      <c r="F935" s="89">
        <v>127.699997</v>
      </c>
      <c r="G935" s="89">
        <v>100.540009</v>
      </c>
      <c r="H935" s="89">
        <v>207599800</v>
      </c>
      <c r="J935" s="89">
        <v>0</v>
      </c>
      <c r="K935" s="89">
        <f t="shared" si="253"/>
        <v>88</v>
      </c>
      <c r="L935" s="89">
        <f t="shared" si="254"/>
        <v>112.621376</v>
      </c>
      <c r="M935" s="89">
        <f>+SPY__2[[#This Row],[Adj Close]]</f>
        <v>100.540009</v>
      </c>
      <c r="N935" s="89">
        <f t="shared" si="249"/>
        <v>8847.5207919999993</v>
      </c>
      <c r="O935" s="90">
        <f t="shared" si="255"/>
        <v>-1063.160296</v>
      </c>
      <c r="P935" s="93">
        <f t="shared" si="251"/>
        <v>-0.10727419100260327</v>
      </c>
      <c r="Q935" s="96"/>
      <c r="R935" s="96"/>
      <c r="T935" s="90">
        <f t="shared" si="245"/>
        <v>95</v>
      </c>
      <c r="U935" s="89">
        <f t="shared" si="246"/>
        <v>103.31428490526316</v>
      </c>
      <c r="V935" s="89">
        <f t="shared" si="247"/>
        <v>100.540009</v>
      </c>
      <c r="W935" s="90">
        <f t="shared" si="252"/>
        <v>9551.3008549999995</v>
      </c>
      <c r="X935" s="93">
        <f t="shared" si="248"/>
        <v>-2.6852781372944889E-2</v>
      </c>
      <c r="AB935" s="89">
        <f t="shared" si="237"/>
        <v>195</v>
      </c>
      <c r="AC935" s="89">
        <f t="shared" si="238"/>
        <v>51.179276000000002</v>
      </c>
      <c r="AD935" s="89">
        <f t="shared" si="239"/>
        <v>100.540009</v>
      </c>
      <c r="AE935" s="89">
        <f t="shared" si="240"/>
        <v>19605.301755</v>
      </c>
      <c r="AF935" s="90">
        <f t="shared" si="243"/>
        <v>9625.3429349999988</v>
      </c>
      <c r="AG935" s="93">
        <f t="shared" si="244"/>
        <v>0.96446719957507798</v>
      </c>
      <c r="AK935" s="90">
        <f t="shared" si="241"/>
        <v>142</v>
      </c>
      <c r="AL935" s="89">
        <f t="shared" si="242"/>
        <v>68.865979063380294</v>
      </c>
      <c r="AM935" s="89">
        <f t="shared" si="234"/>
        <v>100.540009</v>
      </c>
      <c r="AN935" s="90">
        <f t="shared" si="235"/>
        <v>14276.681278</v>
      </c>
      <c r="AO935" s="93">
        <f t="shared" si="236"/>
        <v>0.45993726317996231</v>
      </c>
    </row>
    <row r="936" spans="2:41" x14ac:dyDescent="0.25">
      <c r="B936" s="91">
        <v>40708</v>
      </c>
      <c r="C936" s="89">
        <v>128.86999499999999</v>
      </c>
      <c r="D936" s="89">
        <v>129.770004</v>
      </c>
      <c r="E936" s="89">
        <v>128.820007</v>
      </c>
      <c r="F936" s="89">
        <v>129.320007</v>
      </c>
      <c r="G936" s="89">
        <v>101.81546</v>
      </c>
      <c r="H936" s="89">
        <v>160570400</v>
      </c>
      <c r="J936" s="89">
        <v>0</v>
      </c>
      <c r="K936" s="89">
        <f t="shared" si="253"/>
        <v>88</v>
      </c>
      <c r="L936" s="89">
        <f t="shared" si="254"/>
        <v>112.621376</v>
      </c>
      <c r="M936" s="89">
        <f>+SPY__2[[#This Row],[Adj Close]]</f>
        <v>101.81546</v>
      </c>
      <c r="N936" s="89">
        <f t="shared" si="249"/>
        <v>8959.7604800000008</v>
      </c>
      <c r="O936" s="90">
        <f t="shared" si="255"/>
        <v>-950.92060799999967</v>
      </c>
      <c r="P936" s="93">
        <f t="shared" si="251"/>
        <v>-9.5949067431035484E-2</v>
      </c>
      <c r="Q936" s="96"/>
      <c r="R936" s="96"/>
      <c r="T936" s="90">
        <f t="shared" si="245"/>
        <v>95</v>
      </c>
      <c r="U936" s="89">
        <f t="shared" si="246"/>
        <v>103.31428490526316</v>
      </c>
      <c r="V936" s="89">
        <f t="shared" si="247"/>
        <v>101.81546</v>
      </c>
      <c r="W936" s="90">
        <f t="shared" si="252"/>
        <v>9672.4686999999994</v>
      </c>
      <c r="X936" s="93">
        <f t="shared" si="248"/>
        <v>-1.4507431442201457E-2</v>
      </c>
      <c r="AB936" s="89">
        <f t="shared" si="237"/>
        <v>195</v>
      </c>
      <c r="AC936" s="89">
        <f t="shared" si="238"/>
        <v>51.179276000000002</v>
      </c>
      <c r="AD936" s="89">
        <f t="shared" si="239"/>
        <v>101.81546</v>
      </c>
      <c r="AE936" s="89">
        <f t="shared" si="240"/>
        <v>19854.0147</v>
      </c>
      <c r="AF936" s="90">
        <f t="shared" si="243"/>
        <v>9874.0558799999999</v>
      </c>
      <c r="AG936" s="93">
        <f t="shared" si="244"/>
        <v>0.98938843917995234</v>
      </c>
      <c r="AK936" s="90">
        <f t="shared" si="241"/>
        <v>142</v>
      </c>
      <c r="AL936" s="89">
        <f t="shared" si="242"/>
        <v>68.865979063380294</v>
      </c>
      <c r="AM936" s="89">
        <f t="shared" si="234"/>
        <v>101.81546</v>
      </c>
      <c r="AN936" s="90">
        <f t="shared" si="235"/>
        <v>14457.795320000001</v>
      </c>
      <c r="AO936" s="93">
        <f t="shared" si="236"/>
        <v>0.47845803377448415</v>
      </c>
    </row>
    <row r="937" spans="2:41" x14ac:dyDescent="0.25">
      <c r="B937" s="91">
        <v>40709</v>
      </c>
      <c r="C937" s="89">
        <v>128.240005</v>
      </c>
      <c r="D937" s="89">
        <v>129.300003</v>
      </c>
      <c r="E937" s="89">
        <v>126.68</v>
      </c>
      <c r="F937" s="89">
        <v>127.019997</v>
      </c>
      <c r="G937" s="89">
        <v>100.004654</v>
      </c>
      <c r="H937" s="89">
        <v>300958000</v>
      </c>
      <c r="J937" s="89">
        <v>0</v>
      </c>
      <c r="K937" s="89">
        <f t="shared" si="253"/>
        <v>88</v>
      </c>
      <c r="L937" s="89">
        <f t="shared" si="254"/>
        <v>112.621376</v>
      </c>
      <c r="M937" s="89">
        <f>+SPY__2[[#This Row],[Adj Close]]</f>
        <v>100.004654</v>
      </c>
      <c r="N937" s="89">
        <f t="shared" si="249"/>
        <v>8800.409552000001</v>
      </c>
      <c r="O937" s="90">
        <f t="shared" si="255"/>
        <v>-1110.2715359999997</v>
      </c>
      <c r="P937" s="93">
        <f t="shared" si="251"/>
        <v>-0.1120277734841385</v>
      </c>
      <c r="Q937" s="96"/>
      <c r="R937" s="96"/>
      <c r="T937" s="90">
        <f t="shared" si="245"/>
        <v>95</v>
      </c>
      <c r="U937" s="89">
        <f t="shared" si="246"/>
        <v>103.31428490526316</v>
      </c>
      <c r="V937" s="89">
        <f t="shared" si="247"/>
        <v>100.004654</v>
      </c>
      <c r="W937" s="90">
        <f t="shared" si="252"/>
        <v>9500.4421299999995</v>
      </c>
      <c r="X937" s="93">
        <f t="shared" si="248"/>
        <v>-3.203459142458398E-2</v>
      </c>
      <c r="AB937" s="89">
        <f t="shared" si="237"/>
        <v>195</v>
      </c>
      <c r="AC937" s="89">
        <f t="shared" si="238"/>
        <v>51.179276000000002</v>
      </c>
      <c r="AD937" s="89">
        <f t="shared" si="239"/>
        <v>100.004654</v>
      </c>
      <c r="AE937" s="89">
        <f t="shared" si="240"/>
        <v>19500.90753</v>
      </c>
      <c r="AF937" s="90">
        <f t="shared" si="243"/>
        <v>9520.9487100000006</v>
      </c>
      <c r="AG937" s="93">
        <f t="shared" si="244"/>
        <v>0.95400681322650982</v>
      </c>
      <c r="AK937" s="90">
        <f t="shared" si="241"/>
        <v>142</v>
      </c>
      <c r="AL937" s="89">
        <f t="shared" si="242"/>
        <v>68.865979063380294</v>
      </c>
      <c r="AM937" s="89">
        <f t="shared" si="234"/>
        <v>100.004654</v>
      </c>
      <c r="AN937" s="90">
        <f t="shared" si="235"/>
        <v>14200.660868000001</v>
      </c>
      <c r="AO937" s="93">
        <f t="shared" si="236"/>
        <v>0.45216339562908803</v>
      </c>
    </row>
    <row r="938" spans="2:41" x14ac:dyDescent="0.25">
      <c r="B938" s="91">
        <v>40710</v>
      </c>
      <c r="C938" s="89">
        <v>127.05999799999999</v>
      </c>
      <c r="D938" s="89">
        <v>127.970001</v>
      </c>
      <c r="E938" s="89">
        <v>126.32</v>
      </c>
      <c r="F938" s="89">
        <v>127.300003</v>
      </c>
      <c r="G938" s="89">
        <v>100.22508999999999</v>
      </c>
      <c r="H938" s="89">
        <v>308032800</v>
      </c>
      <c r="J938" s="89">
        <v>0</v>
      </c>
      <c r="K938" s="89">
        <f t="shared" si="253"/>
        <v>88</v>
      </c>
      <c r="L938" s="89">
        <f t="shared" si="254"/>
        <v>112.621376</v>
      </c>
      <c r="M938" s="89">
        <f>+SPY__2[[#This Row],[Adj Close]]</f>
        <v>100.22508999999999</v>
      </c>
      <c r="N938" s="89">
        <f t="shared" si="249"/>
        <v>8819.8079199999993</v>
      </c>
      <c r="O938" s="90">
        <f t="shared" si="255"/>
        <v>-1090.8731680000003</v>
      </c>
      <c r="P938" s="93">
        <f t="shared" si="251"/>
        <v>-0.11007045412053929</v>
      </c>
      <c r="Q938" s="96"/>
      <c r="R938" s="96"/>
      <c r="T938" s="90">
        <f t="shared" si="245"/>
        <v>95</v>
      </c>
      <c r="U938" s="89">
        <f t="shared" si="246"/>
        <v>103.31428490526316</v>
      </c>
      <c r="V938" s="89">
        <f t="shared" si="247"/>
        <v>100.22508999999999</v>
      </c>
      <c r="W938" s="90">
        <f t="shared" si="252"/>
        <v>9521.3835499999986</v>
      </c>
      <c r="X938" s="93">
        <f t="shared" si="248"/>
        <v>-2.9900946496371761E-2</v>
      </c>
      <c r="AB938" s="89">
        <f t="shared" si="237"/>
        <v>195</v>
      </c>
      <c r="AC938" s="89">
        <f t="shared" si="238"/>
        <v>51.179276000000002</v>
      </c>
      <c r="AD938" s="89">
        <f t="shared" si="239"/>
        <v>100.22508999999999</v>
      </c>
      <c r="AE938" s="89">
        <f t="shared" si="240"/>
        <v>19543.89255</v>
      </c>
      <c r="AF938" s="90">
        <f t="shared" si="243"/>
        <v>9563.9337299999988</v>
      </c>
      <c r="AG938" s="93">
        <f t="shared" si="244"/>
        <v>0.95831394723129715</v>
      </c>
      <c r="AK938" s="90">
        <f t="shared" si="241"/>
        <v>142</v>
      </c>
      <c r="AL938" s="89">
        <f t="shared" si="242"/>
        <v>68.865979063380294</v>
      </c>
      <c r="AM938" s="89">
        <f t="shared" si="234"/>
        <v>100.22508999999999</v>
      </c>
      <c r="AN938" s="90">
        <f t="shared" si="235"/>
        <v>14231.96278</v>
      </c>
      <c r="AO938" s="93">
        <f t="shared" si="236"/>
        <v>0.45536433756003936</v>
      </c>
    </row>
    <row r="939" spans="2:41" x14ac:dyDescent="0.25">
      <c r="B939" s="91">
        <v>40711</v>
      </c>
      <c r="C939" s="89">
        <v>127.93</v>
      </c>
      <c r="D939" s="89">
        <v>127.94000200000001</v>
      </c>
      <c r="E939" s="89">
        <v>126.620003</v>
      </c>
      <c r="F939" s="89">
        <v>127.050003</v>
      </c>
      <c r="G939" s="89">
        <v>100.52417800000001</v>
      </c>
      <c r="H939" s="89">
        <v>233284900</v>
      </c>
      <c r="J939" s="89">
        <v>0</v>
      </c>
      <c r="K939" s="89">
        <f t="shared" si="253"/>
        <v>88</v>
      </c>
      <c r="L939" s="89">
        <f t="shared" si="254"/>
        <v>112.621376</v>
      </c>
      <c r="M939" s="89">
        <f>+SPY__2[[#This Row],[Adj Close]]</f>
        <v>100.52417800000001</v>
      </c>
      <c r="N939" s="89">
        <f t="shared" si="249"/>
        <v>8846.1276639999996</v>
      </c>
      <c r="O939" s="90">
        <f t="shared" si="255"/>
        <v>-1064.5534239999993</v>
      </c>
      <c r="P939" s="93">
        <f t="shared" si="251"/>
        <v>-0.10741475934373235</v>
      </c>
      <c r="Q939" s="96"/>
      <c r="R939" s="96"/>
      <c r="T939" s="90">
        <f t="shared" si="245"/>
        <v>95</v>
      </c>
      <c r="U939" s="89">
        <f t="shared" si="246"/>
        <v>103.31428490526316</v>
      </c>
      <c r="V939" s="89">
        <f t="shared" si="247"/>
        <v>100.52417800000001</v>
      </c>
      <c r="W939" s="90">
        <f t="shared" si="252"/>
        <v>9549.7969100000009</v>
      </c>
      <c r="X939" s="93">
        <f t="shared" si="248"/>
        <v>-2.7006012845383509E-2</v>
      </c>
      <c r="AB939" s="89">
        <f t="shared" si="237"/>
        <v>195</v>
      </c>
      <c r="AC939" s="89">
        <f t="shared" si="238"/>
        <v>51.179276000000002</v>
      </c>
      <c r="AD939" s="89">
        <f t="shared" si="239"/>
        <v>100.52417800000001</v>
      </c>
      <c r="AE939" s="89">
        <f t="shared" si="240"/>
        <v>19602.21471</v>
      </c>
      <c r="AF939" s="90">
        <f t="shared" si="243"/>
        <v>9622.2558900000004</v>
      </c>
      <c r="AG939" s="93">
        <f t="shared" si="244"/>
        <v>0.9641578751524349</v>
      </c>
      <c r="AK939" s="90">
        <f t="shared" si="241"/>
        <v>142</v>
      </c>
      <c r="AL939" s="89">
        <f t="shared" si="242"/>
        <v>68.865979063380294</v>
      </c>
      <c r="AM939" s="89">
        <f t="shared" si="234"/>
        <v>100.52417800000001</v>
      </c>
      <c r="AN939" s="90">
        <f t="shared" si="235"/>
        <v>14274.433276000002</v>
      </c>
      <c r="AO939" s="93">
        <f t="shared" si="236"/>
        <v>0.45970738189147564</v>
      </c>
    </row>
    <row r="940" spans="2:41" x14ac:dyDescent="0.25">
      <c r="B940" s="91">
        <v>40714</v>
      </c>
      <c r="C940" s="89">
        <v>126.620003</v>
      </c>
      <c r="D940" s="89">
        <v>127.970001</v>
      </c>
      <c r="E940" s="89">
        <v>126.58000199999999</v>
      </c>
      <c r="F940" s="89">
        <v>127.699997</v>
      </c>
      <c r="G940" s="89">
        <v>101.03845200000001</v>
      </c>
      <c r="H940" s="89">
        <v>159479000</v>
      </c>
      <c r="J940" s="89">
        <v>0</v>
      </c>
      <c r="K940" s="89">
        <f t="shared" si="253"/>
        <v>88</v>
      </c>
      <c r="L940" s="89">
        <f t="shared" si="254"/>
        <v>112.621376</v>
      </c>
      <c r="M940" s="89">
        <f>+SPY__2[[#This Row],[Adj Close]]</f>
        <v>101.03845200000001</v>
      </c>
      <c r="N940" s="89">
        <f t="shared" si="249"/>
        <v>8891.3837760000006</v>
      </c>
      <c r="O940" s="90">
        <f t="shared" si="255"/>
        <v>-1019.2973119999992</v>
      </c>
      <c r="P940" s="93">
        <f t="shared" si="251"/>
        <v>-0.10284836157569222</v>
      </c>
      <c r="Q940" s="96"/>
      <c r="R940" s="96"/>
      <c r="T940" s="90">
        <f t="shared" si="245"/>
        <v>95</v>
      </c>
      <c r="U940" s="89">
        <f t="shared" si="246"/>
        <v>103.31428490526316</v>
      </c>
      <c r="V940" s="89">
        <f t="shared" si="247"/>
        <v>101.03845200000001</v>
      </c>
      <c r="W940" s="90">
        <f t="shared" si="252"/>
        <v>9598.6529399999999</v>
      </c>
      <c r="X940" s="93">
        <f t="shared" si="248"/>
        <v>-2.2028250085165402E-2</v>
      </c>
      <c r="AB940" s="89">
        <f t="shared" si="237"/>
        <v>195</v>
      </c>
      <c r="AC940" s="89">
        <f t="shared" si="238"/>
        <v>51.179276000000002</v>
      </c>
      <c r="AD940" s="89">
        <f t="shared" si="239"/>
        <v>101.03845200000001</v>
      </c>
      <c r="AE940" s="89">
        <f t="shared" si="240"/>
        <v>19702.49814</v>
      </c>
      <c r="AF940" s="90">
        <f t="shared" si="243"/>
        <v>9722.5393200000017</v>
      </c>
      <c r="AG940" s="93">
        <f t="shared" si="244"/>
        <v>0.97420635649476561</v>
      </c>
      <c r="AK940" s="90">
        <f t="shared" si="241"/>
        <v>142</v>
      </c>
      <c r="AL940" s="89">
        <f t="shared" si="242"/>
        <v>68.865979063380294</v>
      </c>
      <c r="AM940" s="89">
        <f t="shared" si="234"/>
        <v>101.03845200000001</v>
      </c>
      <c r="AN940" s="90">
        <f t="shared" si="235"/>
        <v>14347.460184000001</v>
      </c>
      <c r="AO940" s="93">
        <f t="shared" si="236"/>
        <v>0.46717513312357073</v>
      </c>
    </row>
    <row r="941" spans="2:41" x14ac:dyDescent="0.25">
      <c r="B941" s="91">
        <v>40715</v>
      </c>
      <c r="C941" s="89">
        <v>128.36000100000001</v>
      </c>
      <c r="D941" s="89">
        <v>129.699997</v>
      </c>
      <c r="E941" s="89">
        <v>127.75</v>
      </c>
      <c r="F941" s="89">
        <v>129.449997</v>
      </c>
      <c r="G941" s="89">
        <v>102.42311100000001</v>
      </c>
      <c r="H941" s="89">
        <v>193157300</v>
      </c>
      <c r="J941" s="89">
        <v>0</v>
      </c>
      <c r="K941" s="89">
        <f t="shared" si="253"/>
        <v>88</v>
      </c>
      <c r="L941" s="89">
        <f t="shared" si="254"/>
        <v>112.621376</v>
      </c>
      <c r="M941" s="89">
        <f>+SPY__2[[#This Row],[Adj Close]]</f>
        <v>102.42311100000001</v>
      </c>
      <c r="N941" s="89">
        <f t="shared" si="249"/>
        <v>9013.2337680000001</v>
      </c>
      <c r="O941" s="90">
        <f t="shared" si="255"/>
        <v>-897.44731999999931</v>
      </c>
      <c r="P941" s="93">
        <f t="shared" si="251"/>
        <v>-9.0553546424437137E-2</v>
      </c>
      <c r="Q941" s="96"/>
      <c r="R941" s="96"/>
      <c r="T941" s="90">
        <f t="shared" si="245"/>
        <v>95</v>
      </c>
      <c r="U941" s="89">
        <f t="shared" si="246"/>
        <v>103.31428490526316</v>
      </c>
      <c r="V941" s="89">
        <f t="shared" si="247"/>
        <v>102.42311100000001</v>
      </c>
      <c r="W941" s="90">
        <f t="shared" si="252"/>
        <v>9730.1955450000005</v>
      </c>
      <c r="X941" s="93">
        <f t="shared" si="248"/>
        <v>-8.6258536859674662E-3</v>
      </c>
      <c r="AB941" s="89">
        <f t="shared" si="237"/>
        <v>195</v>
      </c>
      <c r="AC941" s="89">
        <f t="shared" si="238"/>
        <v>51.179276000000002</v>
      </c>
      <c r="AD941" s="89">
        <f t="shared" si="239"/>
        <v>102.42311100000001</v>
      </c>
      <c r="AE941" s="89">
        <f t="shared" si="240"/>
        <v>19972.506645000001</v>
      </c>
      <c r="AF941" s="90">
        <f t="shared" si="243"/>
        <v>9992.5478250000015</v>
      </c>
      <c r="AG941" s="93">
        <f t="shared" si="244"/>
        <v>1.0012614285516661</v>
      </c>
      <c r="AK941" s="90">
        <f t="shared" si="241"/>
        <v>142</v>
      </c>
      <c r="AL941" s="89">
        <f t="shared" si="242"/>
        <v>68.865979063380294</v>
      </c>
      <c r="AM941" s="89">
        <f t="shared" ref="AM941:AM1004" si="256">+AD941</f>
        <v>102.42311100000001</v>
      </c>
      <c r="AN941" s="90">
        <f t="shared" ref="AN941:AN1004" si="257">+AM941*AK941</f>
        <v>14544.081762000002</v>
      </c>
      <c r="AO941" s="93">
        <f t="shared" ref="AO941:AO1004" si="258">+AN941/(AL941*AK941)-1</f>
        <v>0.48728170851583585</v>
      </c>
    </row>
    <row r="942" spans="2:41" x14ac:dyDescent="0.25">
      <c r="B942" s="91">
        <v>40716</v>
      </c>
      <c r="C942" s="89">
        <v>129.050003</v>
      </c>
      <c r="D942" s="89">
        <v>129.80999800000001</v>
      </c>
      <c r="E942" s="89">
        <v>128.58999600000001</v>
      </c>
      <c r="F942" s="89">
        <v>128.66999799999999</v>
      </c>
      <c r="G942" s="89">
        <v>101.805939</v>
      </c>
      <c r="H942" s="89">
        <v>176703000</v>
      </c>
      <c r="J942" s="89">
        <v>0</v>
      </c>
      <c r="K942" s="89">
        <f t="shared" si="253"/>
        <v>88</v>
      </c>
      <c r="L942" s="89">
        <f t="shared" si="254"/>
        <v>112.621376</v>
      </c>
      <c r="M942" s="89">
        <f>+SPY__2[[#This Row],[Adj Close]]</f>
        <v>101.805939</v>
      </c>
      <c r="N942" s="89">
        <f t="shared" si="249"/>
        <v>8958.9226319999998</v>
      </c>
      <c r="O942" s="90">
        <f t="shared" si="255"/>
        <v>-951.75845600000025</v>
      </c>
      <c r="P942" s="93">
        <f t="shared" si="251"/>
        <v>-9.6033607332235094E-2</v>
      </c>
      <c r="Q942" s="96"/>
      <c r="R942" s="96"/>
      <c r="T942" s="90">
        <f t="shared" si="245"/>
        <v>95</v>
      </c>
      <c r="U942" s="89">
        <f t="shared" si="246"/>
        <v>103.31428490526316</v>
      </c>
      <c r="V942" s="89">
        <f t="shared" si="247"/>
        <v>101.805939</v>
      </c>
      <c r="W942" s="90">
        <f t="shared" si="252"/>
        <v>9671.5642049999988</v>
      </c>
      <c r="X942" s="93">
        <f t="shared" si="248"/>
        <v>-1.4599587139825787E-2</v>
      </c>
      <c r="AB942" s="89">
        <f t="shared" ref="AB942:AB1005" si="259">+AB941</f>
        <v>195</v>
      </c>
      <c r="AC942" s="89">
        <f t="shared" ref="AC942:AC1005" si="260">+AC941</f>
        <v>51.179276000000002</v>
      </c>
      <c r="AD942" s="89">
        <f t="shared" ref="AD942:AD1005" si="261">+V942</f>
        <v>101.805939</v>
      </c>
      <c r="AE942" s="89">
        <f t="shared" ref="AE942:AE1005" si="262">+AB942*AD942</f>
        <v>19852.158104999999</v>
      </c>
      <c r="AF942" s="90">
        <f t="shared" si="243"/>
        <v>9872.1992849999988</v>
      </c>
      <c r="AG942" s="93">
        <f t="shared" si="244"/>
        <v>0.98920240684920957</v>
      </c>
      <c r="AK942" s="90">
        <f t="shared" ref="AK942:AK1005" si="263">+AK941</f>
        <v>142</v>
      </c>
      <c r="AL942" s="89">
        <f t="shared" ref="AL942:AL1005" si="264">+AL941</f>
        <v>68.865979063380294</v>
      </c>
      <c r="AM942" s="89">
        <f t="shared" si="256"/>
        <v>101.805939</v>
      </c>
      <c r="AN942" s="90">
        <f t="shared" si="257"/>
        <v>14456.443337999999</v>
      </c>
      <c r="AO942" s="93">
        <f t="shared" si="258"/>
        <v>0.47831977973192918</v>
      </c>
    </row>
    <row r="943" spans="2:41" x14ac:dyDescent="0.25">
      <c r="B943" s="91">
        <v>40717</v>
      </c>
      <c r="C943" s="89">
        <v>127.160004</v>
      </c>
      <c r="D943" s="89">
        <v>128.63999899999999</v>
      </c>
      <c r="E943" s="89">
        <v>126.19000200000001</v>
      </c>
      <c r="F943" s="89">
        <v>128.300003</v>
      </c>
      <c r="G943" s="89">
        <v>101.513176</v>
      </c>
      <c r="H943" s="89">
        <v>334286500</v>
      </c>
      <c r="J943" s="89">
        <v>0</v>
      </c>
      <c r="K943" s="89">
        <f t="shared" si="253"/>
        <v>88</v>
      </c>
      <c r="L943" s="89">
        <f t="shared" si="254"/>
        <v>112.621376</v>
      </c>
      <c r="M943" s="89">
        <f>+SPY__2[[#This Row],[Adj Close]]</f>
        <v>101.513176</v>
      </c>
      <c r="N943" s="89">
        <f t="shared" si="249"/>
        <v>8933.1594879999993</v>
      </c>
      <c r="O943" s="90">
        <f t="shared" si="255"/>
        <v>-977.52159999999969</v>
      </c>
      <c r="P943" s="93">
        <f t="shared" si="251"/>
        <v>-9.8633140479477022E-2</v>
      </c>
      <c r="Q943" s="96"/>
      <c r="R943" s="96"/>
      <c r="T943" s="90">
        <f t="shared" si="245"/>
        <v>95</v>
      </c>
      <c r="U943" s="89">
        <f t="shared" si="246"/>
        <v>103.31428490526316</v>
      </c>
      <c r="V943" s="89">
        <f t="shared" si="247"/>
        <v>101.513176</v>
      </c>
      <c r="W943" s="90">
        <f t="shared" si="252"/>
        <v>9643.7517200000002</v>
      </c>
      <c r="X943" s="93">
        <f t="shared" si="248"/>
        <v>-1.7433299827944726E-2</v>
      </c>
      <c r="AB943" s="89">
        <f t="shared" si="259"/>
        <v>195</v>
      </c>
      <c r="AC943" s="89">
        <f t="shared" si="260"/>
        <v>51.179276000000002</v>
      </c>
      <c r="AD943" s="89">
        <f t="shared" si="261"/>
        <v>101.513176</v>
      </c>
      <c r="AE943" s="89">
        <f t="shared" si="262"/>
        <v>19795.069319999999</v>
      </c>
      <c r="AF943" s="90">
        <f t="shared" si="243"/>
        <v>9815.1105000000007</v>
      </c>
      <c r="AG943" s="93">
        <f t="shared" si="244"/>
        <v>0.98348206410735473</v>
      </c>
      <c r="AK943" s="90">
        <f t="shared" si="263"/>
        <v>142</v>
      </c>
      <c r="AL943" s="89">
        <f t="shared" si="264"/>
        <v>68.865979063380294</v>
      </c>
      <c r="AM943" s="89">
        <f t="shared" si="256"/>
        <v>101.513176</v>
      </c>
      <c r="AN943" s="90">
        <f t="shared" si="257"/>
        <v>14414.870992</v>
      </c>
      <c r="AO943" s="93">
        <f t="shared" si="258"/>
        <v>0.47406858046079781</v>
      </c>
    </row>
    <row r="944" spans="2:41" x14ac:dyDescent="0.25">
      <c r="B944" s="91">
        <v>40718</v>
      </c>
      <c r="C944" s="89">
        <v>128.270004</v>
      </c>
      <c r="D944" s="89">
        <v>128.36999499999999</v>
      </c>
      <c r="E944" s="89">
        <v>126.620003</v>
      </c>
      <c r="F944" s="89">
        <v>126.80999799999999</v>
      </c>
      <c r="G944" s="89">
        <v>100.334267</v>
      </c>
      <c r="H944" s="89">
        <v>226129300</v>
      </c>
      <c r="J944" s="89">
        <v>0</v>
      </c>
      <c r="K944" s="89">
        <f t="shared" si="253"/>
        <v>88</v>
      </c>
      <c r="L944" s="89">
        <f t="shared" si="254"/>
        <v>112.621376</v>
      </c>
      <c r="M944" s="89">
        <f>+SPY__2[[#This Row],[Adj Close]]</f>
        <v>100.334267</v>
      </c>
      <c r="N944" s="89">
        <f t="shared" si="249"/>
        <v>8829.4154959999996</v>
      </c>
      <c r="O944" s="90">
        <f t="shared" si="255"/>
        <v>-1081.2655920000002</v>
      </c>
      <c r="P944" s="93">
        <f t="shared" si="251"/>
        <v>-0.10910103779943159</v>
      </c>
      <c r="Q944" s="96"/>
      <c r="R944" s="96"/>
      <c r="T944" s="90">
        <f t="shared" si="245"/>
        <v>95</v>
      </c>
      <c r="U944" s="89">
        <f t="shared" si="246"/>
        <v>103.31428490526316</v>
      </c>
      <c r="V944" s="89">
        <f t="shared" si="247"/>
        <v>100.334267</v>
      </c>
      <c r="W944" s="90">
        <f t="shared" si="252"/>
        <v>9531.7553649999991</v>
      </c>
      <c r="X944" s="93">
        <f t="shared" si="248"/>
        <v>-2.8844200083229299E-2</v>
      </c>
      <c r="AB944" s="89">
        <f t="shared" si="259"/>
        <v>195</v>
      </c>
      <c r="AC944" s="89">
        <f t="shared" si="260"/>
        <v>51.179276000000002</v>
      </c>
      <c r="AD944" s="89">
        <f t="shared" si="261"/>
        <v>100.334267</v>
      </c>
      <c r="AE944" s="89">
        <f t="shared" si="262"/>
        <v>19565.182065000001</v>
      </c>
      <c r="AF944" s="90">
        <f t="shared" si="243"/>
        <v>9585.2232449999992</v>
      </c>
      <c r="AG944" s="93">
        <f t="shared" si="244"/>
        <v>0.96044717396940116</v>
      </c>
      <c r="AK944" s="90">
        <f t="shared" si="263"/>
        <v>142</v>
      </c>
      <c r="AL944" s="89">
        <f t="shared" si="264"/>
        <v>68.865979063380294</v>
      </c>
      <c r="AM944" s="89">
        <f t="shared" si="256"/>
        <v>100.334267</v>
      </c>
      <c r="AN944" s="90">
        <f t="shared" si="257"/>
        <v>14247.465914</v>
      </c>
      <c r="AO944" s="93">
        <f t="shared" si="258"/>
        <v>0.45694969220808024</v>
      </c>
    </row>
    <row r="945" spans="2:41" x14ac:dyDescent="0.25">
      <c r="B945" s="91">
        <v>40721</v>
      </c>
      <c r="C945" s="89">
        <v>126.889999</v>
      </c>
      <c r="D945" s="89">
        <v>128.429993</v>
      </c>
      <c r="E945" s="89">
        <v>126.639999</v>
      </c>
      <c r="F945" s="89">
        <v>127.94000200000001</v>
      </c>
      <c r="G945" s="89">
        <v>101.228363</v>
      </c>
      <c r="H945" s="89">
        <v>168904700</v>
      </c>
      <c r="J945" s="89">
        <v>0</v>
      </c>
      <c r="K945" s="89">
        <f t="shared" si="253"/>
        <v>88</v>
      </c>
      <c r="L945" s="89">
        <f t="shared" si="254"/>
        <v>112.621376</v>
      </c>
      <c r="M945" s="89">
        <f>+SPY__2[[#This Row],[Adj Close]]</f>
        <v>101.228363</v>
      </c>
      <c r="N945" s="89">
        <f t="shared" si="249"/>
        <v>8908.0959440000006</v>
      </c>
      <c r="O945" s="90">
        <f t="shared" si="255"/>
        <v>-1002.5851439999997</v>
      </c>
      <c r="P945" s="93">
        <f t="shared" si="251"/>
        <v>-0.10116208311999308</v>
      </c>
      <c r="Q945" s="96"/>
      <c r="R945" s="96"/>
      <c r="T945" s="90">
        <f t="shared" si="245"/>
        <v>95</v>
      </c>
      <c r="U945" s="89">
        <f t="shared" si="246"/>
        <v>103.31428490526316</v>
      </c>
      <c r="V945" s="89">
        <f t="shared" si="247"/>
        <v>101.228363</v>
      </c>
      <c r="W945" s="90">
        <f t="shared" si="252"/>
        <v>9616.694485</v>
      </c>
      <c r="X945" s="93">
        <f t="shared" si="248"/>
        <v>-2.0190062847319723E-2</v>
      </c>
      <c r="AB945" s="89">
        <f t="shared" si="259"/>
        <v>195</v>
      </c>
      <c r="AC945" s="89">
        <f t="shared" si="260"/>
        <v>51.179276000000002</v>
      </c>
      <c r="AD945" s="89">
        <f t="shared" si="261"/>
        <v>101.228363</v>
      </c>
      <c r="AE945" s="89">
        <f t="shared" si="262"/>
        <v>19739.530784999999</v>
      </c>
      <c r="AF945" s="90">
        <f t="shared" si="243"/>
        <v>9759.5719649999992</v>
      </c>
      <c r="AG945" s="93">
        <f t="shared" si="244"/>
        <v>0.97791705767779913</v>
      </c>
      <c r="AK945" s="90">
        <f t="shared" si="263"/>
        <v>142</v>
      </c>
      <c r="AL945" s="89">
        <f t="shared" si="264"/>
        <v>68.865979063380294</v>
      </c>
      <c r="AM945" s="89">
        <f t="shared" si="256"/>
        <v>101.228363</v>
      </c>
      <c r="AN945" s="90">
        <f t="shared" si="257"/>
        <v>14374.427546000001</v>
      </c>
      <c r="AO945" s="93">
        <f t="shared" si="258"/>
        <v>0.46993282280696591</v>
      </c>
    </row>
    <row r="946" spans="2:41" x14ac:dyDescent="0.25">
      <c r="B946" s="91">
        <v>40722</v>
      </c>
      <c r="C946" s="89">
        <v>128.449997</v>
      </c>
      <c r="D946" s="89">
        <v>129.63000500000001</v>
      </c>
      <c r="E946" s="89">
        <v>128.270004</v>
      </c>
      <c r="F946" s="89">
        <v>129.61000100000001</v>
      </c>
      <c r="G946" s="89">
        <v>102.549683</v>
      </c>
      <c r="H946" s="89">
        <v>165556300</v>
      </c>
      <c r="J946" s="89">
        <v>0</v>
      </c>
      <c r="K946" s="89">
        <f t="shared" si="253"/>
        <v>88</v>
      </c>
      <c r="L946" s="89">
        <f t="shared" si="254"/>
        <v>112.621376</v>
      </c>
      <c r="M946" s="89">
        <f>+SPY__2[[#This Row],[Adj Close]]</f>
        <v>102.549683</v>
      </c>
      <c r="N946" s="89">
        <f t="shared" si="249"/>
        <v>9024.372104</v>
      </c>
      <c r="O946" s="90">
        <f t="shared" si="255"/>
        <v>-886.30898399999967</v>
      </c>
      <c r="P946" s="93">
        <f t="shared" si="251"/>
        <v>-8.9429674522889857E-2</v>
      </c>
      <c r="Q946" s="96"/>
      <c r="R946" s="96"/>
      <c r="T946" s="90">
        <f t="shared" si="245"/>
        <v>95</v>
      </c>
      <c r="U946" s="89">
        <f t="shared" si="246"/>
        <v>103.31428490526316</v>
      </c>
      <c r="V946" s="89">
        <f t="shared" si="247"/>
        <v>102.549683</v>
      </c>
      <c r="W946" s="90">
        <f t="shared" si="252"/>
        <v>9742.2198850000004</v>
      </c>
      <c r="X946" s="93">
        <f t="shared" si="248"/>
        <v>-7.4007375259315111E-3</v>
      </c>
      <c r="AB946" s="89">
        <f t="shared" si="259"/>
        <v>195</v>
      </c>
      <c r="AC946" s="89">
        <f t="shared" si="260"/>
        <v>51.179276000000002</v>
      </c>
      <c r="AD946" s="89">
        <f t="shared" si="261"/>
        <v>102.549683</v>
      </c>
      <c r="AE946" s="89">
        <f t="shared" si="262"/>
        <v>19997.188184999999</v>
      </c>
      <c r="AF946" s="90">
        <f t="shared" ref="AF946:AF1009" si="265">+(AD946-AC946)*AB946</f>
        <v>10017.229364999999</v>
      </c>
      <c r="AG946" s="93">
        <f t="shared" ref="AG946:AG1009" si="266">+AD946/AC946-1</f>
        <v>1.0037345389567447</v>
      </c>
      <c r="AK946" s="90">
        <f t="shared" si="263"/>
        <v>142</v>
      </c>
      <c r="AL946" s="89">
        <f t="shared" si="264"/>
        <v>68.865979063380294</v>
      </c>
      <c r="AM946" s="89">
        <f t="shared" si="256"/>
        <v>102.549683</v>
      </c>
      <c r="AN946" s="90">
        <f t="shared" si="257"/>
        <v>14562.054986000001</v>
      </c>
      <c r="AO946" s="93">
        <f t="shared" si="258"/>
        <v>0.48911965523091117</v>
      </c>
    </row>
    <row r="947" spans="2:41" x14ac:dyDescent="0.25">
      <c r="B947" s="91">
        <v>40723</v>
      </c>
      <c r="C947" s="89">
        <v>130.199997</v>
      </c>
      <c r="D947" s="89">
        <v>130.929993</v>
      </c>
      <c r="E947" s="89">
        <v>129.63000500000001</v>
      </c>
      <c r="F947" s="89">
        <v>130.720001</v>
      </c>
      <c r="G947" s="89">
        <v>103.427948</v>
      </c>
      <c r="H947" s="89">
        <v>244295500</v>
      </c>
      <c r="J947" s="89">
        <v>0</v>
      </c>
      <c r="K947" s="89">
        <f t="shared" si="253"/>
        <v>88</v>
      </c>
      <c r="L947" s="89">
        <f t="shared" si="254"/>
        <v>112.621376</v>
      </c>
      <c r="M947" s="89">
        <f>+SPY__2[[#This Row],[Adj Close]]</f>
        <v>103.427948</v>
      </c>
      <c r="N947" s="89">
        <f t="shared" si="249"/>
        <v>9101.6594239999995</v>
      </c>
      <c r="O947" s="90">
        <f t="shared" si="255"/>
        <v>-809.02166399999976</v>
      </c>
      <c r="P947" s="93">
        <f t="shared" si="251"/>
        <v>-8.1631288184580542E-2</v>
      </c>
      <c r="Q947" s="96"/>
      <c r="R947" s="96"/>
      <c r="T947" s="90">
        <f t="shared" si="245"/>
        <v>95</v>
      </c>
      <c r="U947" s="89">
        <f t="shared" si="246"/>
        <v>103.31428490526316</v>
      </c>
      <c r="V947" s="89">
        <f t="shared" si="247"/>
        <v>103.427948</v>
      </c>
      <c r="W947" s="90">
        <f t="shared" si="252"/>
        <v>9825.655060000001</v>
      </c>
      <c r="X947" s="93">
        <f t="shared" si="248"/>
        <v>1.100168237539112E-3</v>
      </c>
      <c r="AB947" s="89">
        <f t="shared" si="259"/>
        <v>195</v>
      </c>
      <c r="AC947" s="89">
        <f t="shared" si="260"/>
        <v>51.179276000000002</v>
      </c>
      <c r="AD947" s="89">
        <f t="shared" si="261"/>
        <v>103.427948</v>
      </c>
      <c r="AE947" s="89">
        <f t="shared" si="262"/>
        <v>20168.449860000001</v>
      </c>
      <c r="AF947" s="90">
        <f t="shared" si="265"/>
        <v>10188.491039999999</v>
      </c>
      <c r="AG947" s="93">
        <f t="shared" si="266"/>
        <v>1.0208950982424994</v>
      </c>
      <c r="AK947" s="90">
        <f t="shared" si="263"/>
        <v>142</v>
      </c>
      <c r="AL947" s="89">
        <f t="shared" si="264"/>
        <v>68.865979063380294</v>
      </c>
      <c r="AM947" s="89">
        <f t="shared" si="256"/>
        <v>103.427948</v>
      </c>
      <c r="AN947" s="90">
        <f t="shared" si="257"/>
        <v>14686.768615999999</v>
      </c>
      <c r="AO947" s="93">
        <f t="shared" si="258"/>
        <v>0.50187290454130995</v>
      </c>
    </row>
    <row r="948" spans="2:41" x14ac:dyDescent="0.25">
      <c r="B948" s="91">
        <v>40724</v>
      </c>
      <c r="C948" s="89">
        <v>131.13999899999999</v>
      </c>
      <c r="D948" s="89">
        <v>132.179993</v>
      </c>
      <c r="E948" s="89">
        <v>130.71000699999999</v>
      </c>
      <c r="F948" s="89">
        <v>131.970001</v>
      </c>
      <c r="G948" s="89">
        <v>104.416962</v>
      </c>
      <c r="H948" s="89">
        <v>223322700</v>
      </c>
      <c r="J948" s="89">
        <v>0</v>
      </c>
      <c r="K948" s="89">
        <f t="shared" si="253"/>
        <v>88</v>
      </c>
      <c r="L948" s="89">
        <f t="shared" si="254"/>
        <v>112.621376</v>
      </c>
      <c r="M948" s="89">
        <f>+SPY__2[[#This Row],[Adj Close]]</f>
        <v>104.416962</v>
      </c>
      <c r="N948" s="89">
        <f t="shared" si="249"/>
        <v>9188.6926559999993</v>
      </c>
      <c r="O948" s="90">
        <f t="shared" si="255"/>
        <v>-721.98843199999999</v>
      </c>
      <c r="P948" s="93">
        <f t="shared" si="251"/>
        <v>-7.2849527251380719E-2</v>
      </c>
      <c r="Q948" s="96"/>
      <c r="R948" s="96"/>
      <c r="T948" s="90">
        <f t="shared" si="245"/>
        <v>95</v>
      </c>
      <c r="U948" s="89">
        <f t="shared" si="246"/>
        <v>103.31428490526316</v>
      </c>
      <c r="V948" s="89">
        <f t="shared" si="247"/>
        <v>104.416962</v>
      </c>
      <c r="W948" s="90">
        <f t="shared" si="252"/>
        <v>9919.61139</v>
      </c>
      <c r="X948" s="93">
        <f t="shared" si="248"/>
        <v>1.0673036122235802E-2</v>
      </c>
      <c r="AB948" s="89">
        <f t="shared" si="259"/>
        <v>195</v>
      </c>
      <c r="AC948" s="89">
        <f t="shared" si="260"/>
        <v>51.179276000000002</v>
      </c>
      <c r="AD948" s="89">
        <f t="shared" si="261"/>
        <v>104.416962</v>
      </c>
      <c r="AE948" s="89">
        <f t="shared" si="262"/>
        <v>20361.30759</v>
      </c>
      <c r="AF948" s="90">
        <f t="shared" si="265"/>
        <v>10381.348769999999</v>
      </c>
      <c r="AG948" s="93">
        <f t="shared" si="266"/>
        <v>1.0402195998239598</v>
      </c>
      <c r="AK948" s="90">
        <f t="shared" si="263"/>
        <v>142</v>
      </c>
      <c r="AL948" s="89">
        <f t="shared" si="264"/>
        <v>68.865979063380294</v>
      </c>
      <c r="AM948" s="89">
        <f t="shared" si="256"/>
        <v>104.416962</v>
      </c>
      <c r="AN948" s="90">
        <f t="shared" si="257"/>
        <v>14827.208603999999</v>
      </c>
      <c r="AO948" s="93">
        <f t="shared" si="258"/>
        <v>0.51623433544596264</v>
      </c>
    </row>
    <row r="949" spans="2:41" x14ac:dyDescent="0.25">
      <c r="B949" s="91">
        <v>40725</v>
      </c>
      <c r="C949" s="89">
        <v>132.08999600000001</v>
      </c>
      <c r="D949" s="89">
        <v>134.10000600000001</v>
      </c>
      <c r="E949" s="89">
        <v>131.779999</v>
      </c>
      <c r="F949" s="89">
        <v>133.91999799999999</v>
      </c>
      <c r="G949" s="89">
        <v>105.959824</v>
      </c>
      <c r="H949" s="89">
        <v>202385700</v>
      </c>
      <c r="J949" s="89">
        <v>0</v>
      </c>
      <c r="K949" s="89">
        <f t="shared" si="253"/>
        <v>88</v>
      </c>
      <c r="L949" s="89">
        <f t="shared" si="254"/>
        <v>112.621376</v>
      </c>
      <c r="M949" s="89">
        <f>+SPY__2[[#This Row],[Adj Close]]</f>
        <v>105.959824</v>
      </c>
      <c r="N949" s="89">
        <f t="shared" si="249"/>
        <v>9324.4645120000005</v>
      </c>
      <c r="O949" s="90">
        <f t="shared" si="255"/>
        <v>-586.21657600000003</v>
      </c>
      <c r="P949" s="93">
        <f t="shared" si="251"/>
        <v>-5.9149978774899692E-2</v>
      </c>
      <c r="Q949" s="96"/>
      <c r="R949" s="96"/>
      <c r="T949" s="90">
        <f t="shared" si="245"/>
        <v>95</v>
      </c>
      <c r="U949" s="89">
        <f t="shared" si="246"/>
        <v>103.31428490526316</v>
      </c>
      <c r="V949" s="89">
        <f t="shared" si="247"/>
        <v>105.959824</v>
      </c>
      <c r="W949" s="90">
        <f t="shared" si="252"/>
        <v>10066.183279999999</v>
      </c>
      <c r="X949" s="93">
        <f t="shared" si="248"/>
        <v>2.5606711571035223E-2</v>
      </c>
      <c r="AB949" s="89">
        <f t="shared" si="259"/>
        <v>195</v>
      </c>
      <c r="AC949" s="89">
        <f t="shared" si="260"/>
        <v>51.179276000000002</v>
      </c>
      <c r="AD949" s="89">
        <f t="shared" si="261"/>
        <v>105.959824</v>
      </c>
      <c r="AE949" s="89">
        <f t="shared" si="262"/>
        <v>20662.165679999998</v>
      </c>
      <c r="AF949" s="90">
        <f t="shared" si="265"/>
        <v>10682.206859999998</v>
      </c>
      <c r="AG949" s="93">
        <f t="shared" si="266"/>
        <v>1.0703658254173036</v>
      </c>
      <c r="AK949" s="90">
        <f t="shared" si="263"/>
        <v>142</v>
      </c>
      <c r="AL949" s="89">
        <f t="shared" si="264"/>
        <v>68.865979063380294</v>
      </c>
      <c r="AM949" s="89">
        <f t="shared" si="256"/>
        <v>105.959824</v>
      </c>
      <c r="AN949" s="90">
        <f t="shared" si="257"/>
        <v>15046.295007999999</v>
      </c>
      <c r="AO949" s="93">
        <f t="shared" si="258"/>
        <v>0.53863816998057423</v>
      </c>
    </row>
    <row r="950" spans="2:41" x14ac:dyDescent="0.25">
      <c r="B950" s="91">
        <v>40729</v>
      </c>
      <c r="C950" s="89">
        <v>133.779999</v>
      </c>
      <c r="D950" s="89">
        <v>134.08000200000001</v>
      </c>
      <c r="E950" s="89">
        <v>133.38999899999999</v>
      </c>
      <c r="F950" s="89">
        <v>133.80999800000001</v>
      </c>
      <c r="G950" s="89">
        <v>105.872803</v>
      </c>
      <c r="H950" s="89">
        <v>165936000</v>
      </c>
      <c r="J950" s="89">
        <v>0</v>
      </c>
      <c r="K950" s="89">
        <f t="shared" si="253"/>
        <v>88</v>
      </c>
      <c r="L950" s="89">
        <f t="shared" si="254"/>
        <v>112.621376</v>
      </c>
      <c r="M950" s="89">
        <f>+SPY__2[[#This Row],[Adj Close]]</f>
        <v>105.872803</v>
      </c>
      <c r="N950" s="89">
        <f t="shared" si="249"/>
        <v>9316.8066639999997</v>
      </c>
      <c r="O950" s="90">
        <f t="shared" si="255"/>
        <v>-593.87442399999941</v>
      </c>
      <c r="P950" s="93">
        <f t="shared" si="251"/>
        <v>-5.9922665125313301E-2</v>
      </c>
      <c r="Q950" s="96"/>
      <c r="R950" s="96"/>
      <c r="T950" s="90">
        <f t="shared" si="245"/>
        <v>95</v>
      </c>
      <c r="U950" s="89">
        <f t="shared" si="246"/>
        <v>103.31428490526316</v>
      </c>
      <c r="V950" s="89">
        <f t="shared" si="247"/>
        <v>105.872803</v>
      </c>
      <c r="W950" s="90">
        <f t="shared" si="252"/>
        <v>10057.916285000001</v>
      </c>
      <c r="X950" s="93">
        <f t="shared" si="248"/>
        <v>2.4764417593200694E-2</v>
      </c>
      <c r="AB950" s="89">
        <f t="shared" si="259"/>
        <v>195</v>
      </c>
      <c r="AC950" s="89">
        <f t="shared" si="260"/>
        <v>51.179276000000002</v>
      </c>
      <c r="AD950" s="89">
        <f t="shared" si="261"/>
        <v>105.872803</v>
      </c>
      <c r="AE950" s="89">
        <f t="shared" si="262"/>
        <v>20645.196585000002</v>
      </c>
      <c r="AF950" s="90">
        <f t="shared" si="265"/>
        <v>10665.237765</v>
      </c>
      <c r="AG950" s="93">
        <f t="shared" si="266"/>
        <v>1.0686655082811254</v>
      </c>
      <c r="AK950" s="90">
        <f t="shared" si="263"/>
        <v>142</v>
      </c>
      <c r="AL950" s="89">
        <f t="shared" si="264"/>
        <v>68.865979063380294</v>
      </c>
      <c r="AM950" s="89">
        <f t="shared" si="256"/>
        <v>105.872803</v>
      </c>
      <c r="AN950" s="90">
        <f t="shared" si="257"/>
        <v>15033.938026</v>
      </c>
      <c r="AO950" s="93">
        <f t="shared" si="258"/>
        <v>0.53737454168132515</v>
      </c>
    </row>
    <row r="951" spans="2:41" x14ac:dyDescent="0.25">
      <c r="B951" s="91">
        <v>40730</v>
      </c>
      <c r="C951" s="89">
        <v>133.490005</v>
      </c>
      <c r="D951" s="89">
        <v>134.13999899999999</v>
      </c>
      <c r="E951" s="89">
        <v>133.11000100000001</v>
      </c>
      <c r="F951" s="89">
        <v>133.970001</v>
      </c>
      <c r="G951" s="89">
        <v>105.99939000000001</v>
      </c>
      <c r="H951" s="89">
        <v>143331600</v>
      </c>
      <c r="J951" s="89">
        <v>0</v>
      </c>
      <c r="K951" s="89">
        <f t="shared" si="253"/>
        <v>88</v>
      </c>
      <c r="L951" s="89">
        <f t="shared" si="254"/>
        <v>112.621376</v>
      </c>
      <c r="M951" s="89">
        <f>+SPY__2[[#This Row],[Adj Close]]</f>
        <v>105.99939000000001</v>
      </c>
      <c r="N951" s="89">
        <f t="shared" si="249"/>
        <v>9327.9463200000009</v>
      </c>
      <c r="O951" s="90">
        <f t="shared" si="255"/>
        <v>-582.73476799999935</v>
      </c>
      <c r="P951" s="93">
        <f t="shared" si="251"/>
        <v>-5.879866003413059E-2</v>
      </c>
      <c r="Q951" s="96"/>
      <c r="R951" s="96"/>
      <c r="T951" s="90">
        <f t="shared" si="245"/>
        <v>95</v>
      </c>
      <c r="U951" s="89">
        <f t="shared" si="246"/>
        <v>103.31428490526316</v>
      </c>
      <c r="V951" s="89">
        <f t="shared" si="247"/>
        <v>105.99939000000001</v>
      </c>
      <c r="W951" s="90">
        <f t="shared" si="252"/>
        <v>10069.94205</v>
      </c>
      <c r="X951" s="93">
        <f t="shared" si="248"/>
        <v>2.5989678941290784E-2</v>
      </c>
      <c r="AB951" s="89">
        <f t="shared" si="259"/>
        <v>195</v>
      </c>
      <c r="AC951" s="89">
        <f t="shared" si="260"/>
        <v>51.179276000000002</v>
      </c>
      <c r="AD951" s="89">
        <f t="shared" si="261"/>
        <v>105.99939000000001</v>
      </c>
      <c r="AE951" s="89">
        <f t="shared" si="262"/>
        <v>20669.88105</v>
      </c>
      <c r="AF951" s="90">
        <f t="shared" si="265"/>
        <v>10689.92223</v>
      </c>
      <c r="AG951" s="93">
        <f t="shared" si="266"/>
        <v>1.0711389117735859</v>
      </c>
      <c r="AK951" s="90">
        <f t="shared" si="263"/>
        <v>142</v>
      </c>
      <c r="AL951" s="89">
        <f t="shared" si="264"/>
        <v>68.865979063380294</v>
      </c>
      <c r="AM951" s="89">
        <f t="shared" si="256"/>
        <v>105.99939000000001</v>
      </c>
      <c r="AN951" s="90">
        <f t="shared" si="257"/>
        <v>15051.91338</v>
      </c>
      <c r="AO951" s="93">
        <f t="shared" si="258"/>
        <v>0.53921270621077277</v>
      </c>
    </row>
    <row r="952" spans="2:41" x14ac:dyDescent="0.25">
      <c r="B952" s="91">
        <v>40731</v>
      </c>
      <c r="C952" s="89">
        <v>135.16000399999999</v>
      </c>
      <c r="D952" s="89">
        <v>135.699997</v>
      </c>
      <c r="E952" s="89">
        <v>134.88000500000001</v>
      </c>
      <c r="F952" s="89">
        <v>135.36000100000001</v>
      </c>
      <c r="G952" s="89">
        <v>107.099182</v>
      </c>
      <c r="H952" s="89">
        <v>170464200</v>
      </c>
      <c r="J952" s="89">
        <v>0</v>
      </c>
      <c r="K952" s="89">
        <f t="shared" si="253"/>
        <v>88</v>
      </c>
      <c r="L952" s="89">
        <f t="shared" si="254"/>
        <v>112.621376</v>
      </c>
      <c r="M952" s="89">
        <f>+SPY__2[[#This Row],[Adj Close]]</f>
        <v>107.099182</v>
      </c>
      <c r="N952" s="89">
        <f t="shared" si="249"/>
        <v>9424.7280159999991</v>
      </c>
      <c r="O952" s="90">
        <f t="shared" si="255"/>
        <v>-485.95307199999991</v>
      </c>
      <c r="P952" s="93">
        <f t="shared" si="251"/>
        <v>-4.9033267006078796E-2</v>
      </c>
      <c r="Q952" s="96"/>
      <c r="R952" s="96"/>
      <c r="T952" s="90">
        <f t="shared" si="245"/>
        <v>95</v>
      </c>
      <c r="U952" s="89">
        <f t="shared" si="246"/>
        <v>103.31428490526316</v>
      </c>
      <c r="V952" s="89">
        <f t="shared" si="247"/>
        <v>107.099182</v>
      </c>
      <c r="W952" s="90">
        <f t="shared" si="252"/>
        <v>10174.42229</v>
      </c>
      <c r="X952" s="93">
        <f t="shared" si="248"/>
        <v>3.6634789644118593E-2</v>
      </c>
      <c r="AB952" s="89">
        <f t="shared" si="259"/>
        <v>195</v>
      </c>
      <c r="AC952" s="89">
        <f t="shared" si="260"/>
        <v>51.179276000000002</v>
      </c>
      <c r="AD952" s="89">
        <f t="shared" si="261"/>
        <v>107.099182</v>
      </c>
      <c r="AE952" s="89">
        <f t="shared" si="262"/>
        <v>20884.340489999999</v>
      </c>
      <c r="AF952" s="90">
        <f t="shared" si="265"/>
        <v>10904.381669999999</v>
      </c>
      <c r="AG952" s="93">
        <f t="shared" si="266"/>
        <v>1.0926279222863564</v>
      </c>
      <c r="AK952" s="90">
        <f t="shared" si="263"/>
        <v>142</v>
      </c>
      <c r="AL952" s="89">
        <f t="shared" si="264"/>
        <v>68.865979063380294</v>
      </c>
      <c r="AM952" s="89">
        <f t="shared" si="256"/>
        <v>107.099182</v>
      </c>
      <c r="AN952" s="90">
        <f t="shared" si="257"/>
        <v>15208.083844000001</v>
      </c>
      <c r="AO952" s="93">
        <f t="shared" si="258"/>
        <v>0.55518273981746602</v>
      </c>
    </row>
    <row r="953" spans="2:41" x14ac:dyDescent="0.25">
      <c r="B953" s="91">
        <v>40732</v>
      </c>
      <c r="C953" s="89">
        <v>133.83000200000001</v>
      </c>
      <c r="D953" s="89">
        <v>135.36000100000001</v>
      </c>
      <c r="E953" s="89">
        <v>133.38999899999999</v>
      </c>
      <c r="F953" s="89">
        <v>134.39999399999999</v>
      </c>
      <c r="G953" s="89">
        <v>106.33961499999999</v>
      </c>
      <c r="H953" s="89">
        <v>194100500</v>
      </c>
      <c r="J953" s="89">
        <v>0</v>
      </c>
      <c r="K953" s="89">
        <f t="shared" si="253"/>
        <v>88</v>
      </c>
      <c r="L953" s="89">
        <f t="shared" si="254"/>
        <v>112.621376</v>
      </c>
      <c r="M953" s="89">
        <f>+SPY__2[[#This Row],[Adj Close]]</f>
        <v>106.33961499999999</v>
      </c>
      <c r="N953" s="89">
        <f t="shared" si="249"/>
        <v>9357.8861199999992</v>
      </c>
      <c r="O953" s="90">
        <f t="shared" si="255"/>
        <v>-552.79496800000027</v>
      </c>
      <c r="P953" s="93">
        <f t="shared" si="251"/>
        <v>-5.5777697122081027E-2</v>
      </c>
      <c r="Q953" s="96"/>
      <c r="R953" s="96"/>
      <c r="T953" s="90">
        <f t="shared" si="245"/>
        <v>95</v>
      </c>
      <c r="U953" s="89">
        <f t="shared" si="246"/>
        <v>103.31428490526316</v>
      </c>
      <c r="V953" s="89">
        <f t="shared" si="247"/>
        <v>106.33961499999999</v>
      </c>
      <c r="W953" s="90">
        <f t="shared" si="252"/>
        <v>10102.263424999999</v>
      </c>
      <c r="X953" s="93">
        <f t="shared" si="248"/>
        <v>2.9282785991414428E-2</v>
      </c>
      <c r="AB953" s="89">
        <f t="shared" si="259"/>
        <v>195</v>
      </c>
      <c r="AC953" s="89">
        <f t="shared" si="260"/>
        <v>51.179276000000002</v>
      </c>
      <c r="AD953" s="89">
        <f t="shared" si="261"/>
        <v>106.33961499999999</v>
      </c>
      <c r="AE953" s="89">
        <f t="shared" si="262"/>
        <v>20736.224924999999</v>
      </c>
      <c r="AF953" s="90">
        <f t="shared" si="265"/>
        <v>10756.266104999999</v>
      </c>
      <c r="AG953" s="93">
        <f t="shared" si="266"/>
        <v>1.0777866220694485</v>
      </c>
      <c r="AK953" s="90">
        <f t="shared" si="263"/>
        <v>142</v>
      </c>
      <c r="AL953" s="89">
        <f t="shared" si="264"/>
        <v>68.865979063380294</v>
      </c>
      <c r="AM953" s="89">
        <f t="shared" si="256"/>
        <v>106.33961499999999</v>
      </c>
      <c r="AN953" s="90">
        <f t="shared" si="257"/>
        <v>15100.225329999999</v>
      </c>
      <c r="AO953" s="93">
        <f t="shared" si="258"/>
        <v>0.54415309919766219</v>
      </c>
    </row>
    <row r="954" spans="2:41" x14ac:dyDescent="0.25">
      <c r="B954" s="91">
        <v>40735</v>
      </c>
      <c r="C954" s="89">
        <v>132.75</v>
      </c>
      <c r="D954" s="89">
        <v>133.179993</v>
      </c>
      <c r="E954" s="89">
        <v>131.66000399999999</v>
      </c>
      <c r="F954" s="89">
        <v>131.970001</v>
      </c>
      <c r="G954" s="89">
        <v>104.416962</v>
      </c>
      <c r="H954" s="89">
        <v>195918600</v>
      </c>
      <c r="J954" s="89">
        <v>0</v>
      </c>
      <c r="K954" s="89">
        <f t="shared" si="253"/>
        <v>88</v>
      </c>
      <c r="L954" s="89">
        <f t="shared" si="254"/>
        <v>112.621376</v>
      </c>
      <c r="M954" s="89">
        <f>+SPY__2[[#This Row],[Adj Close]]</f>
        <v>104.416962</v>
      </c>
      <c r="N954" s="89">
        <f t="shared" si="249"/>
        <v>9188.6926559999993</v>
      </c>
      <c r="O954" s="90">
        <f t="shared" si="255"/>
        <v>-721.98843199999999</v>
      </c>
      <c r="P954" s="93">
        <f t="shared" si="251"/>
        <v>-7.2849527251380719E-2</v>
      </c>
      <c r="Q954" s="96"/>
      <c r="R954" s="96"/>
      <c r="T954" s="90">
        <f t="shared" si="245"/>
        <v>95</v>
      </c>
      <c r="U954" s="89">
        <f t="shared" si="246"/>
        <v>103.31428490526316</v>
      </c>
      <c r="V954" s="89">
        <f t="shared" si="247"/>
        <v>104.416962</v>
      </c>
      <c r="W954" s="90">
        <f t="shared" si="252"/>
        <v>9919.61139</v>
      </c>
      <c r="X954" s="93">
        <f t="shared" si="248"/>
        <v>1.0673036122235802E-2</v>
      </c>
      <c r="AB954" s="89">
        <f t="shared" si="259"/>
        <v>195</v>
      </c>
      <c r="AC954" s="89">
        <f t="shared" si="260"/>
        <v>51.179276000000002</v>
      </c>
      <c r="AD954" s="89">
        <f t="shared" si="261"/>
        <v>104.416962</v>
      </c>
      <c r="AE954" s="89">
        <f t="shared" si="262"/>
        <v>20361.30759</v>
      </c>
      <c r="AF954" s="90">
        <f t="shared" si="265"/>
        <v>10381.348769999999</v>
      </c>
      <c r="AG954" s="93">
        <f t="shared" si="266"/>
        <v>1.0402195998239598</v>
      </c>
      <c r="AK954" s="90">
        <f t="shared" si="263"/>
        <v>142</v>
      </c>
      <c r="AL954" s="89">
        <f t="shared" si="264"/>
        <v>68.865979063380294</v>
      </c>
      <c r="AM954" s="89">
        <f t="shared" si="256"/>
        <v>104.416962</v>
      </c>
      <c r="AN954" s="90">
        <f t="shared" si="257"/>
        <v>14827.208603999999</v>
      </c>
      <c r="AO954" s="93">
        <f t="shared" si="258"/>
        <v>0.51623433544596264</v>
      </c>
    </row>
    <row r="955" spans="2:41" x14ac:dyDescent="0.25">
      <c r="B955" s="91">
        <v>40736</v>
      </c>
      <c r="C955" s="89">
        <v>131.69000199999999</v>
      </c>
      <c r="D955" s="89">
        <v>132.779999</v>
      </c>
      <c r="E955" s="89">
        <v>131.36000100000001</v>
      </c>
      <c r="F955" s="89">
        <v>131.39999399999999</v>
      </c>
      <c r="G955" s="89">
        <v>103.965958</v>
      </c>
      <c r="H955" s="89">
        <v>214675700</v>
      </c>
      <c r="J955" s="89">
        <v>0</v>
      </c>
      <c r="K955" s="89">
        <f t="shared" si="253"/>
        <v>88</v>
      </c>
      <c r="L955" s="89">
        <f t="shared" si="254"/>
        <v>112.621376</v>
      </c>
      <c r="M955" s="89">
        <f>+SPY__2[[#This Row],[Adj Close]]</f>
        <v>103.965958</v>
      </c>
      <c r="N955" s="89">
        <f t="shared" si="249"/>
        <v>9149.004304</v>
      </c>
      <c r="O955" s="90">
        <f t="shared" si="255"/>
        <v>-761.67678399999977</v>
      </c>
      <c r="P955" s="93">
        <f t="shared" si="251"/>
        <v>-7.685413113759143E-2</v>
      </c>
      <c r="Q955" s="96"/>
      <c r="R955" s="96"/>
      <c r="T955" s="90">
        <f t="shared" si="245"/>
        <v>95</v>
      </c>
      <c r="U955" s="89">
        <f t="shared" si="246"/>
        <v>103.31428490526316</v>
      </c>
      <c r="V955" s="89">
        <f t="shared" si="247"/>
        <v>103.965958</v>
      </c>
      <c r="W955" s="90">
        <f t="shared" si="252"/>
        <v>9876.7660099999994</v>
      </c>
      <c r="X955" s="93">
        <f t="shared" si="248"/>
        <v>6.3076765747775987E-3</v>
      </c>
      <c r="AB955" s="89">
        <f t="shared" si="259"/>
        <v>195</v>
      </c>
      <c r="AC955" s="89">
        <f t="shared" si="260"/>
        <v>51.179276000000002</v>
      </c>
      <c r="AD955" s="89">
        <f t="shared" si="261"/>
        <v>103.965958</v>
      </c>
      <c r="AE955" s="89">
        <f t="shared" si="262"/>
        <v>20273.361809999999</v>
      </c>
      <c r="AF955" s="90">
        <f t="shared" si="265"/>
        <v>10293.402990000001</v>
      </c>
      <c r="AG955" s="93">
        <f t="shared" si="266"/>
        <v>1.031407361057628</v>
      </c>
      <c r="AK955" s="90">
        <f t="shared" si="263"/>
        <v>142</v>
      </c>
      <c r="AL955" s="89">
        <f t="shared" si="264"/>
        <v>68.865979063380294</v>
      </c>
      <c r="AM955" s="89">
        <f t="shared" si="256"/>
        <v>103.965958</v>
      </c>
      <c r="AN955" s="90">
        <f t="shared" si="257"/>
        <v>14763.166036000001</v>
      </c>
      <c r="AO955" s="93">
        <f t="shared" si="258"/>
        <v>0.5096853252360749</v>
      </c>
    </row>
    <row r="956" spans="2:41" x14ac:dyDescent="0.25">
      <c r="B956" s="91">
        <v>40737</v>
      </c>
      <c r="C956" s="89">
        <v>132.08999600000001</v>
      </c>
      <c r="D956" s="89">
        <v>133.220001</v>
      </c>
      <c r="E956" s="89">
        <v>131.520004</v>
      </c>
      <c r="F956" s="89">
        <v>131.83999600000001</v>
      </c>
      <c r="G956" s="89">
        <v>104.31410200000001</v>
      </c>
      <c r="H956" s="89">
        <v>204062600</v>
      </c>
      <c r="J956" s="89">
        <v>0</v>
      </c>
      <c r="K956" s="89">
        <f t="shared" si="253"/>
        <v>88</v>
      </c>
      <c r="L956" s="89">
        <f t="shared" si="254"/>
        <v>112.621376</v>
      </c>
      <c r="M956" s="89">
        <f>+SPY__2[[#This Row],[Adj Close]]</f>
        <v>104.31410200000001</v>
      </c>
      <c r="N956" s="89">
        <f t="shared" si="249"/>
        <v>9179.6409760000006</v>
      </c>
      <c r="O956" s="90">
        <f t="shared" si="255"/>
        <v>-731.04011199999934</v>
      </c>
      <c r="P956" s="93">
        <f t="shared" si="251"/>
        <v>-7.3762852977395599E-2</v>
      </c>
      <c r="Q956" s="96"/>
      <c r="R956" s="96"/>
      <c r="T956" s="90">
        <f t="shared" si="245"/>
        <v>95</v>
      </c>
      <c r="U956" s="89">
        <f t="shared" si="246"/>
        <v>103.31428490526316</v>
      </c>
      <c r="V956" s="89">
        <f t="shared" si="247"/>
        <v>104.31410200000001</v>
      </c>
      <c r="W956" s="90">
        <f t="shared" si="252"/>
        <v>9909.8396900000007</v>
      </c>
      <c r="X956" s="93">
        <f t="shared" si="248"/>
        <v>9.6774332383333661E-3</v>
      </c>
      <c r="AB956" s="89">
        <f t="shared" si="259"/>
        <v>195</v>
      </c>
      <c r="AC956" s="89">
        <f t="shared" si="260"/>
        <v>51.179276000000002</v>
      </c>
      <c r="AD956" s="89">
        <f t="shared" si="261"/>
        <v>104.31410200000001</v>
      </c>
      <c r="AE956" s="89">
        <f t="shared" si="262"/>
        <v>20341.249890000003</v>
      </c>
      <c r="AF956" s="90">
        <f t="shared" si="265"/>
        <v>10361.291070000001</v>
      </c>
      <c r="AG956" s="93">
        <f t="shared" si="266"/>
        <v>1.0382098019518682</v>
      </c>
      <c r="AK956" s="90">
        <f t="shared" si="263"/>
        <v>142</v>
      </c>
      <c r="AL956" s="89">
        <f t="shared" si="264"/>
        <v>68.865979063380294</v>
      </c>
      <c r="AM956" s="89">
        <f t="shared" si="256"/>
        <v>104.31410200000001</v>
      </c>
      <c r="AN956" s="90">
        <f t="shared" si="257"/>
        <v>14812.602484000001</v>
      </c>
      <c r="AO956" s="93">
        <f t="shared" si="258"/>
        <v>0.5147407096905614</v>
      </c>
    </row>
    <row r="957" spans="2:41" x14ac:dyDescent="0.25">
      <c r="B957" s="91">
        <v>40738</v>
      </c>
      <c r="C957" s="89">
        <v>132.16999799999999</v>
      </c>
      <c r="D957" s="89">
        <v>132.779999</v>
      </c>
      <c r="E957" s="89">
        <v>130.679993</v>
      </c>
      <c r="F957" s="89">
        <v>130.929993</v>
      </c>
      <c r="G957" s="89">
        <v>103.594109</v>
      </c>
      <c r="H957" s="89">
        <v>226111800</v>
      </c>
      <c r="J957" s="89">
        <v>0</v>
      </c>
      <c r="K957" s="89">
        <f t="shared" si="253"/>
        <v>88</v>
      </c>
      <c r="L957" s="89">
        <f t="shared" si="254"/>
        <v>112.621376</v>
      </c>
      <c r="M957" s="89">
        <f>+SPY__2[[#This Row],[Adj Close]]</f>
        <v>103.594109</v>
      </c>
      <c r="N957" s="89">
        <f t="shared" si="249"/>
        <v>9116.2815919999994</v>
      </c>
      <c r="O957" s="90">
        <f t="shared" si="255"/>
        <v>-794.39949599999954</v>
      </c>
      <c r="P957" s="93">
        <f t="shared" si="251"/>
        <v>-8.0155893318156535E-2</v>
      </c>
      <c r="Q957" s="96"/>
      <c r="R957" s="96"/>
      <c r="T957" s="90">
        <f t="shared" si="245"/>
        <v>95</v>
      </c>
      <c r="U957" s="89">
        <f t="shared" si="246"/>
        <v>103.31428490526316</v>
      </c>
      <c r="V957" s="89">
        <f t="shared" si="247"/>
        <v>103.594109</v>
      </c>
      <c r="W957" s="90">
        <f t="shared" si="252"/>
        <v>9841.4403550000006</v>
      </c>
      <c r="X957" s="93">
        <f t="shared" si="248"/>
        <v>2.7084743895138264E-3</v>
      </c>
      <c r="AB957" s="89">
        <f t="shared" si="259"/>
        <v>195</v>
      </c>
      <c r="AC957" s="89">
        <f t="shared" si="260"/>
        <v>51.179276000000002</v>
      </c>
      <c r="AD957" s="89">
        <f t="shared" si="261"/>
        <v>103.594109</v>
      </c>
      <c r="AE957" s="89">
        <f t="shared" si="262"/>
        <v>20200.851255000001</v>
      </c>
      <c r="AF957" s="90">
        <f t="shared" si="265"/>
        <v>10220.892435</v>
      </c>
      <c r="AG957" s="93">
        <f t="shared" si="266"/>
        <v>1.0241417444045124</v>
      </c>
      <c r="AK957" s="90">
        <f t="shared" si="263"/>
        <v>142</v>
      </c>
      <c r="AL957" s="89">
        <f t="shared" si="264"/>
        <v>68.865979063380294</v>
      </c>
      <c r="AM957" s="89">
        <f t="shared" si="256"/>
        <v>103.594109</v>
      </c>
      <c r="AN957" s="90">
        <f t="shared" si="257"/>
        <v>14710.363478000001</v>
      </c>
      <c r="AO957" s="93">
        <f t="shared" si="258"/>
        <v>0.50428572146862161</v>
      </c>
    </row>
    <row r="958" spans="2:41" x14ac:dyDescent="0.25">
      <c r="B958" s="91">
        <v>40739</v>
      </c>
      <c r="C958" s="89">
        <v>131.66000399999999</v>
      </c>
      <c r="D958" s="89">
        <v>131.86999499999999</v>
      </c>
      <c r="E958" s="89">
        <v>130.770004</v>
      </c>
      <c r="F958" s="89">
        <v>131.69000199999999</v>
      </c>
      <c r="G958" s="89">
        <v>104.195419</v>
      </c>
      <c r="H958" s="89">
        <v>220012800</v>
      </c>
      <c r="J958" s="89">
        <v>0</v>
      </c>
      <c r="K958" s="89">
        <f t="shared" si="253"/>
        <v>88</v>
      </c>
      <c r="L958" s="89">
        <f t="shared" si="254"/>
        <v>112.621376</v>
      </c>
      <c r="M958" s="89">
        <f>+SPY__2[[#This Row],[Adj Close]]</f>
        <v>104.195419</v>
      </c>
      <c r="N958" s="89">
        <f t="shared" si="249"/>
        <v>9169.1968720000004</v>
      </c>
      <c r="O958" s="90">
        <f t="shared" si="255"/>
        <v>-741.48421599999972</v>
      </c>
      <c r="P958" s="93">
        <f t="shared" si="251"/>
        <v>-7.4816676010067584E-2</v>
      </c>
      <c r="Q958" s="96"/>
      <c r="R958" s="96"/>
      <c r="T958" s="90">
        <f t="shared" si="245"/>
        <v>95</v>
      </c>
      <c r="U958" s="89">
        <f t="shared" si="246"/>
        <v>103.31428490526316</v>
      </c>
      <c r="V958" s="89">
        <f t="shared" si="247"/>
        <v>104.195419</v>
      </c>
      <c r="W958" s="90">
        <f t="shared" si="252"/>
        <v>9898.564805</v>
      </c>
      <c r="X958" s="93">
        <f t="shared" si="248"/>
        <v>8.5286763156209311E-3</v>
      </c>
      <c r="AB958" s="89">
        <f t="shared" si="259"/>
        <v>195</v>
      </c>
      <c r="AC958" s="89">
        <f t="shared" si="260"/>
        <v>51.179276000000002</v>
      </c>
      <c r="AD958" s="89">
        <f t="shared" si="261"/>
        <v>104.195419</v>
      </c>
      <c r="AE958" s="89">
        <f t="shared" si="262"/>
        <v>20318.106705000002</v>
      </c>
      <c r="AF958" s="90">
        <f t="shared" si="265"/>
        <v>10338.147885</v>
      </c>
      <c r="AG958" s="93">
        <f t="shared" si="266"/>
        <v>1.0358908359704033</v>
      </c>
      <c r="AK958" s="90">
        <f t="shared" si="263"/>
        <v>142</v>
      </c>
      <c r="AL958" s="89">
        <f t="shared" si="264"/>
        <v>68.865979063380294</v>
      </c>
      <c r="AM958" s="89">
        <f t="shared" si="256"/>
        <v>104.195419</v>
      </c>
      <c r="AN958" s="90">
        <f t="shared" si="257"/>
        <v>14795.749498000001</v>
      </c>
      <c r="AO958" s="93">
        <f t="shared" si="258"/>
        <v>0.51301731881433832</v>
      </c>
    </row>
    <row r="959" spans="2:41" x14ac:dyDescent="0.25">
      <c r="B959" s="91">
        <v>40742</v>
      </c>
      <c r="C959" s="89">
        <v>131.08000200000001</v>
      </c>
      <c r="D959" s="89">
        <v>131.279999</v>
      </c>
      <c r="E959" s="89">
        <v>129.63000500000001</v>
      </c>
      <c r="F959" s="89">
        <v>130.61000100000001</v>
      </c>
      <c r="G959" s="89">
        <v>103.34092699999999</v>
      </c>
      <c r="H959" s="89">
        <v>196872100</v>
      </c>
      <c r="J959" s="89">
        <v>0</v>
      </c>
      <c r="K959" s="89">
        <f t="shared" si="253"/>
        <v>88</v>
      </c>
      <c r="L959" s="89">
        <f t="shared" si="254"/>
        <v>112.621376</v>
      </c>
      <c r="M959" s="89">
        <f>+SPY__2[[#This Row],[Adj Close]]</f>
        <v>103.34092699999999</v>
      </c>
      <c r="N959" s="89">
        <f t="shared" si="249"/>
        <v>9094.0015759999987</v>
      </c>
      <c r="O959" s="90">
        <f t="shared" si="255"/>
        <v>-816.67951200000039</v>
      </c>
      <c r="P959" s="93">
        <f t="shared" si="251"/>
        <v>-8.2403974534994151E-2</v>
      </c>
      <c r="Q959" s="96"/>
      <c r="R959" s="96"/>
      <c r="T959" s="90">
        <f t="shared" si="245"/>
        <v>95</v>
      </c>
      <c r="U959" s="89">
        <f t="shared" si="246"/>
        <v>103.31428490526316</v>
      </c>
      <c r="V959" s="89">
        <f t="shared" si="247"/>
        <v>103.34092699999999</v>
      </c>
      <c r="W959" s="90">
        <f t="shared" si="252"/>
        <v>9817.3880649999992</v>
      </c>
      <c r="X959" s="93">
        <f t="shared" si="248"/>
        <v>2.578742597043604E-4</v>
      </c>
      <c r="AB959" s="89">
        <f t="shared" si="259"/>
        <v>195</v>
      </c>
      <c r="AC959" s="89">
        <f t="shared" si="260"/>
        <v>51.179276000000002</v>
      </c>
      <c r="AD959" s="89">
        <f t="shared" si="261"/>
        <v>103.34092699999999</v>
      </c>
      <c r="AE959" s="89">
        <f t="shared" si="262"/>
        <v>20151.480765</v>
      </c>
      <c r="AF959" s="90">
        <f t="shared" si="265"/>
        <v>10171.521944999999</v>
      </c>
      <c r="AG959" s="93">
        <f t="shared" si="266"/>
        <v>1.0191947811063211</v>
      </c>
      <c r="AK959" s="90">
        <f t="shared" si="263"/>
        <v>142</v>
      </c>
      <c r="AL959" s="89">
        <f t="shared" si="264"/>
        <v>68.865979063380294</v>
      </c>
      <c r="AM959" s="89">
        <f t="shared" si="256"/>
        <v>103.34092699999999</v>
      </c>
      <c r="AN959" s="90">
        <f t="shared" si="257"/>
        <v>14674.411633999998</v>
      </c>
      <c r="AO959" s="93">
        <f t="shared" si="258"/>
        <v>0.50060927624206042</v>
      </c>
    </row>
    <row r="960" spans="2:41" x14ac:dyDescent="0.25">
      <c r="B960" s="91">
        <v>40743</v>
      </c>
      <c r="C960" s="89">
        <v>131.33999600000001</v>
      </c>
      <c r="D960" s="89">
        <v>132.88999899999999</v>
      </c>
      <c r="E960" s="89">
        <v>131.30999800000001</v>
      </c>
      <c r="F960" s="89">
        <v>132.729996</v>
      </c>
      <c r="G960" s="89">
        <v>105.018303</v>
      </c>
      <c r="H960" s="89">
        <v>166554900</v>
      </c>
      <c r="J960" s="89">
        <v>0</v>
      </c>
      <c r="K960" s="89">
        <f t="shared" si="253"/>
        <v>88</v>
      </c>
      <c r="L960" s="89">
        <f t="shared" si="254"/>
        <v>112.621376</v>
      </c>
      <c r="M960" s="89">
        <f>+SPY__2[[#This Row],[Adj Close]]</f>
        <v>105.018303</v>
      </c>
      <c r="N960" s="89">
        <f t="shared" si="249"/>
        <v>9241.6106639999998</v>
      </c>
      <c r="O960" s="90">
        <f t="shared" si="255"/>
        <v>-669.07042399999955</v>
      </c>
      <c r="P960" s="93">
        <f t="shared" si="251"/>
        <v>-6.7510034684712061E-2</v>
      </c>
      <c r="Q960" s="96"/>
      <c r="R960" s="96"/>
      <c r="T960" s="90">
        <f t="shared" si="245"/>
        <v>95</v>
      </c>
      <c r="U960" s="89">
        <f t="shared" si="246"/>
        <v>103.31428490526316</v>
      </c>
      <c r="V960" s="89">
        <f t="shared" si="247"/>
        <v>105.018303</v>
      </c>
      <c r="W960" s="90">
        <f t="shared" si="252"/>
        <v>9976.7387849999996</v>
      </c>
      <c r="X960" s="93">
        <f t="shared" si="248"/>
        <v>1.6493538103655059E-2</v>
      </c>
      <c r="AB960" s="89">
        <f t="shared" si="259"/>
        <v>195</v>
      </c>
      <c r="AC960" s="89">
        <f t="shared" si="260"/>
        <v>51.179276000000002</v>
      </c>
      <c r="AD960" s="89">
        <f t="shared" si="261"/>
        <v>105.018303</v>
      </c>
      <c r="AE960" s="89">
        <f t="shared" si="262"/>
        <v>20478.569084999999</v>
      </c>
      <c r="AF960" s="90">
        <f t="shared" si="265"/>
        <v>10498.610265000001</v>
      </c>
      <c r="AG960" s="93">
        <f t="shared" si="266"/>
        <v>1.0519692971037728</v>
      </c>
      <c r="AK960" s="90">
        <f t="shared" si="263"/>
        <v>142</v>
      </c>
      <c r="AL960" s="89">
        <f t="shared" si="264"/>
        <v>68.865979063380294</v>
      </c>
      <c r="AM960" s="89">
        <f t="shared" si="256"/>
        <v>105.018303</v>
      </c>
      <c r="AN960" s="90">
        <f t="shared" si="257"/>
        <v>14912.599026</v>
      </c>
      <c r="AO960" s="93">
        <f t="shared" si="258"/>
        <v>0.5249663829413822</v>
      </c>
    </row>
    <row r="961" spans="2:41" x14ac:dyDescent="0.25">
      <c r="B961" s="91">
        <v>40744</v>
      </c>
      <c r="C961" s="89">
        <v>133.070007</v>
      </c>
      <c r="D961" s="89">
        <v>133.14999399999999</v>
      </c>
      <c r="E961" s="89">
        <v>132.41999799999999</v>
      </c>
      <c r="F961" s="89">
        <v>132.64999399999999</v>
      </c>
      <c r="G961" s="89">
        <v>104.954956</v>
      </c>
      <c r="H961" s="89">
        <v>137145400</v>
      </c>
      <c r="J961" s="89">
        <v>0</v>
      </c>
      <c r="K961" s="89">
        <f t="shared" si="253"/>
        <v>88</v>
      </c>
      <c r="L961" s="89">
        <f t="shared" si="254"/>
        <v>112.621376</v>
      </c>
      <c r="M961" s="89">
        <f>+SPY__2[[#This Row],[Adj Close]]</f>
        <v>104.954956</v>
      </c>
      <c r="N961" s="89">
        <f t="shared" si="249"/>
        <v>9236.0361279999997</v>
      </c>
      <c r="O961" s="90">
        <f t="shared" si="255"/>
        <v>-674.6449600000002</v>
      </c>
      <c r="P961" s="93">
        <f t="shared" si="251"/>
        <v>-6.8072512273336105E-2</v>
      </c>
      <c r="Q961" s="96"/>
      <c r="R961" s="96"/>
      <c r="T961" s="90">
        <f t="shared" si="245"/>
        <v>95</v>
      </c>
      <c r="U961" s="89">
        <f t="shared" si="246"/>
        <v>103.31428490526316</v>
      </c>
      <c r="V961" s="89">
        <f t="shared" si="247"/>
        <v>104.954956</v>
      </c>
      <c r="W961" s="90">
        <f t="shared" si="252"/>
        <v>9970.7208200000005</v>
      </c>
      <c r="X961" s="93">
        <f t="shared" si="248"/>
        <v>1.5880389592216604E-2</v>
      </c>
      <c r="AB961" s="89">
        <f t="shared" si="259"/>
        <v>195</v>
      </c>
      <c r="AC961" s="89">
        <f t="shared" si="260"/>
        <v>51.179276000000002</v>
      </c>
      <c r="AD961" s="89">
        <f t="shared" si="261"/>
        <v>104.954956</v>
      </c>
      <c r="AE961" s="89">
        <f t="shared" si="262"/>
        <v>20466.216420000001</v>
      </c>
      <c r="AF961" s="90">
        <f t="shared" si="265"/>
        <v>10486.257599999999</v>
      </c>
      <c r="AG961" s="93">
        <f t="shared" si="266"/>
        <v>1.0507315500125478</v>
      </c>
      <c r="AK961" s="90">
        <f t="shared" si="263"/>
        <v>142</v>
      </c>
      <c r="AL961" s="89">
        <f t="shared" si="264"/>
        <v>68.865979063380294</v>
      </c>
      <c r="AM961" s="89">
        <f t="shared" si="256"/>
        <v>104.954956</v>
      </c>
      <c r="AN961" s="90">
        <f t="shared" si="257"/>
        <v>14903.603751999999</v>
      </c>
      <c r="AO961" s="93">
        <f t="shared" si="258"/>
        <v>0.52404652380539729</v>
      </c>
    </row>
    <row r="962" spans="2:41" x14ac:dyDescent="0.25">
      <c r="B962" s="91">
        <v>40745</v>
      </c>
      <c r="C962" s="89">
        <v>133.39999399999999</v>
      </c>
      <c r="D962" s="89">
        <v>134.820007</v>
      </c>
      <c r="E962" s="89">
        <v>132.66999799999999</v>
      </c>
      <c r="F962" s="89">
        <v>134.490005</v>
      </c>
      <c r="G962" s="89">
        <v>106.41081200000001</v>
      </c>
      <c r="H962" s="89">
        <v>245246300</v>
      </c>
      <c r="J962" s="89">
        <v>0</v>
      </c>
      <c r="K962" s="89">
        <f t="shared" si="253"/>
        <v>88</v>
      </c>
      <c r="L962" s="89">
        <f t="shared" si="254"/>
        <v>112.621376</v>
      </c>
      <c r="M962" s="89">
        <f>+SPY__2[[#This Row],[Adj Close]]</f>
        <v>106.41081200000001</v>
      </c>
      <c r="N962" s="89">
        <f t="shared" si="249"/>
        <v>9364.1514560000014</v>
      </c>
      <c r="O962" s="90">
        <f t="shared" si="255"/>
        <v>-546.5296319999992</v>
      </c>
      <c r="P962" s="93">
        <f t="shared" si="251"/>
        <v>-5.5145516957633256E-2</v>
      </c>
      <c r="Q962" s="96"/>
      <c r="R962" s="96"/>
      <c r="T962" s="90">
        <f t="shared" ref="T962:T1025" si="267">+T961</f>
        <v>95</v>
      </c>
      <c r="U962" s="89">
        <f t="shared" ref="U962:U1025" si="268">+U961</f>
        <v>103.31428490526316</v>
      </c>
      <c r="V962" s="89">
        <f t="shared" si="247"/>
        <v>106.41081200000001</v>
      </c>
      <c r="W962" s="90">
        <f t="shared" si="252"/>
        <v>10109.02714</v>
      </c>
      <c r="X962" s="93">
        <f t="shared" si="248"/>
        <v>2.997191625123552E-2</v>
      </c>
      <c r="AB962" s="89">
        <f t="shared" si="259"/>
        <v>195</v>
      </c>
      <c r="AC962" s="89">
        <f t="shared" si="260"/>
        <v>51.179276000000002</v>
      </c>
      <c r="AD962" s="89">
        <f t="shared" si="261"/>
        <v>106.41081200000001</v>
      </c>
      <c r="AE962" s="89">
        <f t="shared" si="262"/>
        <v>20750.108340000002</v>
      </c>
      <c r="AF962" s="90">
        <f t="shared" si="265"/>
        <v>10770.149520000001</v>
      </c>
      <c r="AG962" s="93">
        <f t="shared" si="266"/>
        <v>1.0791777515570953</v>
      </c>
      <c r="AK962" s="90">
        <f t="shared" si="263"/>
        <v>142</v>
      </c>
      <c r="AL962" s="89">
        <f t="shared" si="264"/>
        <v>68.865979063380294</v>
      </c>
      <c r="AM962" s="89">
        <f t="shared" si="256"/>
        <v>106.41081200000001</v>
      </c>
      <c r="AN962" s="90">
        <f t="shared" si="257"/>
        <v>15110.335304</v>
      </c>
      <c r="AO962" s="93">
        <f t="shared" si="258"/>
        <v>0.54518694785513189</v>
      </c>
    </row>
    <row r="963" spans="2:41" x14ac:dyDescent="0.25">
      <c r="B963" s="91">
        <v>40746</v>
      </c>
      <c r="C963" s="89">
        <v>134.520004</v>
      </c>
      <c r="D963" s="89">
        <v>134.720001</v>
      </c>
      <c r="E963" s="89">
        <v>133.759995</v>
      </c>
      <c r="F963" s="89">
        <v>134.58000200000001</v>
      </c>
      <c r="G963" s="89">
        <v>106.482033</v>
      </c>
      <c r="H963" s="89">
        <v>126019400</v>
      </c>
      <c r="J963" s="89">
        <v>0</v>
      </c>
      <c r="K963" s="89">
        <f t="shared" si="253"/>
        <v>88</v>
      </c>
      <c r="L963" s="89">
        <f t="shared" si="254"/>
        <v>112.621376</v>
      </c>
      <c r="M963" s="89">
        <f>+SPY__2[[#This Row],[Adj Close]]</f>
        <v>106.482033</v>
      </c>
      <c r="N963" s="89">
        <f t="shared" si="249"/>
        <v>9370.4189040000001</v>
      </c>
      <c r="O963" s="90">
        <f t="shared" si="255"/>
        <v>-540.26218399999971</v>
      </c>
      <c r="P963" s="93">
        <f t="shared" si="251"/>
        <v>-5.4513123689769127E-2</v>
      </c>
      <c r="Q963" s="96"/>
      <c r="R963" s="96"/>
      <c r="T963" s="90">
        <f t="shared" si="267"/>
        <v>95</v>
      </c>
      <c r="U963" s="89">
        <f t="shared" si="268"/>
        <v>103.31428490526316</v>
      </c>
      <c r="V963" s="89">
        <f t="shared" ref="V963:V1026" si="269">+M963</f>
        <v>106.482033</v>
      </c>
      <c r="W963" s="90">
        <f t="shared" si="252"/>
        <v>10115.793135</v>
      </c>
      <c r="X963" s="93">
        <f t="shared" ref="X963:X1026" si="270">+W963/(U963*T963)-1</f>
        <v>3.066127881194336E-2</v>
      </c>
      <c r="AB963" s="89">
        <f t="shared" si="259"/>
        <v>195</v>
      </c>
      <c r="AC963" s="89">
        <f t="shared" si="260"/>
        <v>51.179276000000002</v>
      </c>
      <c r="AD963" s="89">
        <f t="shared" si="261"/>
        <v>106.482033</v>
      </c>
      <c r="AE963" s="89">
        <f t="shared" si="262"/>
        <v>20763.996435000001</v>
      </c>
      <c r="AF963" s="90">
        <f t="shared" si="265"/>
        <v>10784.037614999999</v>
      </c>
      <c r="AG963" s="93">
        <f t="shared" si="266"/>
        <v>1.0805693499845521</v>
      </c>
      <c r="AK963" s="90">
        <f t="shared" si="263"/>
        <v>142</v>
      </c>
      <c r="AL963" s="89">
        <f t="shared" si="264"/>
        <v>68.865979063380294</v>
      </c>
      <c r="AM963" s="89">
        <f t="shared" si="256"/>
        <v>106.482033</v>
      </c>
      <c r="AN963" s="90">
        <f t="shared" si="257"/>
        <v>15120.448686</v>
      </c>
      <c r="AO963" s="93">
        <f t="shared" si="258"/>
        <v>0.54622114501559693</v>
      </c>
    </row>
    <row r="964" spans="2:41" x14ac:dyDescent="0.25">
      <c r="B964" s="91">
        <v>40749</v>
      </c>
      <c r="C964" s="89">
        <v>133.300003</v>
      </c>
      <c r="D964" s="89">
        <v>134.490005</v>
      </c>
      <c r="E964" s="89">
        <v>133.16000399999999</v>
      </c>
      <c r="F964" s="89">
        <v>133.83000200000001</v>
      </c>
      <c r="G964" s="89">
        <v>105.88861799999999</v>
      </c>
      <c r="H964" s="89">
        <v>136653800</v>
      </c>
      <c r="J964" s="89">
        <v>0</v>
      </c>
      <c r="K964" s="89">
        <f t="shared" si="253"/>
        <v>88</v>
      </c>
      <c r="L964" s="89">
        <f t="shared" si="254"/>
        <v>112.621376</v>
      </c>
      <c r="M964" s="89">
        <f>+SPY__2[[#This Row],[Adj Close]]</f>
        <v>105.88861799999999</v>
      </c>
      <c r="N964" s="89">
        <f t="shared" ref="N964:N1027" si="271">+K964*M964</f>
        <v>9318.1983839999994</v>
      </c>
      <c r="O964" s="90">
        <f t="shared" ref="O964:O1027" si="272">+(M964-L964)*K964</f>
        <v>-592.48270400000035</v>
      </c>
      <c r="P964" s="93">
        <f t="shared" ref="P964:P1027" si="273">+M964/L964-1</f>
        <v>-5.9782238853128611E-2</v>
      </c>
      <c r="Q964" s="96"/>
      <c r="R964" s="96"/>
      <c r="T964" s="90">
        <f t="shared" si="267"/>
        <v>95</v>
      </c>
      <c r="U964" s="89">
        <f t="shared" si="268"/>
        <v>103.31428490526316</v>
      </c>
      <c r="V964" s="89">
        <f t="shared" si="269"/>
        <v>105.88861799999999</v>
      </c>
      <c r="W964" s="90">
        <f t="shared" ref="W964:W1027" si="274">+V964*T964</f>
        <v>10059.41871</v>
      </c>
      <c r="X964" s="93">
        <f t="shared" si="270"/>
        <v>2.4917494198381629E-2</v>
      </c>
      <c r="AB964" s="89">
        <f t="shared" si="259"/>
        <v>195</v>
      </c>
      <c r="AC964" s="89">
        <f t="shared" si="260"/>
        <v>51.179276000000002</v>
      </c>
      <c r="AD964" s="89">
        <f t="shared" si="261"/>
        <v>105.88861799999999</v>
      </c>
      <c r="AE964" s="89">
        <f t="shared" si="262"/>
        <v>20648.280510000001</v>
      </c>
      <c r="AF964" s="90">
        <f t="shared" si="265"/>
        <v>10668.321689999999</v>
      </c>
      <c r="AG964" s="93">
        <f t="shared" si="266"/>
        <v>1.0689745200772278</v>
      </c>
      <c r="AK964" s="90">
        <f t="shared" si="263"/>
        <v>142</v>
      </c>
      <c r="AL964" s="89">
        <f t="shared" si="264"/>
        <v>68.865979063380294</v>
      </c>
      <c r="AM964" s="89">
        <f t="shared" si="256"/>
        <v>105.88861799999999</v>
      </c>
      <c r="AN964" s="90">
        <f t="shared" si="257"/>
        <v>15036.183755999999</v>
      </c>
      <c r="AO964" s="93">
        <f t="shared" si="258"/>
        <v>0.53760419063448128</v>
      </c>
    </row>
    <row r="965" spans="2:41" x14ac:dyDescent="0.25">
      <c r="B965" s="91">
        <v>40750</v>
      </c>
      <c r="C965" s="89">
        <v>133.740005</v>
      </c>
      <c r="D965" s="89">
        <v>133.96000699999999</v>
      </c>
      <c r="E965" s="89">
        <v>133.029999</v>
      </c>
      <c r="F965" s="89">
        <v>133.33000200000001</v>
      </c>
      <c r="G965" s="89">
        <v>105.49298899999999</v>
      </c>
      <c r="H965" s="89">
        <v>131278200</v>
      </c>
      <c r="J965" s="89">
        <v>0</v>
      </c>
      <c r="K965" s="89">
        <f t="shared" ref="K965:K1028" si="275">+$K$3</f>
        <v>88</v>
      </c>
      <c r="L965" s="89">
        <f t="shared" ref="L965:L1028" si="276">+$L$3</f>
        <v>112.621376</v>
      </c>
      <c r="M965" s="89">
        <f>+SPY__2[[#This Row],[Adj Close]]</f>
        <v>105.49298899999999</v>
      </c>
      <c r="N965" s="89">
        <f t="shared" si="271"/>
        <v>9283.3830319999997</v>
      </c>
      <c r="O965" s="90">
        <f t="shared" si="272"/>
        <v>-627.29805600000032</v>
      </c>
      <c r="P965" s="93">
        <f t="shared" si="273"/>
        <v>-6.3295151002239591E-2</v>
      </c>
      <c r="Q965" s="96"/>
      <c r="R965" s="96"/>
      <c r="T965" s="90">
        <f t="shared" si="267"/>
        <v>95</v>
      </c>
      <c r="U965" s="89">
        <f t="shared" si="268"/>
        <v>103.31428490526316</v>
      </c>
      <c r="V965" s="89">
        <f t="shared" si="269"/>
        <v>105.49298899999999</v>
      </c>
      <c r="W965" s="90">
        <f t="shared" si="274"/>
        <v>10021.833955</v>
      </c>
      <c r="X965" s="93">
        <f t="shared" si="270"/>
        <v>2.1088120551138401E-2</v>
      </c>
      <c r="AB965" s="89">
        <f t="shared" si="259"/>
        <v>195</v>
      </c>
      <c r="AC965" s="89">
        <f t="shared" si="260"/>
        <v>51.179276000000002</v>
      </c>
      <c r="AD965" s="89">
        <f t="shared" si="261"/>
        <v>105.49298899999999</v>
      </c>
      <c r="AE965" s="89">
        <f t="shared" si="262"/>
        <v>20571.132855</v>
      </c>
      <c r="AF965" s="90">
        <f t="shared" si="265"/>
        <v>10591.174034999998</v>
      </c>
      <c r="AG965" s="93">
        <f t="shared" si="266"/>
        <v>1.0612442622283282</v>
      </c>
      <c r="AK965" s="90">
        <f t="shared" si="263"/>
        <v>142</v>
      </c>
      <c r="AL965" s="89">
        <f t="shared" si="264"/>
        <v>68.865979063380294</v>
      </c>
      <c r="AM965" s="89">
        <f t="shared" si="256"/>
        <v>105.49298899999999</v>
      </c>
      <c r="AN965" s="90">
        <f t="shared" si="257"/>
        <v>14980.004438</v>
      </c>
      <c r="AO965" s="93">
        <f t="shared" si="258"/>
        <v>0.5318592784821996</v>
      </c>
    </row>
    <row r="966" spans="2:41" x14ac:dyDescent="0.25">
      <c r="B966" s="91">
        <v>40751</v>
      </c>
      <c r="C966" s="89">
        <v>132.58999600000001</v>
      </c>
      <c r="D966" s="89">
        <v>132.63000500000001</v>
      </c>
      <c r="E966" s="89">
        <v>130.429993</v>
      </c>
      <c r="F966" s="89">
        <v>130.60000600000001</v>
      </c>
      <c r="G966" s="89">
        <v>103.332993</v>
      </c>
      <c r="H966" s="89">
        <v>249020100</v>
      </c>
      <c r="J966" s="89">
        <v>0</v>
      </c>
      <c r="K966" s="89">
        <f t="shared" si="275"/>
        <v>88</v>
      </c>
      <c r="L966" s="89">
        <f t="shared" si="276"/>
        <v>112.621376</v>
      </c>
      <c r="M966" s="89">
        <f>+SPY__2[[#This Row],[Adj Close]]</f>
        <v>103.332993</v>
      </c>
      <c r="N966" s="89">
        <f t="shared" si="271"/>
        <v>9093.3033840000007</v>
      </c>
      <c r="O966" s="90">
        <f t="shared" si="272"/>
        <v>-817.37770399999965</v>
      </c>
      <c r="P966" s="93">
        <f t="shared" si="273"/>
        <v>-8.247442297277563E-2</v>
      </c>
      <c r="Q966" s="96"/>
      <c r="R966" s="96"/>
      <c r="T966" s="90">
        <f t="shared" si="267"/>
        <v>95</v>
      </c>
      <c r="U966" s="89">
        <f t="shared" si="268"/>
        <v>103.31428490526316</v>
      </c>
      <c r="V966" s="89">
        <f t="shared" si="269"/>
        <v>103.332993</v>
      </c>
      <c r="W966" s="90">
        <f t="shared" si="274"/>
        <v>9816.6343350000006</v>
      </c>
      <c r="X966" s="93">
        <f t="shared" si="270"/>
        <v>1.8107945821821403E-4</v>
      </c>
      <c r="AB966" s="89">
        <f t="shared" si="259"/>
        <v>195</v>
      </c>
      <c r="AC966" s="89">
        <f t="shared" si="260"/>
        <v>51.179276000000002</v>
      </c>
      <c r="AD966" s="89">
        <f t="shared" si="261"/>
        <v>103.332993</v>
      </c>
      <c r="AE966" s="89">
        <f t="shared" si="262"/>
        <v>20149.933635000001</v>
      </c>
      <c r="AF966" s="90">
        <f t="shared" si="265"/>
        <v>10169.974815</v>
      </c>
      <c r="AG966" s="93">
        <f t="shared" si="266"/>
        <v>1.0190397574205621</v>
      </c>
      <c r="AK966" s="90">
        <f t="shared" si="263"/>
        <v>142</v>
      </c>
      <c r="AL966" s="89">
        <f t="shared" si="264"/>
        <v>68.865979063380294</v>
      </c>
      <c r="AM966" s="89">
        <f t="shared" si="256"/>
        <v>103.332993</v>
      </c>
      <c r="AN966" s="90">
        <f t="shared" si="257"/>
        <v>14673.285006</v>
      </c>
      <c r="AO966" s="93">
        <f t="shared" si="258"/>
        <v>0.50049406696009147</v>
      </c>
    </row>
    <row r="967" spans="2:41" x14ac:dyDescent="0.25">
      <c r="B967" s="91">
        <v>40752</v>
      </c>
      <c r="C967" s="89">
        <v>130.60000600000001</v>
      </c>
      <c r="D967" s="89">
        <v>131.770004</v>
      </c>
      <c r="E967" s="89">
        <v>130.009995</v>
      </c>
      <c r="F967" s="89">
        <v>130.220001</v>
      </c>
      <c r="G967" s="89">
        <v>103.03231</v>
      </c>
      <c r="H967" s="89">
        <v>207939900</v>
      </c>
      <c r="J967" s="89">
        <v>0</v>
      </c>
      <c r="K967" s="89">
        <f t="shared" si="275"/>
        <v>88</v>
      </c>
      <c r="L967" s="89">
        <f t="shared" si="276"/>
        <v>112.621376</v>
      </c>
      <c r="M967" s="89">
        <f>+SPY__2[[#This Row],[Adj Close]]</f>
        <v>103.03231</v>
      </c>
      <c r="N967" s="89">
        <f t="shared" si="271"/>
        <v>9066.8432799999991</v>
      </c>
      <c r="O967" s="90">
        <f t="shared" si="272"/>
        <v>-843.83780800000022</v>
      </c>
      <c r="P967" s="93">
        <f t="shared" si="273"/>
        <v>-8.5144280247472781E-2</v>
      </c>
      <c r="Q967" s="96"/>
      <c r="R967" s="96"/>
      <c r="T967" s="90">
        <f t="shared" si="267"/>
        <v>95</v>
      </c>
      <c r="U967" s="89">
        <f t="shared" si="268"/>
        <v>103.31428490526316</v>
      </c>
      <c r="V967" s="89">
        <f t="shared" si="269"/>
        <v>103.03231</v>
      </c>
      <c r="W967" s="90">
        <f t="shared" si="274"/>
        <v>9788.0694499999991</v>
      </c>
      <c r="X967" s="93">
        <f t="shared" si="270"/>
        <v>-2.7292925225368414E-3</v>
      </c>
      <c r="AB967" s="89">
        <f t="shared" si="259"/>
        <v>195</v>
      </c>
      <c r="AC967" s="89">
        <f t="shared" si="260"/>
        <v>51.179276000000002</v>
      </c>
      <c r="AD967" s="89">
        <f t="shared" si="261"/>
        <v>103.03231</v>
      </c>
      <c r="AE967" s="89">
        <f t="shared" si="262"/>
        <v>20091.300449999999</v>
      </c>
      <c r="AF967" s="90">
        <f t="shared" si="265"/>
        <v>10111.341629999999</v>
      </c>
      <c r="AG967" s="93">
        <f t="shared" si="266"/>
        <v>1.0131646645411707</v>
      </c>
      <c r="AK967" s="90">
        <f t="shared" si="263"/>
        <v>142</v>
      </c>
      <c r="AL967" s="89">
        <f t="shared" si="264"/>
        <v>68.865979063380294</v>
      </c>
      <c r="AM967" s="89">
        <f t="shared" si="256"/>
        <v>103.03231</v>
      </c>
      <c r="AN967" s="90">
        <f t="shared" si="257"/>
        <v>14630.588019999999</v>
      </c>
      <c r="AO967" s="93">
        <f t="shared" si="258"/>
        <v>0.49612786170040479</v>
      </c>
    </row>
    <row r="968" spans="2:41" x14ac:dyDescent="0.25">
      <c r="B968" s="91">
        <v>40753</v>
      </c>
      <c r="C968" s="89">
        <v>128.91000399999999</v>
      </c>
      <c r="D968" s="89">
        <v>130.550003</v>
      </c>
      <c r="E968" s="89">
        <v>127.970001</v>
      </c>
      <c r="F968" s="89">
        <v>129.33000200000001</v>
      </c>
      <c r="G968" s="89">
        <v>102.328163</v>
      </c>
      <c r="H968" s="89">
        <v>307038400</v>
      </c>
      <c r="J968" s="89">
        <v>0</v>
      </c>
      <c r="K968" s="89">
        <f t="shared" si="275"/>
        <v>88</v>
      </c>
      <c r="L968" s="89">
        <f t="shared" si="276"/>
        <v>112.621376</v>
      </c>
      <c r="M968" s="89">
        <f>+SPY__2[[#This Row],[Adj Close]]</f>
        <v>102.328163</v>
      </c>
      <c r="N968" s="89">
        <f t="shared" si="271"/>
        <v>9004.8783440000007</v>
      </c>
      <c r="O968" s="90">
        <f t="shared" si="272"/>
        <v>-905.80274399999951</v>
      </c>
      <c r="P968" s="93">
        <f t="shared" si="273"/>
        <v>-9.1396619057469097E-2</v>
      </c>
      <c r="Q968" s="96"/>
      <c r="R968" s="96"/>
      <c r="T968" s="90">
        <f t="shared" si="267"/>
        <v>95</v>
      </c>
      <c r="U968" s="89">
        <f t="shared" si="268"/>
        <v>103.31428490526316</v>
      </c>
      <c r="V968" s="89">
        <f t="shared" si="269"/>
        <v>102.328163</v>
      </c>
      <c r="W968" s="90">
        <f t="shared" si="274"/>
        <v>9721.1754849999998</v>
      </c>
      <c r="X968" s="93">
        <f t="shared" si="270"/>
        <v>-9.5448747108631826E-3</v>
      </c>
      <c r="AB968" s="89">
        <f t="shared" si="259"/>
        <v>195</v>
      </c>
      <c r="AC968" s="89">
        <f t="shared" si="260"/>
        <v>51.179276000000002</v>
      </c>
      <c r="AD968" s="89">
        <f t="shared" si="261"/>
        <v>102.328163</v>
      </c>
      <c r="AE968" s="89">
        <f t="shared" si="262"/>
        <v>19953.991785000002</v>
      </c>
      <c r="AF968" s="90">
        <f t="shared" si="265"/>
        <v>9974.0329650000003</v>
      </c>
      <c r="AG968" s="93">
        <f t="shared" si="266"/>
        <v>0.9994062245038402</v>
      </c>
      <c r="AK968" s="90">
        <f t="shared" si="263"/>
        <v>142</v>
      </c>
      <c r="AL968" s="89">
        <f t="shared" si="264"/>
        <v>68.865979063380294</v>
      </c>
      <c r="AM968" s="89">
        <f t="shared" si="256"/>
        <v>102.328163</v>
      </c>
      <c r="AN968" s="90">
        <f t="shared" si="257"/>
        <v>14530.599146</v>
      </c>
      <c r="AO968" s="93">
        <f t="shared" si="258"/>
        <v>0.4859029725813242</v>
      </c>
    </row>
    <row r="969" spans="2:41" x14ac:dyDescent="0.25">
      <c r="B969" s="91">
        <v>40756</v>
      </c>
      <c r="C969" s="89">
        <v>130.83999600000001</v>
      </c>
      <c r="D969" s="89">
        <v>130.96000699999999</v>
      </c>
      <c r="E969" s="89">
        <v>127.529999</v>
      </c>
      <c r="F969" s="89">
        <v>128.779999</v>
      </c>
      <c r="G969" s="89">
        <v>101.89297500000001</v>
      </c>
      <c r="H969" s="89">
        <v>325790900</v>
      </c>
      <c r="J969" s="89">
        <v>0</v>
      </c>
      <c r="K969" s="89">
        <f t="shared" si="275"/>
        <v>88</v>
      </c>
      <c r="L969" s="89">
        <f t="shared" si="276"/>
        <v>112.621376</v>
      </c>
      <c r="M969" s="89">
        <f>+SPY__2[[#This Row],[Adj Close]]</f>
        <v>101.89297500000001</v>
      </c>
      <c r="N969" s="89">
        <f t="shared" si="271"/>
        <v>8966.5817999999999</v>
      </c>
      <c r="O969" s="90">
        <f t="shared" si="272"/>
        <v>-944.09928799999921</v>
      </c>
      <c r="P969" s="93">
        <f t="shared" si="273"/>
        <v>-9.5260787792186052E-2</v>
      </c>
      <c r="Q969" s="96"/>
      <c r="R969" s="96"/>
      <c r="T969" s="90">
        <f t="shared" si="267"/>
        <v>95</v>
      </c>
      <c r="U969" s="89">
        <f t="shared" si="268"/>
        <v>103.31428490526316</v>
      </c>
      <c r="V969" s="89">
        <f t="shared" si="269"/>
        <v>101.89297500000001</v>
      </c>
      <c r="W969" s="90">
        <f t="shared" si="274"/>
        <v>9679.8326250000009</v>
      </c>
      <c r="X969" s="93">
        <f t="shared" si="270"/>
        <v>-1.3757147973936679E-2</v>
      </c>
      <c r="AB969" s="89">
        <f t="shared" si="259"/>
        <v>195</v>
      </c>
      <c r="AC969" s="89">
        <f t="shared" si="260"/>
        <v>51.179276000000002</v>
      </c>
      <c r="AD969" s="89">
        <f t="shared" si="261"/>
        <v>101.89297500000001</v>
      </c>
      <c r="AE969" s="89">
        <f t="shared" si="262"/>
        <v>19869.130125</v>
      </c>
      <c r="AF969" s="90">
        <f t="shared" si="265"/>
        <v>9889.1713050000017</v>
      </c>
      <c r="AG969" s="93">
        <f t="shared" si="266"/>
        <v>0.99090301707276995</v>
      </c>
      <c r="AK969" s="90">
        <f t="shared" si="263"/>
        <v>142</v>
      </c>
      <c r="AL969" s="89">
        <f t="shared" si="264"/>
        <v>68.865979063380294</v>
      </c>
      <c r="AM969" s="89">
        <f t="shared" si="256"/>
        <v>101.89297500000001</v>
      </c>
      <c r="AN969" s="90">
        <f t="shared" si="257"/>
        <v>14468.802450000001</v>
      </c>
      <c r="AO969" s="93">
        <f t="shared" si="258"/>
        <v>0.47958362584555103</v>
      </c>
    </row>
    <row r="970" spans="2:41" x14ac:dyDescent="0.25">
      <c r="B970" s="91">
        <v>40757</v>
      </c>
      <c r="C970" s="89">
        <v>127.80999799999999</v>
      </c>
      <c r="D970" s="89">
        <v>128.5</v>
      </c>
      <c r="E970" s="89">
        <v>125.489998</v>
      </c>
      <c r="F970" s="89">
        <v>125.489998</v>
      </c>
      <c r="G970" s="89">
        <v>99.289848000000006</v>
      </c>
      <c r="H970" s="89">
        <v>346653800</v>
      </c>
      <c r="J970" s="89">
        <v>0</v>
      </c>
      <c r="K970" s="89">
        <f t="shared" si="275"/>
        <v>88</v>
      </c>
      <c r="L970" s="89">
        <f t="shared" si="276"/>
        <v>112.621376</v>
      </c>
      <c r="M970" s="89">
        <f>+SPY__2[[#This Row],[Adj Close]]</f>
        <v>99.289848000000006</v>
      </c>
      <c r="N970" s="89">
        <f t="shared" si="271"/>
        <v>8737.5066240000015</v>
      </c>
      <c r="O970" s="90">
        <f t="shared" si="272"/>
        <v>-1173.1744639999993</v>
      </c>
      <c r="P970" s="93">
        <f t="shared" si="273"/>
        <v>-0.11837475684900167</v>
      </c>
      <c r="Q970" s="96"/>
      <c r="R970" s="96"/>
      <c r="T970" s="90">
        <f t="shared" si="267"/>
        <v>95</v>
      </c>
      <c r="U970" s="89">
        <f t="shared" si="268"/>
        <v>103.31428490526316</v>
      </c>
      <c r="V970" s="89">
        <f t="shared" si="269"/>
        <v>99.289848000000006</v>
      </c>
      <c r="W970" s="90">
        <f t="shared" si="274"/>
        <v>9432.5355600000003</v>
      </c>
      <c r="X970" s="93">
        <f t="shared" si="270"/>
        <v>-3.8953344244249233E-2</v>
      </c>
      <c r="AB970" s="89">
        <f t="shared" si="259"/>
        <v>195</v>
      </c>
      <c r="AC970" s="89">
        <f t="shared" si="260"/>
        <v>51.179276000000002</v>
      </c>
      <c r="AD970" s="89">
        <f t="shared" si="261"/>
        <v>99.289848000000006</v>
      </c>
      <c r="AE970" s="89">
        <f t="shared" si="262"/>
        <v>19361.520360000002</v>
      </c>
      <c r="AF970" s="90">
        <f t="shared" si="265"/>
        <v>9381.5615400000006</v>
      </c>
      <c r="AG970" s="93">
        <f t="shared" si="266"/>
        <v>0.94004010529574522</v>
      </c>
      <c r="AK970" s="90">
        <f t="shared" si="263"/>
        <v>142</v>
      </c>
      <c r="AL970" s="89">
        <f t="shared" si="264"/>
        <v>68.865979063380294</v>
      </c>
      <c r="AM970" s="89">
        <f t="shared" si="256"/>
        <v>99.289848000000006</v>
      </c>
      <c r="AN970" s="90">
        <f t="shared" si="257"/>
        <v>14099.158416</v>
      </c>
      <c r="AO970" s="93">
        <f t="shared" si="258"/>
        <v>0.44178372761707685</v>
      </c>
    </row>
    <row r="971" spans="2:41" x14ac:dyDescent="0.25">
      <c r="B971" s="91">
        <v>40758</v>
      </c>
      <c r="C971" s="89">
        <v>125.660004</v>
      </c>
      <c r="D971" s="89">
        <v>126.30999799999999</v>
      </c>
      <c r="E971" s="89">
        <v>123.529999</v>
      </c>
      <c r="F971" s="89">
        <v>126.16999800000001</v>
      </c>
      <c r="G971" s="89">
        <v>99.827888000000002</v>
      </c>
      <c r="H971" s="89">
        <v>370830800</v>
      </c>
      <c r="J971" s="89">
        <v>0</v>
      </c>
      <c r="K971" s="89">
        <f t="shared" si="275"/>
        <v>88</v>
      </c>
      <c r="L971" s="89">
        <f t="shared" si="276"/>
        <v>112.621376</v>
      </c>
      <c r="M971" s="89">
        <f>+SPY__2[[#This Row],[Adj Close]]</f>
        <v>99.827888000000002</v>
      </c>
      <c r="N971" s="89">
        <f t="shared" si="271"/>
        <v>8784.8541440000008</v>
      </c>
      <c r="O971" s="90">
        <f t="shared" si="272"/>
        <v>-1125.8269439999997</v>
      </c>
      <c r="P971" s="93">
        <f t="shared" si="273"/>
        <v>-0.11359733342274203</v>
      </c>
      <c r="Q971" s="96"/>
      <c r="R971" s="96"/>
      <c r="T971" s="90">
        <f t="shared" si="267"/>
        <v>95</v>
      </c>
      <c r="U971" s="89">
        <f t="shared" si="268"/>
        <v>103.31428490526316</v>
      </c>
      <c r="V971" s="89">
        <f t="shared" si="269"/>
        <v>99.827888000000002</v>
      </c>
      <c r="W971" s="90">
        <f t="shared" si="274"/>
        <v>9483.6493599999994</v>
      </c>
      <c r="X971" s="93">
        <f t="shared" si="270"/>
        <v>-3.3745545530902255E-2</v>
      </c>
      <c r="AB971" s="89">
        <f t="shared" si="259"/>
        <v>195</v>
      </c>
      <c r="AC971" s="89">
        <f t="shared" si="260"/>
        <v>51.179276000000002</v>
      </c>
      <c r="AD971" s="89">
        <f t="shared" si="261"/>
        <v>99.827888000000002</v>
      </c>
      <c r="AE971" s="89">
        <f t="shared" si="262"/>
        <v>19466.438160000002</v>
      </c>
      <c r="AF971" s="90">
        <f t="shared" si="265"/>
        <v>9486.4793399999999</v>
      </c>
      <c r="AG971" s="93">
        <f t="shared" si="266"/>
        <v>0.95055295428563702</v>
      </c>
      <c r="AK971" s="90">
        <f t="shared" si="263"/>
        <v>142</v>
      </c>
      <c r="AL971" s="89">
        <f t="shared" si="264"/>
        <v>68.865979063380294</v>
      </c>
      <c r="AM971" s="89">
        <f t="shared" si="256"/>
        <v>99.827888000000002</v>
      </c>
      <c r="AN971" s="90">
        <f t="shared" si="257"/>
        <v>14175.560096000001</v>
      </c>
      <c r="AO971" s="93">
        <f t="shared" si="258"/>
        <v>0.44959658394058644</v>
      </c>
    </row>
    <row r="972" spans="2:41" x14ac:dyDescent="0.25">
      <c r="B972" s="91">
        <v>40759</v>
      </c>
      <c r="C972" s="89">
        <v>124.41999800000001</v>
      </c>
      <c r="D972" s="89">
        <v>124.620003</v>
      </c>
      <c r="E972" s="89">
        <v>120.05999799999999</v>
      </c>
      <c r="F972" s="89">
        <v>120.260002</v>
      </c>
      <c r="G972" s="89">
        <v>95.151786999999999</v>
      </c>
      <c r="H972" s="89">
        <v>520721800</v>
      </c>
      <c r="J972" s="89">
        <v>0</v>
      </c>
      <c r="K972" s="89">
        <f t="shared" si="275"/>
        <v>88</v>
      </c>
      <c r="L972" s="89">
        <f t="shared" si="276"/>
        <v>112.621376</v>
      </c>
      <c r="M972" s="89">
        <f>+SPY__2[[#This Row],[Adj Close]]</f>
        <v>95.151786999999999</v>
      </c>
      <c r="N972" s="89">
        <f t="shared" si="271"/>
        <v>8373.3572559999993</v>
      </c>
      <c r="O972" s="90">
        <f t="shared" si="272"/>
        <v>-1537.323832</v>
      </c>
      <c r="P972" s="93">
        <f t="shared" si="273"/>
        <v>-0.15511787922037112</v>
      </c>
      <c r="Q972" s="96"/>
      <c r="R972" s="96"/>
      <c r="T972" s="90">
        <f t="shared" si="267"/>
        <v>95</v>
      </c>
      <c r="U972" s="89">
        <f t="shared" si="268"/>
        <v>103.31428490526316</v>
      </c>
      <c r="V972" s="89">
        <f t="shared" si="269"/>
        <v>95.151786999999999</v>
      </c>
      <c r="W972" s="90">
        <f t="shared" si="274"/>
        <v>9039.4197650000006</v>
      </c>
      <c r="X972" s="93">
        <f t="shared" si="270"/>
        <v>-7.9006479237096583E-2</v>
      </c>
      <c r="AB972" s="89">
        <f t="shared" si="259"/>
        <v>195</v>
      </c>
      <c r="AC972" s="89">
        <f t="shared" si="260"/>
        <v>51.179276000000002</v>
      </c>
      <c r="AD972" s="89">
        <f t="shared" si="261"/>
        <v>95.151786999999999</v>
      </c>
      <c r="AE972" s="89">
        <f t="shared" si="262"/>
        <v>18554.598464999999</v>
      </c>
      <c r="AF972" s="90">
        <f t="shared" si="265"/>
        <v>8574.6396449999993</v>
      </c>
      <c r="AG972" s="93">
        <f t="shared" si="266"/>
        <v>0.85918587437618288</v>
      </c>
      <c r="AK972" s="90">
        <f t="shared" si="263"/>
        <v>142</v>
      </c>
      <c r="AL972" s="89">
        <f t="shared" si="264"/>
        <v>68.865979063380294</v>
      </c>
      <c r="AM972" s="89">
        <f t="shared" si="256"/>
        <v>95.151786999999999</v>
      </c>
      <c r="AN972" s="90">
        <f t="shared" si="257"/>
        <v>13511.553754</v>
      </c>
      <c r="AO972" s="93">
        <f t="shared" si="258"/>
        <v>0.38169511701021142</v>
      </c>
    </row>
    <row r="973" spans="2:41" x14ac:dyDescent="0.25">
      <c r="B973" s="91">
        <v>40760</v>
      </c>
      <c r="C973" s="89">
        <v>121.760002</v>
      </c>
      <c r="D973" s="89">
        <v>122.07</v>
      </c>
      <c r="E973" s="89">
        <v>116.860001</v>
      </c>
      <c r="F973" s="89">
        <v>120.08000199999999</v>
      </c>
      <c r="G973" s="89">
        <v>95.009369000000007</v>
      </c>
      <c r="H973" s="89">
        <v>655619200</v>
      </c>
      <c r="J973" s="89">
        <v>0</v>
      </c>
      <c r="K973" s="89">
        <f t="shared" si="275"/>
        <v>88</v>
      </c>
      <c r="L973" s="89">
        <f t="shared" si="276"/>
        <v>112.621376</v>
      </c>
      <c r="M973" s="89">
        <f>+SPY__2[[#This Row],[Adj Close]]</f>
        <v>95.009369000000007</v>
      </c>
      <c r="N973" s="89">
        <f t="shared" si="271"/>
        <v>8360.8244720000002</v>
      </c>
      <c r="O973" s="90">
        <f t="shared" si="272"/>
        <v>-1549.8566159999991</v>
      </c>
      <c r="P973" s="93">
        <f t="shared" si="273"/>
        <v>-0.1563824526526828</v>
      </c>
      <c r="Q973" s="96"/>
      <c r="R973" s="96"/>
      <c r="T973" s="90">
        <f t="shared" si="267"/>
        <v>95</v>
      </c>
      <c r="U973" s="89">
        <f t="shared" si="268"/>
        <v>103.31428490526316</v>
      </c>
      <c r="V973" s="89">
        <f t="shared" si="269"/>
        <v>95.009369000000007</v>
      </c>
      <c r="W973" s="90">
        <f t="shared" si="274"/>
        <v>9025.8900549999998</v>
      </c>
      <c r="X973" s="93">
        <f t="shared" si="270"/>
        <v>-8.0384972057625736E-2</v>
      </c>
      <c r="AB973" s="89">
        <f t="shared" si="259"/>
        <v>195</v>
      </c>
      <c r="AC973" s="89">
        <f t="shared" si="260"/>
        <v>51.179276000000002</v>
      </c>
      <c r="AD973" s="89">
        <f t="shared" si="261"/>
        <v>95.009369000000007</v>
      </c>
      <c r="AE973" s="89">
        <f t="shared" si="262"/>
        <v>18526.826955</v>
      </c>
      <c r="AF973" s="90">
        <f t="shared" si="265"/>
        <v>8546.8681350000006</v>
      </c>
      <c r="AG973" s="93">
        <f t="shared" si="266"/>
        <v>0.85640314646107929</v>
      </c>
      <c r="AK973" s="90">
        <f t="shared" si="263"/>
        <v>142</v>
      </c>
      <c r="AL973" s="89">
        <f t="shared" si="264"/>
        <v>68.865979063380294</v>
      </c>
      <c r="AM973" s="89">
        <f t="shared" si="256"/>
        <v>95.009369000000007</v>
      </c>
      <c r="AN973" s="90">
        <f t="shared" si="257"/>
        <v>13491.330398</v>
      </c>
      <c r="AO973" s="93">
        <f t="shared" si="258"/>
        <v>0.37962707119227668</v>
      </c>
    </row>
    <row r="974" spans="2:41" x14ac:dyDescent="0.25">
      <c r="B974" s="91">
        <v>40763</v>
      </c>
      <c r="C974" s="89">
        <v>116.910004</v>
      </c>
      <c r="D974" s="89">
        <v>120.120003</v>
      </c>
      <c r="E974" s="89">
        <v>112.019997</v>
      </c>
      <c r="F974" s="89">
        <v>112.260002</v>
      </c>
      <c r="G974" s="89">
        <v>88.822059999999993</v>
      </c>
      <c r="H974" s="89">
        <v>702263900</v>
      </c>
      <c r="J974" s="89">
        <v>0</v>
      </c>
      <c r="K974" s="89">
        <f t="shared" si="275"/>
        <v>88</v>
      </c>
      <c r="L974" s="89">
        <f t="shared" si="276"/>
        <v>112.621376</v>
      </c>
      <c r="M974" s="89">
        <f>+SPY__2[[#This Row],[Adj Close]]</f>
        <v>88.822059999999993</v>
      </c>
      <c r="N974" s="89">
        <f t="shared" si="271"/>
        <v>7816.3412799999996</v>
      </c>
      <c r="O974" s="90">
        <f t="shared" si="272"/>
        <v>-2094.3398080000006</v>
      </c>
      <c r="P974" s="93">
        <f t="shared" si="273"/>
        <v>-0.21132148127900696</v>
      </c>
      <c r="Q974" s="96"/>
      <c r="R974" s="96"/>
      <c r="T974" s="90">
        <f t="shared" si="267"/>
        <v>95</v>
      </c>
      <c r="U974" s="89">
        <f t="shared" si="268"/>
        <v>103.31428490526316</v>
      </c>
      <c r="V974" s="89">
        <f t="shared" si="269"/>
        <v>88.822059999999993</v>
      </c>
      <c r="W974" s="90">
        <f t="shared" si="274"/>
        <v>8438.0956999999999</v>
      </c>
      <c r="X974" s="93">
        <f t="shared" si="270"/>
        <v>-0.14027319570137087</v>
      </c>
      <c r="AB974" s="89">
        <f t="shared" si="259"/>
        <v>195</v>
      </c>
      <c r="AC974" s="89">
        <f t="shared" si="260"/>
        <v>51.179276000000002</v>
      </c>
      <c r="AD974" s="89">
        <f t="shared" si="261"/>
        <v>88.822059999999993</v>
      </c>
      <c r="AE974" s="89">
        <f t="shared" si="262"/>
        <v>17320.3017</v>
      </c>
      <c r="AF974" s="90">
        <f t="shared" si="265"/>
        <v>7340.3428799999983</v>
      </c>
      <c r="AG974" s="93">
        <f t="shared" si="266"/>
        <v>0.73550833349029765</v>
      </c>
      <c r="AK974" s="90">
        <f t="shared" si="263"/>
        <v>142</v>
      </c>
      <c r="AL974" s="89">
        <f t="shared" si="264"/>
        <v>68.865979063380294</v>
      </c>
      <c r="AM974" s="89">
        <f t="shared" si="256"/>
        <v>88.822059999999993</v>
      </c>
      <c r="AN974" s="90">
        <f t="shared" si="257"/>
        <v>12612.73252</v>
      </c>
      <c r="AO974" s="93">
        <f t="shared" si="258"/>
        <v>0.2897814161365988</v>
      </c>
    </row>
    <row r="975" spans="2:41" x14ac:dyDescent="0.25">
      <c r="B975" s="91">
        <v>40764</v>
      </c>
      <c r="C975" s="89">
        <v>114.07</v>
      </c>
      <c r="D975" s="89">
        <v>117.639999</v>
      </c>
      <c r="E975" s="89">
        <v>110.269997</v>
      </c>
      <c r="F975" s="89">
        <v>117.480003</v>
      </c>
      <c r="G975" s="89">
        <v>92.952240000000003</v>
      </c>
      <c r="H975" s="89">
        <v>717828700</v>
      </c>
      <c r="J975" s="89">
        <v>0</v>
      </c>
      <c r="K975" s="89">
        <f t="shared" si="275"/>
        <v>88</v>
      </c>
      <c r="L975" s="89">
        <f t="shared" si="276"/>
        <v>112.621376</v>
      </c>
      <c r="M975" s="89">
        <f>+SPY__2[[#This Row],[Adj Close]]</f>
        <v>92.952240000000003</v>
      </c>
      <c r="N975" s="89">
        <f t="shared" si="271"/>
        <v>8179.7971200000002</v>
      </c>
      <c r="O975" s="90">
        <f t="shared" si="272"/>
        <v>-1730.8839679999996</v>
      </c>
      <c r="P975" s="93">
        <f t="shared" si="273"/>
        <v>-0.17464833674204083</v>
      </c>
      <c r="Q975" s="96"/>
      <c r="R975" s="96"/>
      <c r="T975" s="90">
        <f t="shared" si="267"/>
        <v>95</v>
      </c>
      <c r="U975" s="89">
        <f t="shared" si="268"/>
        <v>103.31428490526316</v>
      </c>
      <c r="V975" s="89">
        <f t="shared" si="269"/>
        <v>92.952240000000003</v>
      </c>
      <c r="W975" s="90">
        <f t="shared" si="274"/>
        <v>8830.4628000000012</v>
      </c>
      <c r="X975" s="93">
        <f t="shared" si="270"/>
        <v>-0.10029634251221797</v>
      </c>
      <c r="AB975" s="89">
        <f t="shared" si="259"/>
        <v>195</v>
      </c>
      <c r="AC975" s="89">
        <f t="shared" si="260"/>
        <v>51.179276000000002</v>
      </c>
      <c r="AD975" s="89">
        <f t="shared" si="261"/>
        <v>92.952240000000003</v>
      </c>
      <c r="AE975" s="89">
        <f t="shared" si="262"/>
        <v>18125.686799999999</v>
      </c>
      <c r="AF975" s="90">
        <f t="shared" si="265"/>
        <v>8145.7279800000006</v>
      </c>
      <c r="AG975" s="93">
        <f t="shared" si="266"/>
        <v>0.81620857629951615</v>
      </c>
      <c r="AK975" s="90">
        <f t="shared" si="263"/>
        <v>142</v>
      </c>
      <c r="AL975" s="89">
        <f t="shared" si="264"/>
        <v>68.865979063380294</v>
      </c>
      <c r="AM975" s="89">
        <f t="shared" si="256"/>
        <v>92.952240000000003</v>
      </c>
      <c r="AN975" s="90">
        <f t="shared" si="257"/>
        <v>13199.218080000001</v>
      </c>
      <c r="AO975" s="93">
        <f t="shared" si="258"/>
        <v>0.34975558707227705</v>
      </c>
    </row>
    <row r="976" spans="2:41" x14ac:dyDescent="0.25">
      <c r="B976" s="91">
        <v>40765</v>
      </c>
      <c r="C976" s="89">
        <v>115.260002</v>
      </c>
      <c r="D976" s="89">
        <v>116.279999</v>
      </c>
      <c r="E976" s="89">
        <v>111.949997</v>
      </c>
      <c r="F976" s="89">
        <v>112.290001</v>
      </c>
      <c r="G976" s="89">
        <v>88.845778999999993</v>
      </c>
      <c r="H976" s="89">
        <v>662607400</v>
      </c>
      <c r="J976" s="89">
        <v>0</v>
      </c>
      <c r="K976" s="89">
        <f t="shared" si="275"/>
        <v>88</v>
      </c>
      <c r="L976" s="89">
        <f t="shared" si="276"/>
        <v>112.621376</v>
      </c>
      <c r="M976" s="89">
        <f>+SPY__2[[#This Row],[Adj Close]]</f>
        <v>88.845778999999993</v>
      </c>
      <c r="N976" s="89">
        <f t="shared" si="271"/>
        <v>7818.4285519999994</v>
      </c>
      <c r="O976" s="90">
        <f t="shared" si="272"/>
        <v>-2092.2525360000004</v>
      </c>
      <c r="P976" s="93">
        <f t="shared" si="273"/>
        <v>-0.21111087294831143</v>
      </c>
      <c r="Q976" s="96"/>
      <c r="R976" s="96"/>
      <c r="T976" s="90">
        <f t="shared" si="267"/>
        <v>95</v>
      </c>
      <c r="U976" s="89">
        <f t="shared" si="268"/>
        <v>103.31428490526316</v>
      </c>
      <c r="V976" s="89">
        <f t="shared" si="269"/>
        <v>88.845778999999993</v>
      </c>
      <c r="W976" s="90">
        <f t="shared" si="274"/>
        <v>8440.349005</v>
      </c>
      <c r="X976" s="93">
        <f t="shared" si="270"/>
        <v>-0.14004361467081194</v>
      </c>
      <c r="AB976" s="89">
        <f t="shared" si="259"/>
        <v>195</v>
      </c>
      <c r="AC976" s="89">
        <f t="shared" si="260"/>
        <v>51.179276000000002</v>
      </c>
      <c r="AD976" s="89">
        <f t="shared" si="261"/>
        <v>88.845778999999993</v>
      </c>
      <c r="AE976" s="89">
        <f t="shared" si="262"/>
        <v>17324.926905</v>
      </c>
      <c r="AF976" s="90">
        <f t="shared" si="265"/>
        <v>7344.9680849999986</v>
      </c>
      <c r="AG976" s="93">
        <f t="shared" si="266"/>
        <v>0.73597178279739617</v>
      </c>
      <c r="AK976" s="90">
        <f t="shared" si="263"/>
        <v>142</v>
      </c>
      <c r="AL976" s="89">
        <f t="shared" si="264"/>
        <v>68.865979063380294</v>
      </c>
      <c r="AM976" s="89">
        <f t="shared" si="256"/>
        <v>88.845778999999993</v>
      </c>
      <c r="AN976" s="90">
        <f t="shared" si="257"/>
        <v>12616.100617999999</v>
      </c>
      <c r="AO976" s="93">
        <f t="shared" si="258"/>
        <v>0.29012583874297992</v>
      </c>
    </row>
    <row r="977" spans="2:41" x14ac:dyDescent="0.25">
      <c r="B977" s="91">
        <v>40766</v>
      </c>
      <c r="C977" s="89">
        <v>113.260002</v>
      </c>
      <c r="D977" s="89">
        <v>118.91999800000001</v>
      </c>
      <c r="E977" s="89">
        <v>112.32</v>
      </c>
      <c r="F977" s="89">
        <v>117.33000199999999</v>
      </c>
      <c r="G977" s="89">
        <v>92.833541999999994</v>
      </c>
      <c r="H977" s="89">
        <v>487979700</v>
      </c>
      <c r="J977" s="89">
        <v>0</v>
      </c>
      <c r="K977" s="89">
        <f t="shared" si="275"/>
        <v>88</v>
      </c>
      <c r="L977" s="89">
        <f t="shared" si="276"/>
        <v>112.621376</v>
      </c>
      <c r="M977" s="89">
        <f>+SPY__2[[#This Row],[Adj Close]]</f>
        <v>92.833541999999994</v>
      </c>
      <c r="N977" s="89">
        <f t="shared" si="271"/>
        <v>8169.3516959999997</v>
      </c>
      <c r="O977" s="90">
        <f t="shared" si="272"/>
        <v>-1741.3293920000003</v>
      </c>
      <c r="P977" s="93">
        <f t="shared" si="273"/>
        <v>-0.17570229296434814</v>
      </c>
      <c r="Q977" s="96"/>
      <c r="R977" s="96"/>
      <c r="T977" s="90">
        <f t="shared" si="267"/>
        <v>95</v>
      </c>
      <c r="U977" s="89">
        <f t="shared" si="268"/>
        <v>103.31428490526316</v>
      </c>
      <c r="V977" s="89">
        <f t="shared" si="269"/>
        <v>92.833541999999994</v>
      </c>
      <c r="W977" s="90">
        <f t="shared" si="274"/>
        <v>8819.18649</v>
      </c>
      <c r="X977" s="93">
        <f t="shared" si="270"/>
        <v>-0.10144524462298476</v>
      </c>
      <c r="AB977" s="89">
        <f t="shared" si="259"/>
        <v>195</v>
      </c>
      <c r="AC977" s="89">
        <f t="shared" si="260"/>
        <v>51.179276000000002</v>
      </c>
      <c r="AD977" s="89">
        <f t="shared" si="261"/>
        <v>92.833541999999994</v>
      </c>
      <c r="AE977" s="89">
        <f t="shared" si="262"/>
        <v>18102.540689999998</v>
      </c>
      <c r="AF977" s="90">
        <f t="shared" si="265"/>
        <v>8122.5818699999982</v>
      </c>
      <c r="AG977" s="93">
        <f t="shared" si="266"/>
        <v>0.8138893172306696</v>
      </c>
      <c r="AK977" s="90">
        <f t="shared" si="263"/>
        <v>142</v>
      </c>
      <c r="AL977" s="89">
        <f t="shared" si="264"/>
        <v>68.865979063380294</v>
      </c>
      <c r="AM977" s="89">
        <f t="shared" si="256"/>
        <v>92.833541999999994</v>
      </c>
      <c r="AN977" s="90">
        <f t="shared" si="257"/>
        <v>13182.362964</v>
      </c>
      <c r="AO977" s="93">
        <f t="shared" si="258"/>
        <v>0.34803197838168165</v>
      </c>
    </row>
    <row r="978" spans="2:41" x14ac:dyDescent="0.25">
      <c r="B978" s="91">
        <v>40767</v>
      </c>
      <c r="C978" s="89">
        <v>118.400002</v>
      </c>
      <c r="D978" s="89">
        <v>119.209999</v>
      </c>
      <c r="E978" s="89">
        <v>117.279999</v>
      </c>
      <c r="F978" s="89">
        <v>118.120003</v>
      </c>
      <c r="G978" s="89">
        <v>93.458588000000006</v>
      </c>
      <c r="H978" s="89">
        <v>313731600</v>
      </c>
      <c r="J978" s="89">
        <v>0</v>
      </c>
      <c r="K978" s="89">
        <f t="shared" si="275"/>
        <v>88</v>
      </c>
      <c r="L978" s="89">
        <f t="shared" si="276"/>
        <v>112.621376</v>
      </c>
      <c r="M978" s="89">
        <f>+SPY__2[[#This Row],[Adj Close]]</f>
        <v>93.458588000000006</v>
      </c>
      <c r="N978" s="89">
        <f t="shared" si="271"/>
        <v>8224.3557440000004</v>
      </c>
      <c r="O978" s="90">
        <f t="shared" si="272"/>
        <v>-1686.3253439999994</v>
      </c>
      <c r="P978" s="93">
        <f t="shared" si="273"/>
        <v>-0.1701523163773101</v>
      </c>
      <c r="Q978" s="96"/>
      <c r="R978" s="96"/>
      <c r="T978" s="90">
        <f t="shared" si="267"/>
        <v>95</v>
      </c>
      <c r="U978" s="89">
        <f t="shared" si="268"/>
        <v>103.31428490526316</v>
      </c>
      <c r="V978" s="89">
        <f t="shared" si="269"/>
        <v>93.458588000000006</v>
      </c>
      <c r="W978" s="90">
        <f t="shared" si="274"/>
        <v>8878.5658600000006</v>
      </c>
      <c r="X978" s="93">
        <f t="shared" si="270"/>
        <v>-9.539529711985717E-2</v>
      </c>
      <c r="AB978" s="89">
        <f t="shared" si="259"/>
        <v>195</v>
      </c>
      <c r="AC978" s="89">
        <f t="shared" si="260"/>
        <v>51.179276000000002</v>
      </c>
      <c r="AD978" s="89">
        <f t="shared" si="261"/>
        <v>93.458588000000006</v>
      </c>
      <c r="AE978" s="89">
        <f t="shared" si="262"/>
        <v>18224.424660000001</v>
      </c>
      <c r="AF978" s="90">
        <f t="shared" si="265"/>
        <v>8244.4658400000008</v>
      </c>
      <c r="AG978" s="93">
        <f t="shared" si="266"/>
        <v>0.82610219026935838</v>
      </c>
      <c r="AK978" s="90">
        <f t="shared" si="263"/>
        <v>142</v>
      </c>
      <c r="AL978" s="89">
        <f t="shared" si="264"/>
        <v>68.865979063380294</v>
      </c>
      <c r="AM978" s="89">
        <f t="shared" si="256"/>
        <v>93.458588000000006</v>
      </c>
      <c r="AN978" s="90">
        <f t="shared" si="257"/>
        <v>13271.119496000001</v>
      </c>
      <c r="AO978" s="93">
        <f t="shared" si="258"/>
        <v>0.35710824519006823</v>
      </c>
    </row>
    <row r="979" spans="2:41" x14ac:dyDescent="0.25">
      <c r="B979" s="91">
        <v>40770</v>
      </c>
      <c r="C979" s="89">
        <v>119.19000200000001</v>
      </c>
      <c r="D979" s="89">
        <v>120.739998</v>
      </c>
      <c r="E979" s="89">
        <v>119</v>
      </c>
      <c r="F979" s="89">
        <v>120.620003</v>
      </c>
      <c r="G979" s="89">
        <v>95.436653000000007</v>
      </c>
      <c r="H979" s="89">
        <v>258810600</v>
      </c>
      <c r="J979" s="89">
        <v>0</v>
      </c>
      <c r="K979" s="89">
        <f t="shared" si="275"/>
        <v>88</v>
      </c>
      <c r="L979" s="89">
        <f t="shared" si="276"/>
        <v>112.621376</v>
      </c>
      <c r="M979" s="89">
        <f>+SPY__2[[#This Row],[Adj Close]]</f>
        <v>95.436653000000007</v>
      </c>
      <c r="N979" s="89">
        <f t="shared" si="271"/>
        <v>8398.4254639999999</v>
      </c>
      <c r="O979" s="90">
        <f t="shared" si="272"/>
        <v>-1512.2556239999992</v>
      </c>
      <c r="P979" s="93">
        <f t="shared" si="273"/>
        <v>-0.15258846597647668</v>
      </c>
      <c r="Q979" s="96"/>
      <c r="R979" s="96"/>
      <c r="T979" s="90">
        <f t="shared" si="267"/>
        <v>95</v>
      </c>
      <c r="U979" s="89">
        <f t="shared" si="268"/>
        <v>103.31428490526316</v>
      </c>
      <c r="V979" s="89">
        <f t="shared" si="269"/>
        <v>95.436653000000007</v>
      </c>
      <c r="W979" s="90">
        <f t="shared" si="274"/>
        <v>9066.4820350000009</v>
      </c>
      <c r="X979" s="93">
        <f t="shared" si="270"/>
        <v>-7.6249203219930006E-2</v>
      </c>
      <c r="AB979" s="89">
        <f t="shared" si="259"/>
        <v>195</v>
      </c>
      <c r="AC979" s="89">
        <f t="shared" si="260"/>
        <v>51.179276000000002</v>
      </c>
      <c r="AD979" s="89">
        <f t="shared" si="261"/>
        <v>95.436653000000007</v>
      </c>
      <c r="AE979" s="89">
        <f t="shared" si="262"/>
        <v>18610.147335000001</v>
      </c>
      <c r="AF979" s="90">
        <f t="shared" si="265"/>
        <v>8630.1885150000016</v>
      </c>
      <c r="AG979" s="93">
        <f t="shared" si="266"/>
        <v>0.86475191638115412</v>
      </c>
      <c r="AK979" s="90">
        <f t="shared" si="263"/>
        <v>142</v>
      </c>
      <c r="AL979" s="89">
        <f t="shared" si="264"/>
        <v>68.865979063380294</v>
      </c>
      <c r="AM979" s="89">
        <f t="shared" si="256"/>
        <v>95.436653000000007</v>
      </c>
      <c r="AN979" s="90">
        <f t="shared" si="257"/>
        <v>13552.004726000001</v>
      </c>
      <c r="AO979" s="93">
        <f t="shared" si="258"/>
        <v>0.38583164427482552</v>
      </c>
    </row>
    <row r="980" spans="2:41" x14ac:dyDescent="0.25">
      <c r="B980" s="91">
        <v>40771</v>
      </c>
      <c r="C980" s="89">
        <v>119.470001</v>
      </c>
      <c r="D980" s="89">
        <v>120.69000200000001</v>
      </c>
      <c r="E980" s="89">
        <v>118.30999799999999</v>
      </c>
      <c r="F980" s="89">
        <v>119.589996</v>
      </c>
      <c r="G980" s="89">
        <v>94.621680999999995</v>
      </c>
      <c r="H980" s="89">
        <v>294095200</v>
      </c>
      <c r="J980" s="89">
        <v>0</v>
      </c>
      <c r="K980" s="89">
        <f t="shared" si="275"/>
        <v>88</v>
      </c>
      <c r="L980" s="89">
        <f t="shared" si="276"/>
        <v>112.621376</v>
      </c>
      <c r="M980" s="89">
        <f>+SPY__2[[#This Row],[Adj Close]]</f>
        <v>94.621680999999995</v>
      </c>
      <c r="N980" s="89">
        <f t="shared" si="271"/>
        <v>8326.7079279999998</v>
      </c>
      <c r="O980" s="90">
        <f t="shared" si="272"/>
        <v>-1583.9731600000002</v>
      </c>
      <c r="P980" s="93">
        <f t="shared" si="273"/>
        <v>-0.15982485420884929</v>
      </c>
      <c r="Q980" s="96"/>
      <c r="R980" s="96"/>
      <c r="T980" s="90">
        <f t="shared" si="267"/>
        <v>95</v>
      </c>
      <c r="U980" s="89">
        <f t="shared" si="268"/>
        <v>103.31428490526316</v>
      </c>
      <c r="V980" s="89">
        <f t="shared" si="269"/>
        <v>94.621680999999995</v>
      </c>
      <c r="W980" s="90">
        <f t="shared" si="274"/>
        <v>8989.0596949999999</v>
      </c>
      <c r="X980" s="93">
        <f t="shared" si="270"/>
        <v>-8.4137483148957415E-2</v>
      </c>
      <c r="AB980" s="89">
        <f t="shared" si="259"/>
        <v>195</v>
      </c>
      <c r="AC980" s="89">
        <f t="shared" si="260"/>
        <v>51.179276000000002</v>
      </c>
      <c r="AD980" s="89">
        <f t="shared" si="261"/>
        <v>94.621680999999995</v>
      </c>
      <c r="AE980" s="89">
        <f t="shared" si="262"/>
        <v>18451.227794999999</v>
      </c>
      <c r="AF980" s="90">
        <f t="shared" si="265"/>
        <v>8471.268974999999</v>
      </c>
      <c r="AG980" s="93">
        <f t="shared" si="266"/>
        <v>0.84882804907205012</v>
      </c>
      <c r="AK980" s="90">
        <f t="shared" si="263"/>
        <v>142</v>
      </c>
      <c r="AL980" s="89">
        <f t="shared" si="264"/>
        <v>68.865979063380294</v>
      </c>
      <c r="AM980" s="89">
        <f t="shared" si="256"/>
        <v>94.621680999999995</v>
      </c>
      <c r="AN980" s="90">
        <f t="shared" si="257"/>
        <v>13436.278702</v>
      </c>
      <c r="AO980" s="93">
        <f t="shared" si="258"/>
        <v>0.37399746996867123</v>
      </c>
    </row>
    <row r="981" spans="2:41" x14ac:dyDescent="0.25">
      <c r="B981" s="91">
        <v>40772</v>
      </c>
      <c r="C981" s="89">
        <v>120.25</v>
      </c>
      <c r="D981" s="89">
        <v>121.199997</v>
      </c>
      <c r="E981" s="89">
        <v>118.720001</v>
      </c>
      <c r="F981" s="89">
        <v>119.66999800000001</v>
      </c>
      <c r="G981" s="89">
        <v>94.684974999999994</v>
      </c>
      <c r="H981" s="89">
        <v>238201100</v>
      </c>
      <c r="J981" s="89">
        <v>0</v>
      </c>
      <c r="K981" s="89">
        <f t="shared" si="275"/>
        <v>88</v>
      </c>
      <c r="L981" s="89">
        <f t="shared" si="276"/>
        <v>112.621376</v>
      </c>
      <c r="M981" s="89">
        <f>+SPY__2[[#This Row],[Adj Close]]</f>
        <v>94.684974999999994</v>
      </c>
      <c r="N981" s="89">
        <f t="shared" si="271"/>
        <v>8332.2777999999998</v>
      </c>
      <c r="O981" s="90">
        <f t="shared" si="272"/>
        <v>-1578.4032880000004</v>
      </c>
      <c r="P981" s="93">
        <f t="shared" si="273"/>
        <v>-0.15926284722360351</v>
      </c>
      <c r="Q981" s="96"/>
      <c r="R981" s="96"/>
      <c r="T981" s="90">
        <f t="shared" si="267"/>
        <v>95</v>
      </c>
      <c r="U981" s="89">
        <f t="shared" si="268"/>
        <v>103.31428490526316</v>
      </c>
      <c r="V981" s="89">
        <f t="shared" si="269"/>
        <v>94.684974999999994</v>
      </c>
      <c r="W981" s="90">
        <f t="shared" si="274"/>
        <v>8995.0726249999989</v>
      </c>
      <c r="X981" s="93">
        <f t="shared" si="270"/>
        <v>-8.352484763531054E-2</v>
      </c>
      <c r="AB981" s="89">
        <f t="shared" si="259"/>
        <v>195</v>
      </c>
      <c r="AC981" s="89">
        <f t="shared" si="260"/>
        <v>51.179276000000002</v>
      </c>
      <c r="AD981" s="89">
        <f t="shared" si="261"/>
        <v>94.684974999999994</v>
      </c>
      <c r="AE981" s="89">
        <f t="shared" si="262"/>
        <v>18463.570124999998</v>
      </c>
      <c r="AF981" s="90">
        <f t="shared" si="265"/>
        <v>8483.6113049999985</v>
      </c>
      <c r="AG981" s="93">
        <f t="shared" si="266"/>
        <v>0.85006476058785974</v>
      </c>
      <c r="AK981" s="90">
        <f t="shared" si="263"/>
        <v>142</v>
      </c>
      <c r="AL981" s="89">
        <f t="shared" si="264"/>
        <v>68.865979063380294</v>
      </c>
      <c r="AM981" s="89">
        <f t="shared" si="256"/>
        <v>94.684974999999994</v>
      </c>
      <c r="AN981" s="90">
        <f t="shared" si="257"/>
        <v>13445.266449999999</v>
      </c>
      <c r="AO981" s="93">
        <f t="shared" si="258"/>
        <v>0.37491655949387415</v>
      </c>
    </row>
    <row r="982" spans="2:41" x14ac:dyDescent="0.25">
      <c r="B982" s="91">
        <v>40773</v>
      </c>
      <c r="C982" s="89">
        <v>116.5</v>
      </c>
      <c r="D982" s="89">
        <v>119.709999</v>
      </c>
      <c r="E982" s="89">
        <v>113.389999</v>
      </c>
      <c r="F982" s="89">
        <v>114.510002</v>
      </c>
      <c r="G982" s="89">
        <v>90.602310000000003</v>
      </c>
      <c r="H982" s="89">
        <v>512956300</v>
      </c>
      <c r="J982" s="89">
        <v>0</v>
      </c>
      <c r="K982" s="89">
        <f t="shared" si="275"/>
        <v>88</v>
      </c>
      <c r="L982" s="89">
        <f t="shared" si="276"/>
        <v>112.621376</v>
      </c>
      <c r="M982" s="89">
        <f>+SPY__2[[#This Row],[Adj Close]]</f>
        <v>90.602310000000003</v>
      </c>
      <c r="N982" s="89">
        <f t="shared" si="271"/>
        <v>7973.0032799999999</v>
      </c>
      <c r="O982" s="90">
        <f t="shared" si="272"/>
        <v>-1937.6778079999995</v>
      </c>
      <c r="P982" s="93">
        <f t="shared" si="273"/>
        <v>-0.19551409139238363</v>
      </c>
      <c r="Q982" s="96"/>
      <c r="R982" s="96"/>
      <c r="T982" s="90">
        <f t="shared" si="267"/>
        <v>95</v>
      </c>
      <c r="U982" s="89">
        <f t="shared" si="268"/>
        <v>103.31428490526316</v>
      </c>
      <c r="V982" s="89">
        <f t="shared" si="269"/>
        <v>90.602310000000003</v>
      </c>
      <c r="W982" s="90">
        <f t="shared" si="274"/>
        <v>8607.2194500000005</v>
      </c>
      <c r="X982" s="93">
        <f t="shared" si="270"/>
        <v>-0.12304179346466704</v>
      </c>
      <c r="AB982" s="89">
        <f t="shared" si="259"/>
        <v>195</v>
      </c>
      <c r="AC982" s="89">
        <f t="shared" si="260"/>
        <v>51.179276000000002</v>
      </c>
      <c r="AD982" s="89">
        <f t="shared" si="261"/>
        <v>90.602310000000003</v>
      </c>
      <c r="AE982" s="89">
        <f t="shared" si="262"/>
        <v>17667.45045</v>
      </c>
      <c r="AF982" s="90">
        <f t="shared" si="265"/>
        <v>7687.4916300000004</v>
      </c>
      <c r="AG982" s="93">
        <f t="shared" si="266"/>
        <v>0.77029292090806445</v>
      </c>
      <c r="AK982" s="90">
        <f t="shared" si="263"/>
        <v>142</v>
      </c>
      <c r="AL982" s="89">
        <f t="shared" si="264"/>
        <v>68.865979063380294</v>
      </c>
      <c r="AM982" s="89">
        <f t="shared" si="256"/>
        <v>90.602310000000003</v>
      </c>
      <c r="AN982" s="90">
        <f t="shared" si="257"/>
        <v>12865.52802</v>
      </c>
      <c r="AO982" s="93">
        <f t="shared" si="258"/>
        <v>0.31563235188473593</v>
      </c>
    </row>
    <row r="983" spans="2:41" x14ac:dyDescent="0.25">
      <c r="B983" s="91">
        <v>40774</v>
      </c>
      <c r="C983" s="89">
        <v>112.959999</v>
      </c>
      <c r="D983" s="89">
        <v>115.879997</v>
      </c>
      <c r="E983" s="89">
        <v>112.5</v>
      </c>
      <c r="F983" s="89">
        <v>112.639999</v>
      </c>
      <c r="G983" s="89">
        <v>89.122719000000004</v>
      </c>
      <c r="H983" s="89">
        <v>428281300</v>
      </c>
      <c r="J983" s="89">
        <v>0</v>
      </c>
      <c r="K983" s="89">
        <f t="shared" si="275"/>
        <v>88</v>
      </c>
      <c r="L983" s="89">
        <f t="shared" si="276"/>
        <v>112.621376</v>
      </c>
      <c r="M983" s="89">
        <f>+SPY__2[[#This Row],[Adj Close]]</f>
        <v>89.122719000000004</v>
      </c>
      <c r="N983" s="89">
        <f t="shared" si="271"/>
        <v>7842.7992720000002</v>
      </c>
      <c r="O983" s="90">
        <f t="shared" si="272"/>
        <v>-2067.8818159999996</v>
      </c>
      <c r="P983" s="93">
        <f t="shared" si="273"/>
        <v>-0.20865183710772628</v>
      </c>
      <c r="Q983" s="96"/>
      <c r="R983" s="96"/>
      <c r="T983" s="90">
        <f t="shared" si="267"/>
        <v>95</v>
      </c>
      <c r="U983" s="89">
        <f t="shared" si="268"/>
        <v>103.31428490526316</v>
      </c>
      <c r="V983" s="89">
        <f t="shared" si="269"/>
        <v>89.122719000000004</v>
      </c>
      <c r="W983" s="90">
        <f t="shared" si="274"/>
        <v>8466.6583050000008</v>
      </c>
      <c r="X983" s="93">
        <f t="shared" si="270"/>
        <v>-0.13736305602150267</v>
      </c>
      <c r="AB983" s="89">
        <f t="shared" si="259"/>
        <v>195</v>
      </c>
      <c r="AC983" s="89">
        <f t="shared" si="260"/>
        <v>51.179276000000002</v>
      </c>
      <c r="AD983" s="89">
        <f t="shared" si="261"/>
        <v>89.122719000000004</v>
      </c>
      <c r="AE983" s="89">
        <f t="shared" si="262"/>
        <v>17378.930205000001</v>
      </c>
      <c r="AF983" s="90">
        <f t="shared" si="265"/>
        <v>7398.9713850000007</v>
      </c>
      <c r="AG983" s="93">
        <f t="shared" si="266"/>
        <v>0.74138295742987848</v>
      </c>
      <c r="AK983" s="90">
        <f t="shared" si="263"/>
        <v>142</v>
      </c>
      <c r="AL983" s="89">
        <f t="shared" si="264"/>
        <v>68.865979063380294</v>
      </c>
      <c r="AM983" s="89">
        <f t="shared" si="256"/>
        <v>89.122719000000004</v>
      </c>
      <c r="AN983" s="90">
        <f t="shared" si="257"/>
        <v>12655.426098</v>
      </c>
      <c r="AO983" s="93">
        <f t="shared" si="258"/>
        <v>0.2941472728932899</v>
      </c>
    </row>
    <row r="984" spans="2:41" x14ac:dyDescent="0.25">
      <c r="B984" s="91">
        <v>40777</v>
      </c>
      <c r="C984" s="89">
        <v>115.16999800000001</v>
      </c>
      <c r="D984" s="89">
        <v>115.230003</v>
      </c>
      <c r="E984" s="89">
        <v>112.410004</v>
      </c>
      <c r="F984" s="89">
        <v>112.730003</v>
      </c>
      <c r="G984" s="89">
        <v>89.193954000000005</v>
      </c>
      <c r="H984" s="89">
        <v>275090600</v>
      </c>
      <c r="J984" s="89">
        <v>0</v>
      </c>
      <c r="K984" s="89">
        <f t="shared" si="275"/>
        <v>88</v>
      </c>
      <c r="L984" s="89">
        <f t="shared" si="276"/>
        <v>112.621376</v>
      </c>
      <c r="M984" s="89">
        <f>+SPY__2[[#This Row],[Adj Close]]</f>
        <v>89.193954000000005</v>
      </c>
      <c r="N984" s="89">
        <f t="shared" si="271"/>
        <v>7849.0679520000003</v>
      </c>
      <c r="O984" s="90">
        <f t="shared" si="272"/>
        <v>-2061.6131359999995</v>
      </c>
      <c r="P984" s="93">
        <f t="shared" si="273"/>
        <v>-0.20801931952953578</v>
      </c>
      <c r="Q984" s="96"/>
      <c r="R984" s="96"/>
      <c r="T984" s="90">
        <f t="shared" si="267"/>
        <v>95</v>
      </c>
      <c r="U984" s="89">
        <f t="shared" si="268"/>
        <v>103.31428490526316</v>
      </c>
      <c r="V984" s="89">
        <f t="shared" si="269"/>
        <v>89.193954000000005</v>
      </c>
      <c r="W984" s="90">
        <f t="shared" si="274"/>
        <v>8473.4256299999997</v>
      </c>
      <c r="X984" s="93">
        <f t="shared" si="270"/>
        <v>-0.13667355795194425</v>
      </c>
      <c r="AB984" s="89">
        <f t="shared" si="259"/>
        <v>195</v>
      </c>
      <c r="AC984" s="89">
        <f t="shared" si="260"/>
        <v>51.179276000000002</v>
      </c>
      <c r="AD984" s="89">
        <f t="shared" si="261"/>
        <v>89.193954000000005</v>
      </c>
      <c r="AE984" s="89">
        <f t="shared" si="262"/>
        <v>17392.821030000003</v>
      </c>
      <c r="AF984" s="90">
        <f t="shared" si="265"/>
        <v>7412.8622100000011</v>
      </c>
      <c r="AG984" s="93">
        <f t="shared" si="266"/>
        <v>0.74277482940555872</v>
      </c>
      <c r="AK984" s="90">
        <f t="shared" si="263"/>
        <v>142</v>
      </c>
      <c r="AL984" s="89">
        <f t="shared" si="264"/>
        <v>68.865979063380294</v>
      </c>
      <c r="AM984" s="89">
        <f t="shared" si="256"/>
        <v>89.193954000000005</v>
      </c>
      <c r="AN984" s="90">
        <f t="shared" si="257"/>
        <v>12665.541468000001</v>
      </c>
      <c r="AO984" s="93">
        <f t="shared" si="258"/>
        <v>0.29518167334716927</v>
      </c>
    </row>
    <row r="985" spans="2:41" x14ac:dyDescent="0.25">
      <c r="B985" s="91">
        <v>40778</v>
      </c>
      <c r="C985" s="89">
        <v>113.150002</v>
      </c>
      <c r="D985" s="89">
        <v>116.57</v>
      </c>
      <c r="E985" s="89">
        <v>112.58000199999999</v>
      </c>
      <c r="F985" s="89">
        <v>116.44000200000001</v>
      </c>
      <c r="G985" s="89">
        <v>92.129363999999995</v>
      </c>
      <c r="H985" s="89">
        <v>331136600</v>
      </c>
      <c r="J985" s="89">
        <v>0</v>
      </c>
      <c r="K985" s="89">
        <f t="shared" si="275"/>
        <v>88</v>
      </c>
      <c r="L985" s="89">
        <f t="shared" si="276"/>
        <v>112.621376</v>
      </c>
      <c r="M985" s="89">
        <f>+SPY__2[[#This Row],[Adj Close]]</f>
        <v>92.129363999999995</v>
      </c>
      <c r="N985" s="89">
        <f t="shared" si="271"/>
        <v>8107.3840319999999</v>
      </c>
      <c r="O985" s="90">
        <f t="shared" si="272"/>
        <v>-1803.2970560000003</v>
      </c>
      <c r="P985" s="93">
        <f t="shared" si="273"/>
        <v>-0.18195490703292427</v>
      </c>
      <c r="Q985" s="96"/>
      <c r="R985" s="96"/>
      <c r="T985" s="90">
        <f t="shared" si="267"/>
        <v>95</v>
      </c>
      <c r="U985" s="89">
        <f t="shared" si="268"/>
        <v>103.31428490526316</v>
      </c>
      <c r="V985" s="89">
        <f t="shared" si="269"/>
        <v>92.129363999999995</v>
      </c>
      <c r="W985" s="90">
        <f t="shared" si="274"/>
        <v>8752.2895799999988</v>
      </c>
      <c r="X985" s="93">
        <f t="shared" si="270"/>
        <v>-0.10826112686662348</v>
      </c>
      <c r="AB985" s="89">
        <f t="shared" si="259"/>
        <v>195</v>
      </c>
      <c r="AC985" s="89">
        <f t="shared" si="260"/>
        <v>51.179276000000002</v>
      </c>
      <c r="AD985" s="89">
        <f t="shared" si="261"/>
        <v>92.129363999999995</v>
      </c>
      <c r="AE985" s="89">
        <f t="shared" si="262"/>
        <v>17965.225979999999</v>
      </c>
      <c r="AF985" s="90">
        <f t="shared" si="265"/>
        <v>7985.2671599999985</v>
      </c>
      <c r="AG985" s="93">
        <f t="shared" si="266"/>
        <v>0.80013027147941673</v>
      </c>
      <c r="AK985" s="90">
        <f t="shared" si="263"/>
        <v>142</v>
      </c>
      <c r="AL985" s="89">
        <f t="shared" si="264"/>
        <v>68.865979063380294</v>
      </c>
      <c r="AM985" s="89">
        <f t="shared" si="256"/>
        <v>92.129363999999995</v>
      </c>
      <c r="AN985" s="90">
        <f t="shared" si="257"/>
        <v>13082.369687999999</v>
      </c>
      <c r="AO985" s="93">
        <f t="shared" si="258"/>
        <v>0.33780663911289821</v>
      </c>
    </row>
    <row r="986" spans="2:41" x14ac:dyDescent="0.25">
      <c r="B986" s="91">
        <v>40779</v>
      </c>
      <c r="C986" s="89">
        <v>116.19000200000001</v>
      </c>
      <c r="D986" s="89">
        <v>118.239998</v>
      </c>
      <c r="E986" s="89">
        <v>115.91999800000001</v>
      </c>
      <c r="F986" s="89">
        <v>118.08000199999999</v>
      </c>
      <c r="G986" s="89">
        <v>93.426933000000005</v>
      </c>
      <c r="H986" s="89">
        <v>246869700</v>
      </c>
      <c r="J986" s="89">
        <v>0</v>
      </c>
      <c r="K986" s="89">
        <f t="shared" si="275"/>
        <v>88</v>
      </c>
      <c r="L986" s="89">
        <f t="shared" si="276"/>
        <v>112.621376</v>
      </c>
      <c r="M986" s="89">
        <f>+SPY__2[[#This Row],[Adj Close]]</f>
        <v>93.426933000000005</v>
      </c>
      <c r="N986" s="89">
        <f t="shared" si="271"/>
        <v>8221.5701040000004</v>
      </c>
      <c r="O986" s="90">
        <f t="shared" si="272"/>
        <v>-1689.1109839999995</v>
      </c>
      <c r="P986" s="93">
        <f t="shared" si="273"/>
        <v>-0.17043339090440512</v>
      </c>
      <c r="Q986" s="96"/>
      <c r="R986" s="96"/>
      <c r="T986" s="90">
        <f t="shared" si="267"/>
        <v>95</v>
      </c>
      <c r="U986" s="89">
        <f t="shared" si="268"/>
        <v>103.31428490526316</v>
      </c>
      <c r="V986" s="89">
        <f t="shared" si="269"/>
        <v>93.426933000000005</v>
      </c>
      <c r="W986" s="90">
        <f t="shared" si="274"/>
        <v>8875.5586350000012</v>
      </c>
      <c r="X986" s="93">
        <f t="shared" si="270"/>
        <v>-9.5701692310309561E-2</v>
      </c>
      <c r="AB986" s="89">
        <f t="shared" si="259"/>
        <v>195</v>
      </c>
      <c r="AC986" s="89">
        <f t="shared" si="260"/>
        <v>51.179276000000002</v>
      </c>
      <c r="AD986" s="89">
        <f t="shared" si="261"/>
        <v>93.426933000000005</v>
      </c>
      <c r="AE986" s="89">
        <f t="shared" si="262"/>
        <v>18218.251935</v>
      </c>
      <c r="AF986" s="90">
        <f t="shared" si="265"/>
        <v>8238.2931150000004</v>
      </c>
      <c r="AG986" s="93">
        <f t="shared" si="266"/>
        <v>0.82548367819818314</v>
      </c>
      <c r="AK986" s="90">
        <f t="shared" si="263"/>
        <v>142</v>
      </c>
      <c r="AL986" s="89">
        <f t="shared" si="264"/>
        <v>68.865979063380294</v>
      </c>
      <c r="AM986" s="89">
        <f t="shared" si="256"/>
        <v>93.426933000000005</v>
      </c>
      <c r="AN986" s="90">
        <f t="shared" si="257"/>
        <v>13266.624486000001</v>
      </c>
      <c r="AO986" s="93">
        <f t="shared" si="258"/>
        <v>0.3566485842598015</v>
      </c>
    </row>
    <row r="987" spans="2:41" x14ac:dyDescent="0.25">
      <c r="B987" s="91">
        <v>40780</v>
      </c>
      <c r="C987" s="89">
        <v>118.730003</v>
      </c>
      <c r="D987" s="89">
        <v>119.400002</v>
      </c>
      <c r="E987" s="89">
        <v>115.870003</v>
      </c>
      <c r="F987" s="89">
        <v>116.279999</v>
      </c>
      <c r="G987" s="89">
        <v>92.002762000000004</v>
      </c>
      <c r="H987" s="89">
        <v>312365400</v>
      </c>
      <c r="J987" s="89">
        <v>0</v>
      </c>
      <c r="K987" s="89">
        <f t="shared" si="275"/>
        <v>88</v>
      </c>
      <c r="L987" s="89">
        <f t="shared" si="276"/>
        <v>112.621376</v>
      </c>
      <c r="M987" s="89">
        <f>+SPY__2[[#This Row],[Adj Close]]</f>
        <v>92.002762000000004</v>
      </c>
      <c r="N987" s="89">
        <f t="shared" si="271"/>
        <v>8096.2430560000003</v>
      </c>
      <c r="O987" s="90">
        <f t="shared" si="272"/>
        <v>-1814.4380319999996</v>
      </c>
      <c r="P987" s="93">
        <f t="shared" si="273"/>
        <v>-0.18307904531374219</v>
      </c>
      <c r="Q987" s="96"/>
      <c r="R987" s="96"/>
      <c r="T987" s="90">
        <f t="shared" si="267"/>
        <v>95</v>
      </c>
      <c r="U987" s="89">
        <f t="shared" si="268"/>
        <v>103.31428490526316</v>
      </c>
      <c r="V987" s="89">
        <f t="shared" si="269"/>
        <v>92.002762000000004</v>
      </c>
      <c r="W987" s="90">
        <f t="shared" si="274"/>
        <v>8740.2623899999999</v>
      </c>
      <c r="X987" s="93">
        <f t="shared" si="270"/>
        <v>-0.10948653340276782</v>
      </c>
      <c r="AB987" s="89">
        <f t="shared" si="259"/>
        <v>195</v>
      </c>
      <c r="AC987" s="89">
        <f t="shared" si="260"/>
        <v>51.179276000000002</v>
      </c>
      <c r="AD987" s="89">
        <f t="shared" si="261"/>
        <v>92.002762000000004</v>
      </c>
      <c r="AE987" s="89">
        <f t="shared" si="262"/>
        <v>17940.53859</v>
      </c>
      <c r="AF987" s="90">
        <f t="shared" si="265"/>
        <v>7960.5797700000003</v>
      </c>
      <c r="AG987" s="93">
        <f t="shared" si="266"/>
        <v>0.79765657489957453</v>
      </c>
      <c r="AK987" s="90">
        <f t="shared" si="263"/>
        <v>142</v>
      </c>
      <c r="AL987" s="89">
        <f t="shared" si="264"/>
        <v>68.865979063380294</v>
      </c>
      <c r="AM987" s="89">
        <f t="shared" si="256"/>
        <v>92.002762000000004</v>
      </c>
      <c r="AN987" s="90">
        <f t="shared" si="257"/>
        <v>13064.392204</v>
      </c>
      <c r="AO987" s="93">
        <f t="shared" si="258"/>
        <v>0.33596825676907827</v>
      </c>
    </row>
    <row r="988" spans="2:41" x14ac:dyDescent="0.25">
      <c r="B988" s="91">
        <v>40781</v>
      </c>
      <c r="C988" s="89">
        <v>115.69000200000001</v>
      </c>
      <c r="D988" s="89">
        <v>118.510002</v>
      </c>
      <c r="E988" s="89">
        <v>113.849998</v>
      </c>
      <c r="F988" s="89">
        <v>117.970001</v>
      </c>
      <c r="G988" s="89">
        <v>93.339911999999998</v>
      </c>
      <c r="H988" s="89">
        <v>314495900</v>
      </c>
      <c r="J988" s="89">
        <v>0</v>
      </c>
      <c r="K988" s="89">
        <f t="shared" si="275"/>
        <v>88</v>
      </c>
      <c r="L988" s="89">
        <f t="shared" si="276"/>
        <v>112.621376</v>
      </c>
      <c r="M988" s="89">
        <f>+SPY__2[[#This Row],[Adj Close]]</f>
        <v>93.339911999999998</v>
      </c>
      <c r="N988" s="89">
        <f t="shared" si="271"/>
        <v>8213.9122559999996</v>
      </c>
      <c r="O988" s="90">
        <f t="shared" si="272"/>
        <v>-1696.768832</v>
      </c>
      <c r="P988" s="93">
        <f t="shared" si="273"/>
        <v>-0.17120607725481884</v>
      </c>
      <c r="Q988" s="96"/>
      <c r="R988" s="96"/>
      <c r="T988" s="90">
        <f t="shared" si="267"/>
        <v>95</v>
      </c>
      <c r="U988" s="89">
        <f t="shared" si="268"/>
        <v>103.31428490526316</v>
      </c>
      <c r="V988" s="89">
        <f t="shared" si="269"/>
        <v>93.339911999999998</v>
      </c>
      <c r="W988" s="90">
        <f t="shared" si="274"/>
        <v>8867.2916399999995</v>
      </c>
      <c r="X988" s="93">
        <f t="shared" si="270"/>
        <v>-9.6543986288144423E-2</v>
      </c>
      <c r="AB988" s="89">
        <f t="shared" si="259"/>
        <v>195</v>
      </c>
      <c r="AC988" s="89">
        <f t="shared" si="260"/>
        <v>51.179276000000002</v>
      </c>
      <c r="AD988" s="89">
        <f t="shared" si="261"/>
        <v>93.339911999999998</v>
      </c>
      <c r="AE988" s="89">
        <f t="shared" si="262"/>
        <v>18201.28284</v>
      </c>
      <c r="AF988" s="90">
        <f t="shared" si="265"/>
        <v>8221.32402</v>
      </c>
      <c r="AG988" s="93">
        <f t="shared" si="266"/>
        <v>0.82378336106200467</v>
      </c>
      <c r="AK988" s="90">
        <f t="shared" si="263"/>
        <v>142</v>
      </c>
      <c r="AL988" s="89">
        <f t="shared" si="264"/>
        <v>68.865979063380294</v>
      </c>
      <c r="AM988" s="89">
        <f t="shared" si="256"/>
        <v>93.339911999999998</v>
      </c>
      <c r="AN988" s="90">
        <f t="shared" si="257"/>
        <v>13254.267503999999</v>
      </c>
      <c r="AO988" s="93">
        <f t="shared" si="258"/>
        <v>0.3553849559605522</v>
      </c>
    </row>
    <row r="989" spans="2:41" x14ac:dyDescent="0.25">
      <c r="B989" s="91">
        <v>40784</v>
      </c>
      <c r="C989" s="89">
        <v>119.55999799999999</v>
      </c>
      <c r="D989" s="89">
        <v>121.43</v>
      </c>
      <c r="E989" s="89">
        <v>118.05999799999999</v>
      </c>
      <c r="F989" s="89">
        <v>121.360001</v>
      </c>
      <c r="G989" s="89">
        <v>96.022125000000003</v>
      </c>
      <c r="H989" s="89">
        <v>190977200</v>
      </c>
      <c r="J989" s="89">
        <v>0</v>
      </c>
      <c r="K989" s="89">
        <f t="shared" si="275"/>
        <v>88</v>
      </c>
      <c r="L989" s="89">
        <f t="shared" si="276"/>
        <v>112.621376</v>
      </c>
      <c r="M989" s="89">
        <f>+SPY__2[[#This Row],[Adj Close]]</f>
        <v>96.022125000000003</v>
      </c>
      <c r="N989" s="89">
        <f t="shared" si="271"/>
        <v>8449.9470000000001</v>
      </c>
      <c r="O989" s="90">
        <f t="shared" si="272"/>
        <v>-1460.7340879999997</v>
      </c>
      <c r="P989" s="93">
        <f t="shared" si="273"/>
        <v>-0.14738987916468005</v>
      </c>
      <c r="Q989" s="96"/>
      <c r="R989" s="96"/>
      <c r="T989" s="90">
        <f t="shared" si="267"/>
        <v>95</v>
      </c>
      <c r="U989" s="89">
        <f t="shared" si="268"/>
        <v>103.31428490526316</v>
      </c>
      <c r="V989" s="89">
        <f t="shared" si="269"/>
        <v>96.022125000000003</v>
      </c>
      <c r="W989" s="90">
        <f t="shared" si="274"/>
        <v>9122.1018750000003</v>
      </c>
      <c r="X989" s="93">
        <f t="shared" si="270"/>
        <v>-7.0582300520687036E-2</v>
      </c>
      <c r="AB989" s="89">
        <f t="shared" si="259"/>
        <v>195</v>
      </c>
      <c r="AC989" s="89">
        <f t="shared" si="260"/>
        <v>51.179276000000002</v>
      </c>
      <c r="AD989" s="89">
        <f t="shared" si="261"/>
        <v>96.022125000000003</v>
      </c>
      <c r="AE989" s="89">
        <f t="shared" si="262"/>
        <v>18724.314375000002</v>
      </c>
      <c r="AF989" s="90">
        <f t="shared" si="265"/>
        <v>8744.3555550000001</v>
      </c>
      <c r="AG989" s="93">
        <f t="shared" si="266"/>
        <v>0.8761915467502901</v>
      </c>
      <c r="AK989" s="90">
        <f t="shared" si="263"/>
        <v>142</v>
      </c>
      <c r="AL989" s="89">
        <f t="shared" si="264"/>
        <v>68.865979063380294</v>
      </c>
      <c r="AM989" s="89">
        <f t="shared" si="256"/>
        <v>96.022125000000003</v>
      </c>
      <c r="AN989" s="90">
        <f t="shared" si="257"/>
        <v>13635.141750000001</v>
      </c>
      <c r="AO989" s="93">
        <f t="shared" si="258"/>
        <v>0.3943332586853483</v>
      </c>
    </row>
    <row r="990" spans="2:41" x14ac:dyDescent="0.25">
      <c r="B990" s="91">
        <v>40785</v>
      </c>
      <c r="C990" s="89">
        <v>120.83000199999999</v>
      </c>
      <c r="D990" s="89">
        <v>122.43</v>
      </c>
      <c r="E990" s="89">
        <v>119.260002</v>
      </c>
      <c r="F990" s="89">
        <v>121.68</v>
      </c>
      <c r="G990" s="89">
        <v>96.275329999999997</v>
      </c>
      <c r="H990" s="89">
        <v>241315700</v>
      </c>
      <c r="J990" s="89">
        <v>0</v>
      </c>
      <c r="K990" s="89">
        <f t="shared" si="275"/>
        <v>88</v>
      </c>
      <c r="L990" s="89">
        <f t="shared" si="276"/>
        <v>112.621376</v>
      </c>
      <c r="M990" s="89">
        <f>+SPY__2[[#This Row],[Adj Close]]</f>
        <v>96.275329999999997</v>
      </c>
      <c r="N990" s="89">
        <f t="shared" si="271"/>
        <v>8472.2290400000002</v>
      </c>
      <c r="O990" s="90">
        <f t="shared" si="272"/>
        <v>-1438.4520480000001</v>
      </c>
      <c r="P990" s="93">
        <f t="shared" si="273"/>
        <v>-0.14514159372373503</v>
      </c>
      <c r="Q990" s="96"/>
      <c r="R990" s="96"/>
      <c r="T990" s="90">
        <f t="shared" si="267"/>
        <v>95</v>
      </c>
      <c r="U990" s="89">
        <f t="shared" si="268"/>
        <v>103.31428490526316</v>
      </c>
      <c r="V990" s="89">
        <f t="shared" si="269"/>
        <v>96.275329999999997</v>
      </c>
      <c r="W990" s="90">
        <f t="shared" si="274"/>
        <v>9146.1563499999993</v>
      </c>
      <c r="X990" s="93">
        <f t="shared" si="270"/>
        <v>-6.8131477769194593E-2</v>
      </c>
      <c r="AB990" s="89">
        <f t="shared" si="259"/>
        <v>195</v>
      </c>
      <c r="AC990" s="89">
        <f t="shared" si="260"/>
        <v>51.179276000000002</v>
      </c>
      <c r="AD990" s="89">
        <f t="shared" si="261"/>
        <v>96.275329999999997</v>
      </c>
      <c r="AE990" s="89">
        <f t="shared" si="262"/>
        <v>18773.689350000001</v>
      </c>
      <c r="AF990" s="90">
        <f t="shared" si="265"/>
        <v>8793.7305299999989</v>
      </c>
      <c r="AG990" s="93">
        <f t="shared" si="266"/>
        <v>0.88113895944913323</v>
      </c>
      <c r="AK990" s="90">
        <f t="shared" si="263"/>
        <v>142</v>
      </c>
      <c r="AL990" s="89">
        <f t="shared" si="264"/>
        <v>68.865979063380294</v>
      </c>
      <c r="AM990" s="89">
        <f t="shared" si="256"/>
        <v>96.275329999999997</v>
      </c>
      <c r="AN990" s="90">
        <f t="shared" si="257"/>
        <v>13671.09686</v>
      </c>
      <c r="AO990" s="93">
        <f t="shared" si="258"/>
        <v>0.3980100378939464</v>
      </c>
    </row>
    <row r="991" spans="2:41" x14ac:dyDescent="0.25">
      <c r="B991" s="91">
        <v>40786</v>
      </c>
      <c r="C991" s="89">
        <v>122.459999</v>
      </c>
      <c r="D991" s="89">
        <v>123.510002</v>
      </c>
      <c r="E991" s="89">
        <v>121.300003</v>
      </c>
      <c r="F991" s="89">
        <v>122.220001</v>
      </c>
      <c r="G991" s="89">
        <v>96.702575999999993</v>
      </c>
      <c r="H991" s="89">
        <v>301828400</v>
      </c>
      <c r="J991" s="89">
        <v>0</v>
      </c>
      <c r="K991" s="89">
        <f t="shared" si="275"/>
        <v>88</v>
      </c>
      <c r="L991" s="89">
        <f t="shared" si="276"/>
        <v>112.621376</v>
      </c>
      <c r="M991" s="89">
        <f>+SPY__2[[#This Row],[Adj Close]]</f>
        <v>96.702575999999993</v>
      </c>
      <c r="N991" s="89">
        <f t="shared" si="271"/>
        <v>8509.8266879999992</v>
      </c>
      <c r="O991" s="90">
        <f t="shared" si="272"/>
        <v>-1400.8544000000004</v>
      </c>
      <c r="P991" s="93">
        <f t="shared" si="273"/>
        <v>-0.14134794446127175</v>
      </c>
      <c r="Q991" s="96"/>
      <c r="R991" s="96"/>
      <c r="T991" s="90">
        <f t="shared" si="267"/>
        <v>95</v>
      </c>
      <c r="U991" s="89">
        <f t="shared" si="268"/>
        <v>103.31428490526316</v>
      </c>
      <c r="V991" s="89">
        <f t="shared" si="269"/>
        <v>96.702575999999993</v>
      </c>
      <c r="W991" s="90">
        <f t="shared" si="274"/>
        <v>9186.7447199999988</v>
      </c>
      <c r="X991" s="93">
        <f t="shared" si="270"/>
        <v>-6.3996076741236307E-2</v>
      </c>
      <c r="AB991" s="89">
        <f t="shared" si="259"/>
        <v>195</v>
      </c>
      <c r="AC991" s="89">
        <f t="shared" si="260"/>
        <v>51.179276000000002</v>
      </c>
      <c r="AD991" s="89">
        <f t="shared" si="261"/>
        <v>96.702575999999993</v>
      </c>
      <c r="AE991" s="89">
        <f t="shared" si="262"/>
        <v>18857.00232</v>
      </c>
      <c r="AF991" s="90">
        <f t="shared" si="265"/>
        <v>8877.0434999999979</v>
      </c>
      <c r="AG991" s="93">
        <f t="shared" si="266"/>
        <v>0.88948698688117411</v>
      </c>
      <c r="AK991" s="90">
        <f t="shared" si="263"/>
        <v>142</v>
      </c>
      <c r="AL991" s="89">
        <f t="shared" si="264"/>
        <v>68.865979063380294</v>
      </c>
      <c r="AM991" s="89">
        <f t="shared" si="256"/>
        <v>96.702575999999993</v>
      </c>
      <c r="AN991" s="90">
        <f t="shared" si="257"/>
        <v>13731.765791999998</v>
      </c>
      <c r="AO991" s="93">
        <f t="shared" si="258"/>
        <v>0.40421405918008513</v>
      </c>
    </row>
    <row r="992" spans="2:41" x14ac:dyDescent="0.25">
      <c r="B992" s="91">
        <v>40787</v>
      </c>
      <c r="C992" s="89">
        <v>122.290001</v>
      </c>
      <c r="D992" s="89">
        <v>123.400002</v>
      </c>
      <c r="E992" s="89">
        <v>120.779999</v>
      </c>
      <c r="F992" s="89">
        <v>120.94000200000001</v>
      </c>
      <c r="G992" s="89">
        <v>95.689841999999999</v>
      </c>
      <c r="H992" s="89">
        <v>254585900</v>
      </c>
      <c r="J992" s="89">
        <v>0</v>
      </c>
      <c r="K992" s="89">
        <f t="shared" si="275"/>
        <v>88</v>
      </c>
      <c r="L992" s="89">
        <f t="shared" si="276"/>
        <v>112.621376</v>
      </c>
      <c r="M992" s="89">
        <f>+SPY__2[[#This Row],[Adj Close]]</f>
        <v>95.689841999999999</v>
      </c>
      <c r="N992" s="89">
        <f t="shared" si="271"/>
        <v>8420.7060959999999</v>
      </c>
      <c r="O992" s="90">
        <f t="shared" si="272"/>
        <v>-1489.9749919999999</v>
      </c>
      <c r="P992" s="93">
        <f t="shared" si="273"/>
        <v>-0.15034032260447605</v>
      </c>
      <c r="Q992" s="96"/>
      <c r="R992" s="96"/>
      <c r="T992" s="90">
        <f t="shared" si="267"/>
        <v>95</v>
      </c>
      <c r="U992" s="89">
        <f t="shared" si="268"/>
        <v>103.31428490526316</v>
      </c>
      <c r="V992" s="89">
        <f t="shared" si="269"/>
        <v>95.689841999999999</v>
      </c>
      <c r="W992" s="90">
        <f t="shared" si="274"/>
        <v>9090.5349900000001</v>
      </c>
      <c r="X992" s="93">
        <f t="shared" si="270"/>
        <v>-7.3798535335695359E-2</v>
      </c>
      <c r="AB992" s="89">
        <f t="shared" si="259"/>
        <v>195</v>
      </c>
      <c r="AC992" s="89">
        <f t="shared" si="260"/>
        <v>51.179276000000002</v>
      </c>
      <c r="AD992" s="89">
        <f t="shared" si="261"/>
        <v>95.689841999999999</v>
      </c>
      <c r="AE992" s="89">
        <f t="shared" si="262"/>
        <v>18659.519189999999</v>
      </c>
      <c r="AF992" s="90">
        <f t="shared" si="265"/>
        <v>8679.5603699999992</v>
      </c>
      <c r="AG992" s="93">
        <f t="shared" si="266"/>
        <v>0.8696990164534566</v>
      </c>
      <c r="AK992" s="90">
        <f t="shared" si="263"/>
        <v>142</v>
      </c>
      <c r="AL992" s="89">
        <f t="shared" si="264"/>
        <v>68.865979063380294</v>
      </c>
      <c r="AM992" s="89">
        <f t="shared" si="256"/>
        <v>95.689841999999999</v>
      </c>
      <c r="AN992" s="90">
        <f t="shared" si="257"/>
        <v>13587.957564</v>
      </c>
      <c r="AO992" s="93">
        <f t="shared" si="258"/>
        <v>0.3895081911480931</v>
      </c>
    </row>
    <row r="993" spans="2:41" x14ac:dyDescent="0.25">
      <c r="B993" s="91">
        <v>40788</v>
      </c>
      <c r="C993" s="89">
        <v>118.41999800000001</v>
      </c>
      <c r="D993" s="89">
        <v>120.870003</v>
      </c>
      <c r="E993" s="89">
        <v>117.43</v>
      </c>
      <c r="F993" s="89">
        <v>117.849998</v>
      </c>
      <c r="G993" s="89">
        <v>93.244956999999999</v>
      </c>
      <c r="H993" s="89">
        <v>255517200</v>
      </c>
      <c r="J993" s="89">
        <v>0</v>
      </c>
      <c r="K993" s="89">
        <f t="shared" si="275"/>
        <v>88</v>
      </c>
      <c r="L993" s="89">
        <f t="shared" si="276"/>
        <v>112.621376</v>
      </c>
      <c r="M993" s="89">
        <f>+SPY__2[[#This Row],[Adj Close]]</f>
        <v>93.244956999999999</v>
      </c>
      <c r="N993" s="89">
        <f t="shared" si="271"/>
        <v>8205.5562160000009</v>
      </c>
      <c r="O993" s="90">
        <f t="shared" si="272"/>
        <v>-1705.1248719999999</v>
      </c>
      <c r="P993" s="93">
        <f t="shared" si="273"/>
        <v>-0.17204921204301393</v>
      </c>
      <c r="Q993" s="96"/>
      <c r="R993" s="96"/>
      <c r="T993" s="90">
        <f t="shared" si="267"/>
        <v>95</v>
      </c>
      <c r="U993" s="89">
        <f t="shared" si="268"/>
        <v>103.31428490526316</v>
      </c>
      <c r="V993" s="89">
        <f t="shared" si="269"/>
        <v>93.244956999999999</v>
      </c>
      <c r="W993" s="90">
        <f t="shared" si="274"/>
        <v>8858.2709149999991</v>
      </c>
      <c r="X993" s="93">
        <f t="shared" si="270"/>
        <v>-9.7463075067465432E-2</v>
      </c>
      <c r="AB993" s="89">
        <f t="shared" si="259"/>
        <v>195</v>
      </c>
      <c r="AC993" s="89">
        <f t="shared" si="260"/>
        <v>51.179276000000002</v>
      </c>
      <c r="AD993" s="89">
        <f t="shared" si="261"/>
        <v>93.244956999999999</v>
      </c>
      <c r="AE993" s="89">
        <f t="shared" si="262"/>
        <v>18182.766615</v>
      </c>
      <c r="AF993" s="90">
        <f t="shared" si="265"/>
        <v>8202.8077949999988</v>
      </c>
      <c r="AG993" s="93">
        <f t="shared" si="266"/>
        <v>0.82192802024006739</v>
      </c>
      <c r="AK993" s="90">
        <f t="shared" si="263"/>
        <v>142</v>
      </c>
      <c r="AL993" s="89">
        <f t="shared" si="264"/>
        <v>68.865979063380294</v>
      </c>
      <c r="AM993" s="89">
        <f t="shared" si="256"/>
        <v>93.244956999999999</v>
      </c>
      <c r="AN993" s="90">
        <f t="shared" si="257"/>
        <v>13240.783894</v>
      </c>
      <c r="AO993" s="93">
        <f t="shared" si="258"/>
        <v>0.35400611837933371</v>
      </c>
    </row>
    <row r="994" spans="2:41" x14ac:dyDescent="0.25">
      <c r="B994" s="91">
        <v>40792</v>
      </c>
      <c r="C994" s="89">
        <v>114.389999</v>
      </c>
      <c r="D994" s="89">
        <v>117.160004</v>
      </c>
      <c r="E994" s="89">
        <v>114.379997</v>
      </c>
      <c r="F994" s="89">
        <v>116.989998</v>
      </c>
      <c r="G994" s="89">
        <v>92.564521999999997</v>
      </c>
      <c r="H994" s="89">
        <v>285130500</v>
      </c>
      <c r="J994" s="89">
        <v>0</v>
      </c>
      <c r="K994" s="89">
        <f t="shared" si="275"/>
        <v>88</v>
      </c>
      <c r="L994" s="89">
        <f t="shared" si="276"/>
        <v>112.621376</v>
      </c>
      <c r="M994" s="89">
        <f>+SPY__2[[#This Row],[Adj Close]]</f>
        <v>92.564521999999997</v>
      </c>
      <c r="N994" s="89">
        <f t="shared" si="271"/>
        <v>8145.677936</v>
      </c>
      <c r="O994" s="90">
        <f t="shared" si="272"/>
        <v>-1765.0031520000002</v>
      </c>
      <c r="P994" s="93">
        <f t="shared" si="273"/>
        <v>-0.17809100467747796</v>
      </c>
      <c r="Q994" s="96"/>
      <c r="R994" s="96"/>
      <c r="T994" s="90">
        <f t="shared" si="267"/>
        <v>95</v>
      </c>
      <c r="U994" s="89">
        <f t="shared" si="268"/>
        <v>103.31428490526316</v>
      </c>
      <c r="V994" s="89">
        <f t="shared" si="269"/>
        <v>92.564521999999997</v>
      </c>
      <c r="W994" s="90">
        <f t="shared" si="274"/>
        <v>8793.6295900000005</v>
      </c>
      <c r="X994" s="93">
        <f t="shared" si="270"/>
        <v>-0.10404914397965825</v>
      </c>
      <c r="AB994" s="89">
        <f t="shared" si="259"/>
        <v>195</v>
      </c>
      <c r="AC994" s="89">
        <f t="shared" si="260"/>
        <v>51.179276000000002</v>
      </c>
      <c r="AD994" s="89">
        <f t="shared" si="261"/>
        <v>92.564521999999997</v>
      </c>
      <c r="AE994" s="89">
        <f t="shared" si="262"/>
        <v>18050.08179</v>
      </c>
      <c r="AF994" s="90">
        <f t="shared" si="265"/>
        <v>8070.1229699999994</v>
      </c>
      <c r="AG994" s="93">
        <f t="shared" si="266"/>
        <v>0.80863289273572359</v>
      </c>
      <c r="AK994" s="90">
        <f t="shared" si="263"/>
        <v>142</v>
      </c>
      <c r="AL994" s="89">
        <f t="shared" si="264"/>
        <v>68.865979063380294</v>
      </c>
      <c r="AM994" s="89">
        <f t="shared" si="256"/>
        <v>92.564521999999997</v>
      </c>
      <c r="AN994" s="90">
        <f t="shared" si="257"/>
        <v>13144.162124</v>
      </c>
      <c r="AO994" s="93">
        <f t="shared" si="258"/>
        <v>0.34412555021992697</v>
      </c>
    </row>
    <row r="995" spans="2:41" x14ac:dyDescent="0.25">
      <c r="B995" s="91">
        <v>40793</v>
      </c>
      <c r="C995" s="89">
        <v>118.760002</v>
      </c>
      <c r="D995" s="89">
        <v>120.339996</v>
      </c>
      <c r="E995" s="89">
        <v>118.360001</v>
      </c>
      <c r="F995" s="89">
        <v>120.290001</v>
      </c>
      <c r="G995" s="89">
        <v>95.175551999999996</v>
      </c>
      <c r="H995" s="89">
        <v>209803200</v>
      </c>
      <c r="J995" s="89">
        <v>0</v>
      </c>
      <c r="K995" s="89">
        <f t="shared" si="275"/>
        <v>88</v>
      </c>
      <c r="L995" s="89">
        <f t="shared" si="276"/>
        <v>112.621376</v>
      </c>
      <c r="M995" s="89">
        <f>+SPY__2[[#This Row],[Adj Close]]</f>
        <v>95.175551999999996</v>
      </c>
      <c r="N995" s="89">
        <f t="shared" si="271"/>
        <v>8375.4485759999989</v>
      </c>
      <c r="O995" s="90">
        <f t="shared" si="272"/>
        <v>-1535.232512</v>
      </c>
      <c r="P995" s="93">
        <f t="shared" si="273"/>
        <v>-0.15490686244146046</v>
      </c>
      <c r="Q995" s="96"/>
      <c r="R995" s="96"/>
      <c r="T995" s="90">
        <f t="shared" si="267"/>
        <v>95</v>
      </c>
      <c r="U995" s="89">
        <f t="shared" si="268"/>
        <v>103.31428490526316</v>
      </c>
      <c r="V995" s="89">
        <f t="shared" si="269"/>
        <v>95.175551999999996</v>
      </c>
      <c r="W995" s="90">
        <f t="shared" si="274"/>
        <v>9041.6774399999995</v>
      </c>
      <c r="X995" s="93">
        <f t="shared" si="270"/>
        <v>-7.8776452963171595E-2</v>
      </c>
      <c r="AB995" s="89">
        <f t="shared" si="259"/>
        <v>195</v>
      </c>
      <c r="AC995" s="89">
        <f t="shared" si="260"/>
        <v>51.179276000000002</v>
      </c>
      <c r="AD995" s="89">
        <f t="shared" si="261"/>
        <v>95.175551999999996</v>
      </c>
      <c r="AE995" s="89">
        <f t="shared" si="262"/>
        <v>18559.232639999998</v>
      </c>
      <c r="AF995" s="90">
        <f t="shared" si="265"/>
        <v>8579.2738199999985</v>
      </c>
      <c r="AG995" s="93">
        <f t="shared" si="266"/>
        <v>0.85965022248458522</v>
      </c>
      <c r="AK995" s="90">
        <f t="shared" si="263"/>
        <v>142</v>
      </c>
      <c r="AL995" s="89">
        <f t="shared" si="264"/>
        <v>68.865979063380294</v>
      </c>
      <c r="AM995" s="89">
        <f t="shared" si="256"/>
        <v>95.175551999999996</v>
      </c>
      <c r="AN995" s="90">
        <f t="shared" si="257"/>
        <v>13514.928383999999</v>
      </c>
      <c r="AO995" s="93">
        <f t="shared" si="258"/>
        <v>0.38204020758066748</v>
      </c>
    </row>
    <row r="996" spans="2:41" x14ac:dyDescent="0.25">
      <c r="B996" s="91">
        <v>40794</v>
      </c>
      <c r="C996" s="89">
        <v>119.57</v>
      </c>
      <c r="D996" s="89">
        <v>120.94000200000001</v>
      </c>
      <c r="E996" s="89">
        <v>118.769997</v>
      </c>
      <c r="F996" s="89">
        <v>119.040001</v>
      </c>
      <c r="G996" s="89">
        <v>94.186508000000003</v>
      </c>
      <c r="H996" s="89">
        <v>250568200</v>
      </c>
      <c r="J996" s="89">
        <v>0</v>
      </c>
      <c r="K996" s="89">
        <f t="shared" si="275"/>
        <v>88</v>
      </c>
      <c r="L996" s="89">
        <f t="shared" si="276"/>
        <v>112.621376</v>
      </c>
      <c r="M996" s="89">
        <f>+SPY__2[[#This Row],[Adj Close]]</f>
        <v>94.186508000000003</v>
      </c>
      <c r="N996" s="89">
        <f t="shared" si="271"/>
        <v>8288.4127040000003</v>
      </c>
      <c r="O996" s="90">
        <f t="shared" si="272"/>
        <v>-1622.2683839999995</v>
      </c>
      <c r="P996" s="93">
        <f t="shared" si="273"/>
        <v>-0.16368888975393081</v>
      </c>
      <c r="Q996" s="96"/>
      <c r="R996" s="96"/>
      <c r="T996" s="90">
        <f t="shared" si="267"/>
        <v>95</v>
      </c>
      <c r="U996" s="89">
        <f t="shared" si="268"/>
        <v>103.31428490526316</v>
      </c>
      <c r="V996" s="89">
        <f t="shared" si="269"/>
        <v>94.186508000000003</v>
      </c>
      <c r="W996" s="90">
        <f t="shared" si="274"/>
        <v>8947.7182599999996</v>
      </c>
      <c r="X996" s="93">
        <f t="shared" si="270"/>
        <v>-8.8349611223976665E-2</v>
      </c>
      <c r="AB996" s="89">
        <f t="shared" si="259"/>
        <v>195</v>
      </c>
      <c r="AC996" s="89">
        <f t="shared" si="260"/>
        <v>51.179276000000002</v>
      </c>
      <c r="AD996" s="89">
        <f t="shared" si="261"/>
        <v>94.186508000000003</v>
      </c>
      <c r="AE996" s="89">
        <f t="shared" si="262"/>
        <v>18366.369060000001</v>
      </c>
      <c r="AF996" s="90">
        <f t="shared" si="265"/>
        <v>8386.4102400000011</v>
      </c>
      <c r="AG996" s="93">
        <f t="shared" si="266"/>
        <v>0.84032513472836157</v>
      </c>
      <c r="AK996" s="90">
        <f t="shared" si="263"/>
        <v>142</v>
      </c>
      <c r="AL996" s="89">
        <f t="shared" si="264"/>
        <v>68.865979063380294</v>
      </c>
      <c r="AM996" s="89">
        <f t="shared" si="256"/>
        <v>94.186508000000003</v>
      </c>
      <c r="AN996" s="90">
        <f t="shared" si="257"/>
        <v>13374.484136000001</v>
      </c>
      <c r="AO996" s="93">
        <f t="shared" si="258"/>
        <v>0.36767834104727037</v>
      </c>
    </row>
    <row r="997" spans="2:41" x14ac:dyDescent="0.25">
      <c r="B997" s="91">
        <v>40795</v>
      </c>
      <c r="C997" s="89">
        <v>117.68</v>
      </c>
      <c r="D997" s="89">
        <v>119.05999799999999</v>
      </c>
      <c r="E997" s="89">
        <v>115.279999</v>
      </c>
      <c r="F997" s="89">
        <v>115.91999800000001</v>
      </c>
      <c r="G997" s="89">
        <v>91.717926000000006</v>
      </c>
      <c r="H997" s="89">
        <v>380195100</v>
      </c>
      <c r="J997" s="89">
        <v>0</v>
      </c>
      <c r="K997" s="89">
        <f t="shared" si="275"/>
        <v>88</v>
      </c>
      <c r="L997" s="89">
        <f t="shared" si="276"/>
        <v>112.621376</v>
      </c>
      <c r="M997" s="89">
        <f>+SPY__2[[#This Row],[Adj Close]]</f>
        <v>91.717926000000006</v>
      </c>
      <c r="N997" s="89">
        <f t="shared" si="271"/>
        <v>8071.1774880000003</v>
      </c>
      <c r="O997" s="90">
        <f t="shared" si="272"/>
        <v>-1839.5035999999993</v>
      </c>
      <c r="P997" s="93">
        <f t="shared" si="273"/>
        <v>-0.18560819217836577</v>
      </c>
      <c r="Q997" s="96"/>
      <c r="R997" s="96"/>
      <c r="T997" s="90">
        <f t="shared" si="267"/>
        <v>95</v>
      </c>
      <c r="U997" s="89">
        <f t="shared" si="268"/>
        <v>103.31428490526316</v>
      </c>
      <c r="V997" s="89">
        <f t="shared" si="269"/>
        <v>91.717926000000006</v>
      </c>
      <c r="W997" s="90">
        <f t="shared" si="274"/>
        <v>8713.2029700000003</v>
      </c>
      <c r="X997" s="93">
        <f t="shared" si="270"/>
        <v>-0.1122435190438259</v>
      </c>
      <c r="AB997" s="89">
        <f t="shared" si="259"/>
        <v>195</v>
      </c>
      <c r="AC997" s="89">
        <f t="shared" si="260"/>
        <v>51.179276000000002</v>
      </c>
      <c r="AD997" s="89">
        <f t="shared" si="261"/>
        <v>91.717926000000006</v>
      </c>
      <c r="AE997" s="89">
        <f t="shared" si="262"/>
        <v>17884.995570000003</v>
      </c>
      <c r="AF997" s="90">
        <f t="shared" si="265"/>
        <v>7905.0367500000011</v>
      </c>
      <c r="AG997" s="93">
        <f t="shared" si="266"/>
        <v>0.79209111906936713</v>
      </c>
      <c r="AK997" s="90">
        <f t="shared" si="263"/>
        <v>142</v>
      </c>
      <c r="AL997" s="89">
        <f t="shared" si="264"/>
        <v>68.865979063380294</v>
      </c>
      <c r="AM997" s="89">
        <f t="shared" si="256"/>
        <v>91.717926000000006</v>
      </c>
      <c r="AN997" s="90">
        <f t="shared" si="257"/>
        <v>13023.945492000001</v>
      </c>
      <c r="AO997" s="93">
        <f t="shared" si="258"/>
        <v>0.33183216513320901</v>
      </c>
    </row>
    <row r="998" spans="2:41" x14ac:dyDescent="0.25">
      <c r="B998" s="91">
        <v>40798</v>
      </c>
      <c r="C998" s="89">
        <v>114.470001</v>
      </c>
      <c r="D998" s="89">
        <v>116.760002</v>
      </c>
      <c r="E998" s="89">
        <v>114.050003</v>
      </c>
      <c r="F998" s="89">
        <v>116.66999800000001</v>
      </c>
      <c r="G998" s="89">
        <v>92.311333000000005</v>
      </c>
      <c r="H998" s="89">
        <v>305793500</v>
      </c>
      <c r="J998" s="89">
        <v>0</v>
      </c>
      <c r="K998" s="89">
        <f t="shared" si="275"/>
        <v>88</v>
      </c>
      <c r="L998" s="89">
        <f t="shared" si="276"/>
        <v>112.621376</v>
      </c>
      <c r="M998" s="89">
        <f>+SPY__2[[#This Row],[Adj Close]]</f>
        <v>92.311333000000005</v>
      </c>
      <c r="N998" s="89">
        <f t="shared" si="271"/>
        <v>8123.3973040000001</v>
      </c>
      <c r="O998" s="90">
        <f t="shared" si="272"/>
        <v>-1787.2837839999993</v>
      </c>
      <c r="P998" s="93">
        <f t="shared" si="273"/>
        <v>-0.18033914804947859</v>
      </c>
      <c r="Q998" s="96"/>
      <c r="R998" s="96"/>
      <c r="T998" s="90">
        <f t="shared" si="267"/>
        <v>95</v>
      </c>
      <c r="U998" s="89">
        <f t="shared" si="268"/>
        <v>103.31428490526316</v>
      </c>
      <c r="V998" s="89">
        <f t="shared" si="269"/>
        <v>92.311333000000005</v>
      </c>
      <c r="W998" s="90">
        <f t="shared" si="274"/>
        <v>8769.5766350000013</v>
      </c>
      <c r="X998" s="93">
        <f t="shared" si="270"/>
        <v>-0.10649981186389279</v>
      </c>
      <c r="AB998" s="89">
        <f t="shared" si="259"/>
        <v>195</v>
      </c>
      <c r="AC998" s="89">
        <f t="shared" si="260"/>
        <v>51.179276000000002</v>
      </c>
      <c r="AD998" s="89">
        <f t="shared" si="261"/>
        <v>92.311333000000005</v>
      </c>
      <c r="AE998" s="89">
        <f t="shared" si="262"/>
        <v>18000.709935000003</v>
      </c>
      <c r="AF998" s="90">
        <f t="shared" si="265"/>
        <v>8020.7511150000009</v>
      </c>
      <c r="AG998" s="93">
        <f t="shared" si="266"/>
        <v>0.80368579266342111</v>
      </c>
      <c r="AK998" s="90">
        <f t="shared" si="263"/>
        <v>142</v>
      </c>
      <c r="AL998" s="89">
        <f t="shared" si="264"/>
        <v>68.865979063380294</v>
      </c>
      <c r="AM998" s="89">
        <f t="shared" si="256"/>
        <v>92.311333000000005</v>
      </c>
      <c r="AN998" s="90">
        <f t="shared" si="257"/>
        <v>13108.209286000001</v>
      </c>
      <c r="AO998" s="93">
        <f t="shared" si="258"/>
        <v>0.34044900334665917</v>
      </c>
    </row>
    <row r="999" spans="2:41" x14ac:dyDescent="0.25">
      <c r="B999" s="91">
        <v>40799</v>
      </c>
      <c r="C999" s="89">
        <v>117.050003</v>
      </c>
      <c r="D999" s="89">
        <v>118.18</v>
      </c>
      <c r="E999" s="89">
        <v>116.220001</v>
      </c>
      <c r="F999" s="89">
        <v>117.739998</v>
      </c>
      <c r="G999" s="89">
        <v>93.157927999999998</v>
      </c>
      <c r="H999" s="89">
        <v>272514700</v>
      </c>
      <c r="J999" s="89">
        <v>0</v>
      </c>
      <c r="K999" s="89">
        <f t="shared" si="275"/>
        <v>88</v>
      </c>
      <c r="L999" s="89">
        <f t="shared" si="276"/>
        <v>112.621376</v>
      </c>
      <c r="M999" s="89">
        <f>+SPY__2[[#This Row],[Adj Close]]</f>
        <v>93.157927999999998</v>
      </c>
      <c r="N999" s="89">
        <f t="shared" si="271"/>
        <v>8197.8976640000001</v>
      </c>
      <c r="O999" s="90">
        <f t="shared" si="272"/>
        <v>-1712.783424</v>
      </c>
      <c r="P999" s="93">
        <f t="shared" si="273"/>
        <v>-0.17282196942789974</v>
      </c>
      <c r="Q999" s="96"/>
      <c r="R999" s="96"/>
      <c r="T999" s="90">
        <f t="shared" si="267"/>
        <v>95</v>
      </c>
      <c r="U999" s="89">
        <f t="shared" si="268"/>
        <v>103.31428490526316</v>
      </c>
      <c r="V999" s="89">
        <f t="shared" si="269"/>
        <v>93.157927999999998</v>
      </c>
      <c r="W999" s="90">
        <f t="shared" si="274"/>
        <v>8850.0031600000002</v>
      </c>
      <c r="X999" s="93">
        <f t="shared" si="270"/>
        <v>-9.8305446478928915E-2</v>
      </c>
      <c r="AB999" s="89">
        <f t="shared" si="259"/>
        <v>195</v>
      </c>
      <c r="AC999" s="89">
        <f t="shared" si="260"/>
        <v>51.179276000000002</v>
      </c>
      <c r="AD999" s="89">
        <f t="shared" si="261"/>
        <v>93.157927999999998</v>
      </c>
      <c r="AE999" s="89">
        <f t="shared" si="262"/>
        <v>18165.795959999999</v>
      </c>
      <c r="AF999" s="90">
        <f t="shared" si="265"/>
        <v>8185.8371399999996</v>
      </c>
      <c r="AG999" s="93">
        <f t="shared" si="266"/>
        <v>0.82022754679061882</v>
      </c>
      <c r="AK999" s="90">
        <f t="shared" si="263"/>
        <v>142</v>
      </c>
      <c r="AL999" s="89">
        <f t="shared" si="264"/>
        <v>68.865979063380294</v>
      </c>
      <c r="AM999" s="89">
        <f t="shared" si="256"/>
        <v>93.157927999999998</v>
      </c>
      <c r="AN999" s="90">
        <f t="shared" si="257"/>
        <v>13228.425776</v>
      </c>
      <c r="AO999" s="93">
        <f t="shared" si="258"/>
        <v>0.35274237391241914</v>
      </c>
    </row>
    <row r="1000" spans="2:41" x14ac:dyDescent="0.25">
      <c r="B1000" s="91">
        <v>40800</v>
      </c>
      <c r="C1000" s="89">
        <v>118.339996</v>
      </c>
      <c r="D1000" s="89">
        <v>120.800003</v>
      </c>
      <c r="E1000" s="89">
        <v>116.720001</v>
      </c>
      <c r="F1000" s="89">
        <v>119.370003</v>
      </c>
      <c r="G1000" s="89">
        <v>94.447616999999994</v>
      </c>
      <c r="H1000" s="89">
        <v>319389500</v>
      </c>
      <c r="J1000" s="89">
        <v>0</v>
      </c>
      <c r="K1000" s="89">
        <f t="shared" si="275"/>
        <v>88</v>
      </c>
      <c r="L1000" s="89">
        <f t="shared" si="276"/>
        <v>112.621376</v>
      </c>
      <c r="M1000" s="89">
        <f>+SPY__2[[#This Row],[Adj Close]]</f>
        <v>94.447616999999994</v>
      </c>
      <c r="N1000" s="89">
        <f t="shared" si="271"/>
        <v>8311.3902959999996</v>
      </c>
      <c r="O1000" s="90">
        <f t="shared" si="272"/>
        <v>-1599.2907920000002</v>
      </c>
      <c r="P1000" s="93">
        <f t="shared" si="273"/>
        <v>-0.16137042225447507</v>
      </c>
      <c r="Q1000" s="96"/>
      <c r="R1000" s="96"/>
      <c r="T1000" s="90">
        <f t="shared" si="267"/>
        <v>95</v>
      </c>
      <c r="U1000" s="89">
        <f t="shared" si="268"/>
        <v>103.31428490526316</v>
      </c>
      <c r="V1000" s="89">
        <f t="shared" si="269"/>
        <v>94.447616999999994</v>
      </c>
      <c r="W1000" s="90">
        <f t="shared" si="274"/>
        <v>8972.5236150000001</v>
      </c>
      <c r="X1000" s="93">
        <f t="shared" si="270"/>
        <v>-8.5822284047106345E-2</v>
      </c>
      <c r="AB1000" s="89">
        <f t="shared" si="259"/>
        <v>195</v>
      </c>
      <c r="AC1000" s="89">
        <f t="shared" si="260"/>
        <v>51.179276000000002</v>
      </c>
      <c r="AD1000" s="89">
        <f t="shared" si="261"/>
        <v>94.447616999999994</v>
      </c>
      <c r="AE1000" s="89">
        <f t="shared" si="262"/>
        <v>18417.285314999997</v>
      </c>
      <c r="AF1000" s="90">
        <f t="shared" si="265"/>
        <v>8437.3264949999993</v>
      </c>
      <c r="AG1000" s="93">
        <f t="shared" si="266"/>
        <v>0.84542698493820012</v>
      </c>
      <c r="AK1000" s="90">
        <f t="shared" si="263"/>
        <v>142</v>
      </c>
      <c r="AL1000" s="89">
        <f t="shared" si="264"/>
        <v>68.865979063380294</v>
      </c>
      <c r="AM1000" s="89">
        <f t="shared" si="256"/>
        <v>94.447616999999994</v>
      </c>
      <c r="AN1000" s="90">
        <f t="shared" si="257"/>
        <v>13411.561613999998</v>
      </c>
      <c r="AO1000" s="93">
        <f t="shared" si="258"/>
        <v>0.37146989390909302</v>
      </c>
    </row>
    <row r="1001" spans="2:41" x14ac:dyDescent="0.25">
      <c r="B1001" s="91">
        <v>40801</v>
      </c>
      <c r="C1001" s="89">
        <v>120.650002</v>
      </c>
      <c r="D1001" s="89">
        <v>121.470001</v>
      </c>
      <c r="E1001" s="89">
        <v>119.400002</v>
      </c>
      <c r="F1001" s="89">
        <v>121.43</v>
      </c>
      <c r="G1001" s="89">
        <v>96.077499000000003</v>
      </c>
      <c r="H1001" s="89">
        <v>326777200</v>
      </c>
      <c r="J1001" s="89">
        <v>0</v>
      </c>
      <c r="K1001" s="89">
        <f t="shared" si="275"/>
        <v>88</v>
      </c>
      <c r="L1001" s="89">
        <f t="shared" si="276"/>
        <v>112.621376</v>
      </c>
      <c r="M1001" s="89">
        <f>+SPY__2[[#This Row],[Adj Close]]</f>
        <v>96.077499000000003</v>
      </c>
      <c r="N1001" s="89">
        <f t="shared" si="271"/>
        <v>8454.8199120000008</v>
      </c>
      <c r="O1001" s="90">
        <f t="shared" si="272"/>
        <v>-1455.8611759999994</v>
      </c>
      <c r="P1001" s="93">
        <f t="shared" si="273"/>
        <v>-0.14689819630688938</v>
      </c>
      <c r="Q1001" s="96"/>
      <c r="R1001" s="96"/>
      <c r="T1001" s="90">
        <f t="shared" si="267"/>
        <v>95</v>
      </c>
      <c r="U1001" s="89">
        <f t="shared" si="268"/>
        <v>103.31428490526316</v>
      </c>
      <c r="V1001" s="89">
        <f t="shared" si="269"/>
        <v>96.077499000000003</v>
      </c>
      <c r="W1001" s="90">
        <f t="shared" si="274"/>
        <v>9127.3624049999999</v>
      </c>
      <c r="X1001" s="93">
        <f t="shared" si="270"/>
        <v>-7.0046324299675833E-2</v>
      </c>
      <c r="AB1001" s="89">
        <f t="shared" si="259"/>
        <v>195</v>
      </c>
      <c r="AC1001" s="89">
        <f t="shared" si="260"/>
        <v>51.179276000000002</v>
      </c>
      <c r="AD1001" s="89">
        <f t="shared" si="261"/>
        <v>96.077499000000003</v>
      </c>
      <c r="AE1001" s="89">
        <f t="shared" si="262"/>
        <v>18735.112305000002</v>
      </c>
      <c r="AF1001" s="90">
        <f t="shared" si="265"/>
        <v>8755.1534850000007</v>
      </c>
      <c r="AG1001" s="93">
        <f t="shared" si="266"/>
        <v>0.87727350812856364</v>
      </c>
      <c r="AK1001" s="90">
        <f t="shared" si="263"/>
        <v>142</v>
      </c>
      <c r="AL1001" s="89">
        <f t="shared" si="264"/>
        <v>68.865979063380294</v>
      </c>
      <c r="AM1001" s="89">
        <f t="shared" si="256"/>
        <v>96.077499000000003</v>
      </c>
      <c r="AN1001" s="90">
        <f t="shared" si="257"/>
        <v>13643.004858</v>
      </c>
      <c r="AO1001" s="93">
        <f t="shared" si="258"/>
        <v>0.39513734222199615</v>
      </c>
    </row>
    <row r="1002" spans="2:41" x14ac:dyDescent="0.25">
      <c r="B1002" s="91">
        <v>40802</v>
      </c>
      <c r="C1002" s="89">
        <v>121.290001</v>
      </c>
      <c r="D1002" s="89">
        <v>121.970001</v>
      </c>
      <c r="E1002" s="89">
        <v>120.32</v>
      </c>
      <c r="F1002" s="89">
        <v>121.519997</v>
      </c>
      <c r="G1002" s="89">
        <v>96.646163999999999</v>
      </c>
      <c r="H1002" s="89">
        <v>284528300</v>
      </c>
      <c r="J1002" s="89">
        <v>0</v>
      </c>
      <c r="K1002" s="89">
        <f t="shared" si="275"/>
        <v>88</v>
      </c>
      <c r="L1002" s="89">
        <f t="shared" si="276"/>
        <v>112.621376</v>
      </c>
      <c r="M1002" s="89">
        <f>+SPY__2[[#This Row],[Adj Close]]</f>
        <v>96.646163999999999</v>
      </c>
      <c r="N1002" s="89">
        <f t="shared" si="271"/>
        <v>8504.8624319999999</v>
      </c>
      <c r="O1002" s="90">
        <f t="shared" si="272"/>
        <v>-1405.8186559999999</v>
      </c>
      <c r="P1002" s="93">
        <f t="shared" si="273"/>
        <v>-0.1418488440418274</v>
      </c>
      <c r="Q1002" s="96"/>
      <c r="R1002" s="96"/>
      <c r="T1002" s="90">
        <f t="shared" si="267"/>
        <v>95</v>
      </c>
      <c r="U1002" s="89">
        <f t="shared" si="268"/>
        <v>103.31428490526316</v>
      </c>
      <c r="V1002" s="89">
        <f t="shared" si="269"/>
        <v>96.646163999999999</v>
      </c>
      <c r="W1002" s="90">
        <f t="shared" si="274"/>
        <v>9181.3855800000001</v>
      </c>
      <c r="X1002" s="93">
        <f t="shared" si="270"/>
        <v>-6.4542099975600453E-2</v>
      </c>
      <c r="AB1002" s="89">
        <f t="shared" si="259"/>
        <v>195</v>
      </c>
      <c r="AC1002" s="89">
        <f t="shared" si="260"/>
        <v>51.179276000000002</v>
      </c>
      <c r="AD1002" s="89">
        <f t="shared" si="261"/>
        <v>96.646163999999999</v>
      </c>
      <c r="AE1002" s="89">
        <f t="shared" si="262"/>
        <v>18846.001980000001</v>
      </c>
      <c r="AF1002" s="90">
        <f t="shared" si="265"/>
        <v>8866.0431599999993</v>
      </c>
      <c r="AG1002" s="93">
        <f t="shared" si="266"/>
        <v>0.88838474385608723</v>
      </c>
      <c r="AK1002" s="90">
        <f t="shared" si="263"/>
        <v>142</v>
      </c>
      <c r="AL1002" s="89">
        <f t="shared" si="264"/>
        <v>68.865979063380294</v>
      </c>
      <c r="AM1002" s="89">
        <f t="shared" si="256"/>
        <v>96.646163999999999</v>
      </c>
      <c r="AN1002" s="90">
        <f t="shared" si="257"/>
        <v>13723.755288</v>
      </c>
      <c r="AO1002" s="93">
        <f t="shared" si="258"/>
        <v>0.40339490288887681</v>
      </c>
    </row>
    <row r="1003" spans="2:41" x14ac:dyDescent="0.25">
      <c r="B1003" s="91">
        <v>40805</v>
      </c>
      <c r="C1003" s="89">
        <v>119.529999</v>
      </c>
      <c r="D1003" s="89">
        <v>120.93</v>
      </c>
      <c r="E1003" s="89">
        <v>118.720001</v>
      </c>
      <c r="F1003" s="89">
        <v>120.30999799999999</v>
      </c>
      <c r="G1003" s="89">
        <v>95.683814999999996</v>
      </c>
      <c r="H1003" s="89">
        <v>241517000</v>
      </c>
      <c r="J1003" s="89">
        <v>0</v>
      </c>
      <c r="K1003" s="89">
        <f t="shared" si="275"/>
        <v>88</v>
      </c>
      <c r="L1003" s="89">
        <f t="shared" si="276"/>
        <v>112.621376</v>
      </c>
      <c r="M1003" s="89">
        <f>+SPY__2[[#This Row],[Adj Close]]</f>
        <v>95.683814999999996</v>
      </c>
      <c r="N1003" s="89">
        <f t="shared" si="271"/>
        <v>8420.1757199999993</v>
      </c>
      <c r="O1003" s="90">
        <f t="shared" si="272"/>
        <v>-1490.5053680000001</v>
      </c>
      <c r="P1003" s="93">
        <f t="shared" si="273"/>
        <v>-0.15039383819995245</v>
      </c>
      <c r="Q1003" s="96"/>
      <c r="R1003" s="96"/>
      <c r="T1003" s="90">
        <f t="shared" si="267"/>
        <v>95</v>
      </c>
      <c r="U1003" s="89">
        <f t="shared" si="268"/>
        <v>103.31428490526316</v>
      </c>
      <c r="V1003" s="89">
        <f t="shared" si="269"/>
        <v>95.683814999999996</v>
      </c>
      <c r="W1003" s="90">
        <f t="shared" si="274"/>
        <v>9089.9624249999997</v>
      </c>
      <c r="X1003" s="93">
        <f t="shared" si="270"/>
        <v>-7.3856871895886744E-2</v>
      </c>
      <c r="AB1003" s="89">
        <f t="shared" si="259"/>
        <v>195</v>
      </c>
      <c r="AC1003" s="89">
        <f t="shared" si="260"/>
        <v>51.179276000000002</v>
      </c>
      <c r="AD1003" s="89">
        <f t="shared" si="261"/>
        <v>95.683814999999996</v>
      </c>
      <c r="AE1003" s="89">
        <f t="shared" si="262"/>
        <v>18658.343924999997</v>
      </c>
      <c r="AF1003" s="90">
        <f t="shared" si="265"/>
        <v>8678.3851049999994</v>
      </c>
      <c r="AG1003" s="93">
        <f t="shared" si="266"/>
        <v>0.86958125394349062</v>
      </c>
      <c r="AK1003" s="90">
        <f t="shared" si="263"/>
        <v>142</v>
      </c>
      <c r="AL1003" s="89">
        <f t="shared" si="264"/>
        <v>68.865979063380294</v>
      </c>
      <c r="AM1003" s="89">
        <f t="shared" si="256"/>
        <v>95.683814999999996</v>
      </c>
      <c r="AN1003" s="90">
        <f t="shared" si="257"/>
        <v>13587.101729999998</v>
      </c>
      <c r="AO1003" s="93">
        <f t="shared" si="258"/>
        <v>0.38942067333331765</v>
      </c>
    </row>
    <row r="1004" spans="2:41" x14ac:dyDescent="0.25">
      <c r="B1004" s="91">
        <v>40806</v>
      </c>
      <c r="C1004" s="89">
        <v>120.82</v>
      </c>
      <c r="D1004" s="89">
        <v>121.989998</v>
      </c>
      <c r="E1004" s="89">
        <v>120.010002</v>
      </c>
      <c r="F1004" s="89">
        <v>120.16999800000001</v>
      </c>
      <c r="G1004" s="89">
        <v>95.572502</v>
      </c>
      <c r="H1004" s="89">
        <v>218932200</v>
      </c>
      <c r="J1004" s="89">
        <v>0</v>
      </c>
      <c r="K1004" s="89">
        <f t="shared" si="275"/>
        <v>88</v>
      </c>
      <c r="L1004" s="89">
        <f t="shared" si="276"/>
        <v>112.621376</v>
      </c>
      <c r="M1004" s="89">
        <f>+SPY__2[[#This Row],[Adj Close]]</f>
        <v>95.572502</v>
      </c>
      <c r="N1004" s="89">
        <f t="shared" si="271"/>
        <v>8410.3801760000006</v>
      </c>
      <c r="O1004" s="90">
        <f t="shared" si="272"/>
        <v>-1500.3009119999997</v>
      </c>
      <c r="P1004" s="93">
        <f t="shared" si="273"/>
        <v>-0.15138222072513119</v>
      </c>
      <c r="Q1004" s="96"/>
      <c r="R1004" s="96"/>
      <c r="T1004" s="90">
        <f t="shared" si="267"/>
        <v>95</v>
      </c>
      <c r="U1004" s="89">
        <f t="shared" si="268"/>
        <v>103.31428490526316</v>
      </c>
      <c r="V1004" s="89">
        <f t="shared" si="269"/>
        <v>95.572502</v>
      </c>
      <c r="W1004" s="90">
        <f t="shared" si="274"/>
        <v>9079.3876899999996</v>
      </c>
      <c r="X1004" s="93">
        <f t="shared" si="270"/>
        <v>-7.4934293087952075E-2</v>
      </c>
      <c r="AB1004" s="89">
        <f t="shared" si="259"/>
        <v>195</v>
      </c>
      <c r="AC1004" s="89">
        <f t="shared" si="260"/>
        <v>51.179276000000002</v>
      </c>
      <c r="AD1004" s="89">
        <f t="shared" si="261"/>
        <v>95.572502</v>
      </c>
      <c r="AE1004" s="89">
        <f t="shared" si="262"/>
        <v>18636.637890000002</v>
      </c>
      <c r="AF1004" s="90">
        <f t="shared" si="265"/>
        <v>8656.6790700000001</v>
      </c>
      <c r="AG1004" s="93">
        <f t="shared" si="266"/>
        <v>0.86740629156223314</v>
      </c>
      <c r="AK1004" s="90">
        <f t="shared" si="263"/>
        <v>142</v>
      </c>
      <c r="AL1004" s="89">
        <f t="shared" si="264"/>
        <v>68.865979063380294</v>
      </c>
      <c r="AM1004" s="89">
        <f t="shared" si="256"/>
        <v>95.572502</v>
      </c>
      <c r="AN1004" s="90">
        <f t="shared" si="257"/>
        <v>13571.295284</v>
      </c>
      <c r="AO1004" s="93">
        <f t="shared" si="258"/>
        <v>0.38780430191866677</v>
      </c>
    </row>
    <row r="1005" spans="2:41" x14ac:dyDescent="0.25">
      <c r="B1005" s="91">
        <v>40807</v>
      </c>
      <c r="C1005" s="89">
        <v>120.230003</v>
      </c>
      <c r="D1005" s="89">
        <v>120.599998</v>
      </c>
      <c r="E1005" s="89">
        <v>116.44000200000001</v>
      </c>
      <c r="F1005" s="89">
        <v>116.629997</v>
      </c>
      <c r="G1005" s="89">
        <v>92.757095000000007</v>
      </c>
      <c r="H1005" s="89">
        <v>316251300</v>
      </c>
      <c r="J1005" s="89">
        <v>0</v>
      </c>
      <c r="K1005" s="89">
        <f t="shared" si="275"/>
        <v>88</v>
      </c>
      <c r="L1005" s="89">
        <f t="shared" si="276"/>
        <v>112.621376</v>
      </c>
      <c r="M1005" s="89">
        <f>+SPY__2[[#This Row],[Adj Close]]</f>
        <v>92.757095000000007</v>
      </c>
      <c r="N1005" s="89">
        <f t="shared" si="271"/>
        <v>8162.6243600000007</v>
      </c>
      <c r="O1005" s="90">
        <f t="shared" si="272"/>
        <v>-1748.0567279999991</v>
      </c>
      <c r="P1005" s="93">
        <f t="shared" si="273"/>
        <v>-0.17638108950116171</v>
      </c>
      <c r="Q1005" s="96"/>
      <c r="R1005" s="96"/>
      <c r="T1005" s="90">
        <f t="shared" si="267"/>
        <v>95</v>
      </c>
      <c r="U1005" s="89">
        <f t="shared" si="268"/>
        <v>103.31428490526316</v>
      </c>
      <c r="V1005" s="89">
        <f t="shared" si="269"/>
        <v>92.757095000000007</v>
      </c>
      <c r="W1005" s="90">
        <f t="shared" si="274"/>
        <v>8811.9240250000003</v>
      </c>
      <c r="X1005" s="93">
        <f t="shared" si="270"/>
        <v>-0.10218519070178789</v>
      </c>
      <c r="AB1005" s="89">
        <f t="shared" si="259"/>
        <v>195</v>
      </c>
      <c r="AC1005" s="89">
        <f t="shared" si="260"/>
        <v>51.179276000000002</v>
      </c>
      <c r="AD1005" s="89">
        <f t="shared" si="261"/>
        <v>92.757095000000007</v>
      </c>
      <c r="AE1005" s="89">
        <f t="shared" si="262"/>
        <v>18087.633525000001</v>
      </c>
      <c r="AF1005" s="90">
        <f t="shared" si="265"/>
        <v>8107.6747050000013</v>
      </c>
      <c r="AG1005" s="93">
        <f t="shared" si="266"/>
        <v>0.81239560715942916</v>
      </c>
      <c r="AK1005" s="90">
        <f t="shared" si="263"/>
        <v>142</v>
      </c>
      <c r="AL1005" s="89">
        <f t="shared" si="264"/>
        <v>68.865979063380294</v>
      </c>
      <c r="AM1005" s="89">
        <f t="shared" ref="AM1005:AM1068" si="277">+AD1005</f>
        <v>92.757095000000007</v>
      </c>
      <c r="AN1005" s="90">
        <f t="shared" ref="AN1005:AN1068" si="278">+AM1005*AK1005</f>
        <v>13171.507490000002</v>
      </c>
      <c r="AO1005" s="93">
        <f t="shared" ref="AO1005:AO1068" si="279">+AN1005/(AL1005*AK1005)-1</f>
        <v>0.3469218946939201</v>
      </c>
    </row>
    <row r="1006" spans="2:41" x14ac:dyDescent="0.25">
      <c r="B1006" s="91">
        <v>40808</v>
      </c>
      <c r="C1006" s="89">
        <v>113.25</v>
      </c>
      <c r="D1006" s="89">
        <v>114.209999</v>
      </c>
      <c r="E1006" s="89">
        <v>111.300003</v>
      </c>
      <c r="F1006" s="89">
        <v>112.860001</v>
      </c>
      <c r="G1006" s="89">
        <v>89.758780999999999</v>
      </c>
      <c r="H1006" s="89">
        <v>513911300</v>
      </c>
      <c r="J1006" s="89">
        <v>0</v>
      </c>
      <c r="K1006" s="89">
        <f t="shared" si="275"/>
        <v>88</v>
      </c>
      <c r="L1006" s="89">
        <f t="shared" si="276"/>
        <v>112.621376</v>
      </c>
      <c r="M1006" s="89">
        <f>+SPY__2[[#This Row],[Adj Close]]</f>
        <v>89.758780999999999</v>
      </c>
      <c r="N1006" s="89">
        <f t="shared" si="271"/>
        <v>7898.7727279999999</v>
      </c>
      <c r="O1006" s="90">
        <f t="shared" si="272"/>
        <v>-2011.9083599999999</v>
      </c>
      <c r="P1006" s="93">
        <f t="shared" si="273"/>
        <v>-0.20300404605250078</v>
      </c>
      <c r="Q1006" s="96"/>
      <c r="R1006" s="96"/>
      <c r="T1006" s="90">
        <f t="shared" si="267"/>
        <v>95</v>
      </c>
      <c r="U1006" s="89">
        <f t="shared" si="268"/>
        <v>103.31428490526316</v>
      </c>
      <c r="V1006" s="89">
        <f t="shared" si="269"/>
        <v>89.758780999999999</v>
      </c>
      <c r="W1006" s="90">
        <f t="shared" si="274"/>
        <v>8527.0841949999995</v>
      </c>
      <c r="X1006" s="93">
        <f t="shared" si="270"/>
        <v>-0.13120648241134569</v>
      </c>
      <c r="AB1006" s="89">
        <f t="shared" ref="AB1006:AB1069" si="280">+AB1005</f>
        <v>195</v>
      </c>
      <c r="AC1006" s="89">
        <f t="shared" ref="AC1006:AC1069" si="281">+AC1005</f>
        <v>51.179276000000002</v>
      </c>
      <c r="AD1006" s="89">
        <f t="shared" ref="AD1006:AD1069" si="282">+V1006</f>
        <v>89.758780999999999</v>
      </c>
      <c r="AE1006" s="89">
        <f t="shared" ref="AE1006:AE1069" si="283">+AB1006*AD1006</f>
        <v>17502.962295000001</v>
      </c>
      <c r="AF1006" s="90">
        <f t="shared" si="265"/>
        <v>7523.0034749999995</v>
      </c>
      <c r="AG1006" s="93">
        <f t="shared" si="266"/>
        <v>0.75381107384168544</v>
      </c>
      <c r="AK1006" s="90">
        <f t="shared" ref="AK1006:AK1069" si="284">+AK1005</f>
        <v>142</v>
      </c>
      <c r="AL1006" s="89">
        <f t="shared" ref="AL1006:AL1069" si="285">+AL1005</f>
        <v>68.865979063380294</v>
      </c>
      <c r="AM1006" s="89">
        <f t="shared" si="277"/>
        <v>89.758780999999999</v>
      </c>
      <c r="AN1006" s="90">
        <f t="shared" si="278"/>
        <v>12745.746901999999</v>
      </c>
      <c r="AO1006" s="93">
        <f t="shared" si="279"/>
        <v>0.30338350257666669</v>
      </c>
    </row>
    <row r="1007" spans="2:41" x14ac:dyDescent="0.25">
      <c r="B1007" s="91">
        <v>40809</v>
      </c>
      <c r="C1007" s="89">
        <v>112.110001</v>
      </c>
      <c r="D1007" s="89">
        <v>114.160004</v>
      </c>
      <c r="E1007" s="89">
        <v>112.019997</v>
      </c>
      <c r="F1007" s="89">
        <v>113.540001</v>
      </c>
      <c r="G1007" s="89">
        <v>90.299576000000002</v>
      </c>
      <c r="H1007" s="89">
        <v>307242500</v>
      </c>
      <c r="J1007" s="89">
        <v>0</v>
      </c>
      <c r="K1007" s="89">
        <f t="shared" si="275"/>
        <v>88</v>
      </c>
      <c r="L1007" s="89">
        <f t="shared" si="276"/>
        <v>112.621376</v>
      </c>
      <c r="M1007" s="89">
        <f>+SPY__2[[#This Row],[Adj Close]]</f>
        <v>90.299576000000002</v>
      </c>
      <c r="N1007" s="89">
        <f t="shared" si="271"/>
        <v>7946.3626880000002</v>
      </c>
      <c r="O1007" s="90">
        <f t="shared" si="272"/>
        <v>-1964.3183999999997</v>
      </c>
      <c r="P1007" s="93">
        <f t="shared" si="273"/>
        <v>-0.19820216012988512</v>
      </c>
      <c r="Q1007" s="96"/>
      <c r="R1007" s="96"/>
      <c r="T1007" s="90">
        <f t="shared" si="267"/>
        <v>95</v>
      </c>
      <c r="U1007" s="89">
        <f t="shared" si="268"/>
        <v>103.31428490526316</v>
      </c>
      <c r="V1007" s="89">
        <f t="shared" si="269"/>
        <v>90.299576000000002</v>
      </c>
      <c r="W1007" s="90">
        <f t="shared" si="274"/>
        <v>8578.4597200000007</v>
      </c>
      <c r="X1007" s="93">
        <f t="shared" si="270"/>
        <v>-0.12597201749203746</v>
      </c>
      <c r="AB1007" s="89">
        <f t="shared" si="280"/>
        <v>195</v>
      </c>
      <c r="AC1007" s="89">
        <f t="shared" si="281"/>
        <v>51.179276000000002</v>
      </c>
      <c r="AD1007" s="89">
        <f t="shared" si="282"/>
        <v>90.299576000000002</v>
      </c>
      <c r="AE1007" s="89">
        <f t="shared" si="283"/>
        <v>17608.41732</v>
      </c>
      <c r="AF1007" s="90">
        <f t="shared" si="265"/>
        <v>7628.4584999999997</v>
      </c>
      <c r="AG1007" s="93">
        <f t="shared" si="266"/>
        <v>0.76437775321401569</v>
      </c>
      <c r="AK1007" s="90">
        <f t="shared" si="284"/>
        <v>142</v>
      </c>
      <c r="AL1007" s="89">
        <f t="shared" si="285"/>
        <v>68.865979063380294</v>
      </c>
      <c r="AM1007" s="89">
        <f t="shared" si="277"/>
        <v>90.299576000000002</v>
      </c>
      <c r="AN1007" s="90">
        <f t="shared" si="278"/>
        <v>12822.539792</v>
      </c>
      <c r="AO1007" s="93">
        <f t="shared" si="279"/>
        <v>0.31123636413988187</v>
      </c>
    </row>
    <row r="1008" spans="2:41" x14ac:dyDescent="0.25">
      <c r="B1008" s="91">
        <v>40812</v>
      </c>
      <c r="C1008" s="89">
        <v>114.610001</v>
      </c>
      <c r="D1008" s="89">
        <v>116.400002</v>
      </c>
      <c r="E1008" s="89">
        <v>112.980003</v>
      </c>
      <c r="F1008" s="89">
        <v>116.239998</v>
      </c>
      <c r="G1008" s="89">
        <v>92.446929999999995</v>
      </c>
      <c r="H1008" s="89">
        <v>260673700</v>
      </c>
      <c r="J1008" s="89">
        <v>0</v>
      </c>
      <c r="K1008" s="89">
        <f t="shared" si="275"/>
        <v>88</v>
      </c>
      <c r="L1008" s="89">
        <f t="shared" si="276"/>
        <v>112.621376</v>
      </c>
      <c r="M1008" s="89">
        <f>+SPY__2[[#This Row],[Adj Close]]</f>
        <v>92.446929999999995</v>
      </c>
      <c r="N1008" s="89">
        <f t="shared" si="271"/>
        <v>8135.3298399999994</v>
      </c>
      <c r="O1008" s="90">
        <f t="shared" si="272"/>
        <v>-1775.3512480000004</v>
      </c>
      <c r="P1008" s="93">
        <f t="shared" si="273"/>
        <v>-0.17913514038400669</v>
      </c>
      <c r="Q1008" s="96"/>
      <c r="R1008" s="96"/>
      <c r="T1008" s="90">
        <f t="shared" si="267"/>
        <v>95</v>
      </c>
      <c r="U1008" s="89">
        <f t="shared" si="268"/>
        <v>103.31428490526316</v>
      </c>
      <c r="V1008" s="89">
        <f t="shared" si="269"/>
        <v>92.446929999999995</v>
      </c>
      <c r="W1008" s="90">
        <f t="shared" si="274"/>
        <v>8782.458349999999</v>
      </c>
      <c r="X1008" s="93">
        <f t="shared" si="270"/>
        <v>-0.10518734089122617</v>
      </c>
      <c r="AB1008" s="89">
        <f t="shared" si="280"/>
        <v>195</v>
      </c>
      <c r="AC1008" s="89">
        <f t="shared" si="281"/>
        <v>51.179276000000002</v>
      </c>
      <c r="AD1008" s="89">
        <f t="shared" si="282"/>
        <v>92.446929999999995</v>
      </c>
      <c r="AE1008" s="89">
        <f t="shared" si="283"/>
        <v>18027.15135</v>
      </c>
      <c r="AF1008" s="90">
        <f t="shared" si="265"/>
        <v>8047.1925299999984</v>
      </c>
      <c r="AG1008" s="93">
        <f t="shared" si="266"/>
        <v>0.80633524397648748</v>
      </c>
      <c r="AK1008" s="90">
        <f t="shared" si="284"/>
        <v>142</v>
      </c>
      <c r="AL1008" s="89">
        <f t="shared" si="285"/>
        <v>68.865979063380294</v>
      </c>
      <c r="AM1008" s="89">
        <f t="shared" si="277"/>
        <v>92.446929999999995</v>
      </c>
      <c r="AN1008" s="90">
        <f t="shared" si="278"/>
        <v>13127.464059999998</v>
      </c>
      <c r="AO1008" s="93">
        <f t="shared" si="279"/>
        <v>0.34241800170904635</v>
      </c>
    </row>
    <row r="1009" spans="2:41" x14ac:dyDescent="0.25">
      <c r="B1009" s="91">
        <v>40813</v>
      </c>
      <c r="C1009" s="89">
        <v>118.529999</v>
      </c>
      <c r="D1009" s="89">
        <v>119.55999799999999</v>
      </c>
      <c r="E1009" s="89">
        <v>116.839996</v>
      </c>
      <c r="F1009" s="89">
        <v>117.540001</v>
      </c>
      <c r="G1009" s="89">
        <v>93.480857999999998</v>
      </c>
      <c r="H1009" s="89">
        <v>311753900</v>
      </c>
      <c r="J1009" s="89">
        <v>0</v>
      </c>
      <c r="K1009" s="89">
        <f t="shared" si="275"/>
        <v>88</v>
      </c>
      <c r="L1009" s="89">
        <f t="shared" si="276"/>
        <v>112.621376</v>
      </c>
      <c r="M1009" s="89">
        <f>+SPY__2[[#This Row],[Adj Close]]</f>
        <v>93.480857999999998</v>
      </c>
      <c r="N1009" s="89">
        <f t="shared" si="271"/>
        <v>8226.3155040000001</v>
      </c>
      <c r="O1009" s="90">
        <f t="shared" si="272"/>
        <v>-1684.3655840000001</v>
      </c>
      <c r="P1009" s="93">
        <f t="shared" si="273"/>
        <v>-0.16995457416538762</v>
      </c>
      <c r="Q1009" s="96"/>
      <c r="R1009" s="96"/>
      <c r="T1009" s="90">
        <f t="shared" si="267"/>
        <v>95</v>
      </c>
      <c r="U1009" s="89">
        <f t="shared" si="268"/>
        <v>103.31428490526316</v>
      </c>
      <c r="V1009" s="89">
        <f t="shared" si="269"/>
        <v>93.480857999999998</v>
      </c>
      <c r="W1009" s="90">
        <f t="shared" si="274"/>
        <v>8880.6815100000003</v>
      </c>
      <c r="X1009" s="93">
        <f t="shared" si="270"/>
        <v>-9.5179741255337458E-2</v>
      </c>
      <c r="AB1009" s="89">
        <f t="shared" si="280"/>
        <v>195</v>
      </c>
      <c r="AC1009" s="89">
        <f t="shared" si="281"/>
        <v>51.179276000000002</v>
      </c>
      <c r="AD1009" s="89">
        <f t="shared" si="282"/>
        <v>93.480857999999998</v>
      </c>
      <c r="AE1009" s="89">
        <f t="shared" si="283"/>
        <v>18228.767309999999</v>
      </c>
      <c r="AF1009" s="90">
        <f t="shared" si="265"/>
        <v>8248.8084899999994</v>
      </c>
      <c r="AG1009" s="93">
        <f t="shared" si="266"/>
        <v>0.82653732733538465</v>
      </c>
      <c r="AK1009" s="90">
        <f t="shared" si="284"/>
        <v>142</v>
      </c>
      <c r="AL1009" s="89">
        <f t="shared" si="285"/>
        <v>68.865979063380294</v>
      </c>
      <c r="AM1009" s="89">
        <f t="shared" si="277"/>
        <v>93.480857999999998</v>
      </c>
      <c r="AN1009" s="90">
        <f t="shared" si="278"/>
        <v>13274.281836</v>
      </c>
      <c r="AO1009" s="93">
        <f t="shared" si="279"/>
        <v>0.35743162692808883</v>
      </c>
    </row>
    <row r="1010" spans="2:41" x14ac:dyDescent="0.25">
      <c r="B1010" s="91">
        <v>40814</v>
      </c>
      <c r="C1010" s="89">
        <v>117.779999</v>
      </c>
      <c r="D1010" s="89">
        <v>118.489998</v>
      </c>
      <c r="E1010" s="89">
        <v>114.970001</v>
      </c>
      <c r="F1010" s="89">
        <v>115.139999</v>
      </c>
      <c r="G1010" s="89">
        <v>91.572097999999997</v>
      </c>
      <c r="H1010" s="89">
        <v>286696800</v>
      </c>
      <c r="J1010" s="89">
        <v>0</v>
      </c>
      <c r="K1010" s="89">
        <f t="shared" si="275"/>
        <v>88</v>
      </c>
      <c r="L1010" s="89">
        <f t="shared" si="276"/>
        <v>112.621376</v>
      </c>
      <c r="M1010" s="89">
        <f>+SPY__2[[#This Row],[Adj Close]]</f>
        <v>91.572097999999997</v>
      </c>
      <c r="N1010" s="89">
        <f t="shared" si="271"/>
        <v>8058.3446239999994</v>
      </c>
      <c r="O1010" s="90">
        <f t="shared" si="272"/>
        <v>-1852.336464</v>
      </c>
      <c r="P1010" s="93">
        <f t="shared" si="273"/>
        <v>-0.18690304405444313</v>
      </c>
      <c r="Q1010" s="96"/>
      <c r="R1010" s="96"/>
      <c r="T1010" s="90">
        <f t="shared" si="267"/>
        <v>95</v>
      </c>
      <c r="U1010" s="89">
        <f t="shared" si="268"/>
        <v>103.31428490526316</v>
      </c>
      <c r="V1010" s="89">
        <f t="shared" si="269"/>
        <v>91.572097999999997</v>
      </c>
      <c r="W1010" s="90">
        <f t="shared" si="274"/>
        <v>8699.3493099999996</v>
      </c>
      <c r="X1010" s="93">
        <f t="shared" si="270"/>
        <v>-0.11365501794868427</v>
      </c>
      <c r="AB1010" s="89">
        <f t="shared" si="280"/>
        <v>195</v>
      </c>
      <c r="AC1010" s="89">
        <f t="shared" si="281"/>
        <v>51.179276000000002</v>
      </c>
      <c r="AD1010" s="89">
        <f t="shared" si="282"/>
        <v>91.572097999999997</v>
      </c>
      <c r="AE1010" s="89">
        <f t="shared" si="283"/>
        <v>17856.559109999998</v>
      </c>
      <c r="AF1010" s="90">
        <f t="shared" ref="AF1010:AF1073" si="286">+(AD1010-AC1010)*AB1010</f>
        <v>7876.6002899999994</v>
      </c>
      <c r="AG1010" s="93">
        <f t="shared" ref="AG1010:AG1073" si="287">+AD1010/AC1010-1</f>
        <v>0.78924176262282408</v>
      </c>
      <c r="AK1010" s="90">
        <f t="shared" si="284"/>
        <v>142</v>
      </c>
      <c r="AL1010" s="89">
        <f t="shared" si="285"/>
        <v>68.865979063380294</v>
      </c>
      <c r="AM1010" s="89">
        <f t="shared" si="277"/>
        <v>91.572097999999997</v>
      </c>
      <c r="AN1010" s="90">
        <f t="shared" si="278"/>
        <v>13003.237916</v>
      </c>
      <c r="AO1010" s="93">
        <f t="shared" si="279"/>
        <v>0.3297146028479796</v>
      </c>
    </row>
    <row r="1011" spans="2:41" x14ac:dyDescent="0.25">
      <c r="B1011" s="91">
        <v>40815</v>
      </c>
      <c r="C1011" s="89">
        <v>117.050003</v>
      </c>
      <c r="D1011" s="89">
        <v>117.629997</v>
      </c>
      <c r="E1011" s="89">
        <v>113.93</v>
      </c>
      <c r="F1011" s="89">
        <v>116.050003</v>
      </c>
      <c r="G1011" s="89">
        <v>92.295829999999995</v>
      </c>
      <c r="H1011" s="89">
        <v>298108900</v>
      </c>
      <c r="J1011" s="89">
        <v>0</v>
      </c>
      <c r="K1011" s="89">
        <f t="shared" si="275"/>
        <v>88</v>
      </c>
      <c r="L1011" s="89">
        <f t="shared" si="276"/>
        <v>112.621376</v>
      </c>
      <c r="M1011" s="89">
        <f>+SPY__2[[#This Row],[Adj Close]]</f>
        <v>92.295829999999995</v>
      </c>
      <c r="N1011" s="89">
        <f t="shared" si="271"/>
        <v>8122.0330399999993</v>
      </c>
      <c r="O1011" s="90">
        <f t="shared" si="272"/>
        <v>-1788.6480480000002</v>
      </c>
      <c r="P1011" s="93">
        <f t="shared" si="273"/>
        <v>-0.18047680397724852</v>
      </c>
      <c r="Q1011" s="96"/>
      <c r="R1011" s="96"/>
      <c r="T1011" s="90">
        <f t="shared" si="267"/>
        <v>95</v>
      </c>
      <c r="U1011" s="89">
        <f t="shared" si="268"/>
        <v>103.31428490526316</v>
      </c>
      <c r="V1011" s="89">
        <f t="shared" si="269"/>
        <v>92.295829999999995</v>
      </c>
      <c r="W1011" s="90">
        <f t="shared" si="274"/>
        <v>8768.1038499999995</v>
      </c>
      <c r="X1011" s="93">
        <f t="shared" si="270"/>
        <v>-0.10664986855754588</v>
      </c>
      <c r="AB1011" s="89">
        <f t="shared" si="280"/>
        <v>195</v>
      </c>
      <c r="AC1011" s="89">
        <f t="shared" si="281"/>
        <v>51.179276000000002</v>
      </c>
      <c r="AD1011" s="89">
        <f t="shared" si="282"/>
        <v>92.295829999999995</v>
      </c>
      <c r="AE1011" s="89">
        <f t="shared" si="283"/>
        <v>17997.686849999998</v>
      </c>
      <c r="AF1011" s="90">
        <f t="shared" si="286"/>
        <v>8017.7280299999984</v>
      </c>
      <c r="AG1011" s="93">
        <f t="shared" si="287"/>
        <v>0.80338287708485745</v>
      </c>
      <c r="AK1011" s="90">
        <f t="shared" si="284"/>
        <v>142</v>
      </c>
      <c r="AL1011" s="89">
        <f t="shared" si="285"/>
        <v>68.865979063380294</v>
      </c>
      <c r="AM1011" s="89">
        <f t="shared" si="277"/>
        <v>92.295829999999995</v>
      </c>
      <c r="AN1011" s="90">
        <f t="shared" si="278"/>
        <v>13106.00786</v>
      </c>
      <c r="AO1011" s="93">
        <f t="shared" si="279"/>
        <v>0.34022388493244571</v>
      </c>
    </row>
    <row r="1012" spans="2:41" x14ac:dyDescent="0.25">
      <c r="B1012" s="91">
        <v>40816</v>
      </c>
      <c r="C1012" s="89">
        <v>114.449997</v>
      </c>
      <c r="D1012" s="89">
        <v>115.449997</v>
      </c>
      <c r="E1012" s="89">
        <v>113.07</v>
      </c>
      <c r="F1012" s="89">
        <v>113.150002</v>
      </c>
      <c r="G1012" s="89">
        <v>89.989425999999995</v>
      </c>
      <c r="H1012" s="89">
        <v>288392300</v>
      </c>
      <c r="J1012" s="89">
        <v>0</v>
      </c>
      <c r="K1012" s="89">
        <f t="shared" si="275"/>
        <v>88</v>
      </c>
      <c r="L1012" s="89">
        <f t="shared" si="276"/>
        <v>112.621376</v>
      </c>
      <c r="M1012" s="89">
        <f>+SPY__2[[#This Row],[Adj Close]]</f>
        <v>89.989425999999995</v>
      </c>
      <c r="N1012" s="89">
        <f t="shared" si="271"/>
        <v>7919.0694879999992</v>
      </c>
      <c r="O1012" s="90">
        <f t="shared" si="272"/>
        <v>-1991.6116000000002</v>
      </c>
      <c r="P1012" s="93">
        <f t="shared" si="273"/>
        <v>-0.20095607782309466</v>
      </c>
      <c r="Q1012" s="96"/>
      <c r="R1012" s="96"/>
      <c r="T1012" s="90">
        <f t="shared" si="267"/>
        <v>95</v>
      </c>
      <c r="U1012" s="89">
        <f t="shared" si="268"/>
        <v>103.31428490526316</v>
      </c>
      <c r="V1012" s="89">
        <f t="shared" si="269"/>
        <v>89.989425999999995</v>
      </c>
      <c r="W1012" s="90">
        <f t="shared" si="274"/>
        <v>8548.9954699999998</v>
      </c>
      <c r="X1012" s="93">
        <f t="shared" si="270"/>
        <v>-0.12897402249342149</v>
      </c>
      <c r="AB1012" s="89">
        <f t="shared" si="280"/>
        <v>195</v>
      </c>
      <c r="AC1012" s="89">
        <f t="shared" si="281"/>
        <v>51.179276000000002</v>
      </c>
      <c r="AD1012" s="89">
        <f t="shared" si="282"/>
        <v>89.989425999999995</v>
      </c>
      <c r="AE1012" s="89">
        <f t="shared" si="283"/>
        <v>17547.93807</v>
      </c>
      <c r="AF1012" s="90">
        <f t="shared" si="286"/>
        <v>7567.9792499999985</v>
      </c>
      <c r="AG1012" s="93">
        <f t="shared" si="287"/>
        <v>0.75831768311845593</v>
      </c>
      <c r="AK1012" s="90">
        <f t="shared" si="284"/>
        <v>142</v>
      </c>
      <c r="AL1012" s="89">
        <f t="shared" si="285"/>
        <v>68.865979063380294</v>
      </c>
      <c r="AM1012" s="89">
        <f t="shared" si="277"/>
        <v>89.989425999999995</v>
      </c>
      <c r="AN1012" s="90">
        <f t="shared" si="278"/>
        <v>12778.498491999999</v>
      </c>
      <c r="AO1012" s="93">
        <f t="shared" si="279"/>
        <v>0.30673268896938066</v>
      </c>
    </row>
    <row r="1013" spans="2:41" x14ac:dyDescent="0.25">
      <c r="B1013" s="91">
        <v>40819</v>
      </c>
      <c r="C1013" s="89">
        <v>112.489998</v>
      </c>
      <c r="D1013" s="89">
        <v>113.949997</v>
      </c>
      <c r="E1013" s="89">
        <v>109.80999799999999</v>
      </c>
      <c r="F1013" s="89">
        <v>109.93</v>
      </c>
      <c r="G1013" s="89">
        <v>87.428528</v>
      </c>
      <c r="H1013" s="89">
        <v>365136800</v>
      </c>
      <c r="J1013" s="89">
        <v>0</v>
      </c>
      <c r="K1013" s="89">
        <f t="shared" si="275"/>
        <v>88</v>
      </c>
      <c r="L1013" s="89">
        <f t="shared" si="276"/>
        <v>112.621376</v>
      </c>
      <c r="M1013" s="89">
        <f>+SPY__2[[#This Row],[Adj Close]]</f>
        <v>87.428528</v>
      </c>
      <c r="N1013" s="89">
        <f t="shared" si="271"/>
        <v>7693.7104639999998</v>
      </c>
      <c r="O1013" s="90">
        <f t="shared" si="272"/>
        <v>-2216.9706239999996</v>
      </c>
      <c r="P1013" s="93">
        <f t="shared" si="273"/>
        <v>-0.22369508253921533</v>
      </c>
      <c r="Q1013" s="96"/>
      <c r="R1013" s="96"/>
      <c r="T1013" s="90">
        <f t="shared" si="267"/>
        <v>95</v>
      </c>
      <c r="U1013" s="89">
        <f t="shared" si="268"/>
        <v>103.31428490526316</v>
      </c>
      <c r="V1013" s="89">
        <f t="shared" si="269"/>
        <v>87.428528</v>
      </c>
      <c r="W1013" s="90">
        <f t="shared" si="274"/>
        <v>8305.7101600000005</v>
      </c>
      <c r="X1013" s="93">
        <f t="shared" si="270"/>
        <v>-0.15376147567425003</v>
      </c>
      <c r="AB1013" s="89">
        <f t="shared" si="280"/>
        <v>195</v>
      </c>
      <c r="AC1013" s="89">
        <f t="shared" si="281"/>
        <v>51.179276000000002</v>
      </c>
      <c r="AD1013" s="89">
        <f t="shared" si="282"/>
        <v>87.428528</v>
      </c>
      <c r="AE1013" s="89">
        <f t="shared" si="283"/>
        <v>17048.562959999999</v>
      </c>
      <c r="AF1013" s="90">
        <f t="shared" si="286"/>
        <v>7068.6041399999995</v>
      </c>
      <c r="AG1013" s="93">
        <f t="shared" si="287"/>
        <v>0.70827989047754403</v>
      </c>
      <c r="AK1013" s="90">
        <f t="shared" si="284"/>
        <v>142</v>
      </c>
      <c r="AL1013" s="89">
        <f t="shared" si="285"/>
        <v>68.865979063380294</v>
      </c>
      <c r="AM1013" s="89">
        <f t="shared" si="277"/>
        <v>87.428528</v>
      </c>
      <c r="AN1013" s="90">
        <f t="shared" si="278"/>
        <v>12414.850976</v>
      </c>
      <c r="AO1013" s="93">
        <f t="shared" si="279"/>
        <v>0.26954599628266096</v>
      </c>
    </row>
    <row r="1014" spans="2:41" x14ac:dyDescent="0.25">
      <c r="B1014" s="91">
        <v>40820</v>
      </c>
      <c r="C1014" s="89">
        <v>108.349998</v>
      </c>
      <c r="D1014" s="89">
        <v>112.58000199999999</v>
      </c>
      <c r="E1014" s="89">
        <v>107.43</v>
      </c>
      <c r="F1014" s="89">
        <v>112.339996</v>
      </c>
      <c r="G1014" s="89">
        <v>89.345207000000002</v>
      </c>
      <c r="H1014" s="89">
        <v>459177500</v>
      </c>
      <c r="J1014" s="89">
        <v>0</v>
      </c>
      <c r="K1014" s="89">
        <f t="shared" si="275"/>
        <v>88</v>
      </c>
      <c r="L1014" s="89">
        <f t="shared" si="276"/>
        <v>112.621376</v>
      </c>
      <c r="M1014" s="89">
        <f>+SPY__2[[#This Row],[Adj Close]]</f>
        <v>89.345207000000002</v>
      </c>
      <c r="N1014" s="89">
        <f t="shared" si="271"/>
        <v>7862.3782160000001</v>
      </c>
      <c r="O1014" s="90">
        <f t="shared" si="272"/>
        <v>-2048.3028719999998</v>
      </c>
      <c r="P1014" s="93">
        <f t="shared" si="273"/>
        <v>-0.20667629740201354</v>
      </c>
      <c r="Q1014" s="96"/>
      <c r="R1014" s="96"/>
      <c r="T1014" s="90">
        <f t="shared" si="267"/>
        <v>95</v>
      </c>
      <c r="U1014" s="89">
        <f t="shared" si="268"/>
        <v>103.31428490526316</v>
      </c>
      <c r="V1014" s="89">
        <f t="shared" si="269"/>
        <v>89.345207000000002</v>
      </c>
      <c r="W1014" s="90">
        <f t="shared" si="274"/>
        <v>8487.7946649999994</v>
      </c>
      <c r="X1014" s="93">
        <f t="shared" si="270"/>
        <v>-0.1352095493674712</v>
      </c>
      <c r="AB1014" s="89">
        <f t="shared" si="280"/>
        <v>195</v>
      </c>
      <c r="AC1014" s="89">
        <f t="shared" si="281"/>
        <v>51.179276000000002</v>
      </c>
      <c r="AD1014" s="89">
        <f t="shared" si="282"/>
        <v>89.345207000000002</v>
      </c>
      <c r="AE1014" s="89">
        <f t="shared" si="283"/>
        <v>17422.315365000002</v>
      </c>
      <c r="AF1014" s="90">
        <f t="shared" si="286"/>
        <v>7442.3565450000006</v>
      </c>
      <c r="AG1014" s="93">
        <f t="shared" si="287"/>
        <v>0.74573018578848194</v>
      </c>
      <c r="AK1014" s="90">
        <f t="shared" si="284"/>
        <v>142</v>
      </c>
      <c r="AL1014" s="89">
        <f t="shared" si="285"/>
        <v>68.865979063380294</v>
      </c>
      <c r="AM1014" s="89">
        <f t="shared" si="277"/>
        <v>89.345207000000002</v>
      </c>
      <c r="AN1014" s="90">
        <f t="shared" si="278"/>
        <v>12687.019394000001</v>
      </c>
      <c r="AO1014" s="93">
        <f t="shared" si="279"/>
        <v>0.29737801183036705</v>
      </c>
    </row>
    <row r="1015" spans="2:41" x14ac:dyDescent="0.25">
      <c r="B1015" s="91">
        <v>40821</v>
      </c>
      <c r="C1015" s="89">
        <v>112.620003</v>
      </c>
      <c r="D1015" s="89">
        <v>114.720001</v>
      </c>
      <c r="E1015" s="89">
        <v>111.58000199999999</v>
      </c>
      <c r="F1015" s="89">
        <v>114.41999800000001</v>
      </c>
      <c r="G1015" s="89">
        <v>90.999481000000003</v>
      </c>
      <c r="H1015" s="89">
        <v>284108000</v>
      </c>
      <c r="J1015" s="89">
        <v>0</v>
      </c>
      <c r="K1015" s="89">
        <f t="shared" si="275"/>
        <v>88</v>
      </c>
      <c r="L1015" s="89">
        <f t="shared" si="276"/>
        <v>112.621376</v>
      </c>
      <c r="M1015" s="89">
        <f>+SPY__2[[#This Row],[Adj Close]]</f>
        <v>90.999481000000003</v>
      </c>
      <c r="N1015" s="89">
        <f t="shared" si="271"/>
        <v>8007.9543279999998</v>
      </c>
      <c r="O1015" s="90">
        <f t="shared" si="272"/>
        <v>-1902.7267599999996</v>
      </c>
      <c r="P1015" s="93">
        <f t="shared" si="273"/>
        <v>-0.19198748734876048</v>
      </c>
      <c r="Q1015" s="96"/>
      <c r="R1015" s="96"/>
      <c r="T1015" s="90">
        <f t="shared" si="267"/>
        <v>95</v>
      </c>
      <c r="U1015" s="89">
        <f t="shared" si="268"/>
        <v>103.31428490526316</v>
      </c>
      <c r="V1015" s="89">
        <f t="shared" si="269"/>
        <v>90.999481000000003</v>
      </c>
      <c r="W1015" s="90">
        <f t="shared" si="274"/>
        <v>8644.9506949999995</v>
      </c>
      <c r="X1015" s="93">
        <f t="shared" si="270"/>
        <v>-0.11919749448544859</v>
      </c>
      <c r="AB1015" s="89">
        <f t="shared" si="280"/>
        <v>195</v>
      </c>
      <c r="AC1015" s="89">
        <f t="shared" si="281"/>
        <v>51.179276000000002</v>
      </c>
      <c r="AD1015" s="89">
        <f t="shared" si="282"/>
        <v>90.999481000000003</v>
      </c>
      <c r="AE1015" s="89">
        <f t="shared" si="283"/>
        <v>17744.898795000001</v>
      </c>
      <c r="AF1015" s="90">
        <f t="shared" si="286"/>
        <v>7764.9399750000002</v>
      </c>
      <c r="AG1015" s="93">
        <f t="shared" si="287"/>
        <v>0.77805330813980245</v>
      </c>
      <c r="AK1015" s="90">
        <f t="shared" si="284"/>
        <v>142</v>
      </c>
      <c r="AL1015" s="89">
        <f t="shared" si="285"/>
        <v>68.865979063380294</v>
      </c>
      <c r="AM1015" s="89">
        <f t="shared" si="277"/>
        <v>90.999481000000003</v>
      </c>
      <c r="AN1015" s="90">
        <f t="shared" si="278"/>
        <v>12921.926302</v>
      </c>
      <c r="AO1015" s="93">
        <f t="shared" si="279"/>
        <v>0.32139965535448645</v>
      </c>
    </row>
    <row r="1016" spans="2:41" x14ac:dyDescent="0.25">
      <c r="B1016" s="91">
        <v>40822</v>
      </c>
      <c r="C1016" s="89">
        <v>114.360001</v>
      </c>
      <c r="D1016" s="89">
        <v>116.660004</v>
      </c>
      <c r="E1016" s="89">
        <v>113.510002</v>
      </c>
      <c r="F1016" s="89">
        <v>116.489998</v>
      </c>
      <c r="G1016" s="89">
        <v>92.645767000000006</v>
      </c>
      <c r="H1016" s="89">
        <v>257800800</v>
      </c>
      <c r="J1016" s="89">
        <v>0</v>
      </c>
      <c r="K1016" s="89">
        <f t="shared" si="275"/>
        <v>88</v>
      </c>
      <c r="L1016" s="89">
        <f t="shared" si="276"/>
        <v>112.621376</v>
      </c>
      <c r="M1016" s="89">
        <f>+SPY__2[[#This Row],[Adj Close]]</f>
        <v>92.645767000000006</v>
      </c>
      <c r="N1016" s="89">
        <f t="shared" si="271"/>
        <v>8152.8274960000008</v>
      </c>
      <c r="O1016" s="90">
        <f t="shared" si="272"/>
        <v>-1757.8535919999993</v>
      </c>
      <c r="P1016" s="93">
        <f t="shared" si="273"/>
        <v>-0.177369605215976</v>
      </c>
      <c r="Q1016" s="96"/>
      <c r="R1016" s="96"/>
      <c r="T1016" s="90">
        <f t="shared" si="267"/>
        <v>95</v>
      </c>
      <c r="U1016" s="89">
        <f t="shared" si="268"/>
        <v>103.31428490526316</v>
      </c>
      <c r="V1016" s="89">
        <f t="shared" si="269"/>
        <v>92.645767000000006</v>
      </c>
      <c r="W1016" s="90">
        <f t="shared" si="274"/>
        <v>8801.3478649999997</v>
      </c>
      <c r="X1016" s="93">
        <f t="shared" si="270"/>
        <v>-0.10326275708190746</v>
      </c>
      <c r="AB1016" s="89">
        <f t="shared" si="280"/>
        <v>195</v>
      </c>
      <c r="AC1016" s="89">
        <f t="shared" si="281"/>
        <v>51.179276000000002</v>
      </c>
      <c r="AD1016" s="89">
        <f t="shared" si="282"/>
        <v>92.645767000000006</v>
      </c>
      <c r="AE1016" s="89">
        <f t="shared" si="283"/>
        <v>18065.924565000001</v>
      </c>
      <c r="AF1016" s="90">
        <f t="shared" si="286"/>
        <v>8085.9657450000013</v>
      </c>
      <c r="AG1016" s="93">
        <f t="shared" si="287"/>
        <v>0.81022035169078999</v>
      </c>
      <c r="AK1016" s="90">
        <f t="shared" si="284"/>
        <v>142</v>
      </c>
      <c r="AL1016" s="89">
        <f t="shared" si="285"/>
        <v>68.865979063380294</v>
      </c>
      <c r="AM1016" s="89">
        <f t="shared" si="277"/>
        <v>92.645767000000006</v>
      </c>
      <c r="AN1016" s="90">
        <f t="shared" si="278"/>
        <v>13155.698914000001</v>
      </c>
      <c r="AO1016" s="93">
        <f t="shared" si="279"/>
        <v>0.34530530546489668</v>
      </c>
    </row>
    <row r="1017" spans="2:41" x14ac:dyDescent="0.25">
      <c r="B1017" s="91">
        <v>40823</v>
      </c>
      <c r="C1017" s="89">
        <v>117.16999800000001</v>
      </c>
      <c r="D1017" s="89">
        <v>117.25</v>
      </c>
      <c r="E1017" s="89">
        <v>115.05999799999999</v>
      </c>
      <c r="F1017" s="89">
        <v>115.709999</v>
      </c>
      <c r="G1017" s="89">
        <v>92.025413999999998</v>
      </c>
      <c r="H1017" s="89">
        <v>312657900</v>
      </c>
      <c r="J1017" s="89">
        <v>0</v>
      </c>
      <c r="K1017" s="89">
        <f t="shared" si="275"/>
        <v>88</v>
      </c>
      <c r="L1017" s="89">
        <f t="shared" si="276"/>
        <v>112.621376</v>
      </c>
      <c r="M1017" s="89">
        <f>+SPY__2[[#This Row],[Adj Close]]</f>
        <v>92.025413999999998</v>
      </c>
      <c r="N1017" s="89">
        <f t="shared" si="271"/>
        <v>8098.2364319999997</v>
      </c>
      <c r="O1017" s="90">
        <f t="shared" si="272"/>
        <v>-1812.4446560000001</v>
      </c>
      <c r="P1017" s="93">
        <f t="shared" si="273"/>
        <v>-0.18287791120577324</v>
      </c>
      <c r="Q1017" s="96"/>
      <c r="R1017" s="96"/>
      <c r="T1017" s="90">
        <f t="shared" si="267"/>
        <v>95</v>
      </c>
      <c r="U1017" s="89">
        <f t="shared" si="268"/>
        <v>103.31428490526316</v>
      </c>
      <c r="V1017" s="89">
        <f t="shared" si="269"/>
        <v>92.025413999999998</v>
      </c>
      <c r="W1017" s="90">
        <f t="shared" si="274"/>
        <v>8742.4143299999996</v>
      </c>
      <c r="X1017" s="93">
        <f t="shared" si="270"/>
        <v>-0.10926728008246689</v>
      </c>
      <c r="AB1017" s="89">
        <f t="shared" si="280"/>
        <v>195</v>
      </c>
      <c r="AC1017" s="89">
        <f t="shared" si="281"/>
        <v>51.179276000000002</v>
      </c>
      <c r="AD1017" s="89">
        <f t="shared" si="282"/>
        <v>92.025413999999998</v>
      </c>
      <c r="AE1017" s="89">
        <f t="shared" si="283"/>
        <v>17944.955729999998</v>
      </c>
      <c r="AF1017" s="90">
        <f t="shared" si="286"/>
        <v>7964.9969099999989</v>
      </c>
      <c r="AG1017" s="93">
        <f t="shared" si="287"/>
        <v>0.79809917592425483</v>
      </c>
      <c r="AK1017" s="90">
        <f t="shared" si="284"/>
        <v>142</v>
      </c>
      <c r="AL1017" s="89">
        <f t="shared" si="285"/>
        <v>68.865979063380294</v>
      </c>
      <c r="AM1017" s="89">
        <f t="shared" si="277"/>
        <v>92.025413999999998</v>
      </c>
      <c r="AN1017" s="90">
        <f t="shared" si="278"/>
        <v>13067.608788</v>
      </c>
      <c r="AO1017" s="93">
        <f t="shared" si="279"/>
        <v>0.33629718551311227</v>
      </c>
    </row>
    <row r="1018" spans="2:41" x14ac:dyDescent="0.25">
      <c r="B1018" s="91">
        <v>40826</v>
      </c>
      <c r="C1018" s="89">
        <v>117.68</v>
      </c>
      <c r="D1018" s="89">
        <v>119.629997</v>
      </c>
      <c r="E1018" s="89">
        <v>117.66999800000001</v>
      </c>
      <c r="F1018" s="89">
        <v>119.58000199999999</v>
      </c>
      <c r="G1018" s="89">
        <v>95.103286999999995</v>
      </c>
      <c r="H1018" s="89">
        <v>230666300</v>
      </c>
      <c r="J1018" s="89">
        <v>0</v>
      </c>
      <c r="K1018" s="89">
        <f t="shared" si="275"/>
        <v>88</v>
      </c>
      <c r="L1018" s="89">
        <f t="shared" si="276"/>
        <v>112.621376</v>
      </c>
      <c r="M1018" s="89">
        <f>+SPY__2[[#This Row],[Adj Close]]</f>
        <v>95.103286999999995</v>
      </c>
      <c r="N1018" s="89">
        <f t="shared" si="271"/>
        <v>8369.0892559999993</v>
      </c>
      <c r="O1018" s="90">
        <f t="shared" si="272"/>
        <v>-1541.5918320000003</v>
      </c>
      <c r="P1018" s="93">
        <f t="shared" si="273"/>
        <v>-0.15554852570794375</v>
      </c>
      <c r="Q1018" s="96"/>
      <c r="R1018" s="96"/>
      <c r="T1018" s="90">
        <f t="shared" si="267"/>
        <v>95</v>
      </c>
      <c r="U1018" s="89">
        <f t="shared" si="268"/>
        <v>103.31428490526316</v>
      </c>
      <c r="V1018" s="89">
        <f t="shared" si="269"/>
        <v>95.103286999999995</v>
      </c>
      <c r="W1018" s="90">
        <f t="shared" si="274"/>
        <v>9034.8122649999987</v>
      </c>
      <c r="X1018" s="93">
        <f t="shared" si="270"/>
        <v>-7.9475920612454232E-2</v>
      </c>
      <c r="AB1018" s="89">
        <f t="shared" si="280"/>
        <v>195</v>
      </c>
      <c r="AC1018" s="89">
        <f t="shared" si="281"/>
        <v>51.179276000000002</v>
      </c>
      <c r="AD1018" s="89">
        <f t="shared" si="282"/>
        <v>95.103286999999995</v>
      </c>
      <c r="AE1018" s="89">
        <f t="shared" si="283"/>
        <v>18545.140964999999</v>
      </c>
      <c r="AF1018" s="90">
        <f t="shared" si="286"/>
        <v>8565.1821449999989</v>
      </c>
      <c r="AG1018" s="93">
        <f t="shared" si="287"/>
        <v>0.85823822517536175</v>
      </c>
      <c r="AK1018" s="90">
        <f t="shared" si="284"/>
        <v>142</v>
      </c>
      <c r="AL1018" s="89">
        <f t="shared" si="285"/>
        <v>68.865979063380294</v>
      </c>
      <c r="AM1018" s="89">
        <f t="shared" si="277"/>
        <v>95.103286999999995</v>
      </c>
      <c r="AN1018" s="90">
        <f t="shared" si="278"/>
        <v>13504.666754</v>
      </c>
      <c r="AO1018" s="93">
        <f t="shared" si="279"/>
        <v>0.3809908505398929</v>
      </c>
    </row>
    <row r="1019" spans="2:41" x14ac:dyDescent="0.25">
      <c r="B1019" s="91">
        <v>40827</v>
      </c>
      <c r="C1019" s="89">
        <v>118.870003</v>
      </c>
      <c r="D1019" s="89">
        <v>120.040001</v>
      </c>
      <c r="E1019" s="89">
        <v>118.75</v>
      </c>
      <c r="F1019" s="89">
        <v>119.699997</v>
      </c>
      <c r="G1019" s="89">
        <v>95.198700000000002</v>
      </c>
      <c r="H1019" s="89">
        <v>209088000</v>
      </c>
      <c r="J1019" s="89">
        <v>0</v>
      </c>
      <c r="K1019" s="89">
        <f t="shared" si="275"/>
        <v>88</v>
      </c>
      <c r="L1019" s="89">
        <f t="shared" si="276"/>
        <v>112.621376</v>
      </c>
      <c r="M1019" s="89">
        <f>+SPY__2[[#This Row],[Adj Close]]</f>
        <v>95.198700000000002</v>
      </c>
      <c r="N1019" s="89">
        <f t="shared" si="271"/>
        <v>8377.4856</v>
      </c>
      <c r="O1019" s="90">
        <f t="shared" si="272"/>
        <v>-1533.1954879999996</v>
      </c>
      <c r="P1019" s="93">
        <f t="shared" si="273"/>
        <v>-0.15470132419621652</v>
      </c>
      <c r="Q1019" s="96"/>
      <c r="R1019" s="96"/>
      <c r="T1019" s="90">
        <f t="shared" si="267"/>
        <v>95</v>
      </c>
      <c r="U1019" s="89">
        <f t="shared" si="268"/>
        <v>103.31428490526316</v>
      </c>
      <c r="V1019" s="89">
        <f t="shared" si="269"/>
        <v>95.198700000000002</v>
      </c>
      <c r="W1019" s="90">
        <f t="shared" si="274"/>
        <v>9043.8765000000003</v>
      </c>
      <c r="X1019" s="93">
        <f t="shared" si="270"/>
        <v>-7.8552398757877118E-2</v>
      </c>
      <c r="AB1019" s="89">
        <f t="shared" si="280"/>
        <v>195</v>
      </c>
      <c r="AC1019" s="89">
        <f t="shared" si="281"/>
        <v>51.179276000000002</v>
      </c>
      <c r="AD1019" s="89">
        <f t="shared" si="282"/>
        <v>95.198700000000002</v>
      </c>
      <c r="AE1019" s="89">
        <f t="shared" si="283"/>
        <v>18563.746500000001</v>
      </c>
      <c r="AF1019" s="90">
        <f t="shared" si="286"/>
        <v>8583.7876799999995</v>
      </c>
      <c r="AG1019" s="93">
        <f t="shared" si="287"/>
        <v>0.8601025149320205</v>
      </c>
      <c r="AK1019" s="90">
        <f t="shared" si="284"/>
        <v>142</v>
      </c>
      <c r="AL1019" s="89">
        <f t="shared" si="285"/>
        <v>68.865979063380294</v>
      </c>
      <c r="AM1019" s="89">
        <f t="shared" si="277"/>
        <v>95.198700000000002</v>
      </c>
      <c r="AN1019" s="90">
        <f t="shared" si="278"/>
        <v>13518.215400000001</v>
      </c>
      <c r="AO1019" s="93">
        <f t="shared" si="279"/>
        <v>0.38237633871994459</v>
      </c>
    </row>
    <row r="1020" spans="2:41" x14ac:dyDescent="0.25">
      <c r="B1020" s="91">
        <v>40828</v>
      </c>
      <c r="C1020" s="89">
        <v>120.599998</v>
      </c>
      <c r="D1020" s="89">
        <v>122.139999</v>
      </c>
      <c r="E1020" s="89">
        <v>120.33000199999999</v>
      </c>
      <c r="F1020" s="89">
        <v>120.75</v>
      </c>
      <c r="G1020" s="89">
        <v>96.033783</v>
      </c>
      <c r="H1020" s="89">
        <v>281544900</v>
      </c>
      <c r="J1020" s="89">
        <v>0</v>
      </c>
      <c r="K1020" s="89">
        <f t="shared" si="275"/>
        <v>88</v>
      </c>
      <c r="L1020" s="89">
        <f t="shared" si="276"/>
        <v>112.621376</v>
      </c>
      <c r="M1020" s="89">
        <f>+SPY__2[[#This Row],[Adj Close]]</f>
        <v>96.033783</v>
      </c>
      <c r="N1020" s="89">
        <f t="shared" si="271"/>
        <v>8450.9729040000002</v>
      </c>
      <c r="O1020" s="90">
        <f t="shared" si="272"/>
        <v>-1459.7081839999998</v>
      </c>
      <c r="P1020" s="93">
        <f t="shared" si="273"/>
        <v>-0.14728636418010022</v>
      </c>
      <c r="Q1020" s="96"/>
      <c r="R1020" s="96"/>
      <c r="T1020" s="90">
        <f t="shared" si="267"/>
        <v>95</v>
      </c>
      <c r="U1020" s="89">
        <f t="shared" si="268"/>
        <v>103.31428490526316</v>
      </c>
      <c r="V1020" s="89">
        <f t="shared" si="269"/>
        <v>96.033783</v>
      </c>
      <c r="W1020" s="90">
        <f t="shared" si="274"/>
        <v>9123.2093850000001</v>
      </c>
      <c r="X1020" s="93">
        <f t="shared" si="270"/>
        <v>-7.0469460364936176E-2</v>
      </c>
      <c r="AB1020" s="89">
        <f t="shared" si="280"/>
        <v>195</v>
      </c>
      <c r="AC1020" s="89">
        <f t="shared" si="281"/>
        <v>51.179276000000002</v>
      </c>
      <c r="AD1020" s="89">
        <f t="shared" si="282"/>
        <v>96.033783</v>
      </c>
      <c r="AE1020" s="89">
        <f t="shared" si="283"/>
        <v>18726.587684999999</v>
      </c>
      <c r="AF1020" s="90">
        <f t="shared" si="286"/>
        <v>8746.6288649999988</v>
      </c>
      <c r="AG1020" s="93">
        <f t="shared" si="287"/>
        <v>0.87641933426334506</v>
      </c>
      <c r="AK1020" s="90">
        <f t="shared" si="284"/>
        <v>142</v>
      </c>
      <c r="AL1020" s="89">
        <f t="shared" si="285"/>
        <v>68.865979063380294</v>
      </c>
      <c r="AM1020" s="89">
        <f t="shared" si="277"/>
        <v>96.033783</v>
      </c>
      <c r="AN1020" s="90">
        <f t="shared" si="278"/>
        <v>13636.797186</v>
      </c>
      <c r="AO1020" s="93">
        <f t="shared" si="279"/>
        <v>0.39450254401547125</v>
      </c>
    </row>
    <row r="1021" spans="2:41" x14ac:dyDescent="0.25">
      <c r="B1021" s="91">
        <v>40829</v>
      </c>
      <c r="C1021" s="89">
        <v>120.040001</v>
      </c>
      <c r="D1021" s="89">
        <v>120.870003</v>
      </c>
      <c r="E1021" s="89">
        <v>119.120003</v>
      </c>
      <c r="F1021" s="89">
        <v>120.510002</v>
      </c>
      <c r="G1021" s="89">
        <v>95.842911000000001</v>
      </c>
      <c r="H1021" s="89">
        <v>212538800</v>
      </c>
      <c r="J1021" s="89">
        <v>0</v>
      </c>
      <c r="K1021" s="89">
        <f t="shared" si="275"/>
        <v>88</v>
      </c>
      <c r="L1021" s="89">
        <f t="shared" si="276"/>
        <v>112.621376</v>
      </c>
      <c r="M1021" s="89">
        <f>+SPY__2[[#This Row],[Adj Close]]</f>
        <v>95.842911000000001</v>
      </c>
      <c r="N1021" s="89">
        <f t="shared" si="271"/>
        <v>8434.176168</v>
      </c>
      <c r="O1021" s="90">
        <f t="shared" si="272"/>
        <v>-1476.5049199999999</v>
      </c>
      <c r="P1021" s="93">
        <f t="shared" si="273"/>
        <v>-0.14898117565176971</v>
      </c>
      <c r="Q1021" s="96"/>
      <c r="R1021" s="96"/>
      <c r="T1021" s="90">
        <f t="shared" si="267"/>
        <v>95</v>
      </c>
      <c r="U1021" s="89">
        <f t="shared" si="268"/>
        <v>103.31428490526316</v>
      </c>
      <c r="V1021" s="89">
        <f t="shared" si="269"/>
        <v>95.842911000000001</v>
      </c>
      <c r="W1021" s="90">
        <f t="shared" si="274"/>
        <v>9105.0765449999999</v>
      </c>
      <c r="X1021" s="93">
        <f t="shared" si="270"/>
        <v>-7.2316949317456358E-2</v>
      </c>
      <c r="AB1021" s="89">
        <f t="shared" si="280"/>
        <v>195</v>
      </c>
      <c r="AC1021" s="89">
        <f t="shared" si="281"/>
        <v>51.179276000000002</v>
      </c>
      <c r="AD1021" s="89">
        <f t="shared" si="282"/>
        <v>95.842911000000001</v>
      </c>
      <c r="AE1021" s="89">
        <f t="shared" si="283"/>
        <v>18689.367644999998</v>
      </c>
      <c r="AF1021" s="90">
        <f t="shared" si="286"/>
        <v>8709.4088250000004</v>
      </c>
      <c r="AG1021" s="93">
        <f t="shared" si="287"/>
        <v>0.87268985594872417</v>
      </c>
      <c r="AK1021" s="90">
        <f t="shared" si="284"/>
        <v>142</v>
      </c>
      <c r="AL1021" s="89">
        <f t="shared" si="285"/>
        <v>68.865979063380294</v>
      </c>
      <c r="AM1021" s="89">
        <f t="shared" si="277"/>
        <v>95.842911000000001</v>
      </c>
      <c r="AN1021" s="90">
        <f t="shared" si="278"/>
        <v>13609.693362</v>
      </c>
      <c r="AO1021" s="93">
        <f t="shared" si="279"/>
        <v>0.39173089969129316</v>
      </c>
    </row>
    <row r="1022" spans="2:41" x14ac:dyDescent="0.25">
      <c r="B1022" s="91">
        <v>40830</v>
      </c>
      <c r="C1022" s="89">
        <v>121.910004</v>
      </c>
      <c r="D1022" s="89">
        <v>122.599998</v>
      </c>
      <c r="E1022" s="89">
        <v>121.230003</v>
      </c>
      <c r="F1022" s="89">
        <v>122.57</v>
      </c>
      <c r="G1022" s="89">
        <v>97.481262000000001</v>
      </c>
      <c r="H1022" s="89">
        <v>211397600</v>
      </c>
      <c r="J1022" s="89">
        <v>0</v>
      </c>
      <c r="K1022" s="89">
        <f t="shared" si="275"/>
        <v>88</v>
      </c>
      <c r="L1022" s="89">
        <f t="shared" si="276"/>
        <v>112.621376</v>
      </c>
      <c r="M1022" s="89">
        <f>+SPY__2[[#This Row],[Adj Close]]</f>
        <v>97.481262000000001</v>
      </c>
      <c r="N1022" s="89">
        <f t="shared" si="271"/>
        <v>8578.3510559999995</v>
      </c>
      <c r="O1022" s="90">
        <f t="shared" si="272"/>
        <v>-1332.3300319999998</v>
      </c>
      <c r="P1022" s="93">
        <f t="shared" si="273"/>
        <v>-0.13443375083607567</v>
      </c>
      <c r="Q1022" s="96"/>
      <c r="R1022" s="96"/>
      <c r="T1022" s="90">
        <f t="shared" si="267"/>
        <v>95</v>
      </c>
      <c r="U1022" s="89">
        <f t="shared" si="268"/>
        <v>103.31428490526316</v>
      </c>
      <c r="V1022" s="89">
        <f t="shared" si="269"/>
        <v>97.481262000000001</v>
      </c>
      <c r="W1022" s="90">
        <f t="shared" si="274"/>
        <v>9260.7198900000003</v>
      </c>
      <c r="X1022" s="93">
        <f t="shared" si="270"/>
        <v>-5.6459016394605155E-2</v>
      </c>
      <c r="AB1022" s="89">
        <f t="shared" si="280"/>
        <v>195</v>
      </c>
      <c r="AC1022" s="89">
        <f t="shared" si="281"/>
        <v>51.179276000000002</v>
      </c>
      <c r="AD1022" s="89">
        <f t="shared" si="282"/>
        <v>97.481262000000001</v>
      </c>
      <c r="AE1022" s="89">
        <f t="shared" si="283"/>
        <v>19008.846089999999</v>
      </c>
      <c r="AF1022" s="90">
        <f t="shared" si="286"/>
        <v>9028.8872699999993</v>
      </c>
      <c r="AG1022" s="93">
        <f t="shared" si="287"/>
        <v>0.90470185627479371</v>
      </c>
      <c r="AK1022" s="90">
        <f t="shared" si="284"/>
        <v>142</v>
      </c>
      <c r="AL1022" s="89">
        <f t="shared" si="285"/>
        <v>68.865979063380294</v>
      </c>
      <c r="AM1022" s="89">
        <f t="shared" si="277"/>
        <v>97.481262000000001</v>
      </c>
      <c r="AN1022" s="90">
        <f t="shared" si="278"/>
        <v>13842.339204</v>
      </c>
      <c r="AO1022" s="93">
        <f t="shared" si="279"/>
        <v>0.41552132599877578</v>
      </c>
    </row>
    <row r="1023" spans="2:41" x14ac:dyDescent="0.25">
      <c r="B1023" s="91">
        <v>40833</v>
      </c>
      <c r="C1023" s="89">
        <v>121.989998</v>
      </c>
      <c r="D1023" s="89">
        <v>122.550003</v>
      </c>
      <c r="E1023" s="89">
        <v>119.93</v>
      </c>
      <c r="F1023" s="89">
        <v>120.230003</v>
      </c>
      <c r="G1023" s="89">
        <v>95.620232000000001</v>
      </c>
      <c r="H1023" s="89">
        <v>202311600</v>
      </c>
      <c r="J1023" s="89">
        <v>0</v>
      </c>
      <c r="K1023" s="89">
        <f t="shared" si="275"/>
        <v>88</v>
      </c>
      <c r="L1023" s="89">
        <f t="shared" si="276"/>
        <v>112.621376</v>
      </c>
      <c r="M1023" s="89">
        <f>+SPY__2[[#This Row],[Adj Close]]</f>
        <v>95.620232000000001</v>
      </c>
      <c r="N1023" s="89">
        <f t="shared" si="271"/>
        <v>8414.5804160000007</v>
      </c>
      <c r="O1023" s="90">
        <f t="shared" si="272"/>
        <v>-1496.1006719999996</v>
      </c>
      <c r="P1023" s="93">
        <f t="shared" si="273"/>
        <v>-0.15095841130550558</v>
      </c>
      <c r="Q1023" s="96"/>
      <c r="R1023" s="96"/>
      <c r="T1023" s="90">
        <f t="shared" si="267"/>
        <v>95</v>
      </c>
      <c r="U1023" s="89">
        <f t="shared" si="268"/>
        <v>103.31428490526316</v>
      </c>
      <c r="V1023" s="89">
        <f t="shared" si="269"/>
        <v>95.620232000000001</v>
      </c>
      <c r="W1023" s="90">
        <f t="shared" si="274"/>
        <v>9083.9220399999995</v>
      </c>
      <c r="X1023" s="93">
        <f t="shared" si="270"/>
        <v>-7.44723046993786E-2</v>
      </c>
      <c r="AB1023" s="89">
        <f t="shared" si="280"/>
        <v>195</v>
      </c>
      <c r="AC1023" s="89">
        <f t="shared" si="281"/>
        <v>51.179276000000002</v>
      </c>
      <c r="AD1023" s="89">
        <f t="shared" si="282"/>
        <v>95.620232000000001</v>
      </c>
      <c r="AE1023" s="89">
        <f t="shared" si="283"/>
        <v>18645.945240000001</v>
      </c>
      <c r="AF1023" s="90">
        <f t="shared" si="286"/>
        <v>8665.9864199999993</v>
      </c>
      <c r="AG1023" s="93">
        <f t="shared" si="287"/>
        <v>0.86833889561079358</v>
      </c>
      <c r="AK1023" s="90">
        <f t="shared" si="284"/>
        <v>142</v>
      </c>
      <c r="AL1023" s="89">
        <f t="shared" si="285"/>
        <v>68.865979063380294</v>
      </c>
      <c r="AM1023" s="89">
        <f t="shared" si="277"/>
        <v>95.620232000000001</v>
      </c>
      <c r="AN1023" s="90">
        <f t="shared" si="278"/>
        <v>13578.072944</v>
      </c>
      <c r="AO1023" s="93">
        <f t="shared" si="279"/>
        <v>0.38849738725120897</v>
      </c>
    </row>
    <row r="1024" spans="2:41" x14ac:dyDescent="0.25">
      <c r="B1024" s="91">
        <v>40834</v>
      </c>
      <c r="C1024" s="89">
        <v>120.139999</v>
      </c>
      <c r="D1024" s="89">
        <v>123.5</v>
      </c>
      <c r="E1024" s="89">
        <v>119.199997</v>
      </c>
      <c r="F1024" s="89">
        <v>122.58000199999999</v>
      </c>
      <c r="G1024" s="89">
        <v>97.489204000000001</v>
      </c>
      <c r="H1024" s="89">
        <v>318857900</v>
      </c>
      <c r="J1024" s="89">
        <v>0</v>
      </c>
      <c r="K1024" s="89">
        <f t="shared" si="275"/>
        <v>88</v>
      </c>
      <c r="L1024" s="89">
        <f t="shared" si="276"/>
        <v>112.621376</v>
      </c>
      <c r="M1024" s="89">
        <f>+SPY__2[[#This Row],[Adj Close]]</f>
        <v>97.489204000000001</v>
      </c>
      <c r="N1024" s="89">
        <f t="shared" si="271"/>
        <v>8579.0499519999994</v>
      </c>
      <c r="O1024" s="90">
        <f t="shared" si="272"/>
        <v>-1331.6311359999997</v>
      </c>
      <c r="P1024" s="93">
        <f t="shared" si="273"/>
        <v>-0.13436323136382211</v>
      </c>
      <c r="Q1024" s="96"/>
      <c r="R1024" s="96"/>
      <c r="T1024" s="90">
        <f t="shared" si="267"/>
        <v>95</v>
      </c>
      <c r="U1024" s="89">
        <f t="shared" si="268"/>
        <v>103.31428490526316</v>
      </c>
      <c r="V1024" s="89">
        <f t="shared" si="269"/>
        <v>97.489204000000001</v>
      </c>
      <c r="W1024" s="90">
        <f t="shared" si="274"/>
        <v>9261.4743799999997</v>
      </c>
      <c r="X1024" s="93">
        <f t="shared" si="270"/>
        <v>-5.6382144159489944E-2</v>
      </c>
      <c r="AB1024" s="89">
        <f t="shared" si="280"/>
        <v>195</v>
      </c>
      <c r="AC1024" s="89">
        <f t="shared" si="281"/>
        <v>51.179276000000002</v>
      </c>
      <c r="AD1024" s="89">
        <f t="shared" si="282"/>
        <v>97.489204000000001</v>
      </c>
      <c r="AE1024" s="89">
        <f t="shared" si="283"/>
        <v>19010.394779999999</v>
      </c>
      <c r="AF1024" s="90">
        <f t="shared" si="286"/>
        <v>9030.4359600000007</v>
      </c>
      <c r="AG1024" s="93">
        <f t="shared" si="287"/>
        <v>0.90485703627382308</v>
      </c>
      <c r="AK1024" s="90">
        <f t="shared" si="284"/>
        <v>142</v>
      </c>
      <c r="AL1024" s="89">
        <f t="shared" si="285"/>
        <v>68.865979063380294</v>
      </c>
      <c r="AM1024" s="89">
        <f t="shared" si="277"/>
        <v>97.489204000000001</v>
      </c>
      <c r="AN1024" s="90">
        <f t="shared" si="278"/>
        <v>13843.466968000001</v>
      </c>
      <c r="AO1024" s="93">
        <f t="shared" si="279"/>
        <v>0.41563665144841022</v>
      </c>
    </row>
    <row r="1025" spans="2:41" x14ac:dyDescent="0.25">
      <c r="B1025" s="91">
        <v>40835</v>
      </c>
      <c r="C1025" s="89">
        <v>122.379997</v>
      </c>
      <c r="D1025" s="89">
        <v>123.08000199999999</v>
      </c>
      <c r="E1025" s="89">
        <v>120.709999</v>
      </c>
      <c r="F1025" s="89">
        <v>121.129997</v>
      </c>
      <c r="G1025" s="89">
        <v>96.335991000000007</v>
      </c>
      <c r="H1025" s="89">
        <v>226601300</v>
      </c>
      <c r="J1025" s="89">
        <v>0</v>
      </c>
      <c r="K1025" s="89">
        <f t="shared" si="275"/>
        <v>88</v>
      </c>
      <c r="L1025" s="89">
        <f t="shared" si="276"/>
        <v>112.621376</v>
      </c>
      <c r="M1025" s="89">
        <f>+SPY__2[[#This Row],[Adj Close]]</f>
        <v>96.335991000000007</v>
      </c>
      <c r="N1025" s="89">
        <f t="shared" si="271"/>
        <v>8477.5672080000004</v>
      </c>
      <c r="O1025" s="90">
        <f t="shared" si="272"/>
        <v>-1433.1138799999992</v>
      </c>
      <c r="P1025" s="93">
        <f t="shared" si="273"/>
        <v>-0.14460296595914435</v>
      </c>
      <c r="Q1025" s="96"/>
      <c r="R1025" s="96"/>
      <c r="T1025" s="90">
        <f t="shared" si="267"/>
        <v>95</v>
      </c>
      <c r="U1025" s="89">
        <f t="shared" si="268"/>
        <v>103.31428490526316</v>
      </c>
      <c r="V1025" s="89">
        <f t="shared" si="269"/>
        <v>96.335991000000007</v>
      </c>
      <c r="W1025" s="90">
        <f t="shared" si="274"/>
        <v>9151.9191449999998</v>
      </c>
      <c r="X1025" s="93">
        <f t="shared" si="270"/>
        <v>-6.7544327598667464E-2</v>
      </c>
      <c r="AB1025" s="89">
        <f t="shared" si="280"/>
        <v>195</v>
      </c>
      <c r="AC1025" s="89">
        <f t="shared" si="281"/>
        <v>51.179276000000002</v>
      </c>
      <c r="AD1025" s="89">
        <f t="shared" si="282"/>
        <v>96.335991000000007</v>
      </c>
      <c r="AE1025" s="89">
        <f t="shared" si="283"/>
        <v>18785.518245000003</v>
      </c>
      <c r="AF1025" s="90">
        <f t="shared" si="286"/>
        <v>8805.5594250000013</v>
      </c>
      <c r="AG1025" s="93">
        <f t="shared" si="287"/>
        <v>0.88232422435987568</v>
      </c>
      <c r="AK1025" s="90">
        <f t="shared" si="284"/>
        <v>142</v>
      </c>
      <c r="AL1025" s="89">
        <f t="shared" si="285"/>
        <v>68.865979063380294</v>
      </c>
      <c r="AM1025" s="89">
        <f t="shared" si="277"/>
        <v>96.335991000000007</v>
      </c>
      <c r="AN1025" s="90">
        <f t="shared" si="278"/>
        <v>13679.710722000002</v>
      </c>
      <c r="AO1025" s="93">
        <f t="shared" si="279"/>
        <v>0.39889089373633824</v>
      </c>
    </row>
    <row r="1026" spans="2:41" x14ac:dyDescent="0.25">
      <c r="B1026" s="91">
        <v>40836</v>
      </c>
      <c r="C1026" s="89">
        <v>121.43</v>
      </c>
      <c r="D1026" s="89">
        <v>122.099998</v>
      </c>
      <c r="E1026" s="89">
        <v>119.82</v>
      </c>
      <c r="F1026" s="89">
        <v>121.660004</v>
      </c>
      <c r="G1026" s="89">
        <v>96.757499999999993</v>
      </c>
      <c r="H1026" s="89">
        <v>262075600</v>
      </c>
      <c r="J1026" s="89">
        <v>0</v>
      </c>
      <c r="K1026" s="89">
        <f t="shared" si="275"/>
        <v>88</v>
      </c>
      <c r="L1026" s="89">
        <f t="shared" si="276"/>
        <v>112.621376</v>
      </c>
      <c r="M1026" s="89">
        <f>+SPY__2[[#This Row],[Adj Close]]</f>
        <v>96.757499999999993</v>
      </c>
      <c r="N1026" s="89">
        <f t="shared" si="271"/>
        <v>8514.66</v>
      </c>
      <c r="O1026" s="90">
        <f t="shared" si="272"/>
        <v>-1396.0210880000004</v>
      </c>
      <c r="P1026" s="93">
        <f t="shared" si="273"/>
        <v>-0.14086025729254104</v>
      </c>
      <c r="Q1026" s="96"/>
      <c r="R1026" s="96"/>
      <c r="T1026" s="90">
        <f t="shared" ref="T1026:T1089" si="288">+T1025</f>
        <v>95</v>
      </c>
      <c r="U1026" s="89">
        <f t="shared" ref="U1026:U1089" si="289">+U1025</f>
        <v>103.31428490526316</v>
      </c>
      <c r="V1026" s="89">
        <f t="shared" si="269"/>
        <v>96.757499999999993</v>
      </c>
      <c r="W1026" s="90">
        <f t="shared" si="274"/>
        <v>9191.9624999999996</v>
      </c>
      <c r="X1026" s="93">
        <f t="shared" si="270"/>
        <v>-6.3464456161852034E-2</v>
      </c>
      <c r="AB1026" s="89">
        <f t="shared" si="280"/>
        <v>195</v>
      </c>
      <c r="AC1026" s="89">
        <f t="shared" si="281"/>
        <v>51.179276000000002</v>
      </c>
      <c r="AD1026" s="89">
        <f t="shared" si="282"/>
        <v>96.757499999999993</v>
      </c>
      <c r="AE1026" s="89">
        <f t="shared" si="283"/>
        <v>18867.712499999998</v>
      </c>
      <c r="AF1026" s="90">
        <f t="shared" si="286"/>
        <v>8887.753679999998</v>
      </c>
      <c r="AG1026" s="93">
        <f t="shared" si="287"/>
        <v>0.89056015563799673</v>
      </c>
      <c r="AK1026" s="90">
        <f t="shared" si="284"/>
        <v>142</v>
      </c>
      <c r="AL1026" s="89">
        <f t="shared" si="285"/>
        <v>68.865979063380294</v>
      </c>
      <c r="AM1026" s="89">
        <f t="shared" si="277"/>
        <v>96.757499999999993</v>
      </c>
      <c r="AN1026" s="90">
        <f t="shared" si="278"/>
        <v>13739.564999999999</v>
      </c>
      <c r="AO1026" s="93">
        <f t="shared" si="279"/>
        <v>0.40501160828556504</v>
      </c>
    </row>
    <row r="1027" spans="2:41" x14ac:dyDescent="0.25">
      <c r="B1027" s="91">
        <v>40837</v>
      </c>
      <c r="C1027" s="89">
        <v>123.089996</v>
      </c>
      <c r="D1027" s="89">
        <v>124.120003</v>
      </c>
      <c r="E1027" s="89">
        <v>122.720001</v>
      </c>
      <c r="F1027" s="89">
        <v>123.970001</v>
      </c>
      <c r="G1027" s="89">
        <v>98.594703999999993</v>
      </c>
      <c r="H1027" s="89">
        <v>278999400</v>
      </c>
      <c r="J1027" s="89">
        <v>0</v>
      </c>
      <c r="K1027" s="89">
        <f t="shared" si="275"/>
        <v>88</v>
      </c>
      <c r="L1027" s="89">
        <f t="shared" si="276"/>
        <v>112.621376</v>
      </c>
      <c r="M1027" s="89">
        <f>+SPY__2[[#This Row],[Adj Close]]</f>
        <v>98.594703999999993</v>
      </c>
      <c r="N1027" s="89">
        <f t="shared" si="271"/>
        <v>8676.333951999999</v>
      </c>
      <c r="O1027" s="90">
        <f t="shared" si="272"/>
        <v>-1234.3471360000003</v>
      </c>
      <c r="P1027" s="93">
        <f t="shared" si="273"/>
        <v>-0.12454715523987214</v>
      </c>
      <c r="Q1027" s="96"/>
      <c r="R1027" s="96"/>
      <c r="T1027" s="90">
        <f t="shared" si="288"/>
        <v>95</v>
      </c>
      <c r="U1027" s="89">
        <f t="shared" si="289"/>
        <v>103.31428490526316</v>
      </c>
      <c r="V1027" s="89">
        <f t="shared" ref="V1027:V1090" si="290">+M1027</f>
        <v>98.594703999999993</v>
      </c>
      <c r="W1027" s="90">
        <f t="shared" si="274"/>
        <v>9366.4968799999988</v>
      </c>
      <c r="X1027" s="93">
        <f t="shared" ref="X1027:X1090" si="291">+W1027/(U1027*T1027)-1</f>
        <v>-4.5681784562424443E-2</v>
      </c>
      <c r="AB1027" s="89">
        <f t="shared" si="280"/>
        <v>195</v>
      </c>
      <c r="AC1027" s="89">
        <f t="shared" si="281"/>
        <v>51.179276000000002</v>
      </c>
      <c r="AD1027" s="89">
        <f t="shared" si="282"/>
        <v>98.594703999999993</v>
      </c>
      <c r="AE1027" s="89">
        <f t="shared" si="283"/>
        <v>19225.967279999997</v>
      </c>
      <c r="AF1027" s="90">
        <f t="shared" si="286"/>
        <v>9246.0084599999991</v>
      </c>
      <c r="AG1027" s="93">
        <f t="shared" si="287"/>
        <v>0.92645757630490877</v>
      </c>
      <c r="AK1027" s="90">
        <f t="shared" si="284"/>
        <v>142</v>
      </c>
      <c r="AL1027" s="89">
        <f t="shared" si="285"/>
        <v>68.865979063380294</v>
      </c>
      <c r="AM1027" s="89">
        <f t="shared" si="277"/>
        <v>98.594703999999993</v>
      </c>
      <c r="AN1027" s="90">
        <f t="shared" si="278"/>
        <v>14000.447967999999</v>
      </c>
      <c r="AO1027" s="93">
        <f t="shared" si="279"/>
        <v>0.43168957068422853</v>
      </c>
    </row>
    <row r="1028" spans="2:41" x14ac:dyDescent="0.25">
      <c r="B1028" s="91">
        <v>40840</v>
      </c>
      <c r="C1028" s="89">
        <v>124.16999800000001</v>
      </c>
      <c r="D1028" s="89">
        <v>125.800003</v>
      </c>
      <c r="E1028" s="89">
        <v>124.05999799999999</v>
      </c>
      <c r="F1028" s="89">
        <v>125.489998</v>
      </c>
      <c r="G1028" s="89">
        <v>99.803543000000005</v>
      </c>
      <c r="H1028" s="89">
        <v>203215600</v>
      </c>
      <c r="J1028" s="89">
        <v>0</v>
      </c>
      <c r="K1028" s="89">
        <f t="shared" si="275"/>
        <v>88</v>
      </c>
      <c r="L1028" s="89">
        <f t="shared" si="276"/>
        <v>112.621376</v>
      </c>
      <c r="M1028" s="89">
        <f>+SPY__2[[#This Row],[Adj Close]]</f>
        <v>99.803543000000005</v>
      </c>
      <c r="N1028" s="89">
        <f t="shared" ref="N1028:N1091" si="292">+K1028*M1028</f>
        <v>8782.711784000001</v>
      </c>
      <c r="O1028" s="90">
        <f t="shared" ref="O1028:O1091" si="293">+(M1028-L1028)*K1028</f>
        <v>-1127.9693039999993</v>
      </c>
      <c r="P1028" s="93">
        <f t="shared" ref="P1028:P1091" si="294">+M1028/L1028-1</f>
        <v>-0.11381350020088543</v>
      </c>
      <c r="Q1028" s="96"/>
      <c r="R1028" s="96"/>
      <c r="T1028" s="90">
        <f t="shared" si="288"/>
        <v>95</v>
      </c>
      <c r="U1028" s="89">
        <f t="shared" si="289"/>
        <v>103.31428490526316</v>
      </c>
      <c r="V1028" s="89">
        <f t="shared" si="290"/>
        <v>99.803543000000005</v>
      </c>
      <c r="W1028" s="90">
        <f t="shared" ref="W1028:W1091" si="295">+V1028*T1028</f>
        <v>9481.3365850000009</v>
      </c>
      <c r="X1028" s="93">
        <f t="shared" si="291"/>
        <v>-3.3981185742924302E-2</v>
      </c>
      <c r="AB1028" s="89">
        <f t="shared" si="280"/>
        <v>195</v>
      </c>
      <c r="AC1028" s="89">
        <f t="shared" si="281"/>
        <v>51.179276000000002</v>
      </c>
      <c r="AD1028" s="89">
        <f t="shared" si="282"/>
        <v>99.803543000000005</v>
      </c>
      <c r="AE1028" s="89">
        <f t="shared" si="283"/>
        <v>19461.690885</v>
      </c>
      <c r="AF1028" s="90">
        <f t="shared" si="286"/>
        <v>9481.7320650000001</v>
      </c>
      <c r="AG1028" s="93">
        <f t="shared" si="287"/>
        <v>0.95007727346514237</v>
      </c>
      <c r="AK1028" s="90">
        <f t="shared" si="284"/>
        <v>142</v>
      </c>
      <c r="AL1028" s="89">
        <f t="shared" si="285"/>
        <v>68.865979063380294</v>
      </c>
      <c r="AM1028" s="89">
        <f t="shared" si="277"/>
        <v>99.803543000000005</v>
      </c>
      <c r="AN1028" s="90">
        <f t="shared" si="278"/>
        <v>14172.103106</v>
      </c>
      <c r="AO1028" s="93">
        <f t="shared" si="279"/>
        <v>0.44924307121440266</v>
      </c>
    </row>
    <row r="1029" spans="2:41" x14ac:dyDescent="0.25">
      <c r="B1029" s="91">
        <v>40841</v>
      </c>
      <c r="C1029" s="89">
        <v>124.889999</v>
      </c>
      <c r="D1029" s="89">
        <v>124.949997</v>
      </c>
      <c r="E1029" s="89">
        <v>122.779999</v>
      </c>
      <c r="F1029" s="89">
        <v>123.050003</v>
      </c>
      <c r="G1029" s="89">
        <v>97.863028999999997</v>
      </c>
      <c r="H1029" s="89">
        <v>268596800</v>
      </c>
      <c r="J1029" s="89">
        <v>0</v>
      </c>
      <c r="K1029" s="89">
        <f t="shared" ref="K1029:K1092" si="296">+$K$3</f>
        <v>88</v>
      </c>
      <c r="L1029" s="89">
        <f t="shared" ref="L1029:L1092" si="297">+$L$3</f>
        <v>112.621376</v>
      </c>
      <c r="M1029" s="89">
        <f>+SPY__2[[#This Row],[Adj Close]]</f>
        <v>97.863028999999997</v>
      </c>
      <c r="N1029" s="89">
        <f t="shared" si="292"/>
        <v>8611.9465519999994</v>
      </c>
      <c r="O1029" s="90">
        <f t="shared" si="293"/>
        <v>-1298.7345359999999</v>
      </c>
      <c r="P1029" s="93">
        <f t="shared" si="294"/>
        <v>-0.13104392366862927</v>
      </c>
      <c r="Q1029" s="96"/>
      <c r="R1029" s="96"/>
      <c r="T1029" s="90">
        <f t="shared" si="288"/>
        <v>95</v>
      </c>
      <c r="U1029" s="89">
        <f t="shared" si="289"/>
        <v>103.31428490526316</v>
      </c>
      <c r="V1029" s="89">
        <f t="shared" si="290"/>
        <v>97.863028999999997</v>
      </c>
      <c r="W1029" s="90">
        <f t="shared" si="295"/>
        <v>9296.9877550000001</v>
      </c>
      <c r="X1029" s="93">
        <f t="shared" si="291"/>
        <v>-5.2763815867881592E-2</v>
      </c>
      <c r="AB1029" s="89">
        <f t="shared" si="280"/>
        <v>195</v>
      </c>
      <c r="AC1029" s="89">
        <f t="shared" si="281"/>
        <v>51.179276000000002</v>
      </c>
      <c r="AD1029" s="89">
        <f t="shared" si="282"/>
        <v>97.863028999999997</v>
      </c>
      <c r="AE1029" s="89">
        <f t="shared" si="283"/>
        <v>19083.290655000001</v>
      </c>
      <c r="AF1029" s="90">
        <f t="shared" si="286"/>
        <v>9103.331834999999</v>
      </c>
      <c r="AG1029" s="93">
        <f t="shared" si="287"/>
        <v>0.91216126230468753</v>
      </c>
      <c r="AK1029" s="90">
        <f t="shared" si="284"/>
        <v>142</v>
      </c>
      <c r="AL1029" s="89">
        <f t="shared" si="285"/>
        <v>68.865979063380294</v>
      </c>
      <c r="AM1029" s="89">
        <f t="shared" si="277"/>
        <v>97.863028999999997</v>
      </c>
      <c r="AN1029" s="90">
        <f t="shared" si="278"/>
        <v>13896.550117999999</v>
      </c>
      <c r="AO1029" s="93">
        <f t="shared" si="279"/>
        <v>0.42106494862916977</v>
      </c>
    </row>
    <row r="1030" spans="2:41" x14ac:dyDescent="0.25">
      <c r="B1030" s="91">
        <v>40842</v>
      </c>
      <c r="C1030" s="89">
        <v>124.349998</v>
      </c>
      <c r="D1030" s="89">
        <v>124.769997</v>
      </c>
      <c r="E1030" s="89">
        <v>122.209999</v>
      </c>
      <c r="F1030" s="89">
        <v>124.300003</v>
      </c>
      <c r="G1030" s="89">
        <v>98.857123999999999</v>
      </c>
      <c r="H1030" s="89">
        <v>289053800</v>
      </c>
      <c r="J1030" s="89">
        <v>0</v>
      </c>
      <c r="K1030" s="89">
        <f t="shared" si="296"/>
        <v>88</v>
      </c>
      <c r="L1030" s="89">
        <f t="shared" si="297"/>
        <v>112.621376</v>
      </c>
      <c r="M1030" s="89">
        <f>+SPY__2[[#This Row],[Adj Close]]</f>
        <v>98.857123999999999</v>
      </c>
      <c r="N1030" s="89">
        <f t="shared" si="292"/>
        <v>8699.426911999999</v>
      </c>
      <c r="O1030" s="90">
        <f t="shared" si="293"/>
        <v>-1211.2541759999999</v>
      </c>
      <c r="P1030" s="93">
        <f t="shared" si="294"/>
        <v>-0.12221704696628821</v>
      </c>
      <c r="Q1030" s="96"/>
      <c r="R1030" s="96"/>
      <c r="T1030" s="90">
        <f t="shared" si="288"/>
        <v>95</v>
      </c>
      <c r="U1030" s="89">
        <f t="shared" si="289"/>
        <v>103.31428490526316</v>
      </c>
      <c r="V1030" s="89">
        <f t="shared" si="290"/>
        <v>98.857123999999999</v>
      </c>
      <c r="W1030" s="90">
        <f t="shared" si="295"/>
        <v>9391.4267799999998</v>
      </c>
      <c r="X1030" s="93">
        <f t="shared" si="291"/>
        <v>-4.3141767949613885E-2</v>
      </c>
      <c r="AB1030" s="89">
        <f t="shared" si="280"/>
        <v>195</v>
      </c>
      <c r="AC1030" s="89">
        <f t="shared" si="281"/>
        <v>51.179276000000002</v>
      </c>
      <c r="AD1030" s="89">
        <f t="shared" si="282"/>
        <v>98.857123999999999</v>
      </c>
      <c r="AE1030" s="89">
        <f t="shared" si="283"/>
        <v>19277.139179999998</v>
      </c>
      <c r="AF1030" s="90">
        <f t="shared" si="286"/>
        <v>9297.1803600000003</v>
      </c>
      <c r="AG1030" s="93">
        <f t="shared" si="287"/>
        <v>0.93158504235190809</v>
      </c>
      <c r="AK1030" s="90">
        <f t="shared" si="284"/>
        <v>142</v>
      </c>
      <c r="AL1030" s="89">
        <f t="shared" si="285"/>
        <v>68.865979063380294</v>
      </c>
      <c r="AM1030" s="89">
        <f t="shared" si="277"/>
        <v>98.857123999999999</v>
      </c>
      <c r="AN1030" s="90">
        <f t="shared" si="278"/>
        <v>14037.711608</v>
      </c>
      <c r="AO1030" s="93">
        <f t="shared" si="279"/>
        <v>0.43550016052218732</v>
      </c>
    </row>
    <row r="1031" spans="2:41" x14ac:dyDescent="0.25">
      <c r="B1031" s="91">
        <v>40843</v>
      </c>
      <c r="C1031" s="89">
        <v>127.629997</v>
      </c>
      <c r="D1031" s="89">
        <v>129.41999799999999</v>
      </c>
      <c r="E1031" s="89">
        <v>126.610001</v>
      </c>
      <c r="F1031" s="89">
        <v>128.63000500000001</v>
      </c>
      <c r="G1031" s="89">
        <v>102.30083500000001</v>
      </c>
      <c r="H1031" s="89">
        <v>393220200</v>
      </c>
      <c r="J1031" s="89">
        <v>0</v>
      </c>
      <c r="K1031" s="89">
        <f t="shared" si="296"/>
        <v>88</v>
      </c>
      <c r="L1031" s="89">
        <f t="shared" si="297"/>
        <v>112.621376</v>
      </c>
      <c r="M1031" s="89">
        <f>+SPY__2[[#This Row],[Adj Close]]</f>
        <v>102.30083500000001</v>
      </c>
      <c r="N1031" s="89">
        <f t="shared" si="292"/>
        <v>9002.4734800000006</v>
      </c>
      <c r="O1031" s="90">
        <f t="shared" si="293"/>
        <v>-908.20760799999925</v>
      </c>
      <c r="P1031" s="93">
        <f t="shared" si="294"/>
        <v>-9.1639272814425521E-2</v>
      </c>
      <c r="Q1031" s="96"/>
      <c r="R1031" s="96"/>
      <c r="T1031" s="90">
        <f t="shared" si="288"/>
        <v>95</v>
      </c>
      <c r="U1031" s="89">
        <f t="shared" si="289"/>
        <v>103.31428490526316</v>
      </c>
      <c r="V1031" s="89">
        <f t="shared" si="290"/>
        <v>102.30083500000001</v>
      </c>
      <c r="W1031" s="90">
        <f t="shared" si="295"/>
        <v>9718.5793250000006</v>
      </c>
      <c r="X1031" s="93">
        <f t="shared" si="291"/>
        <v>-9.8093879872707124E-3</v>
      </c>
      <c r="AB1031" s="89">
        <f t="shared" si="280"/>
        <v>195</v>
      </c>
      <c r="AC1031" s="89">
        <f t="shared" si="281"/>
        <v>51.179276000000002</v>
      </c>
      <c r="AD1031" s="89">
        <f t="shared" si="282"/>
        <v>102.30083500000001</v>
      </c>
      <c r="AE1031" s="89">
        <f t="shared" si="283"/>
        <v>19948.662824999999</v>
      </c>
      <c r="AF1031" s="90">
        <f t="shared" si="286"/>
        <v>9968.7040050000014</v>
      </c>
      <c r="AG1031" s="93">
        <f t="shared" si="287"/>
        <v>0.99887225837270543</v>
      </c>
      <c r="AK1031" s="90">
        <f t="shared" si="284"/>
        <v>142</v>
      </c>
      <c r="AL1031" s="89">
        <f t="shared" si="285"/>
        <v>68.865979063380294</v>
      </c>
      <c r="AM1031" s="89">
        <f t="shared" si="277"/>
        <v>102.30083500000001</v>
      </c>
      <c r="AN1031" s="90">
        <f t="shared" si="278"/>
        <v>14526.718570000001</v>
      </c>
      <c r="AO1031" s="93">
        <f t="shared" si="279"/>
        <v>0.48550614383697632</v>
      </c>
    </row>
    <row r="1032" spans="2:41" x14ac:dyDescent="0.25">
      <c r="B1032" s="91">
        <v>40844</v>
      </c>
      <c r="C1032" s="89">
        <v>128</v>
      </c>
      <c r="D1032" s="89">
        <v>128.85000600000001</v>
      </c>
      <c r="E1032" s="89">
        <v>127.800003</v>
      </c>
      <c r="F1032" s="89">
        <v>128.60000600000001</v>
      </c>
      <c r="G1032" s="89">
        <v>102.276978</v>
      </c>
      <c r="H1032" s="89">
        <v>225906500</v>
      </c>
      <c r="J1032" s="89">
        <v>0</v>
      </c>
      <c r="K1032" s="89">
        <f t="shared" si="296"/>
        <v>88</v>
      </c>
      <c r="L1032" s="89">
        <f t="shared" si="297"/>
        <v>112.621376</v>
      </c>
      <c r="M1032" s="89">
        <f>+SPY__2[[#This Row],[Adj Close]]</f>
        <v>102.276978</v>
      </c>
      <c r="N1032" s="89">
        <f t="shared" si="292"/>
        <v>9000.3740639999996</v>
      </c>
      <c r="O1032" s="90">
        <f t="shared" si="293"/>
        <v>-910.30702399999984</v>
      </c>
      <c r="P1032" s="93">
        <f t="shared" si="294"/>
        <v>-9.1851106489766243E-2</v>
      </c>
      <c r="Q1032" s="96"/>
      <c r="R1032" s="96"/>
      <c r="T1032" s="90">
        <f t="shared" si="288"/>
        <v>95</v>
      </c>
      <c r="U1032" s="89">
        <f t="shared" si="289"/>
        <v>103.31428490526316</v>
      </c>
      <c r="V1032" s="89">
        <f t="shared" si="290"/>
        <v>102.276978</v>
      </c>
      <c r="W1032" s="90">
        <f t="shared" si="295"/>
        <v>9716.3129100000006</v>
      </c>
      <c r="X1032" s="93">
        <f t="shared" si="291"/>
        <v>-1.0040304747928608E-2</v>
      </c>
      <c r="AB1032" s="89">
        <f t="shared" si="280"/>
        <v>195</v>
      </c>
      <c r="AC1032" s="89">
        <f t="shared" si="281"/>
        <v>51.179276000000002</v>
      </c>
      <c r="AD1032" s="89">
        <f t="shared" si="282"/>
        <v>102.276978</v>
      </c>
      <c r="AE1032" s="89">
        <f t="shared" si="283"/>
        <v>19944.010709999999</v>
      </c>
      <c r="AF1032" s="90">
        <f t="shared" si="286"/>
        <v>9964.0518899999988</v>
      </c>
      <c r="AG1032" s="93">
        <f t="shared" si="287"/>
        <v>0.99840611266169521</v>
      </c>
      <c r="AK1032" s="90">
        <f t="shared" si="284"/>
        <v>142</v>
      </c>
      <c r="AL1032" s="89">
        <f t="shared" si="285"/>
        <v>68.865979063380294</v>
      </c>
      <c r="AM1032" s="89">
        <f t="shared" si="277"/>
        <v>102.276978</v>
      </c>
      <c r="AN1032" s="90">
        <f t="shared" si="278"/>
        <v>14523.330876</v>
      </c>
      <c r="AO1032" s="93">
        <f t="shared" si="279"/>
        <v>0.48515971733837038</v>
      </c>
    </row>
    <row r="1033" spans="2:41" x14ac:dyDescent="0.25">
      <c r="B1033" s="91">
        <v>40847</v>
      </c>
      <c r="C1033" s="89">
        <v>127.160004</v>
      </c>
      <c r="D1033" s="89">
        <v>128.61999499999999</v>
      </c>
      <c r="E1033" s="89">
        <v>125.32</v>
      </c>
      <c r="F1033" s="89">
        <v>125.5</v>
      </c>
      <c r="G1033" s="89">
        <v>99.811515999999997</v>
      </c>
      <c r="H1033" s="89">
        <v>228146700</v>
      </c>
      <c r="J1033" s="89">
        <v>0</v>
      </c>
      <c r="K1033" s="89">
        <f t="shared" si="296"/>
        <v>88</v>
      </c>
      <c r="L1033" s="89">
        <f t="shared" si="297"/>
        <v>112.621376</v>
      </c>
      <c r="M1033" s="89">
        <f>+SPY__2[[#This Row],[Adj Close]]</f>
        <v>99.811515999999997</v>
      </c>
      <c r="N1033" s="89">
        <f t="shared" si="292"/>
        <v>8783.4134080000003</v>
      </c>
      <c r="O1033" s="90">
        <f t="shared" si="293"/>
        <v>-1127.2676799999999</v>
      </c>
      <c r="P1033" s="93">
        <f t="shared" si="294"/>
        <v>-0.11374270547005216</v>
      </c>
      <c r="Q1033" s="96"/>
      <c r="R1033" s="96"/>
      <c r="T1033" s="90">
        <f t="shared" si="288"/>
        <v>95</v>
      </c>
      <c r="U1033" s="89">
        <f t="shared" si="289"/>
        <v>103.31428490526316</v>
      </c>
      <c r="V1033" s="89">
        <f t="shared" si="290"/>
        <v>99.811515999999997</v>
      </c>
      <c r="W1033" s="90">
        <f t="shared" si="295"/>
        <v>9482.0940200000005</v>
      </c>
      <c r="X1033" s="93">
        <f t="shared" si="291"/>
        <v>-3.390401345249705E-2</v>
      </c>
      <c r="AB1033" s="89">
        <f t="shared" si="280"/>
        <v>195</v>
      </c>
      <c r="AC1033" s="89">
        <f t="shared" si="281"/>
        <v>51.179276000000002</v>
      </c>
      <c r="AD1033" s="89">
        <f t="shared" si="282"/>
        <v>99.811515999999997</v>
      </c>
      <c r="AE1033" s="89">
        <f t="shared" si="283"/>
        <v>19463.245619999998</v>
      </c>
      <c r="AF1033" s="90">
        <f t="shared" si="286"/>
        <v>9483.2867999999999</v>
      </c>
      <c r="AG1033" s="93">
        <f t="shared" si="287"/>
        <v>0.95023305917809386</v>
      </c>
      <c r="AK1033" s="90">
        <f t="shared" si="284"/>
        <v>142</v>
      </c>
      <c r="AL1033" s="89">
        <f t="shared" si="285"/>
        <v>68.865979063380294</v>
      </c>
      <c r="AM1033" s="89">
        <f t="shared" si="277"/>
        <v>99.811515999999997</v>
      </c>
      <c r="AN1033" s="90">
        <f t="shared" si="278"/>
        <v>14173.235272</v>
      </c>
      <c r="AO1033" s="93">
        <f t="shared" si="279"/>
        <v>0.44935884681373972</v>
      </c>
    </row>
    <row r="1034" spans="2:41" x14ac:dyDescent="0.25">
      <c r="B1034" s="91">
        <v>40848</v>
      </c>
      <c r="C1034" s="89">
        <v>122.029999</v>
      </c>
      <c r="D1034" s="89">
        <v>123.510002</v>
      </c>
      <c r="E1034" s="89">
        <v>121.519997</v>
      </c>
      <c r="F1034" s="89">
        <v>122</v>
      </c>
      <c r="G1034" s="89">
        <v>97.027901</v>
      </c>
      <c r="H1034" s="89">
        <v>416565800</v>
      </c>
      <c r="J1034" s="89">
        <v>0</v>
      </c>
      <c r="K1034" s="89">
        <f t="shared" si="296"/>
        <v>88</v>
      </c>
      <c r="L1034" s="89">
        <f t="shared" si="297"/>
        <v>112.621376</v>
      </c>
      <c r="M1034" s="89">
        <f>+SPY__2[[#This Row],[Adj Close]]</f>
        <v>97.027901</v>
      </c>
      <c r="N1034" s="89">
        <f t="shared" si="292"/>
        <v>8538.4552879999992</v>
      </c>
      <c r="O1034" s="90">
        <f t="shared" si="293"/>
        <v>-1372.2257999999997</v>
      </c>
      <c r="P1034" s="93">
        <f t="shared" si="294"/>
        <v>-0.13845928325365153</v>
      </c>
      <c r="Q1034" s="96"/>
      <c r="R1034" s="96"/>
      <c r="T1034" s="90">
        <f t="shared" si="288"/>
        <v>95</v>
      </c>
      <c r="U1034" s="89">
        <f t="shared" si="289"/>
        <v>103.31428490526316</v>
      </c>
      <c r="V1034" s="89">
        <f t="shared" si="290"/>
        <v>97.027901</v>
      </c>
      <c r="W1034" s="90">
        <f t="shared" si="295"/>
        <v>9217.6505949999992</v>
      </c>
      <c r="X1034" s="93">
        <f t="shared" si="291"/>
        <v>-6.0847189824985382E-2</v>
      </c>
      <c r="AB1034" s="89">
        <f t="shared" si="280"/>
        <v>195</v>
      </c>
      <c r="AC1034" s="89">
        <f t="shared" si="281"/>
        <v>51.179276000000002</v>
      </c>
      <c r="AD1034" s="89">
        <f t="shared" si="282"/>
        <v>97.027901</v>
      </c>
      <c r="AE1034" s="89">
        <f t="shared" si="283"/>
        <v>18920.440695000001</v>
      </c>
      <c r="AF1034" s="90">
        <f t="shared" si="286"/>
        <v>8940.4818749999995</v>
      </c>
      <c r="AG1034" s="93">
        <f t="shared" si="287"/>
        <v>0.89584356371121765</v>
      </c>
      <c r="AK1034" s="90">
        <f t="shared" si="284"/>
        <v>142</v>
      </c>
      <c r="AL1034" s="89">
        <f t="shared" si="285"/>
        <v>68.865979063380294</v>
      </c>
      <c r="AM1034" s="89">
        <f t="shared" si="277"/>
        <v>97.027901</v>
      </c>
      <c r="AN1034" s="90">
        <f t="shared" si="278"/>
        <v>13777.961942</v>
      </c>
      <c r="AO1034" s="93">
        <f t="shared" si="279"/>
        <v>0.40893808989052638</v>
      </c>
    </row>
    <row r="1035" spans="2:41" x14ac:dyDescent="0.25">
      <c r="B1035" s="91">
        <v>40849</v>
      </c>
      <c r="C1035" s="89">
        <v>123.83000199999999</v>
      </c>
      <c r="D1035" s="89">
        <v>124.400002</v>
      </c>
      <c r="E1035" s="89">
        <v>122.790001</v>
      </c>
      <c r="F1035" s="89">
        <v>123.989998</v>
      </c>
      <c r="G1035" s="89">
        <v>98.610588000000007</v>
      </c>
      <c r="H1035" s="89">
        <v>244717600</v>
      </c>
      <c r="J1035" s="89">
        <v>0</v>
      </c>
      <c r="K1035" s="89">
        <f t="shared" si="296"/>
        <v>88</v>
      </c>
      <c r="L1035" s="89">
        <f t="shared" si="297"/>
        <v>112.621376</v>
      </c>
      <c r="M1035" s="89">
        <f>+SPY__2[[#This Row],[Adj Close]]</f>
        <v>98.610588000000007</v>
      </c>
      <c r="N1035" s="89">
        <f t="shared" si="292"/>
        <v>8677.7317440000006</v>
      </c>
      <c r="O1035" s="90">
        <f t="shared" si="293"/>
        <v>-1232.9493439999992</v>
      </c>
      <c r="P1035" s="93">
        <f t="shared" si="294"/>
        <v>-0.12440611629536469</v>
      </c>
      <c r="Q1035" s="96"/>
      <c r="R1035" s="96"/>
      <c r="T1035" s="90">
        <f t="shared" si="288"/>
        <v>95</v>
      </c>
      <c r="U1035" s="89">
        <f t="shared" si="289"/>
        <v>103.31428490526316</v>
      </c>
      <c r="V1035" s="89">
        <f t="shared" si="290"/>
        <v>98.610588000000007</v>
      </c>
      <c r="W1035" s="90">
        <f t="shared" si="295"/>
        <v>9368.0058600000011</v>
      </c>
      <c r="X1035" s="93">
        <f t="shared" si="291"/>
        <v>-4.55280400921938E-2</v>
      </c>
      <c r="AB1035" s="89">
        <f t="shared" si="280"/>
        <v>195</v>
      </c>
      <c r="AC1035" s="89">
        <f t="shared" si="281"/>
        <v>51.179276000000002</v>
      </c>
      <c r="AD1035" s="89">
        <f t="shared" si="282"/>
        <v>98.610588000000007</v>
      </c>
      <c r="AE1035" s="89">
        <f t="shared" si="283"/>
        <v>19229.06466</v>
      </c>
      <c r="AF1035" s="90">
        <f t="shared" si="286"/>
        <v>9249.1058400000002</v>
      </c>
      <c r="AG1035" s="93">
        <f t="shared" si="287"/>
        <v>0.92676793630296772</v>
      </c>
      <c r="AK1035" s="90">
        <f t="shared" si="284"/>
        <v>142</v>
      </c>
      <c r="AL1035" s="89">
        <f t="shared" si="285"/>
        <v>68.865979063380294</v>
      </c>
      <c r="AM1035" s="89">
        <f t="shared" si="277"/>
        <v>98.610588000000007</v>
      </c>
      <c r="AN1035" s="90">
        <f t="shared" si="278"/>
        <v>14002.703496000002</v>
      </c>
      <c r="AO1035" s="93">
        <f t="shared" si="279"/>
        <v>0.43192022158349763</v>
      </c>
    </row>
    <row r="1036" spans="2:41" x14ac:dyDescent="0.25">
      <c r="B1036" s="91">
        <v>40850</v>
      </c>
      <c r="C1036" s="89">
        <v>125.269997</v>
      </c>
      <c r="D1036" s="89">
        <v>126.5</v>
      </c>
      <c r="E1036" s="89">
        <v>123.599998</v>
      </c>
      <c r="F1036" s="89">
        <v>126.25</v>
      </c>
      <c r="G1036" s="89">
        <v>100.40799</v>
      </c>
      <c r="H1036" s="89">
        <v>291174800</v>
      </c>
      <c r="J1036" s="89">
        <v>0</v>
      </c>
      <c r="K1036" s="89">
        <f t="shared" si="296"/>
        <v>88</v>
      </c>
      <c r="L1036" s="89">
        <f t="shared" si="297"/>
        <v>112.621376</v>
      </c>
      <c r="M1036" s="89">
        <f>+SPY__2[[#This Row],[Adj Close]]</f>
        <v>100.40799</v>
      </c>
      <c r="N1036" s="89">
        <f t="shared" si="292"/>
        <v>8835.903119999999</v>
      </c>
      <c r="O1036" s="90">
        <f t="shared" si="293"/>
        <v>-1074.7779679999999</v>
      </c>
      <c r="P1036" s="93">
        <f t="shared" si="294"/>
        <v>-0.1084464285003941</v>
      </c>
      <c r="Q1036" s="96"/>
      <c r="R1036" s="96"/>
      <c r="T1036" s="90">
        <f t="shared" si="288"/>
        <v>95</v>
      </c>
      <c r="U1036" s="89">
        <f t="shared" si="289"/>
        <v>103.31428490526316</v>
      </c>
      <c r="V1036" s="89">
        <f t="shared" si="290"/>
        <v>100.40799</v>
      </c>
      <c r="W1036" s="90">
        <f t="shared" si="295"/>
        <v>9538.7590500000006</v>
      </c>
      <c r="X1036" s="93">
        <f t="shared" si="291"/>
        <v>-2.8130620155074948E-2</v>
      </c>
      <c r="AB1036" s="89">
        <f t="shared" si="280"/>
        <v>195</v>
      </c>
      <c r="AC1036" s="89">
        <f t="shared" si="281"/>
        <v>51.179276000000002</v>
      </c>
      <c r="AD1036" s="89">
        <f t="shared" si="282"/>
        <v>100.40799</v>
      </c>
      <c r="AE1036" s="89">
        <f t="shared" si="283"/>
        <v>19579.55805</v>
      </c>
      <c r="AF1036" s="90">
        <f t="shared" si="286"/>
        <v>9599.5992299999998</v>
      </c>
      <c r="AG1036" s="93">
        <f t="shared" si="287"/>
        <v>0.9618876593721255</v>
      </c>
      <c r="AK1036" s="90">
        <f t="shared" si="284"/>
        <v>142</v>
      </c>
      <c r="AL1036" s="89">
        <f t="shared" si="285"/>
        <v>68.865979063380294</v>
      </c>
      <c r="AM1036" s="89">
        <f t="shared" si="277"/>
        <v>100.40799</v>
      </c>
      <c r="AN1036" s="90">
        <f t="shared" si="278"/>
        <v>14257.934579999999</v>
      </c>
      <c r="AO1036" s="93">
        <f t="shared" si="279"/>
        <v>0.45802022080583882</v>
      </c>
    </row>
    <row r="1037" spans="2:41" x14ac:dyDescent="0.25">
      <c r="B1037" s="91">
        <v>40851</v>
      </c>
      <c r="C1037" s="89">
        <v>125.230003</v>
      </c>
      <c r="D1037" s="89">
        <v>125.699997</v>
      </c>
      <c r="E1037" s="89">
        <v>124.010002</v>
      </c>
      <c r="F1037" s="89">
        <v>125.480003</v>
      </c>
      <c r="G1037" s="89">
        <v>99.795601000000005</v>
      </c>
      <c r="H1037" s="89">
        <v>249401600</v>
      </c>
      <c r="J1037" s="89">
        <v>0</v>
      </c>
      <c r="K1037" s="89">
        <f t="shared" si="296"/>
        <v>88</v>
      </c>
      <c r="L1037" s="89">
        <f t="shared" si="297"/>
        <v>112.621376</v>
      </c>
      <c r="M1037" s="89">
        <f>+SPY__2[[#This Row],[Adj Close]]</f>
        <v>99.795601000000005</v>
      </c>
      <c r="N1037" s="89">
        <f t="shared" si="292"/>
        <v>8782.0128880000011</v>
      </c>
      <c r="O1037" s="90">
        <f t="shared" si="293"/>
        <v>-1128.6681999999994</v>
      </c>
      <c r="P1037" s="93">
        <f t="shared" si="294"/>
        <v>-0.1138840196731391</v>
      </c>
      <c r="Q1037" s="96"/>
      <c r="R1037" s="96"/>
      <c r="T1037" s="90">
        <f t="shared" si="288"/>
        <v>95</v>
      </c>
      <c r="U1037" s="89">
        <f t="shared" si="289"/>
        <v>103.31428490526316</v>
      </c>
      <c r="V1037" s="89">
        <f t="shared" si="290"/>
        <v>99.795601000000005</v>
      </c>
      <c r="W1037" s="90">
        <f t="shared" si="295"/>
        <v>9480.5820949999998</v>
      </c>
      <c r="X1037" s="93">
        <f t="shared" si="291"/>
        <v>-3.4058057978039735E-2</v>
      </c>
      <c r="AB1037" s="89">
        <f t="shared" si="280"/>
        <v>195</v>
      </c>
      <c r="AC1037" s="89">
        <f t="shared" si="281"/>
        <v>51.179276000000002</v>
      </c>
      <c r="AD1037" s="89">
        <f t="shared" si="282"/>
        <v>99.795601000000005</v>
      </c>
      <c r="AE1037" s="89">
        <f t="shared" si="283"/>
        <v>19460.142195</v>
      </c>
      <c r="AF1037" s="90">
        <f t="shared" si="286"/>
        <v>9480.1833750000005</v>
      </c>
      <c r="AG1037" s="93">
        <f t="shared" si="287"/>
        <v>0.94992209346611323</v>
      </c>
      <c r="AK1037" s="90">
        <f t="shared" si="284"/>
        <v>142</v>
      </c>
      <c r="AL1037" s="89">
        <f t="shared" si="285"/>
        <v>68.865979063380294</v>
      </c>
      <c r="AM1037" s="89">
        <f t="shared" si="277"/>
        <v>99.795601000000005</v>
      </c>
      <c r="AN1037" s="90">
        <f t="shared" si="278"/>
        <v>14170.975342000002</v>
      </c>
      <c r="AO1037" s="93">
        <f t="shared" si="279"/>
        <v>0.44912774576476844</v>
      </c>
    </row>
    <row r="1038" spans="2:41" x14ac:dyDescent="0.25">
      <c r="B1038" s="91">
        <v>40854</v>
      </c>
      <c r="C1038" s="89">
        <v>125.389999</v>
      </c>
      <c r="D1038" s="89">
        <v>126.389999</v>
      </c>
      <c r="E1038" s="89">
        <v>124.199997</v>
      </c>
      <c r="F1038" s="89">
        <v>126.260002</v>
      </c>
      <c r="G1038" s="89">
        <v>100.415932</v>
      </c>
      <c r="H1038" s="89">
        <v>196617200</v>
      </c>
      <c r="J1038" s="89">
        <v>0</v>
      </c>
      <c r="K1038" s="89">
        <f t="shared" si="296"/>
        <v>88</v>
      </c>
      <c r="L1038" s="89">
        <f t="shared" si="297"/>
        <v>112.621376</v>
      </c>
      <c r="M1038" s="89">
        <f>+SPY__2[[#This Row],[Adj Close]]</f>
        <v>100.415932</v>
      </c>
      <c r="N1038" s="89">
        <f t="shared" si="292"/>
        <v>8836.6020160000007</v>
      </c>
      <c r="O1038" s="90">
        <f t="shared" si="293"/>
        <v>-1074.079072</v>
      </c>
      <c r="P1038" s="93">
        <f t="shared" si="294"/>
        <v>-0.10837590902814043</v>
      </c>
      <c r="Q1038" s="96"/>
      <c r="R1038" s="96"/>
      <c r="T1038" s="90">
        <f t="shared" si="288"/>
        <v>95</v>
      </c>
      <c r="U1038" s="89">
        <f t="shared" si="289"/>
        <v>103.31428490526316</v>
      </c>
      <c r="V1038" s="89">
        <f t="shared" si="290"/>
        <v>100.415932</v>
      </c>
      <c r="W1038" s="90">
        <f t="shared" si="295"/>
        <v>9539.5135399999999</v>
      </c>
      <c r="X1038" s="93">
        <f t="shared" si="291"/>
        <v>-2.8053747919959848E-2</v>
      </c>
      <c r="AB1038" s="89">
        <f t="shared" si="280"/>
        <v>195</v>
      </c>
      <c r="AC1038" s="89">
        <f t="shared" si="281"/>
        <v>51.179276000000002</v>
      </c>
      <c r="AD1038" s="89">
        <f t="shared" si="282"/>
        <v>100.415932</v>
      </c>
      <c r="AE1038" s="89">
        <f t="shared" si="283"/>
        <v>19581.106739999999</v>
      </c>
      <c r="AF1038" s="90">
        <f t="shared" si="286"/>
        <v>9601.1479199999994</v>
      </c>
      <c r="AG1038" s="93">
        <f t="shared" si="287"/>
        <v>0.96204283937115465</v>
      </c>
      <c r="AK1038" s="90">
        <f t="shared" si="284"/>
        <v>142</v>
      </c>
      <c r="AL1038" s="89">
        <f t="shared" si="285"/>
        <v>68.865979063380294</v>
      </c>
      <c r="AM1038" s="89">
        <f t="shared" si="277"/>
        <v>100.415932</v>
      </c>
      <c r="AN1038" s="90">
        <f t="shared" si="278"/>
        <v>14259.062344</v>
      </c>
      <c r="AO1038" s="93">
        <f t="shared" si="279"/>
        <v>0.45813554625547326</v>
      </c>
    </row>
    <row r="1039" spans="2:41" x14ac:dyDescent="0.25">
      <c r="B1039" s="91">
        <v>40855</v>
      </c>
      <c r="C1039" s="89">
        <v>126.91999800000001</v>
      </c>
      <c r="D1039" s="89">
        <v>128.020004</v>
      </c>
      <c r="E1039" s="89">
        <v>125.709999</v>
      </c>
      <c r="F1039" s="89">
        <v>127.879997</v>
      </c>
      <c r="G1039" s="89">
        <v>101.70433800000001</v>
      </c>
      <c r="H1039" s="89">
        <v>224426300</v>
      </c>
      <c r="J1039" s="89">
        <v>0</v>
      </c>
      <c r="K1039" s="89">
        <f t="shared" si="296"/>
        <v>88</v>
      </c>
      <c r="L1039" s="89">
        <f t="shared" si="297"/>
        <v>112.621376</v>
      </c>
      <c r="M1039" s="89">
        <f>+SPY__2[[#This Row],[Adj Close]]</f>
        <v>101.70433800000001</v>
      </c>
      <c r="N1039" s="89">
        <f t="shared" si="292"/>
        <v>8949.9817440000006</v>
      </c>
      <c r="O1039" s="90">
        <f t="shared" si="293"/>
        <v>-960.6993439999992</v>
      </c>
      <c r="P1039" s="93">
        <f t="shared" si="294"/>
        <v>-9.69357540081911E-2</v>
      </c>
      <c r="Q1039" s="96"/>
      <c r="R1039" s="96"/>
      <c r="T1039" s="90">
        <f t="shared" si="288"/>
        <v>95</v>
      </c>
      <c r="U1039" s="89">
        <f t="shared" si="289"/>
        <v>103.31428490526316</v>
      </c>
      <c r="V1039" s="89">
        <f t="shared" si="290"/>
        <v>101.70433800000001</v>
      </c>
      <c r="W1039" s="90">
        <f t="shared" si="295"/>
        <v>9661.9121100000011</v>
      </c>
      <c r="X1039" s="93">
        <f t="shared" si="291"/>
        <v>-1.5583003906375903E-2</v>
      </c>
      <c r="AB1039" s="89">
        <f t="shared" si="280"/>
        <v>195</v>
      </c>
      <c r="AC1039" s="89">
        <f t="shared" si="281"/>
        <v>51.179276000000002</v>
      </c>
      <c r="AD1039" s="89">
        <f t="shared" si="282"/>
        <v>101.70433800000001</v>
      </c>
      <c r="AE1039" s="89">
        <f t="shared" si="283"/>
        <v>19832.34591</v>
      </c>
      <c r="AF1039" s="90">
        <f t="shared" si="286"/>
        <v>9852.3870900000002</v>
      </c>
      <c r="AG1039" s="93">
        <f t="shared" si="287"/>
        <v>0.98721720877802177</v>
      </c>
      <c r="AK1039" s="90">
        <f t="shared" si="284"/>
        <v>142</v>
      </c>
      <c r="AL1039" s="89">
        <f t="shared" si="285"/>
        <v>68.865979063380294</v>
      </c>
      <c r="AM1039" s="89">
        <f t="shared" si="277"/>
        <v>101.70433800000001</v>
      </c>
      <c r="AN1039" s="90">
        <f t="shared" si="278"/>
        <v>14442.015996000002</v>
      </c>
      <c r="AO1039" s="93">
        <f t="shared" si="279"/>
        <v>0.47684443586284009</v>
      </c>
    </row>
    <row r="1040" spans="2:41" x14ac:dyDescent="0.25">
      <c r="B1040" s="91">
        <v>40856</v>
      </c>
      <c r="C1040" s="89">
        <v>124.889999</v>
      </c>
      <c r="D1040" s="89">
        <v>125.800003</v>
      </c>
      <c r="E1040" s="89">
        <v>122.860001</v>
      </c>
      <c r="F1040" s="89">
        <v>123.160004</v>
      </c>
      <c r="G1040" s="89">
        <v>97.950469999999996</v>
      </c>
      <c r="H1040" s="89">
        <v>337982000</v>
      </c>
      <c r="J1040" s="89">
        <v>0</v>
      </c>
      <c r="K1040" s="89">
        <f t="shared" si="296"/>
        <v>88</v>
      </c>
      <c r="L1040" s="89">
        <f t="shared" si="297"/>
        <v>112.621376</v>
      </c>
      <c r="M1040" s="89">
        <f>+SPY__2[[#This Row],[Adj Close]]</f>
        <v>97.950469999999996</v>
      </c>
      <c r="N1040" s="89">
        <f t="shared" si="292"/>
        <v>8619.6413599999996</v>
      </c>
      <c r="O1040" s="90">
        <f t="shared" si="293"/>
        <v>-1291.0397280000002</v>
      </c>
      <c r="P1040" s="93">
        <f t="shared" si="294"/>
        <v>-0.13026750800842646</v>
      </c>
      <c r="Q1040" s="96"/>
      <c r="R1040" s="96"/>
      <c r="T1040" s="90">
        <f t="shared" si="288"/>
        <v>95</v>
      </c>
      <c r="U1040" s="89">
        <f t="shared" si="289"/>
        <v>103.31428490526316</v>
      </c>
      <c r="V1040" s="89">
        <f t="shared" si="290"/>
        <v>97.950469999999996</v>
      </c>
      <c r="W1040" s="90">
        <f t="shared" si="295"/>
        <v>9305.2946499999998</v>
      </c>
      <c r="X1040" s="93">
        <f t="shared" si="291"/>
        <v>-5.1917456624528402E-2</v>
      </c>
      <c r="AB1040" s="89">
        <f t="shared" si="280"/>
        <v>195</v>
      </c>
      <c r="AC1040" s="89">
        <f t="shared" si="281"/>
        <v>51.179276000000002</v>
      </c>
      <c r="AD1040" s="89">
        <f t="shared" si="282"/>
        <v>97.950469999999996</v>
      </c>
      <c r="AE1040" s="89">
        <f t="shared" si="283"/>
        <v>19100.341649999998</v>
      </c>
      <c r="AF1040" s="90">
        <f t="shared" si="286"/>
        <v>9120.3828299999986</v>
      </c>
      <c r="AG1040" s="93">
        <f t="shared" si="287"/>
        <v>0.9138697858875533</v>
      </c>
      <c r="AK1040" s="90">
        <f t="shared" si="284"/>
        <v>142</v>
      </c>
      <c r="AL1040" s="89">
        <f t="shared" si="285"/>
        <v>68.865979063380294</v>
      </c>
      <c r="AM1040" s="89">
        <f t="shared" si="277"/>
        <v>97.950469999999996</v>
      </c>
      <c r="AN1040" s="90">
        <f t="shared" si="278"/>
        <v>13908.96674</v>
      </c>
      <c r="AO1040" s="93">
        <f t="shared" si="279"/>
        <v>0.4223346757308426</v>
      </c>
    </row>
    <row r="1041" spans="2:41" x14ac:dyDescent="0.25">
      <c r="B1041" s="91">
        <v>40857</v>
      </c>
      <c r="C1041" s="89">
        <v>124.790001</v>
      </c>
      <c r="D1041" s="89">
        <v>124.94000200000001</v>
      </c>
      <c r="E1041" s="89">
        <v>123.019997</v>
      </c>
      <c r="F1041" s="89">
        <v>124.32</v>
      </c>
      <c r="G1041" s="89">
        <v>98.873054999999994</v>
      </c>
      <c r="H1041" s="89">
        <v>231866500</v>
      </c>
      <c r="J1041" s="89">
        <v>0</v>
      </c>
      <c r="K1041" s="89">
        <f t="shared" si="296"/>
        <v>88</v>
      </c>
      <c r="L1041" s="89">
        <f t="shared" si="297"/>
        <v>112.621376</v>
      </c>
      <c r="M1041" s="89">
        <f>+SPY__2[[#This Row],[Adj Close]]</f>
        <v>98.873054999999994</v>
      </c>
      <c r="N1041" s="89">
        <f t="shared" si="292"/>
        <v>8700.8288400000001</v>
      </c>
      <c r="O1041" s="90">
        <f t="shared" si="293"/>
        <v>-1209.8522480000004</v>
      </c>
      <c r="P1041" s="93">
        <f t="shared" si="294"/>
        <v>-0.12207559069425689</v>
      </c>
      <c r="Q1041" s="96"/>
      <c r="R1041" s="96"/>
      <c r="T1041" s="90">
        <f t="shared" si="288"/>
        <v>95</v>
      </c>
      <c r="U1041" s="89">
        <f t="shared" si="289"/>
        <v>103.31428490526316</v>
      </c>
      <c r="V1041" s="89">
        <f t="shared" si="290"/>
        <v>98.873054999999994</v>
      </c>
      <c r="W1041" s="90">
        <f t="shared" si="295"/>
        <v>9392.9402250000003</v>
      </c>
      <c r="X1041" s="93">
        <f t="shared" si="291"/>
        <v>-4.2987568556813516E-2</v>
      </c>
      <c r="AB1041" s="89">
        <f t="shared" si="280"/>
        <v>195</v>
      </c>
      <c r="AC1041" s="89">
        <f t="shared" si="281"/>
        <v>51.179276000000002</v>
      </c>
      <c r="AD1041" s="89">
        <f t="shared" si="282"/>
        <v>98.873054999999994</v>
      </c>
      <c r="AE1041" s="89">
        <f t="shared" si="283"/>
        <v>19280.245724999997</v>
      </c>
      <c r="AF1041" s="90">
        <f t="shared" si="286"/>
        <v>9300.286904999999</v>
      </c>
      <c r="AG1041" s="93">
        <f t="shared" si="287"/>
        <v>0.93189632069042938</v>
      </c>
      <c r="AK1041" s="90">
        <f t="shared" si="284"/>
        <v>142</v>
      </c>
      <c r="AL1041" s="89">
        <f t="shared" si="285"/>
        <v>68.865979063380294</v>
      </c>
      <c r="AM1041" s="89">
        <f t="shared" si="277"/>
        <v>98.873054999999994</v>
      </c>
      <c r="AN1041" s="90">
        <f t="shared" si="278"/>
        <v>14039.97381</v>
      </c>
      <c r="AO1041" s="93">
        <f t="shared" si="279"/>
        <v>0.43573149390648935</v>
      </c>
    </row>
    <row r="1042" spans="2:41" x14ac:dyDescent="0.25">
      <c r="B1042" s="91">
        <v>40858</v>
      </c>
      <c r="C1042" s="89">
        <v>125.83000199999999</v>
      </c>
      <c r="D1042" s="89">
        <v>126.989998</v>
      </c>
      <c r="E1042" s="89">
        <v>125.790001</v>
      </c>
      <c r="F1042" s="89">
        <v>126.660004</v>
      </c>
      <c r="G1042" s="89">
        <v>100.734055</v>
      </c>
      <c r="H1042" s="89">
        <v>189924400</v>
      </c>
      <c r="J1042" s="89">
        <v>0</v>
      </c>
      <c r="K1042" s="89">
        <f t="shared" si="296"/>
        <v>88</v>
      </c>
      <c r="L1042" s="89">
        <f t="shared" si="297"/>
        <v>112.621376</v>
      </c>
      <c r="M1042" s="89">
        <f>+SPY__2[[#This Row],[Adj Close]]</f>
        <v>100.734055</v>
      </c>
      <c r="N1042" s="89">
        <f t="shared" si="292"/>
        <v>8864.5968400000002</v>
      </c>
      <c r="O1042" s="90">
        <f t="shared" si="293"/>
        <v>-1046.0842480000001</v>
      </c>
      <c r="P1042" s="93">
        <f t="shared" si="294"/>
        <v>-0.10555119660409762</v>
      </c>
      <c r="Q1042" s="96"/>
      <c r="R1042" s="96"/>
      <c r="T1042" s="90">
        <f t="shared" si="288"/>
        <v>95</v>
      </c>
      <c r="U1042" s="89">
        <f t="shared" si="289"/>
        <v>103.31428490526316</v>
      </c>
      <c r="V1042" s="89">
        <f t="shared" si="290"/>
        <v>100.734055</v>
      </c>
      <c r="W1042" s="90">
        <f t="shared" si="295"/>
        <v>9569.7352250000004</v>
      </c>
      <c r="X1042" s="93">
        <f t="shared" si="291"/>
        <v>-2.4974570628148562E-2</v>
      </c>
      <c r="AB1042" s="89">
        <f t="shared" si="280"/>
        <v>195</v>
      </c>
      <c r="AC1042" s="89">
        <f t="shared" si="281"/>
        <v>51.179276000000002</v>
      </c>
      <c r="AD1042" s="89">
        <f t="shared" si="282"/>
        <v>100.734055</v>
      </c>
      <c r="AE1042" s="89">
        <f t="shared" si="283"/>
        <v>19643.140725000001</v>
      </c>
      <c r="AF1042" s="90">
        <f t="shared" si="286"/>
        <v>9663.1819049999995</v>
      </c>
      <c r="AG1042" s="93">
        <f t="shared" si="287"/>
        <v>0.9682586951796659</v>
      </c>
      <c r="AK1042" s="90">
        <f t="shared" si="284"/>
        <v>142</v>
      </c>
      <c r="AL1042" s="89">
        <f t="shared" si="285"/>
        <v>68.865979063380294</v>
      </c>
      <c r="AM1042" s="89">
        <f t="shared" si="277"/>
        <v>100.734055</v>
      </c>
      <c r="AN1042" s="90">
        <f t="shared" si="278"/>
        <v>14304.23581</v>
      </c>
      <c r="AO1042" s="93">
        <f t="shared" si="279"/>
        <v>0.46275499702531153</v>
      </c>
    </row>
    <row r="1043" spans="2:41" x14ac:dyDescent="0.25">
      <c r="B1043" s="91">
        <v>40861</v>
      </c>
      <c r="C1043" s="89">
        <v>126.19000200000001</v>
      </c>
      <c r="D1043" s="89">
        <v>127.449997</v>
      </c>
      <c r="E1043" s="89">
        <v>124.91999800000001</v>
      </c>
      <c r="F1043" s="89">
        <v>125.459999</v>
      </c>
      <c r="G1043" s="89">
        <v>99.779685999999998</v>
      </c>
      <c r="H1043" s="89">
        <v>159258300</v>
      </c>
      <c r="J1043" s="89">
        <v>0</v>
      </c>
      <c r="K1043" s="89">
        <f t="shared" si="296"/>
        <v>88</v>
      </c>
      <c r="L1043" s="89">
        <f t="shared" si="297"/>
        <v>112.621376</v>
      </c>
      <c r="M1043" s="89">
        <f>+SPY__2[[#This Row],[Adj Close]]</f>
        <v>99.779685999999998</v>
      </c>
      <c r="N1043" s="89">
        <f t="shared" si="292"/>
        <v>8780.6123680000001</v>
      </c>
      <c r="O1043" s="90">
        <f t="shared" si="293"/>
        <v>-1130.06872</v>
      </c>
      <c r="P1043" s="93">
        <f t="shared" si="294"/>
        <v>-0.11402533387622615</v>
      </c>
      <c r="Q1043" s="96"/>
      <c r="R1043" s="96"/>
      <c r="T1043" s="90">
        <f t="shared" si="288"/>
        <v>95</v>
      </c>
      <c r="U1043" s="89">
        <f t="shared" si="289"/>
        <v>103.31428490526316</v>
      </c>
      <c r="V1043" s="89">
        <f t="shared" si="290"/>
        <v>99.779685999999998</v>
      </c>
      <c r="W1043" s="90">
        <f t="shared" si="295"/>
        <v>9479.0701699999991</v>
      </c>
      <c r="X1043" s="93">
        <f t="shared" si="291"/>
        <v>-3.4212102503582309E-2</v>
      </c>
      <c r="AB1043" s="89">
        <f t="shared" si="280"/>
        <v>195</v>
      </c>
      <c r="AC1043" s="89">
        <f t="shared" si="281"/>
        <v>51.179276000000002</v>
      </c>
      <c r="AD1043" s="89">
        <f t="shared" si="282"/>
        <v>99.779685999999998</v>
      </c>
      <c r="AE1043" s="89">
        <f t="shared" si="283"/>
        <v>19457.038769999999</v>
      </c>
      <c r="AF1043" s="90">
        <f t="shared" si="286"/>
        <v>9477.0799499999994</v>
      </c>
      <c r="AG1043" s="93">
        <f t="shared" si="287"/>
        <v>0.94961112775413237</v>
      </c>
      <c r="AK1043" s="90">
        <f t="shared" si="284"/>
        <v>142</v>
      </c>
      <c r="AL1043" s="89">
        <f t="shared" si="285"/>
        <v>68.865979063380294</v>
      </c>
      <c r="AM1043" s="89">
        <f t="shared" si="277"/>
        <v>99.779685999999998</v>
      </c>
      <c r="AN1043" s="90">
        <f t="shared" si="278"/>
        <v>14168.715412</v>
      </c>
      <c r="AO1043" s="93">
        <f t="shared" si="279"/>
        <v>0.44889664471579649</v>
      </c>
    </row>
    <row r="1044" spans="2:41" x14ac:dyDescent="0.25">
      <c r="B1044" s="91">
        <v>40862</v>
      </c>
      <c r="C1044" s="89">
        <v>125.16999800000001</v>
      </c>
      <c r="D1044" s="89">
        <v>126.75</v>
      </c>
      <c r="E1044" s="89">
        <v>124.720001</v>
      </c>
      <c r="F1044" s="89">
        <v>126.08000199999999</v>
      </c>
      <c r="G1044" s="89">
        <v>100.272812</v>
      </c>
      <c r="H1044" s="89">
        <v>184709400</v>
      </c>
      <c r="J1044" s="89">
        <v>0</v>
      </c>
      <c r="K1044" s="89">
        <f t="shared" si="296"/>
        <v>88</v>
      </c>
      <c r="L1044" s="89">
        <f t="shared" si="297"/>
        <v>112.621376</v>
      </c>
      <c r="M1044" s="89">
        <f>+SPY__2[[#This Row],[Adj Close]]</f>
        <v>100.272812</v>
      </c>
      <c r="N1044" s="89">
        <f t="shared" si="292"/>
        <v>8824.0074559999994</v>
      </c>
      <c r="O1044" s="90">
        <f t="shared" si="293"/>
        <v>-1086.6736319999995</v>
      </c>
      <c r="P1044" s="93">
        <f t="shared" si="294"/>
        <v>-0.10964671573538576</v>
      </c>
      <c r="Q1044" s="96"/>
      <c r="R1044" s="96"/>
      <c r="T1044" s="90">
        <f t="shared" si="288"/>
        <v>95</v>
      </c>
      <c r="U1044" s="89">
        <f t="shared" si="289"/>
        <v>103.31428490526316</v>
      </c>
      <c r="V1044" s="89">
        <f t="shared" si="290"/>
        <v>100.272812</v>
      </c>
      <c r="W1044" s="90">
        <f t="shared" si="295"/>
        <v>9525.9171399999996</v>
      </c>
      <c r="X1044" s="93">
        <f t="shared" si="291"/>
        <v>-2.9439035541427128E-2</v>
      </c>
      <c r="AB1044" s="89">
        <f t="shared" si="280"/>
        <v>195</v>
      </c>
      <c r="AC1044" s="89">
        <f t="shared" si="281"/>
        <v>51.179276000000002</v>
      </c>
      <c r="AD1044" s="89">
        <f t="shared" si="282"/>
        <v>100.272812</v>
      </c>
      <c r="AE1044" s="89">
        <f t="shared" si="283"/>
        <v>19553.198339999999</v>
      </c>
      <c r="AF1044" s="90">
        <f t="shared" si="286"/>
        <v>9573.2395199999992</v>
      </c>
      <c r="AG1044" s="93">
        <f t="shared" si="287"/>
        <v>0.9592463949665877</v>
      </c>
      <c r="AK1044" s="90">
        <f t="shared" si="284"/>
        <v>142</v>
      </c>
      <c r="AL1044" s="89">
        <f t="shared" si="285"/>
        <v>68.865979063380294</v>
      </c>
      <c r="AM1044" s="89">
        <f t="shared" si="277"/>
        <v>100.272812</v>
      </c>
      <c r="AN1044" s="90">
        <f t="shared" si="278"/>
        <v>14238.739304000001</v>
      </c>
      <c r="AO1044" s="93">
        <f t="shared" si="279"/>
        <v>0.45605730672491673</v>
      </c>
    </row>
    <row r="1045" spans="2:41" x14ac:dyDescent="0.25">
      <c r="B1045" s="91">
        <v>40863</v>
      </c>
      <c r="C1045" s="89">
        <v>124.80999799999999</v>
      </c>
      <c r="D1045" s="89">
        <v>126.339996</v>
      </c>
      <c r="E1045" s="89">
        <v>123.900002</v>
      </c>
      <c r="F1045" s="89">
        <v>124.08000199999999</v>
      </c>
      <c r="G1045" s="89">
        <v>98.682167000000007</v>
      </c>
      <c r="H1045" s="89">
        <v>235782500</v>
      </c>
      <c r="J1045" s="89">
        <v>0</v>
      </c>
      <c r="K1045" s="89">
        <f t="shared" si="296"/>
        <v>88</v>
      </c>
      <c r="L1045" s="89">
        <f t="shared" si="297"/>
        <v>112.621376</v>
      </c>
      <c r="M1045" s="89">
        <f>+SPY__2[[#This Row],[Adj Close]]</f>
        <v>98.682167000000007</v>
      </c>
      <c r="N1045" s="89">
        <f t="shared" si="292"/>
        <v>8684.0306959999998</v>
      </c>
      <c r="O1045" s="90">
        <f t="shared" si="293"/>
        <v>-1226.6503919999991</v>
      </c>
      <c r="P1045" s="93">
        <f t="shared" si="294"/>
        <v>-0.12377054423487055</v>
      </c>
      <c r="Q1045" s="96"/>
      <c r="R1045" s="96"/>
      <c r="T1045" s="90">
        <f t="shared" si="288"/>
        <v>95</v>
      </c>
      <c r="U1045" s="89">
        <f t="shared" si="289"/>
        <v>103.31428490526316</v>
      </c>
      <c r="V1045" s="89">
        <f t="shared" si="290"/>
        <v>98.682167000000007</v>
      </c>
      <c r="W1045" s="90">
        <f t="shared" si="295"/>
        <v>9374.8058650000003</v>
      </c>
      <c r="X1045" s="93">
        <f t="shared" si="291"/>
        <v>-4.4835212376591493E-2</v>
      </c>
      <c r="AB1045" s="89">
        <f t="shared" si="280"/>
        <v>195</v>
      </c>
      <c r="AC1045" s="89">
        <f t="shared" si="281"/>
        <v>51.179276000000002</v>
      </c>
      <c r="AD1045" s="89">
        <f t="shared" si="282"/>
        <v>98.682167000000007</v>
      </c>
      <c r="AE1045" s="89">
        <f t="shared" si="283"/>
        <v>19243.022565000003</v>
      </c>
      <c r="AF1045" s="90">
        <f t="shared" si="286"/>
        <v>9263.0637450000013</v>
      </c>
      <c r="AG1045" s="93">
        <f t="shared" si="287"/>
        <v>0.92816652974926805</v>
      </c>
      <c r="AK1045" s="90">
        <f t="shared" si="284"/>
        <v>142</v>
      </c>
      <c r="AL1045" s="89">
        <f t="shared" si="285"/>
        <v>68.865979063380294</v>
      </c>
      <c r="AM1045" s="89">
        <f t="shared" si="277"/>
        <v>98.682167000000007</v>
      </c>
      <c r="AN1045" s="90">
        <f t="shared" si="278"/>
        <v>14012.867714000002</v>
      </c>
      <c r="AO1045" s="93">
        <f t="shared" si="279"/>
        <v>0.43295961724698073</v>
      </c>
    </row>
    <row r="1046" spans="2:41" x14ac:dyDescent="0.25">
      <c r="B1046" s="91">
        <v>40864</v>
      </c>
      <c r="C1046" s="89">
        <v>123.849998</v>
      </c>
      <c r="D1046" s="89">
        <v>124.160004</v>
      </c>
      <c r="E1046" s="89">
        <v>121.230003</v>
      </c>
      <c r="F1046" s="89">
        <v>122.110001</v>
      </c>
      <c r="G1046" s="89">
        <v>97.115402000000003</v>
      </c>
      <c r="H1046" s="89">
        <v>331219600</v>
      </c>
      <c r="J1046" s="89">
        <v>0</v>
      </c>
      <c r="K1046" s="89">
        <f t="shared" si="296"/>
        <v>88</v>
      </c>
      <c r="L1046" s="89">
        <f t="shared" si="297"/>
        <v>112.621376</v>
      </c>
      <c r="M1046" s="89">
        <f>+SPY__2[[#This Row],[Adj Close]]</f>
        <v>97.115402000000003</v>
      </c>
      <c r="N1046" s="89">
        <f t="shared" si="292"/>
        <v>8546.1553760000006</v>
      </c>
      <c r="O1046" s="90">
        <f t="shared" si="293"/>
        <v>-1364.5257119999997</v>
      </c>
      <c r="P1046" s="93">
        <f t="shared" si="294"/>
        <v>-0.13768233483490733</v>
      </c>
      <c r="Q1046" s="96"/>
      <c r="R1046" s="96"/>
      <c r="T1046" s="90">
        <f t="shared" si="288"/>
        <v>95</v>
      </c>
      <c r="U1046" s="89">
        <f t="shared" si="289"/>
        <v>103.31428490526316</v>
      </c>
      <c r="V1046" s="89">
        <f t="shared" si="290"/>
        <v>97.115402000000003</v>
      </c>
      <c r="W1046" s="90">
        <f t="shared" si="295"/>
        <v>9225.9631900000004</v>
      </c>
      <c r="X1046" s="93">
        <f t="shared" si="291"/>
        <v>-6.0000249829415098E-2</v>
      </c>
      <c r="AB1046" s="89">
        <f t="shared" si="280"/>
        <v>195</v>
      </c>
      <c r="AC1046" s="89">
        <f t="shared" si="281"/>
        <v>51.179276000000002</v>
      </c>
      <c r="AD1046" s="89">
        <f t="shared" si="282"/>
        <v>97.115402000000003</v>
      </c>
      <c r="AE1046" s="89">
        <f t="shared" si="283"/>
        <v>18937.503390000002</v>
      </c>
      <c r="AF1046" s="90">
        <f t="shared" si="286"/>
        <v>8957.54457</v>
      </c>
      <c r="AG1046" s="93">
        <f t="shared" si="287"/>
        <v>0.89755325964361043</v>
      </c>
      <c r="AK1046" s="90">
        <f t="shared" si="284"/>
        <v>142</v>
      </c>
      <c r="AL1046" s="89">
        <f t="shared" si="285"/>
        <v>68.865979063380294</v>
      </c>
      <c r="AM1046" s="89">
        <f t="shared" si="277"/>
        <v>97.115402000000003</v>
      </c>
      <c r="AN1046" s="90">
        <f t="shared" si="278"/>
        <v>13790.387084</v>
      </c>
      <c r="AO1046" s="93">
        <f t="shared" si="279"/>
        <v>0.41020868824968804</v>
      </c>
    </row>
    <row r="1047" spans="2:41" x14ac:dyDescent="0.25">
      <c r="B1047" s="91">
        <v>40865</v>
      </c>
      <c r="C1047" s="89">
        <v>122.5</v>
      </c>
      <c r="D1047" s="89">
        <v>122.75</v>
      </c>
      <c r="E1047" s="89">
        <v>121.470001</v>
      </c>
      <c r="F1047" s="89">
        <v>121.980003</v>
      </c>
      <c r="G1047" s="89">
        <v>97.012023999999997</v>
      </c>
      <c r="H1047" s="89">
        <v>215580400</v>
      </c>
      <c r="J1047" s="89">
        <v>0</v>
      </c>
      <c r="K1047" s="89">
        <f t="shared" si="296"/>
        <v>88</v>
      </c>
      <c r="L1047" s="89">
        <f t="shared" si="297"/>
        <v>112.621376</v>
      </c>
      <c r="M1047" s="89">
        <f>+SPY__2[[#This Row],[Adj Close]]</f>
        <v>97.012023999999997</v>
      </c>
      <c r="N1047" s="89">
        <f t="shared" si="292"/>
        <v>8537.0581119999988</v>
      </c>
      <c r="O1047" s="90">
        <f t="shared" si="293"/>
        <v>-1373.6229760000001</v>
      </c>
      <c r="P1047" s="93">
        <f t="shared" si="294"/>
        <v>-0.13860026004299575</v>
      </c>
      <c r="Q1047" s="96"/>
      <c r="R1047" s="96"/>
      <c r="T1047" s="90">
        <f t="shared" si="288"/>
        <v>95</v>
      </c>
      <c r="U1047" s="89">
        <f t="shared" si="289"/>
        <v>103.31428490526316</v>
      </c>
      <c r="V1047" s="89">
        <f t="shared" si="290"/>
        <v>97.012023999999997</v>
      </c>
      <c r="W1047" s="90">
        <f t="shared" si="295"/>
        <v>9216.14228</v>
      </c>
      <c r="X1047" s="93">
        <f t="shared" si="291"/>
        <v>-6.100086654079051E-2</v>
      </c>
      <c r="AB1047" s="89">
        <f t="shared" si="280"/>
        <v>195</v>
      </c>
      <c r="AC1047" s="89">
        <f t="shared" si="281"/>
        <v>51.179276000000002</v>
      </c>
      <c r="AD1047" s="89">
        <f t="shared" si="282"/>
        <v>97.012023999999997</v>
      </c>
      <c r="AE1047" s="89">
        <f t="shared" si="283"/>
        <v>18917.344679999998</v>
      </c>
      <c r="AF1047" s="90">
        <f t="shared" si="286"/>
        <v>8937.3858599999985</v>
      </c>
      <c r="AG1047" s="93">
        <f t="shared" si="287"/>
        <v>0.89553334048727051</v>
      </c>
      <c r="AK1047" s="90">
        <f t="shared" si="284"/>
        <v>142</v>
      </c>
      <c r="AL1047" s="89">
        <f t="shared" si="285"/>
        <v>68.865979063380294</v>
      </c>
      <c r="AM1047" s="89">
        <f t="shared" si="277"/>
        <v>97.012023999999997</v>
      </c>
      <c r="AN1047" s="90">
        <f t="shared" si="278"/>
        <v>13775.707408</v>
      </c>
      <c r="AO1047" s="93">
        <f t="shared" si="279"/>
        <v>0.40870754063796455</v>
      </c>
    </row>
    <row r="1048" spans="2:41" x14ac:dyDescent="0.25">
      <c r="B1048" s="91">
        <v>40868</v>
      </c>
      <c r="C1048" s="89">
        <v>120.199997</v>
      </c>
      <c r="D1048" s="89">
        <v>120.349998</v>
      </c>
      <c r="E1048" s="89">
        <v>118.650002</v>
      </c>
      <c r="F1048" s="89">
        <v>119.660004</v>
      </c>
      <c r="G1048" s="89">
        <v>95.166877999999997</v>
      </c>
      <c r="H1048" s="89">
        <v>229611600</v>
      </c>
      <c r="J1048" s="89">
        <v>0</v>
      </c>
      <c r="K1048" s="89">
        <f t="shared" si="296"/>
        <v>88</v>
      </c>
      <c r="L1048" s="89">
        <f t="shared" si="297"/>
        <v>112.621376</v>
      </c>
      <c r="M1048" s="89">
        <f>+SPY__2[[#This Row],[Adj Close]]</f>
        <v>95.166877999999997</v>
      </c>
      <c r="N1048" s="89">
        <f t="shared" si="292"/>
        <v>8374.6852639999997</v>
      </c>
      <c r="O1048" s="90">
        <f t="shared" si="293"/>
        <v>-1535.9958240000001</v>
      </c>
      <c r="P1048" s="93">
        <f t="shared" si="294"/>
        <v>-0.15498388156791831</v>
      </c>
      <c r="Q1048" s="96"/>
      <c r="R1048" s="96"/>
      <c r="T1048" s="90">
        <f t="shared" si="288"/>
        <v>95</v>
      </c>
      <c r="U1048" s="89">
        <f t="shared" si="289"/>
        <v>103.31428490526316</v>
      </c>
      <c r="V1048" s="89">
        <f t="shared" si="290"/>
        <v>95.166877999999997</v>
      </c>
      <c r="W1048" s="90">
        <f t="shared" si="295"/>
        <v>9040.8534099999997</v>
      </c>
      <c r="X1048" s="93">
        <f t="shared" si="291"/>
        <v>-7.8860410375333423E-2</v>
      </c>
      <c r="AB1048" s="89">
        <f t="shared" si="280"/>
        <v>195</v>
      </c>
      <c r="AC1048" s="89">
        <f t="shared" si="281"/>
        <v>51.179276000000002</v>
      </c>
      <c r="AD1048" s="89">
        <f t="shared" si="282"/>
        <v>95.166877999999997</v>
      </c>
      <c r="AE1048" s="89">
        <f t="shared" si="283"/>
        <v>18557.541209999999</v>
      </c>
      <c r="AF1048" s="90">
        <f t="shared" si="286"/>
        <v>8577.5823899999996</v>
      </c>
      <c r="AG1048" s="93">
        <f t="shared" si="287"/>
        <v>0.85948073982132911</v>
      </c>
      <c r="AK1048" s="90">
        <f t="shared" si="284"/>
        <v>142</v>
      </c>
      <c r="AL1048" s="89">
        <f t="shared" si="285"/>
        <v>68.865979063380294</v>
      </c>
      <c r="AM1048" s="89">
        <f t="shared" si="277"/>
        <v>95.166877999999997</v>
      </c>
      <c r="AN1048" s="90">
        <f t="shared" si="278"/>
        <v>13513.696676</v>
      </c>
      <c r="AO1048" s="93">
        <f t="shared" si="279"/>
        <v>0.38191425278966662</v>
      </c>
    </row>
    <row r="1049" spans="2:41" x14ac:dyDescent="0.25">
      <c r="B1049" s="91">
        <v>40869</v>
      </c>
      <c r="C1049" s="89">
        <v>119.400002</v>
      </c>
      <c r="D1049" s="89">
        <v>120.099998</v>
      </c>
      <c r="E1049" s="89">
        <v>118.519997</v>
      </c>
      <c r="F1049" s="89">
        <v>119.19000200000001</v>
      </c>
      <c r="G1049" s="89">
        <v>94.793098000000001</v>
      </c>
      <c r="H1049" s="89">
        <v>216494900</v>
      </c>
      <c r="J1049" s="89">
        <v>0</v>
      </c>
      <c r="K1049" s="89">
        <f t="shared" si="296"/>
        <v>88</v>
      </c>
      <c r="L1049" s="89">
        <f t="shared" si="297"/>
        <v>112.621376</v>
      </c>
      <c r="M1049" s="89">
        <f>+SPY__2[[#This Row],[Adj Close]]</f>
        <v>94.793098000000001</v>
      </c>
      <c r="N1049" s="89">
        <f t="shared" si="292"/>
        <v>8341.7926239999997</v>
      </c>
      <c r="O1049" s="90">
        <f t="shared" si="293"/>
        <v>-1568.8884639999997</v>
      </c>
      <c r="P1049" s="93">
        <f t="shared" si="294"/>
        <v>-0.15830278969420508</v>
      </c>
      <c r="Q1049" s="96"/>
      <c r="R1049" s="96"/>
      <c r="T1049" s="90">
        <f t="shared" si="288"/>
        <v>95</v>
      </c>
      <c r="U1049" s="89">
        <f t="shared" si="289"/>
        <v>103.31428490526316</v>
      </c>
      <c r="V1049" s="89">
        <f t="shared" si="290"/>
        <v>94.793098000000001</v>
      </c>
      <c r="W1049" s="90">
        <f t="shared" si="295"/>
        <v>9005.3443100000004</v>
      </c>
      <c r="X1049" s="93">
        <f t="shared" si="291"/>
        <v>-8.2478303102779038E-2</v>
      </c>
      <c r="AB1049" s="89">
        <f t="shared" si="280"/>
        <v>195</v>
      </c>
      <c r="AC1049" s="89">
        <f t="shared" si="281"/>
        <v>51.179276000000002</v>
      </c>
      <c r="AD1049" s="89">
        <f t="shared" si="282"/>
        <v>94.793098000000001</v>
      </c>
      <c r="AE1049" s="89">
        <f t="shared" si="283"/>
        <v>18484.654109999999</v>
      </c>
      <c r="AF1049" s="90">
        <f t="shared" si="286"/>
        <v>8504.6952899999997</v>
      </c>
      <c r="AG1049" s="93">
        <f t="shared" si="287"/>
        <v>0.85217739305260976</v>
      </c>
      <c r="AK1049" s="90">
        <f t="shared" si="284"/>
        <v>142</v>
      </c>
      <c r="AL1049" s="89">
        <f t="shared" si="285"/>
        <v>68.865979063380294</v>
      </c>
      <c r="AM1049" s="89">
        <f t="shared" si="277"/>
        <v>94.793098000000001</v>
      </c>
      <c r="AN1049" s="90">
        <f t="shared" si="278"/>
        <v>13460.619916</v>
      </c>
      <c r="AO1049" s="93">
        <f t="shared" si="279"/>
        <v>0.3764866090520238</v>
      </c>
    </row>
    <row r="1050" spans="2:41" x14ac:dyDescent="0.25">
      <c r="B1050" s="91">
        <v>40870</v>
      </c>
      <c r="C1050" s="89">
        <v>118.07</v>
      </c>
      <c r="D1050" s="89">
        <v>119.19000200000001</v>
      </c>
      <c r="E1050" s="89">
        <v>116.55999799999999</v>
      </c>
      <c r="F1050" s="89">
        <v>116.55999799999999</v>
      </c>
      <c r="G1050" s="89">
        <v>92.701430999999999</v>
      </c>
      <c r="H1050" s="89">
        <v>224329100</v>
      </c>
      <c r="J1050" s="89">
        <v>0</v>
      </c>
      <c r="K1050" s="89">
        <f t="shared" si="296"/>
        <v>88</v>
      </c>
      <c r="L1050" s="89">
        <f t="shared" si="297"/>
        <v>112.621376</v>
      </c>
      <c r="M1050" s="89">
        <f>+SPY__2[[#This Row],[Adj Close]]</f>
        <v>92.701430999999999</v>
      </c>
      <c r="N1050" s="89">
        <f t="shared" si="292"/>
        <v>8157.7259279999998</v>
      </c>
      <c r="O1050" s="90">
        <f t="shared" si="293"/>
        <v>-1752.95516</v>
      </c>
      <c r="P1050" s="93">
        <f t="shared" si="294"/>
        <v>-0.17687534735856891</v>
      </c>
      <c r="Q1050" s="96"/>
      <c r="R1050" s="96"/>
      <c r="T1050" s="90">
        <f t="shared" si="288"/>
        <v>95</v>
      </c>
      <c r="U1050" s="89">
        <f t="shared" si="289"/>
        <v>103.31428490526316</v>
      </c>
      <c r="V1050" s="89">
        <f t="shared" si="290"/>
        <v>92.701430999999999</v>
      </c>
      <c r="W1050" s="90">
        <f t="shared" si="295"/>
        <v>8806.635945</v>
      </c>
      <c r="X1050" s="93">
        <f t="shared" si="291"/>
        <v>-0.10272397389184762</v>
      </c>
      <c r="AB1050" s="89">
        <f t="shared" si="280"/>
        <v>195</v>
      </c>
      <c r="AC1050" s="89">
        <f t="shared" si="281"/>
        <v>51.179276000000002</v>
      </c>
      <c r="AD1050" s="89">
        <f t="shared" si="282"/>
        <v>92.701430999999999</v>
      </c>
      <c r="AE1050" s="89">
        <f t="shared" si="283"/>
        <v>18076.779044999999</v>
      </c>
      <c r="AF1050" s="90">
        <f t="shared" si="286"/>
        <v>8096.8202249999995</v>
      </c>
      <c r="AG1050" s="93">
        <f t="shared" si="287"/>
        <v>0.81130797942510946</v>
      </c>
      <c r="AK1050" s="90">
        <f t="shared" si="284"/>
        <v>142</v>
      </c>
      <c r="AL1050" s="89">
        <f t="shared" si="285"/>
        <v>68.865979063380294</v>
      </c>
      <c r="AM1050" s="89">
        <f t="shared" si="277"/>
        <v>92.701430999999999</v>
      </c>
      <c r="AN1050" s="90">
        <f t="shared" si="278"/>
        <v>13163.603202</v>
      </c>
      <c r="AO1050" s="93">
        <f t="shared" si="279"/>
        <v>0.34611360007940828</v>
      </c>
    </row>
    <row r="1051" spans="2:41" x14ac:dyDescent="0.25">
      <c r="B1051" s="91">
        <v>40872</v>
      </c>
      <c r="C1051" s="89">
        <v>116.379997</v>
      </c>
      <c r="D1051" s="89">
        <v>117.699997</v>
      </c>
      <c r="E1051" s="89">
        <v>116.199997</v>
      </c>
      <c r="F1051" s="89">
        <v>116.339996</v>
      </c>
      <c r="G1051" s="89">
        <v>92.526482000000001</v>
      </c>
      <c r="H1051" s="89">
        <v>99557000</v>
      </c>
      <c r="J1051" s="89">
        <v>0</v>
      </c>
      <c r="K1051" s="89">
        <f t="shared" si="296"/>
        <v>88</v>
      </c>
      <c r="L1051" s="89">
        <f t="shared" si="297"/>
        <v>112.621376</v>
      </c>
      <c r="M1051" s="89">
        <f>+SPY__2[[#This Row],[Adj Close]]</f>
        <v>92.526482000000001</v>
      </c>
      <c r="N1051" s="89">
        <f t="shared" si="292"/>
        <v>8142.3304159999998</v>
      </c>
      <c r="O1051" s="90">
        <f t="shared" si="293"/>
        <v>-1768.3506719999996</v>
      </c>
      <c r="P1051" s="93">
        <f t="shared" si="294"/>
        <v>-0.17842877359267917</v>
      </c>
      <c r="Q1051" s="96"/>
      <c r="R1051" s="96"/>
      <c r="T1051" s="90">
        <f t="shared" si="288"/>
        <v>95</v>
      </c>
      <c r="U1051" s="89">
        <f t="shared" si="289"/>
        <v>103.31428490526316</v>
      </c>
      <c r="V1051" s="89">
        <f t="shared" si="290"/>
        <v>92.526482000000001</v>
      </c>
      <c r="W1051" s="90">
        <f t="shared" si="295"/>
        <v>8790.0157899999995</v>
      </c>
      <c r="X1051" s="93">
        <f t="shared" si="291"/>
        <v>-0.10441734088519639</v>
      </c>
      <c r="AB1051" s="89">
        <f t="shared" si="280"/>
        <v>195</v>
      </c>
      <c r="AC1051" s="89">
        <f t="shared" si="281"/>
        <v>51.179276000000002</v>
      </c>
      <c r="AD1051" s="89">
        <f t="shared" si="282"/>
        <v>92.526482000000001</v>
      </c>
      <c r="AE1051" s="89">
        <f t="shared" si="283"/>
        <v>18042.663990000001</v>
      </c>
      <c r="AF1051" s="90">
        <f t="shared" si="286"/>
        <v>8062.7051700000002</v>
      </c>
      <c r="AG1051" s="93">
        <f t="shared" si="287"/>
        <v>0.80788962313573953</v>
      </c>
      <c r="AK1051" s="90">
        <f t="shared" si="284"/>
        <v>142</v>
      </c>
      <c r="AL1051" s="89">
        <f t="shared" si="285"/>
        <v>68.865979063380294</v>
      </c>
      <c r="AM1051" s="89">
        <f t="shared" si="277"/>
        <v>92.526482000000001</v>
      </c>
      <c r="AN1051" s="90">
        <f t="shared" si="278"/>
        <v>13138.760444</v>
      </c>
      <c r="AO1051" s="93">
        <f t="shared" si="279"/>
        <v>0.34357317297186674</v>
      </c>
    </row>
    <row r="1052" spans="2:41" x14ac:dyDescent="0.25">
      <c r="B1052" s="91">
        <v>40875</v>
      </c>
      <c r="C1052" s="89">
        <v>119.540001</v>
      </c>
      <c r="D1052" s="89">
        <v>120.18</v>
      </c>
      <c r="E1052" s="89">
        <v>118.82</v>
      </c>
      <c r="F1052" s="89">
        <v>119.709999</v>
      </c>
      <c r="G1052" s="89">
        <v>95.206642000000002</v>
      </c>
      <c r="H1052" s="89">
        <v>210686000</v>
      </c>
      <c r="J1052" s="89">
        <v>0</v>
      </c>
      <c r="K1052" s="89">
        <f t="shared" si="296"/>
        <v>88</v>
      </c>
      <c r="L1052" s="89">
        <f t="shared" si="297"/>
        <v>112.621376</v>
      </c>
      <c r="M1052" s="89">
        <f>+SPY__2[[#This Row],[Adj Close]]</f>
        <v>95.206642000000002</v>
      </c>
      <c r="N1052" s="89">
        <f t="shared" si="292"/>
        <v>8378.1844959999999</v>
      </c>
      <c r="O1052" s="90">
        <f t="shared" si="293"/>
        <v>-1532.4965919999995</v>
      </c>
      <c r="P1052" s="93">
        <f t="shared" si="294"/>
        <v>-0.15463080472396284</v>
      </c>
      <c r="Q1052" s="96"/>
      <c r="R1052" s="96"/>
      <c r="T1052" s="90">
        <f t="shared" si="288"/>
        <v>95</v>
      </c>
      <c r="U1052" s="89">
        <f t="shared" si="289"/>
        <v>103.31428490526316</v>
      </c>
      <c r="V1052" s="89">
        <f t="shared" si="290"/>
        <v>95.206642000000002</v>
      </c>
      <c r="W1052" s="90">
        <f t="shared" si="295"/>
        <v>9044.6309899999997</v>
      </c>
      <c r="X1052" s="93">
        <f t="shared" si="291"/>
        <v>-7.8475526522762018E-2</v>
      </c>
      <c r="AB1052" s="89">
        <f t="shared" si="280"/>
        <v>195</v>
      </c>
      <c r="AC1052" s="89">
        <f t="shared" si="281"/>
        <v>51.179276000000002</v>
      </c>
      <c r="AD1052" s="89">
        <f t="shared" si="282"/>
        <v>95.206642000000002</v>
      </c>
      <c r="AE1052" s="89">
        <f t="shared" si="283"/>
        <v>18565.295190000001</v>
      </c>
      <c r="AF1052" s="90">
        <f t="shared" si="286"/>
        <v>8585.3363700000009</v>
      </c>
      <c r="AG1052" s="93">
        <f t="shared" si="287"/>
        <v>0.86025769493104987</v>
      </c>
      <c r="AK1052" s="90">
        <f t="shared" si="284"/>
        <v>142</v>
      </c>
      <c r="AL1052" s="89">
        <f t="shared" si="285"/>
        <v>68.865979063380294</v>
      </c>
      <c r="AM1052" s="89">
        <f t="shared" si="277"/>
        <v>95.206642000000002</v>
      </c>
      <c r="AN1052" s="90">
        <f t="shared" si="278"/>
        <v>13519.343164</v>
      </c>
      <c r="AO1052" s="93">
        <f t="shared" si="279"/>
        <v>0.38249166416957903</v>
      </c>
    </row>
    <row r="1053" spans="2:41" x14ac:dyDescent="0.25">
      <c r="B1053" s="91">
        <v>40876</v>
      </c>
      <c r="C1053" s="89">
        <v>120.050003</v>
      </c>
      <c r="D1053" s="89">
        <v>121</v>
      </c>
      <c r="E1053" s="89">
        <v>119.610001</v>
      </c>
      <c r="F1053" s="89">
        <v>120.050003</v>
      </c>
      <c r="G1053" s="89">
        <v>95.477042999999995</v>
      </c>
      <c r="H1053" s="89">
        <v>199241500</v>
      </c>
      <c r="J1053" s="89">
        <v>0</v>
      </c>
      <c r="K1053" s="89">
        <f t="shared" si="296"/>
        <v>88</v>
      </c>
      <c r="L1053" s="89">
        <f t="shared" si="297"/>
        <v>112.621376</v>
      </c>
      <c r="M1053" s="89">
        <f>+SPY__2[[#This Row],[Adj Close]]</f>
        <v>95.477042999999995</v>
      </c>
      <c r="N1053" s="89">
        <f t="shared" si="292"/>
        <v>8401.9797839999992</v>
      </c>
      <c r="O1053" s="90">
        <f t="shared" si="293"/>
        <v>-1508.7013040000002</v>
      </c>
      <c r="P1053" s="93">
        <f t="shared" si="294"/>
        <v>-0.15222983068507356</v>
      </c>
      <c r="Q1053" s="96"/>
      <c r="R1053" s="96"/>
      <c r="T1053" s="90">
        <f t="shared" si="288"/>
        <v>95</v>
      </c>
      <c r="U1053" s="89">
        <f t="shared" si="289"/>
        <v>103.31428490526316</v>
      </c>
      <c r="V1053" s="89">
        <f t="shared" si="290"/>
        <v>95.477042999999995</v>
      </c>
      <c r="W1053" s="90">
        <f t="shared" si="295"/>
        <v>9070.3190849999992</v>
      </c>
      <c r="X1053" s="93">
        <f t="shared" si="291"/>
        <v>-7.5858260185895365E-2</v>
      </c>
      <c r="AB1053" s="89">
        <f t="shared" si="280"/>
        <v>195</v>
      </c>
      <c r="AC1053" s="89">
        <f t="shared" si="281"/>
        <v>51.179276000000002</v>
      </c>
      <c r="AD1053" s="89">
        <f t="shared" si="282"/>
        <v>95.477042999999995</v>
      </c>
      <c r="AE1053" s="89">
        <f t="shared" si="283"/>
        <v>18618.023385</v>
      </c>
      <c r="AF1053" s="90">
        <f t="shared" si="286"/>
        <v>8638.0645649999988</v>
      </c>
      <c r="AG1053" s="93">
        <f t="shared" si="287"/>
        <v>0.86554110300427056</v>
      </c>
      <c r="AK1053" s="90">
        <f t="shared" si="284"/>
        <v>142</v>
      </c>
      <c r="AL1053" s="89">
        <f t="shared" si="285"/>
        <v>68.865979063380294</v>
      </c>
      <c r="AM1053" s="89">
        <f t="shared" si="277"/>
        <v>95.477042999999995</v>
      </c>
      <c r="AN1053" s="90">
        <f t="shared" si="278"/>
        <v>13557.740105999999</v>
      </c>
      <c r="AO1053" s="93">
        <f t="shared" si="279"/>
        <v>0.38641814577453992</v>
      </c>
    </row>
    <row r="1054" spans="2:41" x14ac:dyDescent="0.25">
      <c r="B1054" s="91">
        <v>40877</v>
      </c>
      <c r="C1054" s="89">
        <v>123.489998</v>
      </c>
      <c r="D1054" s="89">
        <v>125.220001</v>
      </c>
      <c r="E1054" s="89">
        <v>120</v>
      </c>
      <c r="F1054" s="89">
        <v>124.989998</v>
      </c>
      <c r="G1054" s="89">
        <v>99.405890999999997</v>
      </c>
      <c r="H1054" s="89">
        <v>324439500</v>
      </c>
      <c r="J1054" s="89">
        <v>0</v>
      </c>
      <c r="K1054" s="89">
        <f t="shared" si="296"/>
        <v>88</v>
      </c>
      <c r="L1054" s="89">
        <f t="shared" si="297"/>
        <v>112.621376</v>
      </c>
      <c r="M1054" s="89">
        <f>+SPY__2[[#This Row],[Adj Close]]</f>
        <v>99.405890999999997</v>
      </c>
      <c r="N1054" s="89">
        <f t="shared" si="292"/>
        <v>8747.7184080000006</v>
      </c>
      <c r="O1054" s="90">
        <f t="shared" si="293"/>
        <v>-1162.9626800000001</v>
      </c>
      <c r="P1054" s="93">
        <f t="shared" si="294"/>
        <v>-0.11734437519214824</v>
      </c>
      <c r="Q1054" s="96"/>
      <c r="R1054" s="96"/>
      <c r="T1054" s="90">
        <f t="shared" si="288"/>
        <v>95</v>
      </c>
      <c r="U1054" s="89">
        <f t="shared" si="289"/>
        <v>103.31428490526316</v>
      </c>
      <c r="V1054" s="89">
        <f t="shared" si="290"/>
        <v>99.405890999999997</v>
      </c>
      <c r="W1054" s="90">
        <f t="shared" si="295"/>
        <v>9443.5596449999994</v>
      </c>
      <c r="X1054" s="93">
        <f t="shared" si="291"/>
        <v>-3.783014041908217E-2</v>
      </c>
      <c r="AB1054" s="89">
        <f t="shared" si="280"/>
        <v>195</v>
      </c>
      <c r="AC1054" s="89">
        <f t="shared" si="281"/>
        <v>51.179276000000002</v>
      </c>
      <c r="AD1054" s="89">
        <f t="shared" si="282"/>
        <v>99.405890999999997</v>
      </c>
      <c r="AE1054" s="89">
        <f t="shared" si="283"/>
        <v>19384.148744999999</v>
      </c>
      <c r="AF1054" s="90">
        <f t="shared" si="286"/>
        <v>9404.1899249999988</v>
      </c>
      <c r="AG1054" s="93">
        <f t="shared" si="287"/>
        <v>0.94230748789803109</v>
      </c>
      <c r="AK1054" s="90">
        <f t="shared" si="284"/>
        <v>142</v>
      </c>
      <c r="AL1054" s="89">
        <f t="shared" si="285"/>
        <v>68.865979063380294</v>
      </c>
      <c r="AM1054" s="89">
        <f t="shared" si="277"/>
        <v>99.405890999999997</v>
      </c>
      <c r="AN1054" s="90">
        <f t="shared" si="278"/>
        <v>14115.636521999999</v>
      </c>
      <c r="AO1054" s="93">
        <f t="shared" si="279"/>
        <v>0.44346878316378135</v>
      </c>
    </row>
    <row r="1055" spans="2:41" x14ac:dyDescent="0.25">
      <c r="B1055" s="91">
        <v>40878</v>
      </c>
      <c r="C1055" s="89">
        <v>124.849998</v>
      </c>
      <c r="D1055" s="89">
        <v>125.639999</v>
      </c>
      <c r="E1055" s="89">
        <v>124.43</v>
      </c>
      <c r="F1055" s="89">
        <v>124.970001</v>
      </c>
      <c r="G1055" s="89">
        <v>99.390029999999996</v>
      </c>
      <c r="H1055" s="89">
        <v>176954800</v>
      </c>
      <c r="J1055" s="89">
        <v>0</v>
      </c>
      <c r="K1055" s="89">
        <f t="shared" si="296"/>
        <v>88</v>
      </c>
      <c r="L1055" s="89">
        <f t="shared" si="297"/>
        <v>112.621376</v>
      </c>
      <c r="M1055" s="89">
        <f>+SPY__2[[#This Row],[Adj Close]]</f>
        <v>99.390029999999996</v>
      </c>
      <c r="N1055" s="89">
        <f t="shared" si="292"/>
        <v>8746.3226400000003</v>
      </c>
      <c r="O1055" s="90">
        <f t="shared" si="293"/>
        <v>-1164.3584480000002</v>
      </c>
      <c r="P1055" s="93">
        <f t="shared" si="294"/>
        <v>-0.11748520991254807</v>
      </c>
      <c r="Q1055" s="96"/>
      <c r="R1055" s="96"/>
      <c r="T1055" s="90">
        <f t="shared" si="288"/>
        <v>95</v>
      </c>
      <c r="U1055" s="89">
        <f t="shared" si="289"/>
        <v>103.31428490526316</v>
      </c>
      <c r="V1055" s="89">
        <f t="shared" si="290"/>
        <v>99.390029999999996</v>
      </c>
      <c r="W1055" s="90">
        <f t="shared" si="295"/>
        <v>9442.05285</v>
      </c>
      <c r="X1055" s="93">
        <f t="shared" si="291"/>
        <v>-3.7983662267629392E-2</v>
      </c>
      <c r="AB1055" s="89">
        <f t="shared" si="280"/>
        <v>195</v>
      </c>
      <c r="AC1055" s="89">
        <f t="shared" si="281"/>
        <v>51.179276000000002</v>
      </c>
      <c r="AD1055" s="89">
        <f t="shared" si="282"/>
        <v>99.390029999999996</v>
      </c>
      <c r="AE1055" s="89">
        <f t="shared" si="283"/>
        <v>19381.055850000001</v>
      </c>
      <c r="AF1055" s="90">
        <f t="shared" si="286"/>
        <v>9401.097029999999</v>
      </c>
      <c r="AG1055" s="93">
        <f t="shared" si="287"/>
        <v>0.94199757730062439</v>
      </c>
      <c r="AK1055" s="90">
        <f t="shared" si="284"/>
        <v>142</v>
      </c>
      <c r="AL1055" s="89">
        <f t="shared" si="285"/>
        <v>68.865979063380294</v>
      </c>
      <c r="AM1055" s="89">
        <f t="shared" si="277"/>
        <v>99.390029999999996</v>
      </c>
      <c r="AN1055" s="90">
        <f t="shared" si="278"/>
        <v>14113.384259999999</v>
      </c>
      <c r="AO1055" s="93">
        <f t="shared" si="279"/>
        <v>0.44323846624655006</v>
      </c>
    </row>
    <row r="1056" spans="2:41" x14ac:dyDescent="0.25">
      <c r="B1056" s="91">
        <v>40879</v>
      </c>
      <c r="C1056" s="89">
        <v>126.120003</v>
      </c>
      <c r="D1056" s="89">
        <v>126.5</v>
      </c>
      <c r="E1056" s="89">
        <v>124.779999</v>
      </c>
      <c r="F1056" s="89">
        <v>124.860001</v>
      </c>
      <c r="G1056" s="89">
        <v>99.302498</v>
      </c>
      <c r="H1056" s="89">
        <v>221109700</v>
      </c>
      <c r="J1056" s="89">
        <v>0</v>
      </c>
      <c r="K1056" s="89">
        <f t="shared" si="296"/>
        <v>88</v>
      </c>
      <c r="L1056" s="89">
        <f t="shared" si="297"/>
        <v>112.621376</v>
      </c>
      <c r="M1056" s="89">
        <f>+SPY__2[[#This Row],[Adj Close]]</f>
        <v>99.302498</v>
      </c>
      <c r="N1056" s="89">
        <f t="shared" si="292"/>
        <v>8738.6198239999994</v>
      </c>
      <c r="O1056" s="90">
        <f t="shared" si="293"/>
        <v>-1172.0612639999999</v>
      </c>
      <c r="P1056" s="93">
        <f t="shared" si="294"/>
        <v>-0.11826243358987198</v>
      </c>
      <c r="Q1056" s="96"/>
      <c r="R1056" s="96"/>
      <c r="T1056" s="90">
        <f t="shared" si="288"/>
        <v>95</v>
      </c>
      <c r="U1056" s="89">
        <f t="shared" si="289"/>
        <v>103.31428490526316</v>
      </c>
      <c r="V1056" s="89">
        <f t="shared" si="290"/>
        <v>99.302498</v>
      </c>
      <c r="W1056" s="90">
        <f t="shared" si="295"/>
        <v>9433.7373100000004</v>
      </c>
      <c r="X1056" s="93">
        <f t="shared" si="291"/>
        <v>-3.8830902318511717E-2</v>
      </c>
      <c r="AB1056" s="89">
        <f t="shared" si="280"/>
        <v>195</v>
      </c>
      <c r="AC1056" s="89">
        <f t="shared" si="281"/>
        <v>51.179276000000002</v>
      </c>
      <c r="AD1056" s="89">
        <f t="shared" si="282"/>
        <v>99.302498</v>
      </c>
      <c r="AE1056" s="89">
        <f t="shared" si="283"/>
        <v>19363.987109999998</v>
      </c>
      <c r="AF1056" s="90">
        <f t="shared" si="286"/>
        <v>9384.0282900000002</v>
      </c>
      <c r="AG1056" s="93">
        <f t="shared" si="287"/>
        <v>0.9402872756543097</v>
      </c>
      <c r="AK1056" s="90">
        <f t="shared" si="284"/>
        <v>142</v>
      </c>
      <c r="AL1056" s="89">
        <f t="shared" si="285"/>
        <v>68.865979063380294</v>
      </c>
      <c r="AM1056" s="89">
        <f t="shared" si="277"/>
        <v>99.302498</v>
      </c>
      <c r="AN1056" s="90">
        <f t="shared" si="278"/>
        <v>14100.954716</v>
      </c>
      <c r="AO1056" s="93">
        <f t="shared" si="279"/>
        <v>0.44196741773768577</v>
      </c>
    </row>
    <row r="1057" spans="2:41" x14ac:dyDescent="0.25">
      <c r="B1057" s="91">
        <v>40882</v>
      </c>
      <c r="C1057" s="89">
        <v>126.839996</v>
      </c>
      <c r="D1057" s="89">
        <v>127.18</v>
      </c>
      <c r="E1057" s="89">
        <v>125.44000200000001</v>
      </c>
      <c r="F1057" s="89">
        <v>126.220001</v>
      </c>
      <c r="G1057" s="89">
        <v>100.38413199999999</v>
      </c>
      <c r="H1057" s="89">
        <v>225263900</v>
      </c>
      <c r="J1057" s="89">
        <v>0</v>
      </c>
      <c r="K1057" s="89">
        <f t="shared" si="296"/>
        <v>88</v>
      </c>
      <c r="L1057" s="89">
        <f t="shared" si="297"/>
        <v>112.621376</v>
      </c>
      <c r="M1057" s="89">
        <f>+SPY__2[[#This Row],[Adj Close]]</f>
        <v>100.38413199999999</v>
      </c>
      <c r="N1057" s="89">
        <f t="shared" si="292"/>
        <v>8833.8036159999992</v>
      </c>
      <c r="O1057" s="90">
        <f t="shared" si="293"/>
        <v>-1076.8774720000004</v>
      </c>
      <c r="P1057" s="93">
        <f t="shared" si="294"/>
        <v>-0.10865827105504378</v>
      </c>
      <c r="Q1057" s="96"/>
      <c r="R1057" s="96"/>
      <c r="T1057" s="90">
        <f t="shared" si="288"/>
        <v>95</v>
      </c>
      <c r="U1057" s="89">
        <f t="shared" si="289"/>
        <v>103.31428490526316</v>
      </c>
      <c r="V1057" s="89">
        <f t="shared" si="290"/>
        <v>100.38413199999999</v>
      </c>
      <c r="W1057" s="90">
        <f t="shared" si="295"/>
        <v>9536.4925399999993</v>
      </c>
      <c r="X1057" s="93">
        <f t="shared" si="291"/>
        <v>-2.8361546594936504E-2</v>
      </c>
      <c r="AB1057" s="89">
        <f t="shared" si="280"/>
        <v>195</v>
      </c>
      <c r="AC1057" s="89">
        <f t="shared" si="281"/>
        <v>51.179276000000002</v>
      </c>
      <c r="AD1057" s="89">
        <f t="shared" si="282"/>
        <v>100.38413199999999</v>
      </c>
      <c r="AE1057" s="89">
        <f t="shared" si="283"/>
        <v>19574.905739999998</v>
      </c>
      <c r="AF1057" s="90">
        <f t="shared" si="286"/>
        <v>9594.9469199999985</v>
      </c>
      <c r="AG1057" s="93">
        <f t="shared" si="287"/>
        <v>0.96142149412195654</v>
      </c>
      <c r="AK1057" s="90">
        <f t="shared" si="284"/>
        <v>142</v>
      </c>
      <c r="AL1057" s="89">
        <f t="shared" si="285"/>
        <v>68.865979063380294</v>
      </c>
      <c r="AM1057" s="89">
        <f t="shared" si="277"/>
        <v>100.38413199999999</v>
      </c>
      <c r="AN1057" s="90">
        <f t="shared" si="278"/>
        <v>14254.546743999999</v>
      </c>
      <c r="AO1057" s="93">
        <f t="shared" si="279"/>
        <v>0.45767377978627466</v>
      </c>
    </row>
    <row r="1058" spans="2:41" x14ac:dyDescent="0.25">
      <c r="B1058" s="91">
        <v>40883</v>
      </c>
      <c r="C1058" s="89">
        <v>126.209999</v>
      </c>
      <c r="D1058" s="89">
        <v>127.110001</v>
      </c>
      <c r="E1058" s="89">
        <v>125.760002</v>
      </c>
      <c r="F1058" s="89">
        <v>126.260002</v>
      </c>
      <c r="G1058" s="89">
        <v>100.415932</v>
      </c>
      <c r="H1058" s="89">
        <v>178842100</v>
      </c>
      <c r="J1058" s="89">
        <v>0</v>
      </c>
      <c r="K1058" s="89">
        <f t="shared" si="296"/>
        <v>88</v>
      </c>
      <c r="L1058" s="89">
        <f t="shared" si="297"/>
        <v>112.621376</v>
      </c>
      <c r="M1058" s="89">
        <f>+SPY__2[[#This Row],[Adj Close]]</f>
        <v>100.415932</v>
      </c>
      <c r="N1058" s="89">
        <f t="shared" si="292"/>
        <v>8836.6020160000007</v>
      </c>
      <c r="O1058" s="90">
        <f t="shared" si="293"/>
        <v>-1074.079072</v>
      </c>
      <c r="P1058" s="93">
        <f t="shared" si="294"/>
        <v>-0.10837590902814043</v>
      </c>
      <c r="Q1058" s="96"/>
      <c r="R1058" s="96"/>
      <c r="T1058" s="90">
        <f t="shared" si="288"/>
        <v>95</v>
      </c>
      <c r="U1058" s="89">
        <f t="shared" si="289"/>
        <v>103.31428490526316</v>
      </c>
      <c r="V1058" s="89">
        <f t="shared" si="290"/>
        <v>100.415932</v>
      </c>
      <c r="W1058" s="90">
        <f t="shared" si="295"/>
        <v>9539.5135399999999</v>
      </c>
      <c r="X1058" s="93">
        <f t="shared" si="291"/>
        <v>-2.8053747919959848E-2</v>
      </c>
      <c r="AB1058" s="89">
        <f t="shared" si="280"/>
        <v>195</v>
      </c>
      <c r="AC1058" s="89">
        <f t="shared" si="281"/>
        <v>51.179276000000002</v>
      </c>
      <c r="AD1058" s="89">
        <f t="shared" si="282"/>
        <v>100.415932</v>
      </c>
      <c r="AE1058" s="89">
        <f t="shared" si="283"/>
        <v>19581.106739999999</v>
      </c>
      <c r="AF1058" s="90">
        <f t="shared" si="286"/>
        <v>9601.1479199999994</v>
      </c>
      <c r="AG1058" s="93">
        <f t="shared" si="287"/>
        <v>0.96204283937115465</v>
      </c>
      <c r="AK1058" s="90">
        <f t="shared" si="284"/>
        <v>142</v>
      </c>
      <c r="AL1058" s="89">
        <f t="shared" si="285"/>
        <v>68.865979063380294</v>
      </c>
      <c r="AM1058" s="89">
        <f t="shared" si="277"/>
        <v>100.415932</v>
      </c>
      <c r="AN1058" s="90">
        <f t="shared" si="278"/>
        <v>14259.062344</v>
      </c>
      <c r="AO1058" s="93">
        <f t="shared" si="279"/>
        <v>0.45813554625547326</v>
      </c>
    </row>
    <row r="1059" spans="2:41" x14ac:dyDescent="0.25">
      <c r="B1059" s="91">
        <v>40884</v>
      </c>
      <c r="C1059" s="89">
        <v>125.839996</v>
      </c>
      <c r="D1059" s="89">
        <v>127.260002</v>
      </c>
      <c r="E1059" s="89">
        <v>124.970001</v>
      </c>
      <c r="F1059" s="89">
        <v>126.730003</v>
      </c>
      <c r="G1059" s="89">
        <v>100.789742</v>
      </c>
      <c r="H1059" s="89">
        <v>237802500</v>
      </c>
      <c r="J1059" s="89">
        <v>0</v>
      </c>
      <c r="K1059" s="89">
        <f t="shared" si="296"/>
        <v>88</v>
      </c>
      <c r="L1059" s="89">
        <f t="shared" si="297"/>
        <v>112.621376</v>
      </c>
      <c r="M1059" s="89">
        <f>+SPY__2[[#This Row],[Adj Close]]</f>
        <v>100.789742</v>
      </c>
      <c r="N1059" s="89">
        <f t="shared" si="292"/>
        <v>8869.4972959999996</v>
      </c>
      <c r="O1059" s="90">
        <f t="shared" si="293"/>
        <v>-1041.1837919999994</v>
      </c>
      <c r="P1059" s="93">
        <f t="shared" si="294"/>
        <v>-0.10505673452258291</v>
      </c>
      <c r="Q1059" s="96"/>
      <c r="R1059" s="96"/>
      <c r="T1059" s="90">
        <f t="shared" si="288"/>
        <v>95</v>
      </c>
      <c r="U1059" s="89">
        <f t="shared" si="289"/>
        <v>103.31428490526316</v>
      </c>
      <c r="V1059" s="89">
        <f t="shared" si="290"/>
        <v>100.789742</v>
      </c>
      <c r="W1059" s="90">
        <f t="shared" si="295"/>
        <v>9575.02549</v>
      </c>
      <c r="X1059" s="93">
        <f t="shared" si="291"/>
        <v>-2.4435564816405742E-2</v>
      </c>
      <c r="AB1059" s="89">
        <f t="shared" si="280"/>
        <v>195</v>
      </c>
      <c r="AC1059" s="89">
        <f t="shared" si="281"/>
        <v>51.179276000000002</v>
      </c>
      <c r="AD1059" s="89">
        <f t="shared" si="282"/>
        <v>100.789742</v>
      </c>
      <c r="AE1059" s="89">
        <f t="shared" si="283"/>
        <v>19653.999690000001</v>
      </c>
      <c r="AF1059" s="90">
        <f t="shared" si="286"/>
        <v>9674.0408700000007</v>
      </c>
      <c r="AG1059" s="93">
        <f t="shared" si="287"/>
        <v>0.96934677231463762</v>
      </c>
      <c r="AK1059" s="90">
        <f t="shared" si="284"/>
        <v>142</v>
      </c>
      <c r="AL1059" s="89">
        <f t="shared" si="285"/>
        <v>68.865979063380294</v>
      </c>
      <c r="AM1059" s="89">
        <f t="shared" si="277"/>
        <v>100.789742</v>
      </c>
      <c r="AN1059" s="90">
        <f t="shared" si="278"/>
        <v>14312.143364000001</v>
      </c>
      <c r="AO1059" s="93">
        <f t="shared" si="279"/>
        <v>0.46356362562186071</v>
      </c>
    </row>
    <row r="1060" spans="2:41" x14ac:dyDescent="0.25">
      <c r="B1060" s="91">
        <v>40885</v>
      </c>
      <c r="C1060" s="89">
        <v>125.900002</v>
      </c>
      <c r="D1060" s="89">
        <v>126.18</v>
      </c>
      <c r="E1060" s="89">
        <v>123.650002</v>
      </c>
      <c r="F1060" s="89">
        <v>123.949997</v>
      </c>
      <c r="G1060" s="89">
        <v>98.578766000000002</v>
      </c>
      <c r="H1060" s="89">
        <v>240862800</v>
      </c>
      <c r="J1060" s="89">
        <v>0</v>
      </c>
      <c r="K1060" s="89">
        <f t="shared" si="296"/>
        <v>88</v>
      </c>
      <c r="L1060" s="89">
        <f t="shared" si="297"/>
        <v>112.621376</v>
      </c>
      <c r="M1060" s="89">
        <f>+SPY__2[[#This Row],[Adj Close]]</f>
        <v>98.578766000000002</v>
      </c>
      <c r="N1060" s="89">
        <f t="shared" si="292"/>
        <v>8674.9314080000004</v>
      </c>
      <c r="O1060" s="90">
        <f t="shared" si="293"/>
        <v>-1235.7496799999997</v>
      </c>
      <c r="P1060" s="93">
        <f t="shared" si="294"/>
        <v>-0.12468867366706649</v>
      </c>
      <c r="Q1060" s="96"/>
      <c r="R1060" s="96"/>
      <c r="T1060" s="90">
        <f t="shared" si="288"/>
        <v>95</v>
      </c>
      <c r="U1060" s="89">
        <f t="shared" si="289"/>
        <v>103.31428490526316</v>
      </c>
      <c r="V1060" s="89">
        <f t="shared" si="290"/>
        <v>98.578766000000002</v>
      </c>
      <c r="W1060" s="90">
        <f t="shared" si="295"/>
        <v>9364.9827700000005</v>
      </c>
      <c r="X1060" s="93">
        <f t="shared" si="291"/>
        <v>-4.5836051709649994E-2</v>
      </c>
      <c r="AB1060" s="89">
        <f t="shared" si="280"/>
        <v>195</v>
      </c>
      <c r="AC1060" s="89">
        <f t="shared" si="281"/>
        <v>51.179276000000002</v>
      </c>
      <c r="AD1060" s="89">
        <f t="shared" si="282"/>
        <v>98.578766000000002</v>
      </c>
      <c r="AE1060" s="89">
        <f t="shared" si="283"/>
        <v>19222.859370000002</v>
      </c>
      <c r="AF1060" s="90">
        <f t="shared" si="286"/>
        <v>9242.9005500000003</v>
      </c>
      <c r="AG1060" s="93">
        <f t="shared" si="287"/>
        <v>0.92614616119227633</v>
      </c>
      <c r="AK1060" s="90">
        <f t="shared" si="284"/>
        <v>142</v>
      </c>
      <c r="AL1060" s="89">
        <f t="shared" si="285"/>
        <v>68.865979063380294</v>
      </c>
      <c r="AM1060" s="89">
        <f t="shared" si="277"/>
        <v>98.578766000000002</v>
      </c>
      <c r="AN1060" s="90">
        <f t="shared" si="278"/>
        <v>13998.184772000001</v>
      </c>
      <c r="AO1060" s="93">
        <f t="shared" si="279"/>
        <v>0.43145813565321967</v>
      </c>
    </row>
    <row r="1061" spans="2:41" x14ac:dyDescent="0.25">
      <c r="B1061" s="91">
        <v>40886</v>
      </c>
      <c r="C1061" s="89">
        <v>124.510002</v>
      </c>
      <c r="D1061" s="89">
        <v>126.370003</v>
      </c>
      <c r="E1061" s="89">
        <v>124.400002</v>
      </c>
      <c r="F1061" s="89">
        <v>126.050003</v>
      </c>
      <c r="G1061" s="89">
        <v>100.248947</v>
      </c>
      <c r="H1061" s="89">
        <v>209111400</v>
      </c>
      <c r="J1061" s="89">
        <v>0</v>
      </c>
      <c r="K1061" s="89">
        <f t="shared" si="296"/>
        <v>88</v>
      </c>
      <c r="L1061" s="89">
        <f t="shared" si="297"/>
        <v>112.621376</v>
      </c>
      <c r="M1061" s="89">
        <f>+SPY__2[[#This Row],[Adj Close]]</f>
        <v>100.248947</v>
      </c>
      <c r="N1061" s="89">
        <f t="shared" si="292"/>
        <v>8821.9073360000002</v>
      </c>
      <c r="O1061" s="90">
        <f t="shared" si="293"/>
        <v>-1088.7737519999996</v>
      </c>
      <c r="P1061" s="93">
        <f t="shared" si="294"/>
        <v>-0.10985862044519856</v>
      </c>
      <c r="Q1061" s="96"/>
      <c r="R1061" s="96"/>
      <c r="T1061" s="90">
        <f t="shared" si="288"/>
        <v>95</v>
      </c>
      <c r="U1061" s="89">
        <f t="shared" si="289"/>
        <v>103.31428490526316</v>
      </c>
      <c r="V1061" s="89">
        <f t="shared" si="290"/>
        <v>100.248947</v>
      </c>
      <c r="W1061" s="90">
        <f t="shared" si="295"/>
        <v>9523.6499650000005</v>
      </c>
      <c r="X1061" s="93">
        <f t="shared" si="291"/>
        <v>-2.9670029735713754E-2</v>
      </c>
      <c r="AB1061" s="89">
        <f t="shared" si="280"/>
        <v>195</v>
      </c>
      <c r="AC1061" s="89">
        <f t="shared" si="281"/>
        <v>51.179276000000002</v>
      </c>
      <c r="AD1061" s="89">
        <f t="shared" si="282"/>
        <v>100.248947</v>
      </c>
      <c r="AE1061" s="89">
        <f t="shared" si="283"/>
        <v>19548.544665000001</v>
      </c>
      <c r="AF1061" s="90">
        <f t="shared" si="286"/>
        <v>9568.5858449999996</v>
      </c>
      <c r="AG1061" s="93">
        <f t="shared" si="287"/>
        <v>0.95878009294230737</v>
      </c>
      <c r="AK1061" s="90">
        <f t="shared" si="284"/>
        <v>142</v>
      </c>
      <c r="AL1061" s="89">
        <f t="shared" si="285"/>
        <v>68.865979063380294</v>
      </c>
      <c r="AM1061" s="89">
        <f t="shared" si="277"/>
        <v>100.248947</v>
      </c>
      <c r="AN1061" s="90">
        <f t="shared" si="278"/>
        <v>14235.350474000001</v>
      </c>
      <c r="AO1061" s="93">
        <f t="shared" si="279"/>
        <v>0.45571076405864552</v>
      </c>
    </row>
    <row r="1062" spans="2:41" x14ac:dyDescent="0.25">
      <c r="B1062" s="91">
        <v>40889</v>
      </c>
      <c r="C1062" s="89">
        <v>124.949997</v>
      </c>
      <c r="D1062" s="89">
        <v>124.970001</v>
      </c>
      <c r="E1062" s="89">
        <v>123.160004</v>
      </c>
      <c r="F1062" s="89">
        <v>124.209999</v>
      </c>
      <c r="G1062" s="89">
        <v>98.785567999999998</v>
      </c>
      <c r="H1062" s="89">
        <v>215826100</v>
      </c>
      <c r="J1062" s="89">
        <v>0</v>
      </c>
      <c r="K1062" s="89">
        <f t="shared" si="296"/>
        <v>88</v>
      </c>
      <c r="L1062" s="89">
        <f t="shared" si="297"/>
        <v>112.621376</v>
      </c>
      <c r="M1062" s="89">
        <f>+SPY__2[[#This Row],[Adj Close]]</f>
        <v>98.785567999999998</v>
      </c>
      <c r="N1062" s="89">
        <f t="shared" si="292"/>
        <v>8693.1299839999992</v>
      </c>
      <c r="O1062" s="90">
        <f t="shared" si="293"/>
        <v>-1217.5511040000001</v>
      </c>
      <c r="P1062" s="93">
        <f t="shared" si="294"/>
        <v>-0.12285241480267473</v>
      </c>
      <c r="Q1062" s="96"/>
      <c r="R1062" s="96"/>
      <c r="T1062" s="90">
        <f t="shared" si="288"/>
        <v>95</v>
      </c>
      <c r="U1062" s="89">
        <f t="shared" si="289"/>
        <v>103.31428490526316</v>
      </c>
      <c r="V1062" s="89">
        <f t="shared" si="290"/>
        <v>98.785567999999998</v>
      </c>
      <c r="W1062" s="90">
        <f t="shared" si="295"/>
        <v>9384.62896</v>
      </c>
      <c r="X1062" s="93">
        <f t="shared" si="291"/>
        <v>-4.3834373043533104E-2</v>
      </c>
      <c r="AB1062" s="89">
        <f t="shared" si="280"/>
        <v>195</v>
      </c>
      <c r="AC1062" s="89">
        <f t="shared" si="281"/>
        <v>51.179276000000002</v>
      </c>
      <c r="AD1062" s="89">
        <f t="shared" si="282"/>
        <v>98.785567999999998</v>
      </c>
      <c r="AE1062" s="89">
        <f t="shared" si="283"/>
        <v>19263.18576</v>
      </c>
      <c r="AF1062" s="90">
        <f t="shared" si="286"/>
        <v>9283.2269399999986</v>
      </c>
      <c r="AG1062" s="93">
        <f t="shared" si="287"/>
        <v>0.93018689830625956</v>
      </c>
      <c r="AK1062" s="90">
        <f t="shared" si="284"/>
        <v>142</v>
      </c>
      <c r="AL1062" s="89">
        <f t="shared" si="285"/>
        <v>68.865979063380294</v>
      </c>
      <c r="AM1062" s="89">
        <f t="shared" si="277"/>
        <v>98.785567999999998</v>
      </c>
      <c r="AN1062" s="90">
        <f t="shared" si="278"/>
        <v>14027.550655999999</v>
      </c>
      <c r="AO1062" s="93">
        <f t="shared" si="279"/>
        <v>0.43446109884074158</v>
      </c>
    </row>
    <row r="1063" spans="2:41" x14ac:dyDescent="0.25">
      <c r="B1063" s="91">
        <v>40890</v>
      </c>
      <c r="C1063" s="89">
        <v>124.860001</v>
      </c>
      <c r="D1063" s="89">
        <v>125.57</v>
      </c>
      <c r="E1063" s="89">
        <v>122.449997</v>
      </c>
      <c r="F1063" s="89">
        <v>123.050003</v>
      </c>
      <c r="G1063" s="89">
        <v>97.863028999999997</v>
      </c>
      <c r="H1063" s="89">
        <v>245159800</v>
      </c>
      <c r="J1063" s="89">
        <v>0</v>
      </c>
      <c r="K1063" s="89">
        <f t="shared" si="296"/>
        <v>88</v>
      </c>
      <c r="L1063" s="89">
        <f t="shared" si="297"/>
        <v>112.621376</v>
      </c>
      <c r="M1063" s="89">
        <f>+SPY__2[[#This Row],[Adj Close]]</f>
        <v>97.863028999999997</v>
      </c>
      <c r="N1063" s="89">
        <f t="shared" si="292"/>
        <v>8611.9465519999994</v>
      </c>
      <c r="O1063" s="90">
        <f t="shared" si="293"/>
        <v>-1298.7345359999999</v>
      </c>
      <c r="P1063" s="93">
        <f t="shared" si="294"/>
        <v>-0.13104392366862927</v>
      </c>
      <c r="Q1063" s="96"/>
      <c r="R1063" s="96"/>
      <c r="T1063" s="90">
        <f t="shared" si="288"/>
        <v>95</v>
      </c>
      <c r="U1063" s="89">
        <f t="shared" si="289"/>
        <v>103.31428490526316</v>
      </c>
      <c r="V1063" s="89">
        <f t="shared" si="290"/>
        <v>97.863028999999997</v>
      </c>
      <c r="W1063" s="90">
        <f t="shared" si="295"/>
        <v>9296.9877550000001</v>
      </c>
      <c r="X1063" s="93">
        <f t="shared" si="291"/>
        <v>-5.2763815867881592E-2</v>
      </c>
      <c r="AB1063" s="89">
        <f t="shared" si="280"/>
        <v>195</v>
      </c>
      <c r="AC1063" s="89">
        <f t="shared" si="281"/>
        <v>51.179276000000002</v>
      </c>
      <c r="AD1063" s="89">
        <f t="shared" si="282"/>
        <v>97.863028999999997</v>
      </c>
      <c r="AE1063" s="89">
        <f t="shared" si="283"/>
        <v>19083.290655000001</v>
      </c>
      <c r="AF1063" s="90">
        <f t="shared" si="286"/>
        <v>9103.331834999999</v>
      </c>
      <c r="AG1063" s="93">
        <f t="shared" si="287"/>
        <v>0.91216126230468753</v>
      </c>
      <c r="AK1063" s="90">
        <f t="shared" si="284"/>
        <v>142</v>
      </c>
      <c r="AL1063" s="89">
        <f t="shared" si="285"/>
        <v>68.865979063380294</v>
      </c>
      <c r="AM1063" s="89">
        <f t="shared" si="277"/>
        <v>97.863028999999997</v>
      </c>
      <c r="AN1063" s="90">
        <f t="shared" si="278"/>
        <v>13896.550117999999</v>
      </c>
      <c r="AO1063" s="93">
        <f t="shared" si="279"/>
        <v>0.42106494862916977</v>
      </c>
    </row>
    <row r="1064" spans="2:41" x14ac:dyDescent="0.25">
      <c r="B1064" s="91">
        <v>40891</v>
      </c>
      <c r="C1064" s="89">
        <v>122.55999799999999</v>
      </c>
      <c r="D1064" s="89">
        <v>123.029999</v>
      </c>
      <c r="E1064" s="89">
        <v>121.470001</v>
      </c>
      <c r="F1064" s="89">
        <v>121.739998</v>
      </c>
      <c r="G1064" s="89">
        <v>96.821151999999998</v>
      </c>
      <c r="H1064" s="89">
        <v>238618800</v>
      </c>
      <c r="J1064" s="89">
        <v>0</v>
      </c>
      <c r="K1064" s="89">
        <f t="shared" si="296"/>
        <v>88</v>
      </c>
      <c r="L1064" s="89">
        <f t="shared" si="297"/>
        <v>112.621376</v>
      </c>
      <c r="M1064" s="89">
        <f>+SPY__2[[#This Row],[Adj Close]]</f>
        <v>96.821151999999998</v>
      </c>
      <c r="N1064" s="89">
        <f t="shared" si="292"/>
        <v>8520.2613760000004</v>
      </c>
      <c r="O1064" s="90">
        <f t="shared" si="293"/>
        <v>-1390.4197119999999</v>
      </c>
      <c r="P1064" s="93">
        <f t="shared" si="294"/>
        <v>-0.14029507151466525</v>
      </c>
      <c r="Q1064" s="96"/>
      <c r="R1064" s="96"/>
      <c r="T1064" s="90">
        <f t="shared" si="288"/>
        <v>95</v>
      </c>
      <c r="U1064" s="89">
        <f t="shared" si="289"/>
        <v>103.31428490526316</v>
      </c>
      <c r="V1064" s="89">
        <f t="shared" si="290"/>
        <v>96.821151999999998</v>
      </c>
      <c r="W1064" s="90">
        <f t="shared" si="295"/>
        <v>9198.0094399999998</v>
      </c>
      <c r="X1064" s="93">
        <f t="shared" si="291"/>
        <v>-6.2848355493310692E-2</v>
      </c>
      <c r="AB1064" s="89">
        <f t="shared" si="280"/>
        <v>195</v>
      </c>
      <c r="AC1064" s="89">
        <f t="shared" si="281"/>
        <v>51.179276000000002</v>
      </c>
      <c r="AD1064" s="89">
        <f t="shared" si="282"/>
        <v>96.821151999999998</v>
      </c>
      <c r="AE1064" s="89">
        <f t="shared" si="283"/>
        <v>18880.124639999998</v>
      </c>
      <c r="AF1064" s="90">
        <f t="shared" si="286"/>
        <v>8900.1658200000002</v>
      </c>
      <c r="AG1064" s="93">
        <f t="shared" si="287"/>
        <v>0.89180386217264962</v>
      </c>
      <c r="AK1064" s="90">
        <f t="shared" si="284"/>
        <v>142</v>
      </c>
      <c r="AL1064" s="89">
        <f t="shared" si="285"/>
        <v>68.865979063380294</v>
      </c>
      <c r="AM1064" s="89">
        <f t="shared" si="277"/>
        <v>96.821151999999998</v>
      </c>
      <c r="AN1064" s="90">
        <f t="shared" si="278"/>
        <v>13748.603584</v>
      </c>
      <c r="AO1064" s="93">
        <f t="shared" si="279"/>
        <v>0.40593589631378624</v>
      </c>
    </row>
    <row r="1065" spans="2:41" x14ac:dyDescent="0.25">
      <c r="B1065" s="91">
        <v>40892</v>
      </c>
      <c r="C1065" s="89">
        <v>123.029999</v>
      </c>
      <c r="D1065" s="89">
        <v>123.199997</v>
      </c>
      <c r="E1065" s="89">
        <v>121.989998</v>
      </c>
      <c r="F1065" s="89">
        <v>122.18</v>
      </c>
      <c r="G1065" s="89">
        <v>97.171081999999998</v>
      </c>
      <c r="H1065" s="89">
        <v>199109200</v>
      </c>
      <c r="J1065" s="89">
        <v>0</v>
      </c>
      <c r="K1065" s="89">
        <f t="shared" si="296"/>
        <v>88</v>
      </c>
      <c r="L1065" s="89">
        <f t="shared" si="297"/>
        <v>112.621376</v>
      </c>
      <c r="M1065" s="89">
        <f>+SPY__2[[#This Row],[Adj Close]]</f>
        <v>97.171081999999998</v>
      </c>
      <c r="N1065" s="89">
        <f t="shared" si="292"/>
        <v>8551.0552160000007</v>
      </c>
      <c r="O1065" s="90">
        <f t="shared" si="293"/>
        <v>-1359.6258720000001</v>
      </c>
      <c r="P1065" s="93">
        <f t="shared" si="294"/>
        <v>-0.13718793490855585</v>
      </c>
      <c r="Q1065" s="96"/>
      <c r="R1065" s="96"/>
      <c r="T1065" s="90">
        <f t="shared" si="288"/>
        <v>95</v>
      </c>
      <c r="U1065" s="89">
        <f t="shared" si="289"/>
        <v>103.31428490526316</v>
      </c>
      <c r="V1065" s="89">
        <f t="shared" si="290"/>
        <v>97.171081999999998</v>
      </c>
      <c r="W1065" s="90">
        <f t="shared" si="295"/>
        <v>9231.2527900000005</v>
      </c>
      <c r="X1065" s="93">
        <f t="shared" si="291"/>
        <v>-5.9461311772097458E-2</v>
      </c>
      <c r="AB1065" s="89">
        <f t="shared" si="280"/>
        <v>195</v>
      </c>
      <c r="AC1065" s="89">
        <f t="shared" si="281"/>
        <v>51.179276000000002</v>
      </c>
      <c r="AD1065" s="89">
        <f t="shared" si="282"/>
        <v>97.171081999999998</v>
      </c>
      <c r="AE1065" s="89">
        <f t="shared" si="283"/>
        <v>18948.360990000001</v>
      </c>
      <c r="AF1065" s="90">
        <f t="shared" si="286"/>
        <v>8968.4021699999994</v>
      </c>
      <c r="AG1065" s="93">
        <f t="shared" si="287"/>
        <v>0.89864120000447056</v>
      </c>
      <c r="AK1065" s="90">
        <f t="shared" si="284"/>
        <v>142</v>
      </c>
      <c r="AL1065" s="89">
        <f t="shared" si="285"/>
        <v>68.865979063380294</v>
      </c>
      <c r="AM1065" s="89">
        <f t="shared" si="277"/>
        <v>97.171081999999998</v>
      </c>
      <c r="AN1065" s="90">
        <f t="shared" si="278"/>
        <v>13798.293643999999</v>
      </c>
      <c r="AO1065" s="93">
        <f t="shared" si="279"/>
        <v>0.41101721519952994</v>
      </c>
    </row>
    <row r="1066" spans="2:41" x14ac:dyDescent="0.25">
      <c r="B1066" s="91">
        <v>40893</v>
      </c>
      <c r="C1066" s="89">
        <v>122.230003</v>
      </c>
      <c r="D1066" s="89">
        <v>122.949997</v>
      </c>
      <c r="E1066" s="89">
        <v>121.300003</v>
      </c>
      <c r="F1066" s="89">
        <v>121.589996</v>
      </c>
      <c r="G1066" s="89">
        <v>97.315132000000006</v>
      </c>
      <c r="H1066" s="89">
        <v>220481400</v>
      </c>
      <c r="J1066" s="89">
        <v>0</v>
      </c>
      <c r="K1066" s="89">
        <f t="shared" si="296"/>
        <v>88</v>
      </c>
      <c r="L1066" s="89">
        <f t="shared" si="297"/>
        <v>112.621376</v>
      </c>
      <c r="M1066" s="89">
        <f>+SPY__2[[#This Row],[Adj Close]]</f>
        <v>97.315132000000006</v>
      </c>
      <c r="N1066" s="89">
        <f t="shared" si="292"/>
        <v>8563.7316160000009</v>
      </c>
      <c r="O1066" s="90">
        <f t="shared" si="293"/>
        <v>-1346.9494719999993</v>
      </c>
      <c r="P1066" s="93">
        <f t="shared" si="294"/>
        <v>-0.13590887044391997</v>
      </c>
      <c r="Q1066" s="96"/>
      <c r="R1066" s="96"/>
      <c r="T1066" s="90">
        <f t="shared" si="288"/>
        <v>95</v>
      </c>
      <c r="U1066" s="89">
        <f t="shared" si="289"/>
        <v>103.31428490526316</v>
      </c>
      <c r="V1066" s="89">
        <f t="shared" si="290"/>
        <v>97.315132000000006</v>
      </c>
      <c r="W1066" s="90">
        <f t="shared" si="295"/>
        <v>9244.9375400000008</v>
      </c>
      <c r="X1066" s="93">
        <f t="shared" si="291"/>
        <v>-5.8067022491267717E-2</v>
      </c>
      <c r="AB1066" s="89">
        <f t="shared" si="280"/>
        <v>195</v>
      </c>
      <c r="AC1066" s="89">
        <f t="shared" si="281"/>
        <v>51.179276000000002</v>
      </c>
      <c r="AD1066" s="89">
        <f t="shared" si="282"/>
        <v>97.315132000000006</v>
      </c>
      <c r="AE1066" s="89">
        <f t="shared" si="283"/>
        <v>18976.45074</v>
      </c>
      <c r="AF1066" s="90">
        <f t="shared" si="286"/>
        <v>8996.4919200000004</v>
      </c>
      <c r="AG1066" s="93">
        <f t="shared" si="287"/>
        <v>0.90145581582670298</v>
      </c>
      <c r="AK1066" s="90">
        <f t="shared" si="284"/>
        <v>142</v>
      </c>
      <c r="AL1066" s="89">
        <f t="shared" si="285"/>
        <v>68.865979063380294</v>
      </c>
      <c r="AM1066" s="89">
        <f t="shared" si="277"/>
        <v>97.315132000000006</v>
      </c>
      <c r="AN1066" s="90">
        <f t="shared" si="278"/>
        <v>13818.748744</v>
      </c>
      <c r="AO1066" s="93">
        <f t="shared" si="279"/>
        <v>0.41310895922116719</v>
      </c>
    </row>
    <row r="1067" spans="2:41" x14ac:dyDescent="0.25">
      <c r="B1067" s="91">
        <v>40896</v>
      </c>
      <c r="C1067" s="89">
        <v>122.05999799999999</v>
      </c>
      <c r="D1067" s="89">
        <v>122.32</v>
      </c>
      <c r="E1067" s="89">
        <v>120.029999</v>
      </c>
      <c r="F1067" s="89">
        <v>120.290001</v>
      </c>
      <c r="G1067" s="89">
        <v>96.274681000000001</v>
      </c>
      <c r="H1067" s="89">
        <v>183903000</v>
      </c>
      <c r="J1067" s="89">
        <v>0</v>
      </c>
      <c r="K1067" s="89">
        <f t="shared" si="296"/>
        <v>88</v>
      </c>
      <c r="L1067" s="89">
        <f t="shared" si="297"/>
        <v>112.621376</v>
      </c>
      <c r="M1067" s="89">
        <f>+SPY__2[[#This Row],[Adj Close]]</f>
        <v>96.274681000000001</v>
      </c>
      <c r="N1067" s="89">
        <f t="shared" si="292"/>
        <v>8472.1719279999998</v>
      </c>
      <c r="O1067" s="90">
        <f t="shared" si="293"/>
        <v>-1438.5091599999996</v>
      </c>
      <c r="P1067" s="93">
        <f t="shared" si="294"/>
        <v>-0.14514735639529031</v>
      </c>
      <c r="Q1067" s="96"/>
      <c r="R1067" s="96"/>
      <c r="T1067" s="90">
        <f t="shared" si="288"/>
        <v>95</v>
      </c>
      <c r="U1067" s="89">
        <f t="shared" si="289"/>
        <v>103.31428490526316</v>
      </c>
      <c r="V1067" s="89">
        <f t="shared" si="290"/>
        <v>96.274681000000001</v>
      </c>
      <c r="W1067" s="90">
        <f t="shared" si="295"/>
        <v>9146.0946949999998</v>
      </c>
      <c r="X1067" s="93">
        <f t="shared" si="291"/>
        <v>-6.8137759572341028E-2</v>
      </c>
      <c r="AB1067" s="89">
        <f t="shared" si="280"/>
        <v>195</v>
      </c>
      <c r="AC1067" s="89">
        <f t="shared" si="281"/>
        <v>51.179276000000002</v>
      </c>
      <c r="AD1067" s="89">
        <f t="shared" si="282"/>
        <v>96.274681000000001</v>
      </c>
      <c r="AE1067" s="89">
        <f t="shared" si="283"/>
        <v>18773.562795000002</v>
      </c>
      <c r="AF1067" s="90">
        <f t="shared" si="286"/>
        <v>8793.603975</v>
      </c>
      <c r="AG1067" s="93">
        <f t="shared" si="287"/>
        <v>0.88112627853508507</v>
      </c>
      <c r="AK1067" s="90">
        <f t="shared" si="284"/>
        <v>142</v>
      </c>
      <c r="AL1067" s="89">
        <f t="shared" si="285"/>
        <v>68.865979063380294</v>
      </c>
      <c r="AM1067" s="89">
        <f t="shared" si="277"/>
        <v>96.274681000000001</v>
      </c>
      <c r="AN1067" s="90">
        <f t="shared" si="278"/>
        <v>13671.004702</v>
      </c>
      <c r="AO1067" s="93">
        <f t="shared" si="279"/>
        <v>0.39800061379210661</v>
      </c>
    </row>
    <row r="1068" spans="2:41" x14ac:dyDescent="0.25">
      <c r="B1068" s="91">
        <v>40897</v>
      </c>
      <c r="C1068" s="89">
        <v>122.18</v>
      </c>
      <c r="D1068" s="89">
        <v>124.139999</v>
      </c>
      <c r="E1068" s="89">
        <v>120.370003</v>
      </c>
      <c r="F1068" s="89">
        <v>123.93</v>
      </c>
      <c r="G1068" s="89">
        <v>99.187980999999994</v>
      </c>
      <c r="H1068" s="89">
        <v>225418100</v>
      </c>
      <c r="J1068" s="89">
        <v>0</v>
      </c>
      <c r="K1068" s="89">
        <f t="shared" si="296"/>
        <v>88</v>
      </c>
      <c r="L1068" s="89">
        <f t="shared" si="297"/>
        <v>112.621376</v>
      </c>
      <c r="M1068" s="89">
        <f>+SPY__2[[#This Row],[Adj Close]]</f>
        <v>99.187980999999994</v>
      </c>
      <c r="N1068" s="89">
        <f t="shared" si="292"/>
        <v>8728.5423279999995</v>
      </c>
      <c r="O1068" s="90">
        <f t="shared" si="293"/>
        <v>-1182.1387600000003</v>
      </c>
      <c r="P1068" s="93">
        <f t="shared" si="294"/>
        <v>-0.11927926542115774</v>
      </c>
      <c r="Q1068" s="96"/>
      <c r="R1068" s="96"/>
      <c r="T1068" s="90">
        <f t="shared" si="288"/>
        <v>95</v>
      </c>
      <c r="U1068" s="89">
        <f t="shared" si="289"/>
        <v>103.31428490526316</v>
      </c>
      <c r="V1068" s="89">
        <f t="shared" si="290"/>
        <v>99.187980999999994</v>
      </c>
      <c r="W1068" s="90">
        <f t="shared" si="295"/>
        <v>9422.8581949999989</v>
      </c>
      <c r="X1068" s="93">
        <f t="shared" si="291"/>
        <v>-3.9939335678961574E-2</v>
      </c>
      <c r="AB1068" s="89">
        <f t="shared" si="280"/>
        <v>195</v>
      </c>
      <c r="AC1068" s="89">
        <f t="shared" si="281"/>
        <v>51.179276000000002</v>
      </c>
      <c r="AD1068" s="89">
        <f t="shared" si="282"/>
        <v>99.187980999999994</v>
      </c>
      <c r="AE1068" s="89">
        <f t="shared" si="283"/>
        <v>19341.656294999997</v>
      </c>
      <c r="AF1068" s="90">
        <f t="shared" si="286"/>
        <v>9361.697474999999</v>
      </c>
      <c r="AG1068" s="93">
        <f t="shared" si="287"/>
        <v>0.93804970980832136</v>
      </c>
      <c r="AK1068" s="90">
        <f t="shared" si="284"/>
        <v>142</v>
      </c>
      <c r="AL1068" s="89">
        <f t="shared" si="285"/>
        <v>68.865979063380294</v>
      </c>
      <c r="AM1068" s="89">
        <f t="shared" si="277"/>
        <v>99.187980999999994</v>
      </c>
      <c r="AN1068" s="90">
        <f t="shared" si="278"/>
        <v>14084.693302</v>
      </c>
      <c r="AO1068" s="93">
        <f t="shared" si="279"/>
        <v>0.44030452117311913</v>
      </c>
    </row>
    <row r="1069" spans="2:41" x14ac:dyDescent="0.25">
      <c r="B1069" s="91">
        <v>40898</v>
      </c>
      <c r="C1069" s="89">
        <v>123.93</v>
      </c>
      <c r="D1069" s="89">
        <v>124.360001</v>
      </c>
      <c r="E1069" s="89">
        <v>122.75</v>
      </c>
      <c r="F1069" s="89">
        <v>124.16999800000001</v>
      </c>
      <c r="G1069" s="89">
        <v>99.380081000000004</v>
      </c>
      <c r="H1069" s="89">
        <v>194230900</v>
      </c>
      <c r="J1069" s="89">
        <v>0</v>
      </c>
      <c r="K1069" s="89">
        <f t="shared" si="296"/>
        <v>88</v>
      </c>
      <c r="L1069" s="89">
        <f t="shared" si="297"/>
        <v>112.621376</v>
      </c>
      <c r="M1069" s="89">
        <f>+SPY__2[[#This Row],[Adj Close]]</f>
        <v>99.380081000000004</v>
      </c>
      <c r="N1069" s="89">
        <f t="shared" si="292"/>
        <v>8745.4471279999998</v>
      </c>
      <c r="O1069" s="90">
        <f t="shared" si="293"/>
        <v>-1165.2339599999996</v>
      </c>
      <c r="P1069" s="93">
        <f t="shared" si="294"/>
        <v>-0.11757355015800908</v>
      </c>
      <c r="Q1069" s="96"/>
      <c r="R1069" s="96"/>
      <c r="T1069" s="90">
        <f t="shared" si="288"/>
        <v>95</v>
      </c>
      <c r="U1069" s="89">
        <f t="shared" si="289"/>
        <v>103.31428490526316</v>
      </c>
      <c r="V1069" s="89">
        <f t="shared" si="290"/>
        <v>99.380081000000004</v>
      </c>
      <c r="W1069" s="90">
        <f t="shared" si="295"/>
        <v>9441.1076950000006</v>
      </c>
      <c r="X1069" s="93">
        <f t="shared" si="291"/>
        <v>-3.8079960664401113E-2</v>
      </c>
      <c r="AB1069" s="89">
        <f t="shared" si="280"/>
        <v>195</v>
      </c>
      <c r="AC1069" s="89">
        <f t="shared" si="281"/>
        <v>51.179276000000002</v>
      </c>
      <c r="AD1069" s="89">
        <f t="shared" si="282"/>
        <v>99.380081000000004</v>
      </c>
      <c r="AE1069" s="89">
        <f t="shared" si="283"/>
        <v>19379.115795000002</v>
      </c>
      <c r="AF1069" s="90">
        <f t="shared" si="286"/>
        <v>9399.1569749999999</v>
      </c>
      <c r="AG1069" s="93">
        <f t="shared" si="287"/>
        <v>0.94180318220992421</v>
      </c>
      <c r="AK1069" s="90">
        <f t="shared" si="284"/>
        <v>142</v>
      </c>
      <c r="AL1069" s="89">
        <f t="shared" si="285"/>
        <v>68.865979063380294</v>
      </c>
      <c r="AM1069" s="89">
        <f t="shared" ref="AM1069:AM1132" si="298">+AD1069</f>
        <v>99.380081000000004</v>
      </c>
      <c r="AN1069" s="90">
        <f t="shared" ref="AN1069:AN1132" si="299">+AM1069*AK1069</f>
        <v>14111.971502</v>
      </c>
      <c r="AO1069" s="93">
        <f t="shared" ref="AO1069:AO1132" si="300">+AN1069/(AL1069*AK1069)-1</f>
        <v>0.44309399723390697</v>
      </c>
    </row>
    <row r="1070" spans="2:41" x14ac:dyDescent="0.25">
      <c r="B1070" s="91">
        <v>40899</v>
      </c>
      <c r="C1070" s="89">
        <v>124.629997</v>
      </c>
      <c r="D1070" s="89">
        <v>125.400002</v>
      </c>
      <c r="E1070" s="89">
        <v>124.230003</v>
      </c>
      <c r="F1070" s="89">
        <v>125.269997</v>
      </c>
      <c r="G1070" s="89">
        <v>100.260468</v>
      </c>
      <c r="H1070" s="89">
        <v>119465400</v>
      </c>
      <c r="J1070" s="89">
        <v>0</v>
      </c>
      <c r="K1070" s="89">
        <f t="shared" si="296"/>
        <v>88</v>
      </c>
      <c r="L1070" s="89">
        <f t="shared" si="297"/>
        <v>112.621376</v>
      </c>
      <c r="M1070" s="89">
        <f>+SPY__2[[#This Row],[Adj Close]]</f>
        <v>100.260468</v>
      </c>
      <c r="N1070" s="89">
        <f t="shared" si="292"/>
        <v>8822.9211840000007</v>
      </c>
      <c r="O1070" s="90">
        <f t="shared" si="293"/>
        <v>-1087.7599039999996</v>
      </c>
      <c r="P1070" s="93">
        <f t="shared" si="294"/>
        <v>-0.10975632192595475</v>
      </c>
      <c r="Q1070" s="96"/>
      <c r="R1070" s="96"/>
      <c r="T1070" s="90">
        <f t="shared" si="288"/>
        <v>95</v>
      </c>
      <c r="U1070" s="89">
        <f t="shared" si="289"/>
        <v>103.31428490526316</v>
      </c>
      <c r="V1070" s="89">
        <f t="shared" si="290"/>
        <v>100.260468</v>
      </c>
      <c r="W1070" s="90">
        <f t="shared" si="295"/>
        <v>9524.7444599999999</v>
      </c>
      <c r="X1070" s="93">
        <f t="shared" si="291"/>
        <v>-2.9558515630858206E-2</v>
      </c>
      <c r="AB1070" s="89">
        <f t="shared" ref="AB1070:AB1133" si="301">+AB1069</f>
        <v>195</v>
      </c>
      <c r="AC1070" s="89">
        <f t="shared" ref="AC1070:AC1133" si="302">+AC1069</f>
        <v>51.179276000000002</v>
      </c>
      <c r="AD1070" s="89">
        <f t="shared" ref="AD1070:AD1133" si="303">+V1070</f>
        <v>100.260468</v>
      </c>
      <c r="AE1070" s="89">
        <f t="shared" ref="AE1070:AE1133" si="304">+AB1070*AD1070</f>
        <v>19550.791260000002</v>
      </c>
      <c r="AF1070" s="90">
        <f t="shared" si="286"/>
        <v>9570.8324400000001</v>
      </c>
      <c r="AG1070" s="93">
        <f t="shared" si="287"/>
        <v>0.95900520359060959</v>
      </c>
      <c r="AK1070" s="90">
        <f t="shared" ref="AK1070:AK1133" si="305">+AK1069</f>
        <v>142</v>
      </c>
      <c r="AL1070" s="89">
        <f t="shared" ref="AL1070:AL1133" si="306">+AL1069</f>
        <v>68.865979063380294</v>
      </c>
      <c r="AM1070" s="89">
        <f t="shared" si="298"/>
        <v>100.260468</v>
      </c>
      <c r="AN1070" s="90">
        <f t="shared" si="299"/>
        <v>14236.986456000001</v>
      </c>
      <c r="AO1070" s="93">
        <f t="shared" si="300"/>
        <v>0.45587806001750208</v>
      </c>
    </row>
    <row r="1071" spans="2:41" x14ac:dyDescent="0.25">
      <c r="B1071" s="91">
        <v>40900</v>
      </c>
      <c r="C1071" s="89">
        <v>125.66999800000001</v>
      </c>
      <c r="D1071" s="89">
        <v>126.43</v>
      </c>
      <c r="E1071" s="89">
        <v>125.410004</v>
      </c>
      <c r="F1071" s="89">
        <v>126.389999</v>
      </c>
      <c r="G1071" s="89">
        <v>101.15688299999999</v>
      </c>
      <c r="H1071" s="89">
        <v>92187200</v>
      </c>
      <c r="J1071" s="89">
        <v>0</v>
      </c>
      <c r="K1071" s="89">
        <f t="shared" si="296"/>
        <v>88</v>
      </c>
      <c r="L1071" s="89">
        <f t="shared" si="297"/>
        <v>112.621376</v>
      </c>
      <c r="M1071" s="89">
        <f>+SPY__2[[#This Row],[Adj Close]]</f>
        <v>101.15688299999999</v>
      </c>
      <c r="N1071" s="89">
        <f t="shared" si="292"/>
        <v>8901.8057039999985</v>
      </c>
      <c r="O1071" s="90">
        <f t="shared" si="293"/>
        <v>-1008.8753840000004</v>
      </c>
      <c r="P1071" s="93">
        <f t="shared" si="294"/>
        <v>-0.10179677612889404</v>
      </c>
      <c r="Q1071" s="96"/>
      <c r="R1071" s="96"/>
      <c r="T1071" s="90">
        <f t="shared" si="288"/>
        <v>95</v>
      </c>
      <c r="U1071" s="89">
        <f t="shared" si="289"/>
        <v>103.31428490526316</v>
      </c>
      <c r="V1071" s="89">
        <f t="shared" si="290"/>
        <v>101.15688299999999</v>
      </c>
      <c r="W1071" s="90">
        <f t="shared" si="295"/>
        <v>9609.9038849999997</v>
      </c>
      <c r="X1071" s="93">
        <f t="shared" si="291"/>
        <v>-2.0881932321764163E-2</v>
      </c>
      <c r="AB1071" s="89">
        <f t="shared" si="301"/>
        <v>195</v>
      </c>
      <c r="AC1071" s="89">
        <f t="shared" si="302"/>
        <v>51.179276000000002</v>
      </c>
      <c r="AD1071" s="89">
        <f t="shared" si="303"/>
        <v>101.15688299999999</v>
      </c>
      <c r="AE1071" s="89">
        <f t="shared" si="304"/>
        <v>19725.592184999998</v>
      </c>
      <c r="AF1071" s="90">
        <f t="shared" si="286"/>
        <v>9745.6333649999979</v>
      </c>
      <c r="AG1071" s="93">
        <f t="shared" si="287"/>
        <v>0.97652039860821782</v>
      </c>
      <c r="AK1071" s="90">
        <f t="shared" si="305"/>
        <v>142</v>
      </c>
      <c r="AL1071" s="89">
        <f t="shared" si="306"/>
        <v>68.865979063380294</v>
      </c>
      <c r="AM1071" s="89">
        <f t="shared" si="298"/>
        <v>101.15688299999999</v>
      </c>
      <c r="AN1071" s="90">
        <f t="shared" si="299"/>
        <v>14364.277386</v>
      </c>
      <c r="AO1071" s="93">
        <f t="shared" si="300"/>
        <v>0.46889486471833952</v>
      </c>
    </row>
    <row r="1072" spans="2:41" x14ac:dyDescent="0.25">
      <c r="B1072" s="91">
        <v>40904</v>
      </c>
      <c r="C1072" s="89">
        <v>126.16999800000001</v>
      </c>
      <c r="D1072" s="89">
        <v>126.82</v>
      </c>
      <c r="E1072" s="89">
        <v>126.05999799999999</v>
      </c>
      <c r="F1072" s="89">
        <v>126.489998</v>
      </c>
      <c r="G1072" s="89">
        <v>101.23687700000001</v>
      </c>
      <c r="H1072" s="89">
        <v>86075700</v>
      </c>
      <c r="J1072" s="89">
        <v>0</v>
      </c>
      <c r="K1072" s="89">
        <f t="shared" si="296"/>
        <v>88</v>
      </c>
      <c r="L1072" s="89">
        <f t="shared" si="297"/>
        <v>112.621376</v>
      </c>
      <c r="M1072" s="89">
        <f>+SPY__2[[#This Row],[Adj Close]]</f>
        <v>101.23687700000001</v>
      </c>
      <c r="N1072" s="89">
        <f t="shared" si="292"/>
        <v>8908.8451760000007</v>
      </c>
      <c r="O1072" s="90">
        <f t="shared" si="293"/>
        <v>-1001.8359119999992</v>
      </c>
      <c r="P1072" s="93">
        <f t="shared" si="294"/>
        <v>-0.10108648468297876</v>
      </c>
      <c r="Q1072" s="96"/>
      <c r="R1072" s="96"/>
      <c r="T1072" s="90">
        <f t="shared" si="288"/>
        <v>95</v>
      </c>
      <c r="U1072" s="89">
        <f t="shared" si="289"/>
        <v>103.31428490526316</v>
      </c>
      <c r="V1072" s="89">
        <f t="shared" si="290"/>
        <v>101.23687700000001</v>
      </c>
      <c r="W1072" s="90">
        <f t="shared" si="295"/>
        <v>9617.5033149999999</v>
      </c>
      <c r="X1072" s="93">
        <f t="shared" si="291"/>
        <v>-2.0107654107736406E-2</v>
      </c>
      <c r="AB1072" s="89">
        <f t="shared" si="301"/>
        <v>195</v>
      </c>
      <c r="AC1072" s="89">
        <f t="shared" si="302"/>
        <v>51.179276000000002</v>
      </c>
      <c r="AD1072" s="89">
        <f t="shared" si="303"/>
        <v>101.23687700000001</v>
      </c>
      <c r="AE1072" s="89">
        <f t="shared" si="304"/>
        <v>19741.191015</v>
      </c>
      <c r="AF1072" s="90">
        <f t="shared" si="286"/>
        <v>9761.2321950000005</v>
      </c>
      <c r="AG1072" s="93">
        <f t="shared" si="287"/>
        <v>0.97808341407565047</v>
      </c>
      <c r="AK1072" s="90">
        <f t="shared" si="305"/>
        <v>142</v>
      </c>
      <c r="AL1072" s="89">
        <f t="shared" si="306"/>
        <v>68.865979063380294</v>
      </c>
      <c r="AM1072" s="89">
        <f t="shared" si="298"/>
        <v>101.23687700000001</v>
      </c>
      <c r="AN1072" s="90">
        <f t="shared" si="299"/>
        <v>14375.636534000001</v>
      </c>
      <c r="AO1072" s="93">
        <f t="shared" si="300"/>
        <v>0.4700564542446628</v>
      </c>
    </row>
    <row r="1073" spans="2:41" x14ac:dyDescent="0.25">
      <c r="B1073" s="91">
        <v>40905</v>
      </c>
      <c r="C1073" s="89">
        <v>126.510002</v>
      </c>
      <c r="D1073" s="89">
        <v>126.529999</v>
      </c>
      <c r="E1073" s="89">
        <v>124.730003</v>
      </c>
      <c r="F1073" s="89">
        <v>124.83000199999999</v>
      </c>
      <c r="G1073" s="89">
        <v>99.908264000000003</v>
      </c>
      <c r="H1073" s="89">
        <v>119107100</v>
      </c>
      <c r="J1073" s="89">
        <v>0</v>
      </c>
      <c r="K1073" s="89">
        <f t="shared" si="296"/>
        <v>88</v>
      </c>
      <c r="L1073" s="89">
        <f t="shared" si="297"/>
        <v>112.621376</v>
      </c>
      <c r="M1073" s="89">
        <f>+SPY__2[[#This Row],[Adj Close]]</f>
        <v>99.908264000000003</v>
      </c>
      <c r="N1073" s="89">
        <f t="shared" si="292"/>
        <v>8791.927232</v>
      </c>
      <c r="O1073" s="90">
        <f t="shared" si="293"/>
        <v>-1118.7538559999996</v>
      </c>
      <c r="P1073" s="93">
        <f t="shared" si="294"/>
        <v>-0.11288365008078038</v>
      </c>
      <c r="Q1073" s="96"/>
      <c r="R1073" s="96"/>
      <c r="T1073" s="90">
        <f t="shared" si="288"/>
        <v>95</v>
      </c>
      <c r="U1073" s="89">
        <f t="shared" si="289"/>
        <v>103.31428490526316</v>
      </c>
      <c r="V1073" s="89">
        <f t="shared" si="290"/>
        <v>99.908264000000003</v>
      </c>
      <c r="W1073" s="90">
        <f t="shared" si="295"/>
        <v>9491.2850799999997</v>
      </c>
      <c r="X1073" s="93">
        <f t="shared" si="291"/>
        <v>-3.2967569861093393E-2</v>
      </c>
      <c r="AB1073" s="89">
        <f t="shared" si="301"/>
        <v>195</v>
      </c>
      <c r="AC1073" s="89">
        <f t="shared" si="302"/>
        <v>51.179276000000002</v>
      </c>
      <c r="AD1073" s="89">
        <f t="shared" si="303"/>
        <v>99.908264000000003</v>
      </c>
      <c r="AE1073" s="89">
        <f t="shared" si="304"/>
        <v>19482.11148</v>
      </c>
      <c r="AF1073" s="90">
        <f t="shared" si="286"/>
        <v>9502.1526599999997</v>
      </c>
      <c r="AG1073" s="93">
        <f t="shared" si="287"/>
        <v>0.95212343371172348</v>
      </c>
      <c r="AK1073" s="90">
        <f t="shared" si="305"/>
        <v>142</v>
      </c>
      <c r="AL1073" s="89">
        <f t="shared" si="306"/>
        <v>68.865979063380294</v>
      </c>
      <c r="AM1073" s="89">
        <f t="shared" si="298"/>
        <v>99.908264000000003</v>
      </c>
      <c r="AN1073" s="90">
        <f t="shared" si="299"/>
        <v>14186.973488</v>
      </c>
      <c r="AO1073" s="93">
        <f t="shared" si="300"/>
        <v>0.4507637204729229</v>
      </c>
    </row>
    <row r="1074" spans="2:41" x14ac:dyDescent="0.25">
      <c r="B1074" s="91">
        <v>40906</v>
      </c>
      <c r="C1074" s="89">
        <v>125.239998</v>
      </c>
      <c r="D1074" s="89">
        <v>126.25</v>
      </c>
      <c r="E1074" s="89">
        <v>124.860001</v>
      </c>
      <c r="F1074" s="89">
        <v>126.120003</v>
      </c>
      <c r="G1074" s="89">
        <v>100.940765</v>
      </c>
      <c r="H1074" s="89">
        <v>123507200</v>
      </c>
      <c r="J1074" s="89">
        <v>0</v>
      </c>
      <c r="K1074" s="89">
        <f t="shared" si="296"/>
        <v>88</v>
      </c>
      <c r="L1074" s="89">
        <f t="shared" si="297"/>
        <v>112.621376</v>
      </c>
      <c r="M1074" s="89">
        <f>+SPY__2[[#This Row],[Adj Close]]</f>
        <v>100.940765</v>
      </c>
      <c r="N1074" s="89">
        <f t="shared" si="292"/>
        <v>8882.7873199999995</v>
      </c>
      <c r="O1074" s="90">
        <f t="shared" si="293"/>
        <v>-1027.8937679999999</v>
      </c>
      <c r="P1074" s="93">
        <f t="shared" si="294"/>
        <v>-0.1037157546361358</v>
      </c>
      <c r="Q1074" s="96"/>
      <c r="R1074" s="96"/>
      <c r="T1074" s="90">
        <f t="shared" si="288"/>
        <v>95</v>
      </c>
      <c r="U1074" s="89">
        <f t="shared" si="289"/>
        <v>103.31428490526316</v>
      </c>
      <c r="V1074" s="89">
        <f t="shared" si="290"/>
        <v>100.940765</v>
      </c>
      <c r="W1074" s="90">
        <f t="shared" si="295"/>
        <v>9589.3726750000005</v>
      </c>
      <c r="X1074" s="93">
        <f t="shared" si="291"/>
        <v>-2.2973782448764135E-2</v>
      </c>
      <c r="AB1074" s="89">
        <f t="shared" si="301"/>
        <v>195</v>
      </c>
      <c r="AC1074" s="89">
        <f t="shared" si="302"/>
        <v>51.179276000000002</v>
      </c>
      <c r="AD1074" s="89">
        <f t="shared" si="303"/>
        <v>100.940765</v>
      </c>
      <c r="AE1074" s="89">
        <f t="shared" si="304"/>
        <v>19683.449175000002</v>
      </c>
      <c r="AF1074" s="90">
        <f t="shared" ref="AF1074:AF1137" si="307">+(AD1074-AC1074)*AB1074</f>
        <v>9703.4903549999999</v>
      </c>
      <c r="AG1074" s="93">
        <f t="shared" ref="AG1074:AG1137" si="308">+AD1074/AC1074-1</f>
        <v>0.97229763469104169</v>
      </c>
      <c r="AK1074" s="90">
        <f t="shared" si="305"/>
        <v>142</v>
      </c>
      <c r="AL1074" s="89">
        <f t="shared" si="306"/>
        <v>68.865979063380294</v>
      </c>
      <c r="AM1074" s="89">
        <f t="shared" si="298"/>
        <v>100.940765</v>
      </c>
      <c r="AN1074" s="90">
        <f t="shared" si="299"/>
        <v>14333.58863</v>
      </c>
      <c r="AO1074" s="93">
        <f t="shared" si="300"/>
        <v>0.46575662428468378</v>
      </c>
    </row>
    <row r="1075" spans="2:41" x14ac:dyDescent="0.25">
      <c r="B1075" s="91">
        <v>40907</v>
      </c>
      <c r="C1075" s="89">
        <v>126.019997</v>
      </c>
      <c r="D1075" s="89">
        <v>126.33000199999999</v>
      </c>
      <c r="E1075" s="89">
        <v>125.5</v>
      </c>
      <c r="F1075" s="89">
        <v>125.5</v>
      </c>
      <c r="G1075" s="89">
        <v>100.44452699999999</v>
      </c>
      <c r="H1075" s="89">
        <v>95599000</v>
      </c>
      <c r="J1075" s="89">
        <v>0</v>
      </c>
      <c r="K1075" s="89">
        <f t="shared" si="296"/>
        <v>88</v>
      </c>
      <c r="L1075" s="89">
        <f t="shared" si="297"/>
        <v>112.621376</v>
      </c>
      <c r="M1075" s="89">
        <f>+SPY__2[[#This Row],[Adj Close]]</f>
        <v>100.44452699999999</v>
      </c>
      <c r="N1075" s="89">
        <f t="shared" si="292"/>
        <v>8839.1183759999985</v>
      </c>
      <c r="O1075" s="90">
        <f t="shared" si="293"/>
        <v>-1071.5627120000004</v>
      </c>
      <c r="P1075" s="93">
        <f t="shared" si="294"/>
        <v>-0.10812200518665305</v>
      </c>
      <c r="Q1075" s="96"/>
      <c r="R1075" s="96"/>
      <c r="T1075" s="90">
        <f t="shared" si="288"/>
        <v>95</v>
      </c>
      <c r="U1075" s="89">
        <f t="shared" si="289"/>
        <v>103.31428490526316</v>
      </c>
      <c r="V1075" s="89">
        <f t="shared" si="290"/>
        <v>100.44452699999999</v>
      </c>
      <c r="W1075" s="90">
        <f t="shared" si="295"/>
        <v>9542.2300649999997</v>
      </c>
      <c r="X1075" s="93">
        <f t="shared" si="291"/>
        <v>-2.7776971092571268E-2</v>
      </c>
      <c r="AB1075" s="89">
        <f t="shared" si="301"/>
        <v>195</v>
      </c>
      <c r="AC1075" s="89">
        <f t="shared" si="302"/>
        <v>51.179276000000002</v>
      </c>
      <c r="AD1075" s="89">
        <f t="shared" si="303"/>
        <v>100.44452699999999</v>
      </c>
      <c r="AE1075" s="89">
        <f t="shared" si="304"/>
        <v>19586.682764999998</v>
      </c>
      <c r="AF1075" s="90">
        <f t="shared" si="307"/>
        <v>9606.7239449999979</v>
      </c>
      <c r="AG1075" s="93">
        <f t="shared" si="308"/>
        <v>0.96260156161646337</v>
      </c>
      <c r="AK1075" s="90">
        <f t="shared" si="305"/>
        <v>142</v>
      </c>
      <c r="AL1075" s="89">
        <f t="shared" si="306"/>
        <v>68.865979063380294</v>
      </c>
      <c r="AM1075" s="89">
        <f t="shared" si="298"/>
        <v>100.44452699999999</v>
      </c>
      <c r="AN1075" s="90">
        <f t="shared" si="299"/>
        <v>14263.122834</v>
      </c>
      <c r="AO1075" s="93">
        <f t="shared" si="300"/>
        <v>0.4585507730537981</v>
      </c>
    </row>
    <row r="1076" spans="2:41" x14ac:dyDescent="0.25">
      <c r="B1076" s="91">
        <v>40911</v>
      </c>
      <c r="C1076" s="89">
        <v>127.760002</v>
      </c>
      <c r="D1076" s="89">
        <v>128.38000500000001</v>
      </c>
      <c r="E1076" s="89">
        <v>127.43</v>
      </c>
      <c r="F1076" s="89">
        <v>127.5</v>
      </c>
      <c r="G1076" s="89">
        <v>102.045242</v>
      </c>
      <c r="H1076" s="89">
        <v>193697900</v>
      </c>
      <c r="J1076" s="89">
        <v>0</v>
      </c>
      <c r="K1076" s="89">
        <f t="shared" si="296"/>
        <v>88</v>
      </c>
      <c r="L1076" s="89">
        <f t="shared" si="297"/>
        <v>112.621376</v>
      </c>
      <c r="M1076" s="89">
        <f>+SPY__2[[#This Row],[Adj Close]]</f>
        <v>102.045242</v>
      </c>
      <c r="N1076" s="89">
        <f t="shared" si="292"/>
        <v>8979.9812959999999</v>
      </c>
      <c r="O1076" s="90">
        <f t="shared" si="293"/>
        <v>-930.69979199999966</v>
      </c>
      <c r="P1076" s="93">
        <f t="shared" si="294"/>
        <v>-9.3908762045315397E-2</v>
      </c>
      <c r="Q1076" s="96"/>
      <c r="R1076" s="96"/>
      <c r="T1076" s="90">
        <f t="shared" si="288"/>
        <v>95</v>
      </c>
      <c r="U1076" s="89">
        <f t="shared" si="289"/>
        <v>103.31428490526316</v>
      </c>
      <c r="V1076" s="89">
        <f t="shared" si="290"/>
        <v>102.045242</v>
      </c>
      <c r="W1076" s="90">
        <f t="shared" si="295"/>
        <v>9694.2979900000009</v>
      </c>
      <c r="X1076" s="93">
        <f t="shared" si="291"/>
        <v>-1.2283324676997331E-2</v>
      </c>
      <c r="AB1076" s="89">
        <f t="shared" si="301"/>
        <v>195</v>
      </c>
      <c r="AC1076" s="89">
        <f t="shared" si="302"/>
        <v>51.179276000000002</v>
      </c>
      <c r="AD1076" s="89">
        <f t="shared" si="303"/>
        <v>102.045242</v>
      </c>
      <c r="AE1076" s="89">
        <f t="shared" si="304"/>
        <v>19898.822189999999</v>
      </c>
      <c r="AF1076" s="90">
        <f t="shared" si="307"/>
        <v>9918.8633700000009</v>
      </c>
      <c r="AG1076" s="93">
        <f t="shared" si="308"/>
        <v>0.99387818616269596</v>
      </c>
      <c r="AK1076" s="90">
        <f t="shared" si="305"/>
        <v>142</v>
      </c>
      <c r="AL1076" s="89">
        <f t="shared" si="306"/>
        <v>68.865979063380294</v>
      </c>
      <c r="AM1076" s="89">
        <f t="shared" si="298"/>
        <v>102.045242</v>
      </c>
      <c r="AN1076" s="90">
        <f t="shared" si="299"/>
        <v>14490.424364</v>
      </c>
      <c r="AO1076" s="93">
        <f t="shared" si="300"/>
        <v>0.48179468858031371</v>
      </c>
    </row>
    <row r="1077" spans="2:41" x14ac:dyDescent="0.25">
      <c r="B1077" s="91">
        <v>40912</v>
      </c>
      <c r="C1077" s="89">
        <v>127.199997</v>
      </c>
      <c r="D1077" s="89">
        <v>127.80999799999999</v>
      </c>
      <c r="E1077" s="89">
        <v>126.709999</v>
      </c>
      <c r="F1077" s="89">
        <v>127.699997</v>
      </c>
      <c r="G1077" s="89">
        <v>102.205299</v>
      </c>
      <c r="H1077" s="89">
        <v>127186500</v>
      </c>
      <c r="J1077" s="89">
        <v>0</v>
      </c>
      <c r="K1077" s="89">
        <f t="shared" si="296"/>
        <v>88</v>
      </c>
      <c r="L1077" s="89">
        <f t="shared" si="297"/>
        <v>112.621376</v>
      </c>
      <c r="M1077" s="89">
        <f>+SPY__2[[#This Row],[Adj Close]]</f>
        <v>102.205299</v>
      </c>
      <c r="N1077" s="89">
        <f t="shared" si="292"/>
        <v>8994.066311999999</v>
      </c>
      <c r="O1077" s="90">
        <f t="shared" si="293"/>
        <v>-916.61477600000012</v>
      </c>
      <c r="P1077" s="93">
        <f t="shared" si="294"/>
        <v>-9.248756648116252E-2</v>
      </c>
      <c r="Q1077" s="96"/>
      <c r="R1077" s="96"/>
      <c r="T1077" s="90">
        <f t="shared" si="288"/>
        <v>95</v>
      </c>
      <c r="U1077" s="89">
        <f t="shared" si="289"/>
        <v>103.31428490526316</v>
      </c>
      <c r="V1077" s="89">
        <f t="shared" si="290"/>
        <v>102.205299</v>
      </c>
      <c r="W1077" s="90">
        <f t="shared" si="295"/>
        <v>9709.5034049999995</v>
      </c>
      <c r="X1077" s="93">
        <f t="shared" si="291"/>
        <v>-1.0734100383892553E-2</v>
      </c>
      <c r="AB1077" s="89">
        <f t="shared" si="301"/>
        <v>195</v>
      </c>
      <c r="AC1077" s="89">
        <f t="shared" si="302"/>
        <v>51.179276000000002</v>
      </c>
      <c r="AD1077" s="89">
        <f t="shared" si="303"/>
        <v>102.205299</v>
      </c>
      <c r="AE1077" s="89">
        <f t="shared" si="304"/>
        <v>19930.033305000001</v>
      </c>
      <c r="AF1077" s="90">
        <f t="shared" si="307"/>
        <v>9950.0744849999992</v>
      </c>
      <c r="AG1077" s="93">
        <f t="shared" si="308"/>
        <v>0.99700556529951689</v>
      </c>
      <c r="AK1077" s="90">
        <f t="shared" si="305"/>
        <v>142</v>
      </c>
      <c r="AL1077" s="89">
        <f t="shared" si="306"/>
        <v>68.865979063380294</v>
      </c>
      <c r="AM1077" s="89">
        <f t="shared" si="298"/>
        <v>102.205299</v>
      </c>
      <c r="AN1077" s="90">
        <f t="shared" si="299"/>
        <v>14513.152457999999</v>
      </c>
      <c r="AO1077" s="93">
        <f t="shared" si="300"/>
        <v>0.48411886957907191</v>
      </c>
    </row>
    <row r="1078" spans="2:41" x14ac:dyDescent="0.25">
      <c r="B1078" s="91">
        <v>40913</v>
      </c>
      <c r="C1078" s="89">
        <v>127.010002</v>
      </c>
      <c r="D1078" s="89">
        <v>128.229996</v>
      </c>
      <c r="E1078" s="89">
        <v>126.43</v>
      </c>
      <c r="F1078" s="89">
        <v>128.03999300000001</v>
      </c>
      <c r="G1078" s="89">
        <v>102.47744</v>
      </c>
      <c r="H1078" s="89">
        <v>173895000</v>
      </c>
      <c r="J1078" s="89">
        <v>0</v>
      </c>
      <c r="K1078" s="89">
        <f t="shared" si="296"/>
        <v>88</v>
      </c>
      <c r="L1078" s="89">
        <f t="shared" si="297"/>
        <v>112.621376</v>
      </c>
      <c r="M1078" s="89">
        <f>+SPY__2[[#This Row],[Adj Close]]</f>
        <v>102.47744</v>
      </c>
      <c r="N1078" s="89">
        <f t="shared" si="292"/>
        <v>9018.0147199999992</v>
      </c>
      <c r="O1078" s="90">
        <f t="shared" si="293"/>
        <v>-892.66636799999969</v>
      </c>
      <c r="P1078" s="93">
        <f t="shared" si="294"/>
        <v>-9.0071142444574592E-2</v>
      </c>
      <c r="Q1078" s="96"/>
      <c r="R1078" s="96"/>
      <c r="T1078" s="90">
        <f t="shared" si="288"/>
        <v>95</v>
      </c>
      <c r="U1078" s="89">
        <f t="shared" si="289"/>
        <v>103.31428490526316</v>
      </c>
      <c r="V1078" s="89">
        <f t="shared" si="290"/>
        <v>102.47744</v>
      </c>
      <c r="W1078" s="90">
        <f t="shared" si="295"/>
        <v>9735.3567999999996</v>
      </c>
      <c r="X1078" s="93">
        <f t="shared" si="291"/>
        <v>-8.0999922327346097E-3</v>
      </c>
      <c r="AB1078" s="89">
        <f t="shared" si="301"/>
        <v>195</v>
      </c>
      <c r="AC1078" s="89">
        <f t="shared" si="302"/>
        <v>51.179276000000002</v>
      </c>
      <c r="AD1078" s="89">
        <f t="shared" si="303"/>
        <v>102.47744</v>
      </c>
      <c r="AE1078" s="89">
        <f t="shared" si="304"/>
        <v>19983.1008</v>
      </c>
      <c r="AF1078" s="90">
        <f t="shared" si="307"/>
        <v>10003.14198</v>
      </c>
      <c r="AG1078" s="93">
        <f t="shared" si="308"/>
        <v>1.0023229715090145</v>
      </c>
      <c r="AK1078" s="90">
        <f t="shared" si="305"/>
        <v>142</v>
      </c>
      <c r="AL1078" s="89">
        <f t="shared" si="306"/>
        <v>68.865979063380294</v>
      </c>
      <c r="AM1078" s="89">
        <f t="shared" si="298"/>
        <v>102.47744</v>
      </c>
      <c r="AN1078" s="90">
        <f t="shared" si="299"/>
        <v>14551.796480000001</v>
      </c>
      <c r="AO1078" s="93">
        <f t="shared" si="300"/>
        <v>0.48807061765121595</v>
      </c>
    </row>
    <row r="1079" spans="2:41" x14ac:dyDescent="0.25">
      <c r="B1079" s="91">
        <v>40914</v>
      </c>
      <c r="C1079" s="89">
        <v>128.199997</v>
      </c>
      <c r="D1079" s="89">
        <v>128.220001</v>
      </c>
      <c r="E1079" s="89">
        <v>127.290001</v>
      </c>
      <c r="F1079" s="89">
        <v>127.709999</v>
      </c>
      <c r="G1079" s="89">
        <v>102.213295</v>
      </c>
      <c r="H1079" s="89">
        <v>148050000</v>
      </c>
      <c r="J1079" s="89">
        <v>0</v>
      </c>
      <c r="K1079" s="89">
        <f t="shared" si="296"/>
        <v>88</v>
      </c>
      <c r="L1079" s="89">
        <f t="shared" si="297"/>
        <v>112.621376</v>
      </c>
      <c r="M1079" s="89">
        <f>+SPY__2[[#This Row],[Adj Close]]</f>
        <v>102.213295</v>
      </c>
      <c r="N1079" s="89">
        <f t="shared" si="292"/>
        <v>8994.7699599999996</v>
      </c>
      <c r="O1079" s="90">
        <f t="shared" si="293"/>
        <v>-915.91112799999962</v>
      </c>
      <c r="P1079" s="93">
        <f t="shared" si="294"/>
        <v>-9.2416567526221627E-2</v>
      </c>
      <c r="Q1079" s="96"/>
      <c r="R1079" s="96"/>
      <c r="T1079" s="90">
        <f t="shared" si="288"/>
        <v>95</v>
      </c>
      <c r="U1079" s="89">
        <f t="shared" si="289"/>
        <v>103.31428490526316</v>
      </c>
      <c r="V1079" s="89">
        <f t="shared" si="290"/>
        <v>102.213295</v>
      </c>
      <c r="W1079" s="90">
        <f t="shared" si="295"/>
        <v>9710.2630250000002</v>
      </c>
      <c r="X1079" s="93">
        <f t="shared" si="291"/>
        <v>-1.0656705471781991E-2</v>
      </c>
      <c r="AB1079" s="89">
        <f t="shared" si="301"/>
        <v>195</v>
      </c>
      <c r="AC1079" s="89">
        <f t="shared" si="302"/>
        <v>51.179276000000002</v>
      </c>
      <c r="AD1079" s="89">
        <f t="shared" si="303"/>
        <v>102.213295</v>
      </c>
      <c r="AE1079" s="89">
        <f t="shared" si="304"/>
        <v>19931.592525</v>
      </c>
      <c r="AF1079" s="90">
        <f t="shared" si="307"/>
        <v>9951.6337050000002</v>
      </c>
      <c r="AG1079" s="93">
        <f t="shared" si="308"/>
        <v>0.99716180041312041</v>
      </c>
      <c r="AK1079" s="90">
        <f t="shared" si="305"/>
        <v>142</v>
      </c>
      <c r="AL1079" s="89">
        <f t="shared" si="306"/>
        <v>68.865979063380294</v>
      </c>
      <c r="AM1079" s="89">
        <f t="shared" si="298"/>
        <v>102.213295</v>
      </c>
      <c r="AN1079" s="90">
        <f t="shared" si="299"/>
        <v>14514.28789</v>
      </c>
      <c r="AO1079" s="93">
        <f t="shared" si="300"/>
        <v>0.48423497916044655</v>
      </c>
    </row>
    <row r="1080" spans="2:41" x14ac:dyDescent="0.25">
      <c r="B1080" s="91">
        <v>40917</v>
      </c>
      <c r="C1080" s="89">
        <v>128</v>
      </c>
      <c r="D1080" s="89">
        <v>128.179993</v>
      </c>
      <c r="E1080" s="89">
        <v>127.410004</v>
      </c>
      <c r="F1080" s="89">
        <v>128.020004</v>
      </c>
      <c r="G1080" s="89">
        <v>102.461426</v>
      </c>
      <c r="H1080" s="89">
        <v>99530200</v>
      </c>
      <c r="J1080" s="89">
        <v>0</v>
      </c>
      <c r="K1080" s="89">
        <f t="shared" si="296"/>
        <v>88</v>
      </c>
      <c r="L1080" s="89">
        <f t="shared" si="297"/>
        <v>112.621376</v>
      </c>
      <c r="M1080" s="89">
        <f>+SPY__2[[#This Row],[Adj Close]]</f>
        <v>102.461426</v>
      </c>
      <c r="N1080" s="89">
        <f t="shared" si="292"/>
        <v>9016.6054880000011</v>
      </c>
      <c r="O1080" s="90">
        <f t="shared" si="293"/>
        <v>-894.07559999999955</v>
      </c>
      <c r="P1080" s="93">
        <f t="shared" si="294"/>
        <v>-9.0213335699254826E-2</v>
      </c>
      <c r="Q1080" s="96"/>
      <c r="R1080" s="96"/>
      <c r="T1080" s="90">
        <f t="shared" si="288"/>
        <v>95</v>
      </c>
      <c r="U1080" s="89">
        <f t="shared" si="289"/>
        <v>103.31428490526316</v>
      </c>
      <c r="V1080" s="89">
        <f t="shared" si="290"/>
        <v>102.461426</v>
      </c>
      <c r="W1080" s="90">
        <f t="shared" si="295"/>
        <v>9733.83547</v>
      </c>
      <c r="X1080" s="93">
        <f t="shared" si="291"/>
        <v>-8.2549949994351612E-3</v>
      </c>
      <c r="AB1080" s="89">
        <f t="shared" si="301"/>
        <v>195</v>
      </c>
      <c r="AC1080" s="89">
        <f t="shared" si="302"/>
        <v>51.179276000000002</v>
      </c>
      <c r="AD1080" s="89">
        <f t="shared" si="303"/>
        <v>102.461426</v>
      </c>
      <c r="AE1080" s="89">
        <f t="shared" si="304"/>
        <v>19979.978070000001</v>
      </c>
      <c r="AF1080" s="90">
        <f t="shared" si="307"/>
        <v>10000.019250000001</v>
      </c>
      <c r="AG1080" s="93">
        <f t="shared" si="308"/>
        <v>1.0020100714203148</v>
      </c>
      <c r="AK1080" s="90">
        <f t="shared" si="305"/>
        <v>142</v>
      </c>
      <c r="AL1080" s="89">
        <f t="shared" si="306"/>
        <v>68.865979063380294</v>
      </c>
      <c r="AM1080" s="89">
        <f t="shared" si="298"/>
        <v>102.461426</v>
      </c>
      <c r="AN1080" s="90">
        <f t="shared" si="299"/>
        <v>14549.522492</v>
      </c>
      <c r="AO1080" s="93">
        <f t="shared" si="300"/>
        <v>0.48783807902738729</v>
      </c>
    </row>
    <row r="1081" spans="2:41" x14ac:dyDescent="0.25">
      <c r="B1081" s="91">
        <v>40918</v>
      </c>
      <c r="C1081" s="89">
        <v>129.38999899999999</v>
      </c>
      <c r="D1081" s="89">
        <v>129.64999399999999</v>
      </c>
      <c r="E1081" s="89">
        <v>128.949997</v>
      </c>
      <c r="F1081" s="89">
        <v>129.13000500000001</v>
      </c>
      <c r="G1081" s="89">
        <v>103.3498</v>
      </c>
      <c r="H1081" s="89">
        <v>115282000</v>
      </c>
      <c r="J1081" s="89">
        <v>0</v>
      </c>
      <c r="K1081" s="89">
        <f t="shared" si="296"/>
        <v>88</v>
      </c>
      <c r="L1081" s="89">
        <f t="shared" si="297"/>
        <v>112.621376</v>
      </c>
      <c r="M1081" s="89">
        <f>+SPY__2[[#This Row],[Adj Close]]</f>
        <v>103.3498</v>
      </c>
      <c r="N1081" s="89">
        <f t="shared" si="292"/>
        <v>9094.7824000000001</v>
      </c>
      <c r="O1081" s="90">
        <f t="shared" si="293"/>
        <v>-815.89868799999965</v>
      </c>
      <c r="P1081" s="93">
        <f t="shared" si="294"/>
        <v>-8.2325188426040863E-2</v>
      </c>
      <c r="Q1081" s="96"/>
      <c r="R1081" s="96"/>
      <c r="T1081" s="90">
        <f t="shared" si="288"/>
        <v>95</v>
      </c>
      <c r="U1081" s="89">
        <f t="shared" si="289"/>
        <v>103.31428490526316</v>
      </c>
      <c r="V1081" s="89">
        <f t="shared" si="290"/>
        <v>103.3498</v>
      </c>
      <c r="W1081" s="90">
        <f t="shared" si="295"/>
        <v>9818.2309999999998</v>
      </c>
      <c r="X1081" s="93">
        <f t="shared" si="291"/>
        <v>3.437578333858049E-4</v>
      </c>
      <c r="AB1081" s="89">
        <f t="shared" si="301"/>
        <v>195</v>
      </c>
      <c r="AC1081" s="89">
        <f t="shared" si="302"/>
        <v>51.179276000000002</v>
      </c>
      <c r="AD1081" s="89">
        <f t="shared" si="303"/>
        <v>103.3498</v>
      </c>
      <c r="AE1081" s="89">
        <f t="shared" si="304"/>
        <v>20153.210999999999</v>
      </c>
      <c r="AF1081" s="90">
        <f t="shared" si="307"/>
        <v>10173.252179999999</v>
      </c>
      <c r="AG1081" s="93">
        <f t="shared" si="308"/>
        <v>1.0193681520621745</v>
      </c>
      <c r="AK1081" s="90">
        <f t="shared" si="305"/>
        <v>142</v>
      </c>
      <c r="AL1081" s="89">
        <f t="shared" si="306"/>
        <v>68.865979063380294</v>
      </c>
      <c r="AM1081" s="89">
        <f t="shared" si="298"/>
        <v>103.3498</v>
      </c>
      <c r="AN1081" s="90">
        <f t="shared" si="299"/>
        <v>14675.6716</v>
      </c>
      <c r="AO1081" s="93">
        <f t="shared" si="300"/>
        <v>0.50073812070373358</v>
      </c>
    </row>
    <row r="1082" spans="2:41" x14ac:dyDescent="0.25">
      <c r="B1082" s="91">
        <v>40919</v>
      </c>
      <c r="C1082" s="89">
        <v>128.729996</v>
      </c>
      <c r="D1082" s="89">
        <v>129.36999499999999</v>
      </c>
      <c r="E1082" s="89">
        <v>128.520004</v>
      </c>
      <c r="F1082" s="89">
        <v>129.199997</v>
      </c>
      <c r="G1082" s="89">
        <v>103.405861</v>
      </c>
      <c r="H1082" s="89">
        <v>111540700</v>
      </c>
      <c r="J1082" s="89">
        <v>0</v>
      </c>
      <c r="K1082" s="89">
        <f t="shared" si="296"/>
        <v>88</v>
      </c>
      <c r="L1082" s="89">
        <f t="shared" si="297"/>
        <v>112.621376</v>
      </c>
      <c r="M1082" s="89">
        <f>+SPY__2[[#This Row],[Adj Close]]</f>
        <v>103.405861</v>
      </c>
      <c r="N1082" s="89">
        <f t="shared" si="292"/>
        <v>9099.715768</v>
      </c>
      <c r="O1082" s="90">
        <f t="shared" si="293"/>
        <v>-810.96531999999968</v>
      </c>
      <c r="P1082" s="93">
        <f t="shared" si="294"/>
        <v>-8.1827405482951976E-2</v>
      </c>
      <c r="Q1082" s="96"/>
      <c r="R1082" s="96"/>
      <c r="T1082" s="90">
        <f t="shared" si="288"/>
        <v>95</v>
      </c>
      <c r="U1082" s="89">
        <f t="shared" si="289"/>
        <v>103.31428490526316</v>
      </c>
      <c r="V1082" s="89">
        <f t="shared" si="290"/>
        <v>103.405861</v>
      </c>
      <c r="W1082" s="90">
        <f t="shared" si="295"/>
        <v>9823.5567950000004</v>
      </c>
      <c r="X1082" s="93">
        <f t="shared" si="291"/>
        <v>8.8638366728099882E-4</v>
      </c>
      <c r="AB1082" s="89">
        <f t="shared" si="301"/>
        <v>195</v>
      </c>
      <c r="AC1082" s="89">
        <f t="shared" si="302"/>
        <v>51.179276000000002</v>
      </c>
      <c r="AD1082" s="89">
        <f t="shared" si="303"/>
        <v>103.405861</v>
      </c>
      <c r="AE1082" s="89">
        <f t="shared" si="304"/>
        <v>20164.142895000001</v>
      </c>
      <c r="AF1082" s="90">
        <f t="shared" si="307"/>
        <v>10184.184074999999</v>
      </c>
      <c r="AG1082" s="93">
        <f t="shared" si="308"/>
        <v>1.0204635368425299</v>
      </c>
      <c r="AK1082" s="90">
        <f t="shared" si="305"/>
        <v>142</v>
      </c>
      <c r="AL1082" s="89">
        <f t="shared" si="306"/>
        <v>68.865979063380294</v>
      </c>
      <c r="AM1082" s="89">
        <f t="shared" si="298"/>
        <v>103.405861</v>
      </c>
      <c r="AN1082" s="90">
        <f t="shared" si="299"/>
        <v>14683.632262000001</v>
      </c>
      <c r="AO1082" s="93">
        <f t="shared" si="300"/>
        <v>0.50155218013863134</v>
      </c>
    </row>
    <row r="1083" spans="2:41" x14ac:dyDescent="0.25">
      <c r="B1083" s="91">
        <v>40920</v>
      </c>
      <c r="C1083" s="89">
        <v>129.570007</v>
      </c>
      <c r="D1083" s="89">
        <v>129.699997</v>
      </c>
      <c r="E1083" s="89">
        <v>128.53999300000001</v>
      </c>
      <c r="F1083" s="89">
        <v>129.509995</v>
      </c>
      <c r="G1083" s="89">
        <v>103.653938</v>
      </c>
      <c r="H1083" s="89">
        <v>118983700</v>
      </c>
      <c r="J1083" s="89">
        <v>0</v>
      </c>
      <c r="K1083" s="89">
        <f t="shared" si="296"/>
        <v>88</v>
      </c>
      <c r="L1083" s="89">
        <f t="shared" si="297"/>
        <v>112.621376</v>
      </c>
      <c r="M1083" s="89">
        <f>+SPY__2[[#This Row],[Adj Close]]</f>
        <v>103.653938</v>
      </c>
      <c r="N1083" s="89">
        <f t="shared" si="292"/>
        <v>9121.5465439999989</v>
      </c>
      <c r="O1083" s="90">
        <f t="shared" si="293"/>
        <v>-789.13454400000012</v>
      </c>
      <c r="P1083" s="93">
        <f t="shared" si="294"/>
        <v>-7.9624653138672397E-2</v>
      </c>
      <c r="Q1083" s="96"/>
      <c r="R1083" s="96"/>
      <c r="T1083" s="90">
        <f t="shared" si="288"/>
        <v>95</v>
      </c>
      <c r="U1083" s="89">
        <f t="shared" si="289"/>
        <v>103.31428490526316</v>
      </c>
      <c r="V1083" s="89">
        <f t="shared" si="290"/>
        <v>103.653938</v>
      </c>
      <c r="W1083" s="90">
        <f t="shared" si="295"/>
        <v>9847.1241099999988</v>
      </c>
      <c r="X1083" s="93">
        <f t="shared" si="291"/>
        <v>3.287571462632588E-3</v>
      </c>
      <c r="AB1083" s="89">
        <f t="shared" si="301"/>
        <v>195</v>
      </c>
      <c r="AC1083" s="89">
        <f t="shared" si="302"/>
        <v>51.179276000000002</v>
      </c>
      <c r="AD1083" s="89">
        <f t="shared" si="303"/>
        <v>103.653938</v>
      </c>
      <c r="AE1083" s="89">
        <f t="shared" si="304"/>
        <v>20212.517909999999</v>
      </c>
      <c r="AF1083" s="90">
        <f t="shared" si="307"/>
        <v>10232.559089999999</v>
      </c>
      <c r="AG1083" s="93">
        <f t="shared" si="308"/>
        <v>1.0253107527351499</v>
      </c>
      <c r="AK1083" s="90">
        <f t="shared" si="305"/>
        <v>142</v>
      </c>
      <c r="AL1083" s="89">
        <f t="shared" si="306"/>
        <v>68.865979063380294</v>
      </c>
      <c r="AM1083" s="89">
        <f t="shared" si="298"/>
        <v>103.653938</v>
      </c>
      <c r="AN1083" s="90">
        <f t="shared" si="299"/>
        <v>14718.859195999999</v>
      </c>
      <c r="AO1083" s="93">
        <f t="shared" si="300"/>
        <v>0.50515449587383143</v>
      </c>
    </row>
    <row r="1084" spans="2:41" x14ac:dyDescent="0.25">
      <c r="B1084" s="91">
        <v>40921</v>
      </c>
      <c r="C1084" s="89">
        <v>128.63999899999999</v>
      </c>
      <c r="D1084" s="89">
        <v>129.050003</v>
      </c>
      <c r="E1084" s="89">
        <v>127.720001</v>
      </c>
      <c r="F1084" s="89">
        <v>128.83999600000001</v>
      </c>
      <c r="G1084" s="89">
        <v>103.117722</v>
      </c>
      <c r="H1084" s="89">
        <v>179836200</v>
      </c>
      <c r="J1084" s="89">
        <v>0</v>
      </c>
      <c r="K1084" s="89">
        <f t="shared" si="296"/>
        <v>88</v>
      </c>
      <c r="L1084" s="89">
        <f t="shared" si="297"/>
        <v>112.621376</v>
      </c>
      <c r="M1084" s="89">
        <f>+SPY__2[[#This Row],[Adj Close]]</f>
        <v>103.117722</v>
      </c>
      <c r="N1084" s="89">
        <f t="shared" si="292"/>
        <v>9074.3595359999999</v>
      </c>
      <c r="O1084" s="90">
        <f t="shared" si="293"/>
        <v>-836.32155199999977</v>
      </c>
      <c r="P1084" s="93">
        <f t="shared" si="294"/>
        <v>-8.438588070527564E-2</v>
      </c>
      <c r="Q1084" s="96"/>
      <c r="R1084" s="96"/>
      <c r="T1084" s="90">
        <f t="shared" si="288"/>
        <v>95</v>
      </c>
      <c r="U1084" s="89">
        <f t="shared" si="289"/>
        <v>103.31428490526316</v>
      </c>
      <c r="V1084" s="89">
        <f t="shared" si="290"/>
        <v>103.117722</v>
      </c>
      <c r="W1084" s="90">
        <f t="shared" si="295"/>
        <v>9796.1835900000005</v>
      </c>
      <c r="X1084" s="93">
        <f t="shared" si="291"/>
        <v>-1.9025723833194785E-3</v>
      </c>
      <c r="AB1084" s="89">
        <f t="shared" si="301"/>
        <v>195</v>
      </c>
      <c r="AC1084" s="89">
        <f t="shared" si="302"/>
        <v>51.179276000000002</v>
      </c>
      <c r="AD1084" s="89">
        <f t="shared" si="303"/>
        <v>103.117722</v>
      </c>
      <c r="AE1084" s="89">
        <f t="shared" si="304"/>
        <v>20107.95579</v>
      </c>
      <c r="AF1084" s="90">
        <f t="shared" si="307"/>
        <v>10127.99697</v>
      </c>
      <c r="AG1084" s="93">
        <f t="shared" si="308"/>
        <v>1.0148335431708726</v>
      </c>
      <c r="AK1084" s="90">
        <f t="shared" si="305"/>
        <v>142</v>
      </c>
      <c r="AL1084" s="89">
        <f t="shared" si="306"/>
        <v>68.865979063380294</v>
      </c>
      <c r="AM1084" s="89">
        <f t="shared" si="298"/>
        <v>103.117722</v>
      </c>
      <c r="AN1084" s="90">
        <f t="shared" si="299"/>
        <v>14642.716523999999</v>
      </c>
      <c r="AO1084" s="93">
        <f t="shared" si="300"/>
        <v>0.49736812577798939</v>
      </c>
    </row>
    <row r="1085" spans="2:41" x14ac:dyDescent="0.25">
      <c r="B1085" s="91">
        <v>40925</v>
      </c>
      <c r="C1085" s="89">
        <v>130.08000200000001</v>
      </c>
      <c r="D1085" s="89">
        <v>130.320007</v>
      </c>
      <c r="E1085" s="89">
        <v>128.89999399999999</v>
      </c>
      <c r="F1085" s="89">
        <v>129.33999600000001</v>
      </c>
      <c r="G1085" s="89">
        <v>103.517883</v>
      </c>
      <c r="H1085" s="89">
        <v>132209200</v>
      </c>
      <c r="J1085" s="89">
        <v>0</v>
      </c>
      <c r="K1085" s="89">
        <f t="shared" si="296"/>
        <v>88</v>
      </c>
      <c r="L1085" s="89">
        <f t="shared" si="297"/>
        <v>112.621376</v>
      </c>
      <c r="M1085" s="89">
        <f>+SPY__2[[#This Row],[Adj Close]]</f>
        <v>103.517883</v>
      </c>
      <c r="N1085" s="89">
        <f t="shared" si="292"/>
        <v>9109.5737040000004</v>
      </c>
      <c r="O1085" s="90">
        <f t="shared" si="293"/>
        <v>-801.10738400000002</v>
      </c>
      <c r="P1085" s="93">
        <f t="shared" si="294"/>
        <v>-8.0832727527676451E-2</v>
      </c>
      <c r="Q1085" s="96"/>
      <c r="R1085" s="96"/>
      <c r="T1085" s="90">
        <f t="shared" si="288"/>
        <v>95</v>
      </c>
      <c r="U1085" s="89">
        <f t="shared" si="289"/>
        <v>103.31428490526316</v>
      </c>
      <c r="V1085" s="89">
        <f t="shared" si="290"/>
        <v>103.517883</v>
      </c>
      <c r="W1085" s="90">
        <f t="shared" si="295"/>
        <v>9834.1988849999998</v>
      </c>
      <c r="X1085" s="93">
        <f t="shared" si="291"/>
        <v>1.970667414709748E-3</v>
      </c>
      <c r="AB1085" s="89">
        <f t="shared" si="301"/>
        <v>195</v>
      </c>
      <c r="AC1085" s="89">
        <f t="shared" si="302"/>
        <v>51.179276000000002</v>
      </c>
      <c r="AD1085" s="89">
        <f t="shared" si="303"/>
        <v>103.517883</v>
      </c>
      <c r="AE1085" s="89">
        <f t="shared" si="304"/>
        <v>20185.987184999998</v>
      </c>
      <c r="AF1085" s="90">
        <f t="shared" si="307"/>
        <v>10206.028365</v>
      </c>
      <c r="AG1085" s="93">
        <f t="shared" si="308"/>
        <v>1.0226523524873623</v>
      </c>
      <c r="AK1085" s="90">
        <f t="shared" si="305"/>
        <v>142</v>
      </c>
      <c r="AL1085" s="89">
        <f t="shared" si="306"/>
        <v>68.865979063380294</v>
      </c>
      <c r="AM1085" s="89">
        <f t="shared" si="298"/>
        <v>103.517883</v>
      </c>
      <c r="AN1085" s="90">
        <f t="shared" si="299"/>
        <v>14699.539386</v>
      </c>
      <c r="AO1085" s="93">
        <f t="shared" si="300"/>
        <v>0.50317884691261106</v>
      </c>
    </row>
    <row r="1086" spans="2:41" x14ac:dyDescent="0.25">
      <c r="B1086" s="91">
        <v>40926</v>
      </c>
      <c r="C1086" s="89">
        <v>129.30999800000001</v>
      </c>
      <c r="D1086" s="89">
        <v>130.83999600000001</v>
      </c>
      <c r="E1086" s="89">
        <v>129.08000200000001</v>
      </c>
      <c r="F1086" s="89">
        <v>130.770004</v>
      </c>
      <c r="G1086" s="89">
        <v>104.66239899999999</v>
      </c>
      <c r="H1086" s="89">
        <v>163395200</v>
      </c>
      <c r="J1086" s="89">
        <v>0</v>
      </c>
      <c r="K1086" s="89">
        <f t="shared" si="296"/>
        <v>88</v>
      </c>
      <c r="L1086" s="89">
        <f t="shared" si="297"/>
        <v>112.621376</v>
      </c>
      <c r="M1086" s="89">
        <f>+SPY__2[[#This Row],[Adj Close]]</f>
        <v>104.66239899999999</v>
      </c>
      <c r="N1086" s="89">
        <f t="shared" si="292"/>
        <v>9210.291111999999</v>
      </c>
      <c r="O1086" s="90">
        <f t="shared" si="293"/>
        <v>-700.38997600000039</v>
      </c>
      <c r="P1086" s="93">
        <f t="shared" si="294"/>
        <v>-7.0670216282919585E-2</v>
      </c>
      <c r="Q1086" s="96"/>
      <c r="R1086" s="96"/>
      <c r="T1086" s="90">
        <f t="shared" si="288"/>
        <v>95</v>
      </c>
      <c r="U1086" s="89">
        <f t="shared" si="289"/>
        <v>103.31428490526316</v>
      </c>
      <c r="V1086" s="89">
        <f t="shared" si="290"/>
        <v>104.66239899999999</v>
      </c>
      <c r="W1086" s="90">
        <f t="shared" si="295"/>
        <v>9942.9279049999986</v>
      </c>
      <c r="X1086" s="98">
        <f t="shared" si="291"/>
        <v>1.304867082004213E-2</v>
      </c>
      <c r="AB1086" s="89">
        <f t="shared" si="301"/>
        <v>195</v>
      </c>
      <c r="AC1086" s="89">
        <f t="shared" si="302"/>
        <v>51.179276000000002</v>
      </c>
      <c r="AD1086" s="89">
        <f t="shared" si="303"/>
        <v>104.66239899999999</v>
      </c>
      <c r="AE1086" s="89">
        <f t="shared" si="304"/>
        <v>20409.167804999997</v>
      </c>
      <c r="AF1086" s="90">
        <f t="shared" si="307"/>
        <v>10429.208984999999</v>
      </c>
      <c r="AG1086" s="93">
        <f t="shared" si="308"/>
        <v>1.0450152323374016</v>
      </c>
      <c r="AK1086" s="90">
        <f t="shared" si="305"/>
        <v>142</v>
      </c>
      <c r="AL1086" s="89">
        <f t="shared" si="306"/>
        <v>68.865979063380294</v>
      </c>
      <c r="AM1086" s="89">
        <f t="shared" si="298"/>
        <v>104.66239899999999</v>
      </c>
      <c r="AN1086" s="90">
        <f t="shared" si="299"/>
        <v>14862.060657999999</v>
      </c>
      <c r="AO1086" s="93">
        <f t="shared" si="300"/>
        <v>0.51979831585164482</v>
      </c>
    </row>
    <row r="1087" spans="2:41" x14ac:dyDescent="0.25">
      <c r="B1087" s="91">
        <v>40927</v>
      </c>
      <c r="C1087" s="89">
        <v>131.220001</v>
      </c>
      <c r="D1087" s="89">
        <v>131.570007</v>
      </c>
      <c r="E1087" s="89">
        <v>130.800003</v>
      </c>
      <c r="F1087" s="89">
        <v>131.46000699999999</v>
      </c>
      <c r="G1087" s="89">
        <v>105.214653</v>
      </c>
      <c r="H1087" s="89">
        <v>126328900</v>
      </c>
      <c r="J1087" s="89">
        <v>0</v>
      </c>
      <c r="K1087" s="89">
        <f t="shared" si="296"/>
        <v>88</v>
      </c>
      <c r="L1087" s="89">
        <f t="shared" si="297"/>
        <v>112.621376</v>
      </c>
      <c r="M1087" s="89">
        <f>+SPY__2[[#This Row],[Adj Close]]</f>
        <v>105.214653</v>
      </c>
      <c r="N1087" s="89">
        <f t="shared" si="292"/>
        <v>9258.8894639999999</v>
      </c>
      <c r="O1087" s="90">
        <f t="shared" si="293"/>
        <v>-651.79162399999996</v>
      </c>
      <c r="P1087" s="93">
        <f t="shared" si="294"/>
        <v>-6.5766582358219416E-2</v>
      </c>
      <c r="Q1087" s="96"/>
      <c r="R1087" s="96"/>
      <c r="T1087" s="90">
        <f t="shared" si="288"/>
        <v>95</v>
      </c>
      <c r="U1087" s="89">
        <f t="shared" si="289"/>
        <v>103.31428490526316</v>
      </c>
      <c r="V1087" s="89">
        <f t="shared" si="290"/>
        <v>105.214653</v>
      </c>
      <c r="W1087" s="90">
        <f t="shared" si="295"/>
        <v>9995.3920350000008</v>
      </c>
      <c r="X1087" s="98">
        <f t="shared" si="291"/>
        <v>1.8394049733581719E-2</v>
      </c>
      <c r="AB1087" s="89">
        <f t="shared" si="301"/>
        <v>195</v>
      </c>
      <c r="AC1087" s="89">
        <f t="shared" si="302"/>
        <v>51.179276000000002</v>
      </c>
      <c r="AD1087" s="89">
        <f t="shared" si="303"/>
        <v>105.214653</v>
      </c>
      <c r="AE1087" s="89">
        <f t="shared" si="304"/>
        <v>20516.857335000001</v>
      </c>
      <c r="AF1087" s="90">
        <f t="shared" si="307"/>
        <v>10536.898514999999</v>
      </c>
      <c r="AG1087" s="93">
        <f t="shared" si="308"/>
        <v>1.0558058109301895</v>
      </c>
      <c r="AK1087" s="90">
        <f t="shared" si="305"/>
        <v>142</v>
      </c>
      <c r="AL1087" s="89">
        <f t="shared" si="306"/>
        <v>68.865979063380294</v>
      </c>
      <c r="AM1087" s="89">
        <f t="shared" si="298"/>
        <v>105.214653</v>
      </c>
      <c r="AN1087" s="90">
        <f t="shared" si="299"/>
        <v>14940.480726</v>
      </c>
      <c r="AO1087" s="93">
        <f t="shared" si="300"/>
        <v>0.5278175730743111</v>
      </c>
    </row>
    <row r="1088" spans="2:41" x14ac:dyDescent="0.25">
      <c r="B1088" s="91">
        <v>40928</v>
      </c>
      <c r="C1088" s="89">
        <v>131.240005</v>
      </c>
      <c r="D1088" s="89">
        <v>131.949997</v>
      </c>
      <c r="E1088" s="89">
        <v>130.91999799999999</v>
      </c>
      <c r="F1088" s="89">
        <v>131.949997</v>
      </c>
      <c r="G1088" s="89">
        <v>105.60681200000001</v>
      </c>
      <c r="H1088" s="89">
        <v>138230200</v>
      </c>
      <c r="J1088" s="89">
        <v>0</v>
      </c>
      <c r="K1088" s="89">
        <f t="shared" si="296"/>
        <v>88</v>
      </c>
      <c r="L1088" s="89">
        <f t="shared" si="297"/>
        <v>112.621376</v>
      </c>
      <c r="M1088" s="89">
        <f>+SPY__2[[#This Row],[Adj Close]]</f>
        <v>105.60681200000001</v>
      </c>
      <c r="N1088" s="89">
        <f t="shared" si="292"/>
        <v>9293.399456000001</v>
      </c>
      <c r="O1088" s="90">
        <f t="shared" si="293"/>
        <v>-617.28163199999938</v>
      </c>
      <c r="P1088" s="93">
        <f t="shared" si="294"/>
        <v>-6.2284481411415071E-2</v>
      </c>
      <c r="Q1088" s="96"/>
      <c r="R1088" s="96"/>
      <c r="T1088" s="90">
        <f t="shared" si="288"/>
        <v>95</v>
      </c>
      <c r="U1088" s="89">
        <f t="shared" si="289"/>
        <v>103.31428490526316</v>
      </c>
      <c r="V1088" s="89">
        <f t="shared" si="290"/>
        <v>105.60681200000001</v>
      </c>
      <c r="W1088" s="90">
        <f t="shared" si="295"/>
        <v>10032.647140000001</v>
      </c>
      <c r="X1088" s="98">
        <f t="shared" si="291"/>
        <v>2.2189836544278974E-2</v>
      </c>
      <c r="AB1088" s="89">
        <f t="shared" si="301"/>
        <v>195</v>
      </c>
      <c r="AC1088" s="89">
        <f t="shared" si="302"/>
        <v>51.179276000000002</v>
      </c>
      <c r="AD1088" s="89">
        <f t="shared" si="303"/>
        <v>105.60681200000001</v>
      </c>
      <c r="AE1088" s="89">
        <f t="shared" si="304"/>
        <v>20593.32834</v>
      </c>
      <c r="AF1088" s="90">
        <f t="shared" si="307"/>
        <v>10613.36952</v>
      </c>
      <c r="AG1088" s="93">
        <f t="shared" si="308"/>
        <v>1.0634682678981235</v>
      </c>
      <c r="AK1088" s="90">
        <f t="shared" si="305"/>
        <v>142</v>
      </c>
      <c r="AL1088" s="89">
        <f t="shared" si="306"/>
        <v>68.865979063380294</v>
      </c>
      <c r="AM1088" s="89">
        <f t="shared" si="298"/>
        <v>105.60681200000001</v>
      </c>
      <c r="AN1088" s="90">
        <f t="shared" si="299"/>
        <v>14996.167304000001</v>
      </c>
      <c r="AO1088" s="93">
        <f t="shared" si="300"/>
        <v>0.5335120975018095</v>
      </c>
    </row>
    <row r="1089" spans="2:41" x14ac:dyDescent="0.25">
      <c r="B1089" s="91">
        <v>40931</v>
      </c>
      <c r="C1089" s="89">
        <v>131.509995</v>
      </c>
      <c r="D1089" s="89">
        <v>132.25</v>
      </c>
      <c r="E1089" s="89">
        <v>130.979996</v>
      </c>
      <c r="F1089" s="89">
        <v>131.61000100000001</v>
      </c>
      <c r="G1089" s="89">
        <v>105.334694</v>
      </c>
      <c r="H1089" s="89">
        <v>129295800</v>
      </c>
      <c r="J1089" s="89">
        <v>0</v>
      </c>
      <c r="K1089" s="89">
        <f t="shared" si="296"/>
        <v>88</v>
      </c>
      <c r="L1089" s="89">
        <f t="shared" si="297"/>
        <v>112.621376</v>
      </c>
      <c r="M1089" s="89">
        <f>+SPY__2[[#This Row],[Adj Close]]</f>
        <v>105.334694</v>
      </c>
      <c r="N1089" s="89">
        <f t="shared" si="292"/>
        <v>9269.4530720000002</v>
      </c>
      <c r="O1089" s="90">
        <f t="shared" si="293"/>
        <v>-641.22801599999991</v>
      </c>
      <c r="P1089" s="93">
        <f t="shared" si="294"/>
        <v>-6.4700701223895485E-2</v>
      </c>
      <c r="Q1089" s="96"/>
      <c r="R1089" s="96"/>
      <c r="T1089" s="90">
        <f t="shared" si="288"/>
        <v>95</v>
      </c>
      <c r="U1089" s="89">
        <f t="shared" si="289"/>
        <v>103.31428490526316</v>
      </c>
      <c r="V1089" s="89">
        <f t="shared" si="290"/>
        <v>105.334694</v>
      </c>
      <c r="W1089" s="90">
        <f t="shared" si="295"/>
        <v>10006.79593</v>
      </c>
      <c r="X1089" s="98">
        <f t="shared" si="291"/>
        <v>1.9555951014804007E-2</v>
      </c>
      <c r="AB1089" s="89">
        <f t="shared" si="301"/>
        <v>195</v>
      </c>
      <c r="AC1089" s="89">
        <f t="shared" si="302"/>
        <v>51.179276000000002</v>
      </c>
      <c r="AD1089" s="89">
        <f t="shared" si="303"/>
        <v>105.334694</v>
      </c>
      <c r="AE1089" s="89">
        <f t="shared" si="304"/>
        <v>20540.265329999998</v>
      </c>
      <c r="AF1089" s="90">
        <f t="shared" si="307"/>
        <v>10560.30651</v>
      </c>
      <c r="AG1089" s="93">
        <f t="shared" si="308"/>
        <v>1.0581513110892775</v>
      </c>
      <c r="AK1089" s="90">
        <f t="shared" si="305"/>
        <v>142</v>
      </c>
      <c r="AL1089" s="89">
        <f t="shared" si="306"/>
        <v>68.865979063380294</v>
      </c>
      <c r="AM1089" s="89">
        <f t="shared" si="298"/>
        <v>105.334694</v>
      </c>
      <c r="AN1089" s="90">
        <f t="shared" si="299"/>
        <v>14957.526548</v>
      </c>
      <c r="AO1089" s="93">
        <f t="shared" si="300"/>
        <v>0.52956068341170326</v>
      </c>
    </row>
    <row r="1090" spans="2:41" x14ac:dyDescent="0.25">
      <c r="B1090" s="91">
        <v>40932</v>
      </c>
      <c r="C1090" s="89">
        <v>130.800003</v>
      </c>
      <c r="D1090" s="89">
        <v>131.5</v>
      </c>
      <c r="E1090" s="89">
        <v>130.60000600000001</v>
      </c>
      <c r="F1090" s="89">
        <v>131.46000699999999</v>
      </c>
      <c r="G1090" s="89">
        <v>105.214653</v>
      </c>
      <c r="H1090" s="89">
        <v>103083300</v>
      </c>
      <c r="J1090" s="89">
        <v>0</v>
      </c>
      <c r="K1090" s="89">
        <f t="shared" si="296"/>
        <v>88</v>
      </c>
      <c r="L1090" s="89">
        <f t="shared" si="297"/>
        <v>112.621376</v>
      </c>
      <c r="M1090" s="89">
        <f>+SPY__2[[#This Row],[Adj Close]]</f>
        <v>105.214653</v>
      </c>
      <c r="N1090" s="89">
        <f t="shared" si="292"/>
        <v>9258.8894639999999</v>
      </c>
      <c r="O1090" s="90">
        <f t="shared" si="293"/>
        <v>-651.79162399999996</v>
      </c>
      <c r="P1090" s="93">
        <f t="shared" si="294"/>
        <v>-6.5766582358219416E-2</v>
      </c>
      <c r="Q1090" s="96"/>
      <c r="R1090" s="96"/>
      <c r="T1090" s="90">
        <f t="shared" ref="T1090:T1153" si="309">+T1089</f>
        <v>95</v>
      </c>
      <c r="U1090" s="89">
        <f t="shared" ref="U1090:U1153" si="310">+U1089</f>
        <v>103.31428490526316</v>
      </c>
      <c r="V1090" s="89">
        <f t="shared" si="290"/>
        <v>105.214653</v>
      </c>
      <c r="W1090" s="90">
        <f t="shared" si="295"/>
        <v>9995.3920350000008</v>
      </c>
      <c r="X1090" s="98">
        <f t="shared" si="291"/>
        <v>1.8394049733581719E-2</v>
      </c>
      <c r="AB1090" s="89">
        <f t="shared" si="301"/>
        <v>195</v>
      </c>
      <c r="AC1090" s="89">
        <f t="shared" si="302"/>
        <v>51.179276000000002</v>
      </c>
      <c r="AD1090" s="89">
        <f t="shared" si="303"/>
        <v>105.214653</v>
      </c>
      <c r="AE1090" s="89">
        <f t="shared" si="304"/>
        <v>20516.857335000001</v>
      </c>
      <c r="AF1090" s="90">
        <f t="shared" si="307"/>
        <v>10536.898514999999</v>
      </c>
      <c r="AG1090" s="93">
        <f t="shared" si="308"/>
        <v>1.0558058109301895</v>
      </c>
      <c r="AK1090" s="90">
        <f t="shared" si="305"/>
        <v>142</v>
      </c>
      <c r="AL1090" s="89">
        <f t="shared" si="306"/>
        <v>68.865979063380294</v>
      </c>
      <c r="AM1090" s="89">
        <f t="shared" si="298"/>
        <v>105.214653</v>
      </c>
      <c r="AN1090" s="90">
        <f t="shared" si="299"/>
        <v>14940.480726</v>
      </c>
      <c r="AO1090" s="93">
        <f t="shared" si="300"/>
        <v>0.5278175730743111</v>
      </c>
    </row>
    <row r="1091" spans="2:41" x14ac:dyDescent="0.25">
      <c r="B1091" s="91">
        <v>40933</v>
      </c>
      <c r="C1091" s="89">
        <v>131.259995</v>
      </c>
      <c r="D1091" s="89">
        <v>132.86999499999999</v>
      </c>
      <c r="E1091" s="89">
        <v>130.75</v>
      </c>
      <c r="F1091" s="89">
        <v>132.55999800000001</v>
      </c>
      <c r="G1091" s="89">
        <v>106.095024</v>
      </c>
      <c r="H1091" s="89">
        <v>198613200</v>
      </c>
      <c r="J1091" s="89">
        <v>0</v>
      </c>
      <c r="K1091" s="89">
        <f t="shared" si="296"/>
        <v>88</v>
      </c>
      <c r="L1091" s="89">
        <f t="shared" si="297"/>
        <v>112.621376</v>
      </c>
      <c r="M1091" s="89">
        <f>+SPY__2[[#This Row],[Adj Close]]</f>
        <v>106.095024</v>
      </c>
      <c r="N1091" s="89">
        <f t="shared" si="292"/>
        <v>9336.3621119999989</v>
      </c>
      <c r="O1091" s="90">
        <f t="shared" si="293"/>
        <v>-574.31897600000025</v>
      </c>
      <c r="P1091" s="93">
        <f t="shared" si="294"/>
        <v>-5.7949496195109584E-2</v>
      </c>
      <c r="Q1091" s="96"/>
      <c r="R1091" s="96"/>
      <c r="T1091" s="90">
        <f t="shared" si="309"/>
        <v>95</v>
      </c>
      <c r="U1091" s="89">
        <f t="shared" si="310"/>
        <v>103.31428490526316</v>
      </c>
      <c r="V1091" s="89">
        <f t="shared" ref="V1091:V1154" si="311">+M1091</f>
        <v>106.095024</v>
      </c>
      <c r="W1091" s="90">
        <f t="shared" si="295"/>
        <v>10079.02728</v>
      </c>
      <c r="X1091" s="98">
        <f t="shared" ref="X1091:X1154" si="312">+W1091/(U1091*T1091)-1</f>
        <v>2.6915339899866941E-2</v>
      </c>
      <c r="AB1091" s="89">
        <f t="shared" si="301"/>
        <v>195</v>
      </c>
      <c r="AC1091" s="89">
        <f t="shared" si="302"/>
        <v>51.179276000000002</v>
      </c>
      <c r="AD1091" s="89">
        <f t="shared" si="303"/>
        <v>106.095024</v>
      </c>
      <c r="AE1091" s="89">
        <f t="shared" si="304"/>
        <v>20688.52968</v>
      </c>
      <c r="AF1091" s="90">
        <f t="shared" si="307"/>
        <v>10708.570859999998</v>
      </c>
      <c r="AG1091" s="93">
        <f t="shared" si="308"/>
        <v>1.0730075196843347</v>
      </c>
      <c r="AK1091" s="90">
        <f t="shared" si="305"/>
        <v>142</v>
      </c>
      <c r="AL1091" s="89">
        <f t="shared" si="306"/>
        <v>68.865979063380294</v>
      </c>
      <c r="AM1091" s="89">
        <f t="shared" si="298"/>
        <v>106.095024</v>
      </c>
      <c r="AN1091" s="90">
        <f t="shared" si="299"/>
        <v>15065.493407999998</v>
      </c>
      <c r="AO1091" s="93">
        <f t="shared" si="300"/>
        <v>0.54060140352257569</v>
      </c>
    </row>
    <row r="1092" spans="2:41" x14ac:dyDescent="0.25">
      <c r="B1092" s="91">
        <v>40934</v>
      </c>
      <c r="C1092" s="89">
        <v>133.14999399999999</v>
      </c>
      <c r="D1092" s="89">
        <v>133.39999399999999</v>
      </c>
      <c r="E1092" s="89">
        <v>131.36000100000001</v>
      </c>
      <c r="F1092" s="89">
        <v>131.88000500000001</v>
      </c>
      <c r="G1092" s="89">
        <v>105.55078899999999</v>
      </c>
      <c r="H1092" s="89">
        <v>184880500</v>
      </c>
      <c r="J1092" s="89">
        <v>0</v>
      </c>
      <c r="K1092" s="89">
        <f t="shared" si="296"/>
        <v>88</v>
      </c>
      <c r="L1092" s="89">
        <f t="shared" si="297"/>
        <v>112.621376</v>
      </c>
      <c r="M1092" s="89">
        <f>+SPY__2[[#This Row],[Adj Close]]</f>
        <v>105.55078899999999</v>
      </c>
      <c r="N1092" s="89">
        <f t="shared" ref="N1092:N1155" si="313">+K1092*M1092</f>
        <v>9288.4694319999999</v>
      </c>
      <c r="O1092" s="90">
        <f t="shared" ref="O1092:O1155" si="314">+(M1092-L1092)*K1092</f>
        <v>-622.21165600000029</v>
      </c>
      <c r="P1092" s="93">
        <f t="shared" ref="P1092:P1155" si="315">+M1092/L1092-1</f>
        <v>-6.2781926940761235E-2</v>
      </c>
      <c r="Q1092" s="96"/>
      <c r="R1092" s="96"/>
      <c r="T1092" s="90">
        <f t="shared" si="309"/>
        <v>95</v>
      </c>
      <c r="U1092" s="89">
        <f t="shared" si="310"/>
        <v>103.31428490526316</v>
      </c>
      <c r="V1092" s="89">
        <f t="shared" si="311"/>
        <v>105.55078899999999</v>
      </c>
      <c r="W1092" s="90">
        <f t="shared" ref="W1092:W1155" si="316">+V1092*T1092</f>
        <v>10027.324955</v>
      </c>
      <c r="X1092" s="98">
        <f t="shared" si="312"/>
        <v>2.1647578520121113E-2</v>
      </c>
      <c r="AB1092" s="89">
        <f t="shared" si="301"/>
        <v>195</v>
      </c>
      <c r="AC1092" s="89">
        <f t="shared" si="302"/>
        <v>51.179276000000002</v>
      </c>
      <c r="AD1092" s="89">
        <f t="shared" si="303"/>
        <v>105.55078899999999</v>
      </c>
      <c r="AE1092" s="89">
        <f t="shared" si="304"/>
        <v>20582.403855</v>
      </c>
      <c r="AF1092" s="90">
        <f t="shared" si="307"/>
        <v>10602.445034999999</v>
      </c>
      <c r="AG1092" s="93">
        <f t="shared" si="308"/>
        <v>1.0623736256058018</v>
      </c>
      <c r="AK1092" s="90">
        <f t="shared" si="305"/>
        <v>142</v>
      </c>
      <c r="AL1092" s="89">
        <f t="shared" si="306"/>
        <v>68.865979063380294</v>
      </c>
      <c r="AM1092" s="89">
        <f t="shared" si="298"/>
        <v>105.55078899999999</v>
      </c>
      <c r="AN1092" s="90">
        <f t="shared" si="299"/>
        <v>14988.212038</v>
      </c>
      <c r="AO1092" s="93">
        <f t="shared" si="300"/>
        <v>0.53269858986332164</v>
      </c>
    </row>
    <row r="1093" spans="2:41" x14ac:dyDescent="0.25">
      <c r="B1093" s="91">
        <v>40935</v>
      </c>
      <c r="C1093" s="89">
        <v>131.240005</v>
      </c>
      <c r="D1093" s="89">
        <v>132.050003</v>
      </c>
      <c r="E1093" s="89">
        <v>131.14999399999999</v>
      </c>
      <c r="F1093" s="89">
        <v>131.820007</v>
      </c>
      <c r="G1093" s="89">
        <v>105.502769</v>
      </c>
      <c r="H1093" s="89">
        <v>135259100</v>
      </c>
      <c r="J1093" s="89">
        <v>0</v>
      </c>
      <c r="K1093" s="89">
        <f t="shared" ref="K1093:K1156" si="317">+$K$3</f>
        <v>88</v>
      </c>
      <c r="L1093" s="89">
        <f t="shared" ref="L1093:L1156" si="318">+$L$3</f>
        <v>112.621376</v>
      </c>
      <c r="M1093" s="89">
        <f>+SPY__2[[#This Row],[Adj Close]]</f>
        <v>105.502769</v>
      </c>
      <c r="N1093" s="89">
        <f t="shared" si="313"/>
        <v>9284.2436720000005</v>
      </c>
      <c r="O1093" s="90">
        <f t="shared" si="314"/>
        <v>-626.43741599999976</v>
      </c>
      <c r="P1093" s="93">
        <f t="shared" si="315"/>
        <v>-6.3208311360003266E-2</v>
      </c>
      <c r="Q1093" s="96"/>
      <c r="R1093" s="96"/>
      <c r="T1093" s="90">
        <f t="shared" si="309"/>
        <v>95</v>
      </c>
      <c r="U1093" s="89">
        <f t="shared" si="310"/>
        <v>103.31428490526316</v>
      </c>
      <c r="V1093" s="89">
        <f t="shared" si="311"/>
        <v>105.502769</v>
      </c>
      <c r="W1093" s="90">
        <f t="shared" si="316"/>
        <v>10022.763054999999</v>
      </c>
      <c r="X1093" s="98">
        <f t="shared" si="312"/>
        <v>2.1182783162498886E-2</v>
      </c>
      <c r="AB1093" s="89">
        <f t="shared" si="301"/>
        <v>195</v>
      </c>
      <c r="AC1093" s="89">
        <f t="shared" si="302"/>
        <v>51.179276000000002</v>
      </c>
      <c r="AD1093" s="89">
        <f t="shared" si="303"/>
        <v>105.502769</v>
      </c>
      <c r="AE1093" s="89">
        <f t="shared" si="304"/>
        <v>20573.039955</v>
      </c>
      <c r="AF1093" s="90">
        <f t="shared" si="307"/>
        <v>10593.081135</v>
      </c>
      <c r="AG1093" s="93">
        <f t="shared" si="308"/>
        <v>1.061435355201195</v>
      </c>
      <c r="AK1093" s="90">
        <f t="shared" si="305"/>
        <v>142</v>
      </c>
      <c r="AL1093" s="89">
        <f t="shared" si="306"/>
        <v>68.865979063380294</v>
      </c>
      <c r="AM1093" s="89">
        <f t="shared" si="298"/>
        <v>105.502769</v>
      </c>
      <c r="AN1093" s="90">
        <f t="shared" si="299"/>
        <v>14981.393198</v>
      </c>
      <c r="AO1093" s="93">
        <f t="shared" si="300"/>
        <v>0.53200129345291547</v>
      </c>
    </row>
    <row r="1094" spans="2:41" x14ac:dyDescent="0.25">
      <c r="B1094" s="91">
        <v>40938</v>
      </c>
      <c r="C1094" s="89">
        <v>130.509995</v>
      </c>
      <c r="D1094" s="89">
        <v>131.44000199999999</v>
      </c>
      <c r="E1094" s="89">
        <v>130.05999800000001</v>
      </c>
      <c r="F1094" s="89">
        <v>131.36999499999999</v>
      </c>
      <c r="G1094" s="89">
        <v>105.142601</v>
      </c>
      <c r="H1094" s="89">
        <v>147311800</v>
      </c>
      <c r="J1094" s="89">
        <v>0</v>
      </c>
      <c r="K1094" s="89">
        <f t="shared" si="317"/>
        <v>88</v>
      </c>
      <c r="L1094" s="89">
        <f t="shared" si="318"/>
        <v>112.621376</v>
      </c>
      <c r="M1094" s="89">
        <f>+SPY__2[[#This Row],[Adj Close]]</f>
        <v>105.142601</v>
      </c>
      <c r="N1094" s="89">
        <f t="shared" si="313"/>
        <v>9252.5488879999994</v>
      </c>
      <c r="O1094" s="90">
        <f t="shared" si="314"/>
        <v>-658.1321999999999</v>
      </c>
      <c r="P1094" s="93">
        <f t="shared" si="315"/>
        <v>-6.6406354331881023E-2</v>
      </c>
      <c r="Q1094" s="96"/>
      <c r="R1094" s="96"/>
      <c r="T1094" s="90">
        <f t="shared" si="309"/>
        <v>95</v>
      </c>
      <c r="U1094" s="89">
        <f t="shared" si="310"/>
        <v>103.31428490526316</v>
      </c>
      <c r="V1094" s="89">
        <f t="shared" si="311"/>
        <v>105.142601</v>
      </c>
      <c r="W1094" s="90">
        <f t="shared" si="316"/>
        <v>9988.5470949999999</v>
      </c>
      <c r="X1094" s="98">
        <f t="shared" si="312"/>
        <v>1.7696643754669061E-2</v>
      </c>
      <c r="AB1094" s="89">
        <f t="shared" si="301"/>
        <v>195</v>
      </c>
      <c r="AC1094" s="89">
        <f t="shared" si="302"/>
        <v>51.179276000000002</v>
      </c>
      <c r="AD1094" s="89">
        <f t="shared" si="303"/>
        <v>105.142601</v>
      </c>
      <c r="AE1094" s="89">
        <f t="shared" si="304"/>
        <v>20502.807195000001</v>
      </c>
      <c r="AF1094" s="90">
        <f t="shared" si="307"/>
        <v>10522.848375</v>
      </c>
      <c r="AG1094" s="93">
        <f t="shared" si="308"/>
        <v>1.0543979754617863</v>
      </c>
      <c r="AK1094" s="90">
        <f t="shared" si="305"/>
        <v>142</v>
      </c>
      <c r="AL1094" s="89">
        <f t="shared" si="306"/>
        <v>68.865979063380294</v>
      </c>
      <c r="AM1094" s="89">
        <f t="shared" si="298"/>
        <v>105.142601</v>
      </c>
      <c r="AN1094" s="90">
        <f t="shared" si="299"/>
        <v>14930.249341999999</v>
      </c>
      <c r="AO1094" s="93">
        <f t="shared" si="300"/>
        <v>0.52677130899762248</v>
      </c>
    </row>
    <row r="1095" spans="2:41" x14ac:dyDescent="0.25">
      <c r="B1095" s="91">
        <v>40939</v>
      </c>
      <c r="C1095" s="89">
        <v>132.020004</v>
      </c>
      <c r="D1095" s="89">
        <v>132.179993</v>
      </c>
      <c r="E1095" s="89">
        <v>130.679993</v>
      </c>
      <c r="F1095" s="89">
        <v>131.320007</v>
      </c>
      <c r="G1095" s="89">
        <v>105.10256200000001</v>
      </c>
      <c r="H1095" s="89">
        <v>157212000</v>
      </c>
      <c r="J1095" s="89">
        <v>0</v>
      </c>
      <c r="K1095" s="89">
        <f t="shared" si="317"/>
        <v>88</v>
      </c>
      <c r="L1095" s="89">
        <f t="shared" si="318"/>
        <v>112.621376</v>
      </c>
      <c r="M1095" s="89">
        <f>+SPY__2[[#This Row],[Adj Close]]</f>
        <v>105.10256200000001</v>
      </c>
      <c r="N1095" s="89">
        <f t="shared" si="313"/>
        <v>9249.0254560000012</v>
      </c>
      <c r="O1095" s="90">
        <f t="shared" si="314"/>
        <v>-661.65563199999929</v>
      </c>
      <c r="P1095" s="93">
        <f t="shared" si="315"/>
        <v>-6.6761872985817483E-2</v>
      </c>
      <c r="Q1095" s="96"/>
      <c r="R1095" s="96"/>
      <c r="T1095" s="90">
        <f t="shared" si="309"/>
        <v>95</v>
      </c>
      <c r="U1095" s="89">
        <f t="shared" si="310"/>
        <v>103.31428490526316</v>
      </c>
      <c r="V1095" s="89">
        <f t="shared" si="311"/>
        <v>105.10256200000001</v>
      </c>
      <c r="W1095" s="90">
        <f t="shared" si="316"/>
        <v>9984.7433900000015</v>
      </c>
      <c r="X1095" s="98">
        <f t="shared" si="312"/>
        <v>1.7309098121103705E-2</v>
      </c>
      <c r="AB1095" s="89">
        <f t="shared" si="301"/>
        <v>195</v>
      </c>
      <c r="AC1095" s="89">
        <f t="shared" si="302"/>
        <v>51.179276000000002</v>
      </c>
      <c r="AD1095" s="89">
        <f t="shared" si="303"/>
        <v>105.10256200000001</v>
      </c>
      <c r="AE1095" s="89">
        <f t="shared" si="304"/>
        <v>20494.999589999999</v>
      </c>
      <c r="AF1095" s="90">
        <f t="shared" si="307"/>
        <v>10515.040770000001</v>
      </c>
      <c r="AG1095" s="93">
        <f t="shared" si="308"/>
        <v>1.0536156470834017</v>
      </c>
      <c r="AK1095" s="90">
        <f t="shared" si="305"/>
        <v>142</v>
      </c>
      <c r="AL1095" s="89">
        <f t="shared" si="306"/>
        <v>68.865979063380294</v>
      </c>
      <c r="AM1095" s="89">
        <f t="shared" si="298"/>
        <v>105.10256200000001</v>
      </c>
      <c r="AN1095" s="90">
        <f t="shared" si="299"/>
        <v>14924.563804000001</v>
      </c>
      <c r="AO1095" s="93">
        <f t="shared" si="300"/>
        <v>0.52618990435421886</v>
      </c>
    </row>
    <row r="1096" spans="2:41" x14ac:dyDescent="0.25">
      <c r="B1096" s="91">
        <v>40940</v>
      </c>
      <c r="C1096" s="89">
        <v>132.28999300000001</v>
      </c>
      <c r="D1096" s="89">
        <v>133.13999899999999</v>
      </c>
      <c r="E1096" s="89">
        <v>132.13000500000001</v>
      </c>
      <c r="F1096" s="89">
        <v>132.470001</v>
      </c>
      <c r="G1096" s="89">
        <v>106.023003</v>
      </c>
      <c r="H1096" s="89">
        <v>166234500</v>
      </c>
      <c r="J1096" s="89">
        <v>0</v>
      </c>
      <c r="K1096" s="89">
        <f t="shared" si="317"/>
        <v>88</v>
      </c>
      <c r="L1096" s="89">
        <f t="shared" si="318"/>
        <v>112.621376</v>
      </c>
      <c r="M1096" s="89">
        <f>+SPY__2[[#This Row],[Adj Close]]</f>
        <v>106.023003</v>
      </c>
      <c r="N1096" s="89">
        <f t="shared" si="313"/>
        <v>9330.0242639999997</v>
      </c>
      <c r="O1096" s="90">
        <f t="shared" si="314"/>
        <v>-580.65682399999957</v>
      </c>
      <c r="P1096" s="93">
        <f t="shared" si="315"/>
        <v>-5.8588992910191373E-2</v>
      </c>
      <c r="Q1096" s="96"/>
      <c r="R1096" s="96"/>
      <c r="T1096" s="90">
        <f t="shared" si="309"/>
        <v>95</v>
      </c>
      <c r="U1096" s="89">
        <f t="shared" si="310"/>
        <v>103.31428490526316</v>
      </c>
      <c r="V1096" s="89">
        <f t="shared" si="311"/>
        <v>106.023003</v>
      </c>
      <c r="W1096" s="90">
        <f t="shared" si="316"/>
        <v>10072.185285</v>
      </c>
      <c r="X1096" s="98">
        <f t="shared" si="312"/>
        <v>2.6218233976266436E-2</v>
      </c>
      <c r="AB1096" s="89">
        <f t="shared" si="301"/>
        <v>195</v>
      </c>
      <c r="AC1096" s="89">
        <f t="shared" si="302"/>
        <v>51.179276000000002</v>
      </c>
      <c r="AD1096" s="89">
        <f t="shared" si="303"/>
        <v>106.023003</v>
      </c>
      <c r="AE1096" s="89">
        <f t="shared" si="304"/>
        <v>20674.485585000002</v>
      </c>
      <c r="AF1096" s="90">
        <f t="shared" si="307"/>
        <v>10694.526765000001</v>
      </c>
      <c r="AG1096" s="93">
        <f t="shared" si="308"/>
        <v>1.0716002899298536</v>
      </c>
      <c r="AK1096" s="90">
        <f t="shared" si="305"/>
        <v>142</v>
      </c>
      <c r="AL1096" s="89">
        <f t="shared" si="306"/>
        <v>68.865979063380294</v>
      </c>
      <c r="AM1096" s="89">
        <f t="shared" si="298"/>
        <v>106.023003</v>
      </c>
      <c r="AN1096" s="90">
        <f t="shared" si="299"/>
        <v>15055.266426</v>
      </c>
      <c r="AO1096" s="93">
        <f t="shared" si="300"/>
        <v>0.53955558959559013</v>
      </c>
    </row>
    <row r="1097" spans="2:41" x14ac:dyDescent="0.25">
      <c r="B1097" s="91">
        <v>40941</v>
      </c>
      <c r="C1097" s="89">
        <v>132.729996</v>
      </c>
      <c r="D1097" s="89">
        <v>133.020004</v>
      </c>
      <c r="E1097" s="89">
        <v>132.21000699999999</v>
      </c>
      <c r="F1097" s="89">
        <v>132.679993</v>
      </c>
      <c r="G1097" s="89">
        <v>106.191063</v>
      </c>
      <c r="H1097" s="89">
        <v>113090400</v>
      </c>
      <c r="J1097" s="89">
        <v>0</v>
      </c>
      <c r="K1097" s="89">
        <f t="shared" si="317"/>
        <v>88</v>
      </c>
      <c r="L1097" s="89">
        <f t="shared" si="318"/>
        <v>112.621376</v>
      </c>
      <c r="M1097" s="89">
        <f>+SPY__2[[#This Row],[Adj Close]]</f>
        <v>106.191063</v>
      </c>
      <c r="N1097" s="89">
        <f t="shared" si="313"/>
        <v>9344.8135440000005</v>
      </c>
      <c r="O1097" s="90">
        <f t="shared" si="314"/>
        <v>-565.86754399999984</v>
      </c>
      <c r="P1097" s="93">
        <f t="shared" si="315"/>
        <v>-5.7096736235934475E-2</v>
      </c>
      <c r="Q1097" s="96"/>
      <c r="R1097" s="96"/>
      <c r="T1097" s="90">
        <f t="shared" si="309"/>
        <v>95</v>
      </c>
      <c r="U1097" s="89">
        <f t="shared" si="310"/>
        <v>103.31428490526316</v>
      </c>
      <c r="V1097" s="89">
        <f t="shared" si="311"/>
        <v>106.191063</v>
      </c>
      <c r="W1097" s="90">
        <f t="shared" si="316"/>
        <v>10088.150985</v>
      </c>
      <c r="X1097" s="98">
        <f t="shared" si="312"/>
        <v>2.7844920935907069E-2</v>
      </c>
      <c r="AB1097" s="89">
        <f t="shared" si="301"/>
        <v>195</v>
      </c>
      <c r="AC1097" s="89">
        <f t="shared" si="302"/>
        <v>51.179276000000002</v>
      </c>
      <c r="AD1097" s="89">
        <f t="shared" si="303"/>
        <v>106.191063</v>
      </c>
      <c r="AE1097" s="89">
        <f t="shared" si="304"/>
        <v>20707.257285</v>
      </c>
      <c r="AF1097" s="90">
        <f t="shared" si="307"/>
        <v>10727.298465</v>
      </c>
      <c r="AG1097" s="93">
        <f t="shared" si="308"/>
        <v>1.0748840409543892</v>
      </c>
      <c r="AK1097" s="90">
        <f t="shared" si="305"/>
        <v>142</v>
      </c>
      <c r="AL1097" s="89">
        <f t="shared" si="306"/>
        <v>68.865979063380294</v>
      </c>
      <c r="AM1097" s="89">
        <f t="shared" si="298"/>
        <v>106.191063</v>
      </c>
      <c r="AN1097" s="90">
        <f t="shared" si="299"/>
        <v>15079.130945999999</v>
      </c>
      <c r="AO1097" s="93">
        <f t="shared" si="300"/>
        <v>0.54199598182243003</v>
      </c>
    </row>
    <row r="1098" spans="2:41" x14ac:dyDescent="0.25">
      <c r="B1098" s="91">
        <v>40942</v>
      </c>
      <c r="C1098" s="89">
        <v>134</v>
      </c>
      <c r="D1098" s="89">
        <v>134.61999499999999</v>
      </c>
      <c r="E1098" s="89">
        <v>133.770004</v>
      </c>
      <c r="F1098" s="89">
        <v>134.53999300000001</v>
      </c>
      <c r="G1098" s="89">
        <v>107.67974100000001</v>
      </c>
      <c r="H1098" s="89">
        <v>160598500</v>
      </c>
      <c r="J1098" s="89">
        <v>0</v>
      </c>
      <c r="K1098" s="89">
        <f t="shared" si="317"/>
        <v>88</v>
      </c>
      <c r="L1098" s="89">
        <f t="shared" si="318"/>
        <v>112.621376</v>
      </c>
      <c r="M1098" s="89">
        <f>+SPY__2[[#This Row],[Adj Close]]</f>
        <v>107.67974100000001</v>
      </c>
      <c r="N1098" s="89">
        <f t="shared" si="313"/>
        <v>9475.8172080000004</v>
      </c>
      <c r="O1098" s="90">
        <f t="shared" si="314"/>
        <v>-434.8638799999992</v>
      </c>
      <c r="P1098" s="93">
        <f t="shared" si="315"/>
        <v>-4.3878304239507671E-2</v>
      </c>
      <c r="Q1098" s="96"/>
      <c r="R1098" s="96"/>
      <c r="T1098" s="90">
        <f t="shared" si="309"/>
        <v>95</v>
      </c>
      <c r="U1098" s="89">
        <f t="shared" si="310"/>
        <v>103.31428490526316</v>
      </c>
      <c r="V1098" s="89">
        <f t="shared" si="311"/>
        <v>107.67974100000001</v>
      </c>
      <c r="W1098" s="90">
        <f t="shared" si="316"/>
        <v>10229.575395</v>
      </c>
      <c r="X1098" s="98">
        <f t="shared" si="312"/>
        <v>4.225413841599801E-2</v>
      </c>
      <c r="AB1098" s="89">
        <f t="shared" si="301"/>
        <v>195</v>
      </c>
      <c r="AC1098" s="89">
        <f t="shared" si="302"/>
        <v>51.179276000000002</v>
      </c>
      <c r="AD1098" s="89">
        <f t="shared" si="303"/>
        <v>107.67974100000001</v>
      </c>
      <c r="AE1098" s="89">
        <f t="shared" si="304"/>
        <v>20997.549495000003</v>
      </c>
      <c r="AF1098" s="90">
        <f t="shared" si="307"/>
        <v>11017.590675000001</v>
      </c>
      <c r="AG1098" s="93">
        <f t="shared" si="308"/>
        <v>1.1039715567684079</v>
      </c>
      <c r="AK1098" s="90">
        <f t="shared" si="305"/>
        <v>142</v>
      </c>
      <c r="AL1098" s="89">
        <f t="shared" si="306"/>
        <v>68.865979063380294</v>
      </c>
      <c r="AM1098" s="89">
        <f t="shared" si="298"/>
        <v>107.67974100000001</v>
      </c>
      <c r="AN1098" s="90">
        <f t="shared" si="299"/>
        <v>15290.523222000002</v>
      </c>
      <c r="AO1098" s="93">
        <f t="shared" si="300"/>
        <v>0.56361301276059361</v>
      </c>
    </row>
    <row r="1099" spans="2:41" x14ac:dyDescent="0.25">
      <c r="B1099" s="91">
        <v>40945</v>
      </c>
      <c r="C1099" s="89">
        <v>133.979996</v>
      </c>
      <c r="D1099" s="89">
        <v>134.509995</v>
      </c>
      <c r="E1099" s="89">
        <v>133.83000200000001</v>
      </c>
      <c r="F1099" s="89">
        <v>134.449997</v>
      </c>
      <c r="G1099" s="89">
        <v>107.607697</v>
      </c>
      <c r="H1099" s="89">
        <v>107694500</v>
      </c>
      <c r="J1099" s="89">
        <v>0</v>
      </c>
      <c r="K1099" s="89">
        <f t="shared" si="317"/>
        <v>88</v>
      </c>
      <c r="L1099" s="89">
        <f t="shared" si="318"/>
        <v>112.621376</v>
      </c>
      <c r="M1099" s="89">
        <f>+SPY__2[[#This Row],[Adj Close]]</f>
        <v>107.607697</v>
      </c>
      <c r="N1099" s="89">
        <f t="shared" si="313"/>
        <v>9469.4773359999999</v>
      </c>
      <c r="O1099" s="90">
        <f t="shared" si="314"/>
        <v>-441.20375199999967</v>
      </c>
      <c r="P1099" s="93">
        <f t="shared" si="315"/>
        <v>-4.4518005178697084E-2</v>
      </c>
      <c r="Q1099" s="96"/>
      <c r="R1099" s="96"/>
      <c r="T1099" s="90">
        <f t="shared" si="309"/>
        <v>95</v>
      </c>
      <c r="U1099" s="89">
        <f t="shared" si="310"/>
        <v>103.31428490526316</v>
      </c>
      <c r="V1099" s="89">
        <f t="shared" si="311"/>
        <v>107.607697</v>
      </c>
      <c r="W1099" s="90">
        <f t="shared" si="316"/>
        <v>10222.731215</v>
      </c>
      <c r="X1099" s="98">
        <f t="shared" si="312"/>
        <v>4.1556809870714417E-2</v>
      </c>
      <c r="AB1099" s="89">
        <f t="shared" si="301"/>
        <v>195</v>
      </c>
      <c r="AC1099" s="89">
        <f t="shared" si="302"/>
        <v>51.179276000000002</v>
      </c>
      <c r="AD1099" s="89">
        <f t="shared" si="303"/>
        <v>107.607697</v>
      </c>
      <c r="AE1099" s="89">
        <f t="shared" si="304"/>
        <v>20983.500915000001</v>
      </c>
      <c r="AF1099" s="90">
        <f t="shared" si="307"/>
        <v>11003.542095000001</v>
      </c>
      <c r="AG1099" s="93">
        <f t="shared" si="308"/>
        <v>1.1025638776132745</v>
      </c>
      <c r="AK1099" s="90">
        <f t="shared" si="305"/>
        <v>142</v>
      </c>
      <c r="AL1099" s="89">
        <f t="shared" si="306"/>
        <v>68.865979063380294</v>
      </c>
      <c r="AM1099" s="89">
        <f t="shared" si="298"/>
        <v>107.607697</v>
      </c>
      <c r="AN1099" s="90">
        <f t="shared" si="299"/>
        <v>15280.292974</v>
      </c>
      <c r="AO1099" s="93">
        <f t="shared" si="300"/>
        <v>0.56256686485157004</v>
      </c>
    </row>
    <row r="1100" spans="2:41" x14ac:dyDescent="0.25">
      <c r="B1100" s="91">
        <v>40946</v>
      </c>
      <c r="C1100" s="89">
        <v>134.16999799999999</v>
      </c>
      <c r="D1100" s="89">
        <v>135.020004</v>
      </c>
      <c r="E1100" s="89">
        <v>133.63999899999999</v>
      </c>
      <c r="F1100" s="89">
        <v>134.78999300000001</v>
      </c>
      <c r="G1100" s="89">
        <v>107.879814</v>
      </c>
      <c r="H1100" s="89">
        <v>135528100</v>
      </c>
      <c r="J1100" s="89">
        <v>0</v>
      </c>
      <c r="K1100" s="89">
        <f t="shared" si="317"/>
        <v>88</v>
      </c>
      <c r="L1100" s="89">
        <f t="shared" si="318"/>
        <v>112.621376</v>
      </c>
      <c r="M1100" s="89">
        <f>+SPY__2[[#This Row],[Adj Close]]</f>
        <v>107.879814</v>
      </c>
      <c r="N1100" s="89">
        <f t="shared" si="313"/>
        <v>9493.423632</v>
      </c>
      <c r="O1100" s="90">
        <f t="shared" si="314"/>
        <v>-417.25745600000016</v>
      </c>
      <c r="P1100" s="93">
        <f t="shared" si="315"/>
        <v>-4.2101794245525848E-2</v>
      </c>
      <c r="Q1100" s="96"/>
      <c r="R1100" s="96"/>
      <c r="T1100" s="90">
        <f t="shared" si="309"/>
        <v>95</v>
      </c>
      <c r="U1100" s="89">
        <f t="shared" si="310"/>
        <v>103.31428490526316</v>
      </c>
      <c r="V1100" s="89">
        <f t="shared" si="311"/>
        <v>107.879814</v>
      </c>
      <c r="W1100" s="90">
        <f t="shared" si="316"/>
        <v>10248.582329999999</v>
      </c>
      <c r="X1100" s="98">
        <f t="shared" si="312"/>
        <v>4.4190685720985501E-2</v>
      </c>
      <c r="AB1100" s="89">
        <f t="shared" si="301"/>
        <v>195</v>
      </c>
      <c r="AC1100" s="89">
        <f t="shared" si="302"/>
        <v>51.179276000000002</v>
      </c>
      <c r="AD1100" s="89">
        <f t="shared" si="303"/>
        <v>107.879814</v>
      </c>
      <c r="AE1100" s="89">
        <f t="shared" si="304"/>
        <v>21036.563729999998</v>
      </c>
      <c r="AF1100" s="90">
        <f t="shared" si="307"/>
        <v>11056.604909999998</v>
      </c>
      <c r="AG1100" s="93">
        <f t="shared" si="308"/>
        <v>1.1078808148829613</v>
      </c>
      <c r="AK1100" s="90">
        <f t="shared" si="305"/>
        <v>142</v>
      </c>
      <c r="AL1100" s="89">
        <f t="shared" si="306"/>
        <v>68.865979063380294</v>
      </c>
      <c r="AM1100" s="89">
        <f t="shared" si="298"/>
        <v>107.879814</v>
      </c>
      <c r="AN1100" s="90">
        <f t="shared" si="299"/>
        <v>15318.933588</v>
      </c>
      <c r="AO1100" s="93">
        <f t="shared" si="300"/>
        <v>0.56651826442071807</v>
      </c>
    </row>
    <row r="1101" spans="2:41" x14ac:dyDescent="0.25">
      <c r="B1101" s="91">
        <v>40947</v>
      </c>
      <c r="C1101" s="89">
        <v>134.86000100000001</v>
      </c>
      <c r="D1101" s="89">
        <v>135.220001</v>
      </c>
      <c r="E1101" s="89">
        <v>134.30999800000001</v>
      </c>
      <c r="F1101" s="89">
        <v>135.19000199999999</v>
      </c>
      <c r="G1101" s="89">
        <v>108.199966</v>
      </c>
      <c r="H1101" s="89">
        <v>139361400</v>
      </c>
      <c r="J1101" s="89">
        <v>0</v>
      </c>
      <c r="K1101" s="89">
        <f t="shared" si="317"/>
        <v>88</v>
      </c>
      <c r="L1101" s="89">
        <f t="shared" si="318"/>
        <v>112.621376</v>
      </c>
      <c r="M1101" s="89">
        <f>+SPY__2[[#This Row],[Adj Close]]</f>
        <v>108.199966</v>
      </c>
      <c r="N1101" s="89">
        <f t="shared" si="313"/>
        <v>9521.5970080000006</v>
      </c>
      <c r="O1101" s="90">
        <f t="shared" si="314"/>
        <v>-389.08407999999952</v>
      </c>
      <c r="P1101" s="93">
        <f t="shared" si="315"/>
        <v>-3.9259065703477036E-2</v>
      </c>
      <c r="Q1101" s="96"/>
      <c r="R1101" s="96"/>
      <c r="T1101" s="90">
        <f t="shared" si="309"/>
        <v>95</v>
      </c>
      <c r="U1101" s="89">
        <f t="shared" si="310"/>
        <v>103.31428490526316</v>
      </c>
      <c r="V1101" s="89">
        <f t="shared" si="311"/>
        <v>108.199966</v>
      </c>
      <c r="W1101" s="90">
        <f t="shared" si="316"/>
        <v>10278.99677</v>
      </c>
      <c r="X1101" s="98">
        <f t="shared" si="312"/>
        <v>4.7289502116932836E-2</v>
      </c>
      <c r="AB1101" s="89">
        <f t="shared" si="301"/>
        <v>195</v>
      </c>
      <c r="AC1101" s="89">
        <f t="shared" si="302"/>
        <v>51.179276000000002</v>
      </c>
      <c r="AD1101" s="89">
        <f t="shared" si="303"/>
        <v>108.199966</v>
      </c>
      <c r="AE1101" s="89">
        <f t="shared" si="304"/>
        <v>21098.99337</v>
      </c>
      <c r="AF1101" s="90">
        <f t="shared" si="307"/>
        <v>11119.03455</v>
      </c>
      <c r="AG1101" s="93">
        <f t="shared" si="308"/>
        <v>1.1141363156446369</v>
      </c>
      <c r="AK1101" s="90">
        <f t="shared" si="305"/>
        <v>142</v>
      </c>
      <c r="AL1101" s="89">
        <f t="shared" si="306"/>
        <v>68.865979063380294</v>
      </c>
      <c r="AM1101" s="89">
        <f t="shared" si="298"/>
        <v>108.199966</v>
      </c>
      <c r="AN1101" s="90">
        <f t="shared" si="299"/>
        <v>15364.395172</v>
      </c>
      <c r="AO1101" s="93">
        <f t="shared" si="300"/>
        <v>0.57116717821464458</v>
      </c>
    </row>
    <row r="1102" spans="2:41" x14ac:dyDescent="0.25">
      <c r="B1102" s="91">
        <v>40948</v>
      </c>
      <c r="C1102" s="89">
        <v>135.41000399999999</v>
      </c>
      <c r="D1102" s="89">
        <v>135.58999600000001</v>
      </c>
      <c r="E1102" s="89">
        <v>134.55999800000001</v>
      </c>
      <c r="F1102" s="89">
        <v>135.36000100000001</v>
      </c>
      <c r="G1102" s="89">
        <v>108.336029</v>
      </c>
      <c r="H1102" s="89">
        <v>148602900</v>
      </c>
      <c r="J1102" s="89">
        <v>0</v>
      </c>
      <c r="K1102" s="89">
        <f t="shared" si="317"/>
        <v>88</v>
      </c>
      <c r="L1102" s="89">
        <f t="shared" si="318"/>
        <v>112.621376</v>
      </c>
      <c r="M1102" s="89">
        <f>+SPY__2[[#This Row],[Adj Close]]</f>
        <v>108.336029</v>
      </c>
      <c r="N1102" s="89">
        <f t="shared" si="313"/>
        <v>9533.5705519999992</v>
      </c>
      <c r="O1102" s="90">
        <f t="shared" si="314"/>
        <v>-377.11053600000014</v>
      </c>
      <c r="P1102" s="93">
        <f t="shared" si="315"/>
        <v>-3.8050920280000899E-2</v>
      </c>
      <c r="Q1102" s="96"/>
      <c r="R1102" s="96"/>
      <c r="T1102" s="90">
        <f t="shared" si="309"/>
        <v>95</v>
      </c>
      <c r="U1102" s="89">
        <f t="shared" si="310"/>
        <v>103.31428490526316</v>
      </c>
      <c r="V1102" s="89">
        <f t="shared" si="311"/>
        <v>108.336029</v>
      </c>
      <c r="W1102" s="90">
        <f t="shared" si="316"/>
        <v>10291.922755</v>
      </c>
      <c r="X1102" s="98">
        <f t="shared" si="312"/>
        <v>4.8606483598484518E-2</v>
      </c>
      <c r="AB1102" s="89">
        <f t="shared" si="301"/>
        <v>195</v>
      </c>
      <c r="AC1102" s="89">
        <f t="shared" si="302"/>
        <v>51.179276000000002</v>
      </c>
      <c r="AD1102" s="89">
        <f t="shared" si="303"/>
        <v>108.336029</v>
      </c>
      <c r="AE1102" s="89">
        <f t="shared" si="304"/>
        <v>21125.525654999998</v>
      </c>
      <c r="AF1102" s="90">
        <f t="shared" si="307"/>
        <v>11145.566835</v>
      </c>
      <c r="AG1102" s="93">
        <f t="shared" si="308"/>
        <v>1.1167948722056948</v>
      </c>
      <c r="AK1102" s="90">
        <f t="shared" si="305"/>
        <v>142</v>
      </c>
      <c r="AL1102" s="89">
        <f t="shared" si="306"/>
        <v>68.865979063380294</v>
      </c>
      <c r="AM1102" s="89">
        <f t="shared" si="298"/>
        <v>108.336029</v>
      </c>
      <c r="AN1102" s="90">
        <f t="shared" si="299"/>
        <v>15383.716118</v>
      </c>
      <c r="AO1102" s="93">
        <f t="shared" si="300"/>
        <v>0.57314294334353022</v>
      </c>
    </row>
    <row r="1103" spans="2:41" x14ac:dyDescent="0.25">
      <c r="B1103" s="91">
        <v>40949</v>
      </c>
      <c r="C1103" s="89">
        <v>134.16000399999999</v>
      </c>
      <c r="D1103" s="89">
        <v>134.470001</v>
      </c>
      <c r="E1103" s="89">
        <v>133.83999600000001</v>
      </c>
      <c r="F1103" s="89">
        <v>134.36000100000001</v>
      </c>
      <c r="G1103" s="89">
        <v>107.535667</v>
      </c>
      <c r="H1103" s="89">
        <v>167907500</v>
      </c>
      <c r="J1103" s="89">
        <v>0</v>
      </c>
      <c r="K1103" s="89">
        <f t="shared" si="317"/>
        <v>88</v>
      </c>
      <c r="L1103" s="89">
        <f t="shared" si="318"/>
        <v>112.621376</v>
      </c>
      <c r="M1103" s="89">
        <f>+SPY__2[[#This Row],[Adj Close]]</f>
        <v>107.535667</v>
      </c>
      <c r="N1103" s="89">
        <f t="shared" si="313"/>
        <v>9463.138696</v>
      </c>
      <c r="O1103" s="90">
        <f t="shared" si="314"/>
        <v>-447.5423919999995</v>
      </c>
      <c r="P1103" s="93">
        <f t="shared" si="315"/>
        <v>-4.5157581807560132E-2</v>
      </c>
      <c r="Q1103" s="96"/>
      <c r="R1103" s="96"/>
      <c r="T1103" s="90">
        <f t="shared" si="309"/>
        <v>95</v>
      </c>
      <c r="U1103" s="89">
        <f t="shared" si="310"/>
        <v>103.31428490526316</v>
      </c>
      <c r="V1103" s="89">
        <f t="shared" si="311"/>
        <v>107.535667</v>
      </c>
      <c r="W1103" s="90">
        <f t="shared" si="316"/>
        <v>10215.888365000001</v>
      </c>
      <c r="X1103" s="98">
        <f t="shared" si="312"/>
        <v>4.0859616834281409E-2</v>
      </c>
      <c r="AB1103" s="89">
        <f t="shared" si="301"/>
        <v>195</v>
      </c>
      <c r="AC1103" s="89">
        <f t="shared" si="302"/>
        <v>51.179276000000002</v>
      </c>
      <c r="AD1103" s="89">
        <f t="shared" si="303"/>
        <v>107.535667</v>
      </c>
      <c r="AE1103" s="89">
        <f t="shared" si="304"/>
        <v>20969.455065000002</v>
      </c>
      <c r="AF1103" s="90">
        <f t="shared" si="307"/>
        <v>10989.496245</v>
      </c>
      <c r="AG1103" s="93">
        <f t="shared" si="308"/>
        <v>1.1011564720063642</v>
      </c>
      <c r="AK1103" s="90">
        <f t="shared" si="305"/>
        <v>142</v>
      </c>
      <c r="AL1103" s="89">
        <f t="shared" si="306"/>
        <v>68.865979063380294</v>
      </c>
      <c r="AM1103" s="89">
        <f t="shared" si="298"/>
        <v>107.535667</v>
      </c>
      <c r="AN1103" s="90">
        <f t="shared" si="299"/>
        <v>15270.064714</v>
      </c>
      <c r="AO1103" s="93">
        <f t="shared" si="300"/>
        <v>0.56152092023596079</v>
      </c>
    </row>
    <row r="1104" spans="2:41" x14ac:dyDescent="0.25">
      <c r="B1104" s="91">
        <v>40952</v>
      </c>
      <c r="C1104" s="89">
        <v>135.320007</v>
      </c>
      <c r="D1104" s="89">
        <v>135.520004</v>
      </c>
      <c r="E1104" s="89">
        <v>134.740005</v>
      </c>
      <c r="F1104" s="89">
        <v>135.36000100000001</v>
      </c>
      <c r="G1104" s="89">
        <v>108.336029</v>
      </c>
      <c r="H1104" s="89">
        <v>115841900</v>
      </c>
      <c r="J1104" s="89">
        <v>0</v>
      </c>
      <c r="K1104" s="89">
        <f t="shared" si="317"/>
        <v>88</v>
      </c>
      <c r="L1104" s="89">
        <f t="shared" si="318"/>
        <v>112.621376</v>
      </c>
      <c r="M1104" s="89">
        <f>+SPY__2[[#This Row],[Adj Close]]</f>
        <v>108.336029</v>
      </c>
      <c r="N1104" s="89">
        <f t="shared" si="313"/>
        <v>9533.5705519999992</v>
      </c>
      <c r="O1104" s="90">
        <f t="shared" si="314"/>
        <v>-377.11053600000014</v>
      </c>
      <c r="P1104" s="93">
        <f t="shared" si="315"/>
        <v>-3.8050920280000899E-2</v>
      </c>
      <c r="Q1104" s="96"/>
      <c r="R1104" s="96"/>
      <c r="T1104" s="90">
        <f t="shared" si="309"/>
        <v>95</v>
      </c>
      <c r="U1104" s="89">
        <f t="shared" si="310"/>
        <v>103.31428490526316</v>
      </c>
      <c r="V1104" s="89">
        <f t="shared" si="311"/>
        <v>108.336029</v>
      </c>
      <c r="W1104" s="90">
        <f t="shared" si="316"/>
        <v>10291.922755</v>
      </c>
      <c r="X1104" s="98">
        <f t="shared" si="312"/>
        <v>4.8606483598484518E-2</v>
      </c>
      <c r="AB1104" s="89">
        <f t="shared" si="301"/>
        <v>195</v>
      </c>
      <c r="AC1104" s="89">
        <f t="shared" si="302"/>
        <v>51.179276000000002</v>
      </c>
      <c r="AD1104" s="89">
        <f t="shared" si="303"/>
        <v>108.336029</v>
      </c>
      <c r="AE1104" s="89">
        <f t="shared" si="304"/>
        <v>21125.525654999998</v>
      </c>
      <c r="AF1104" s="90">
        <f t="shared" si="307"/>
        <v>11145.566835</v>
      </c>
      <c r="AG1104" s="93">
        <f t="shared" si="308"/>
        <v>1.1167948722056948</v>
      </c>
      <c r="AK1104" s="90">
        <f t="shared" si="305"/>
        <v>142</v>
      </c>
      <c r="AL1104" s="89">
        <f t="shared" si="306"/>
        <v>68.865979063380294</v>
      </c>
      <c r="AM1104" s="89">
        <f t="shared" si="298"/>
        <v>108.336029</v>
      </c>
      <c r="AN1104" s="90">
        <f t="shared" si="299"/>
        <v>15383.716118</v>
      </c>
      <c r="AO1104" s="93">
        <f t="shared" si="300"/>
        <v>0.57314294334353022</v>
      </c>
    </row>
    <row r="1105" spans="2:41" x14ac:dyDescent="0.25">
      <c r="B1105" s="91">
        <v>40953</v>
      </c>
      <c r="C1105" s="89">
        <v>135</v>
      </c>
      <c r="D1105" s="89">
        <v>135.270004</v>
      </c>
      <c r="E1105" s="89">
        <v>134.25</v>
      </c>
      <c r="F1105" s="89">
        <v>135.19000199999999</v>
      </c>
      <c r="G1105" s="89">
        <v>108.199966</v>
      </c>
      <c r="H1105" s="89">
        <v>165329500</v>
      </c>
      <c r="J1105" s="89">
        <v>0</v>
      </c>
      <c r="K1105" s="89">
        <f t="shared" si="317"/>
        <v>88</v>
      </c>
      <c r="L1105" s="89">
        <f t="shared" si="318"/>
        <v>112.621376</v>
      </c>
      <c r="M1105" s="89">
        <f>+SPY__2[[#This Row],[Adj Close]]</f>
        <v>108.199966</v>
      </c>
      <c r="N1105" s="89">
        <f t="shared" si="313"/>
        <v>9521.5970080000006</v>
      </c>
      <c r="O1105" s="90">
        <f t="shared" si="314"/>
        <v>-389.08407999999952</v>
      </c>
      <c r="P1105" s="93">
        <f t="shared" si="315"/>
        <v>-3.9259065703477036E-2</v>
      </c>
      <c r="Q1105" s="96"/>
      <c r="R1105" s="96"/>
      <c r="T1105" s="90">
        <f t="shared" si="309"/>
        <v>95</v>
      </c>
      <c r="U1105" s="89">
        <f t="shared" si="310"/>
        <v>103.31428490526316</v>
      </c>
      <c r="V1105" s="89">
        <f t="shared" si="311"/>
        <v>108.199966</v>
      </c>
      <c r="W1105" s="90">
        <f t="shared" si="316"/>
        <v>10278.99677</v>
      </c>
      <c r="X1105" s="98">
        <f t="shared" si="312"/>
        <v>4.7289502116932836E-2</v>
      </c>
      <c r="AB1105" s="89">
        <f t="shared" si="301"/>
        <v>195</v>
      </c>
      <c r="AC1105" s="89">
        <f t="shared" si="302"/>
        <v>51.179276000000002</v>
      </c>
      <c r="AD1105" s="89">
        <f t="shared" si="303"/>
        <v>108.199966</v>
      </c>
      <c r="AE1105" s="89">
        <f t="shared" si="304"/>
        <v>21098.99337</v>
      </c>
      <c r="AF1105" s="90">
        <f t="shared" si="307"/>
        <v>11119.03455</v>
      </c>
      <c r="AG1105" s="93">
        <f t="shared" si="308"/>
        <v>1.1141363156446369</v>
      </c>
      <c r="AK1105" s="90">
        <f t="shared" si="305"/>
        <v>142</v>
      </c>
      <c r="AL1105" s="89">
        <f t="shared" si="306"/>
        <v>68.865979063380294</v>
      </c>
      <c r="AM1105" s="89">
        <f t="shared" si="298"/>
        <v>108.199966</v>
      </c>
      <c r="AN1105" s="90">
        <f t="shared" si="299"/>
        <v>15364.395172</v>
      </c>
      <c r="AO1105" s="93">
        <f t="shared" si="300"/>
        <v>0.57116717821464458</v>
      </c>
    </row>
    <row r="1106" spans="2:41" x14ac:dyDescent="0.25">
      <c r="B1106" s="91">
        <v>40954</v>
      </c>
      <c r="C1106" s="89">
        <v>135.63000500000001</v>
      </c>
      <c r="D1106" s="89">
        <v>135.83000200000001</v>
      </c>
      <c r="E1106" s="89">
        <v>134.28999300000001</v>
      </c>
      <c r="F1106" s="89">
        <v>134.55999800000001</v>
      </c>
      <c r="G1106" s="89">
        <v>107.695724</v>
      </c>
      <c r="H1106" s="89">
        <v>195195100</v>
      </c>
      <c r="J1106" s="89">
        <v>0</v>
      </c>
      <c r="K1106" s="89">
        <f t="shared" si="317"/>
        <v>88</v>
      </c>
      <c r="L1106" s="89">
        <f t="shared" si="318"/>
        <v>112.621376</v>
      </c>
      <c r="M1106" s="89">
        <f>+SPY__2[[#This Row],[Adj Close]]</f>
        <v>107.695724</v>
      </c>
      <c r="N1106" s="89">
        <f t="shared" si="313"/>
        <v>9477.2237119999991</v>
      </c>
      <c r="O1106" s="90">
        <f t="shared" si="314"/>
        <v>-433.45737599999995</v>
      </c>
      <c r="P1106" s="93">
        <f t="shared" si="315"/>
        <v>-4.3736386243407255E-2</v>
      </c>
      <c r="Q1106" s="96"/>
      <c r="R1106" s="96"/>
      <c r="T1106" s="90">
        <f t="shared" si="309"/>
        <v>95</v>
      </c>
      <c r="U1106" s="89">
        <f t="shared" si="310"/>
        <v>103.31428490526316</v>
      </c>
      <c r="V1106" s="89">
        <f t="shared" si="311"/>
        <v>107.695724</v>
      </c>
      <c r="W1106" s="90">
        <f t="shared" si="316"/>
        <v>10231.093779999999</v>
      </c>
      <c r="X1106" s="98">
        <f t="shared" si="312"/>
        <v>4.2408841127386188E-2</v>
      </c>
      <c r="AB1106" s="89">
        <f t="shared" si="301"/>
        <v>195</v>
      </c>
      <c r="AC1106" s="89">
        <f t="shared" si="302"/>
        <v>51.179276000000002</v>
      </c>
      <c r="AD1106" s="89">
        <f t="shared" si="303"/>
        <v>107.695724</v>
      </c>
      <c r="AE1106" s="89">
        <f t="shared" si="304"/>
        <v>21000.66618</v>
      </c>
      <c r="AF1106" s="90">
        <f t="shared" si="307"/>
        <v>11020.707359999999</v>
      </c>
      <c r="AG1106" s="93">
        <f t="shared" si="308"/>
        <v>1.1042838511431854</v>
      </c>
      <c r="AK1106" s="90">
        <f t="shared" si="305"/>
        <v>142</v>
      </c>
      <c r="AL1106" s="89">
        <f t="shared" si="306"/>
        <v>68.865979063380294</v>
      </c>
      <c r="AM1106" s="89">
        <f t="shared" si="298"/>
        <v>107.695724</v>
      </c>
      <c r="AN1106" s="90">
        <f t="shared" si="299"/>
        <v>15292.792808</v>
      </c>
      <c r="AO1106" s="93">
        <f t="shared" si="300"/>
        <v>0.5638451012347192</v>
      </c>
    </row>
    <row r="1107" spans="2:41" x14ac:dyDescent="0.25">
      <c r="B1107" s="91">
        <v>40955</v>
      </c>
      <c r="C1107" s="89">
        <v>134.570007</v>
      </c>
      <c r="D1107" s="89">
        <v>136.16999799999999</v>
      </c>
      <c r="E1107" s="89">
        <v>134.33000200000001</v>
      </c>
      <c r="F1107" s="89">
        <v>136.050003</v>
      </c>
      <c r="G1107" s="89">
        <v>108.88826</v>
      </c>
      <c r="H1107" s="89">
        <v>186567800</v>
      </c>
      <c r="J1107" s="89">
        <v>0</v>
      </c>
      <c r="K1107" s="89">
        <f t="shared" si="317"/>
        <v>88</v>
      </c>
      <c r="L1107" s="89">
        <f t="shared" si="318"/>
        <v>112.621376</v>
      </c>
      <c r="M1107" s="89">
        <f>+SPY__2[[#This Row],[Adj Close]]</f>
        <v>108.88826</v>
      </c>
      <c r="N1107" s="89">
        <f t="shared" si="313"/>
        <v>9582.1668800000007</v>
      </c>
      <c r="O1107" s="90">
        <f t="shared" si="314"/>
        <v>-328.5142079999996</v>
      </c>
      <c r="P1107" s="93">
        <f t="shared" si="315"/>
        <v>-3.3147490579408245E-2</v>
      </c>
      <c r="Q1107" s="96"/>
      <c r="R1107" s="96"/>
      <c r="T1107" s="90">
        <f t="shared" si="309"/>
        <v>95</v>
      </c>
      <c r="U1107" s="89">
        <f t="shared" si="310"/>
        <v>103.31428490526316</v>
      </c>
      <c r="V1107" s="89">
        <f t="shared" si="311"/>
        <v>108.88826</v>
      </c>
      <c r="W1107" s="90">
        <f t="shared" si="316"/>
        <v>10344.384700000001</v>
      </c>
      <c r="X1107" s="98">
        <f t="shared" si="312"/>
        <v>5.3951639890341019E-2</v>
      </c>
      <c r="AB1107" s="89">
        <f t="shared" si="301"/>
        <v>195</v>
      </c>
      <c r="AC1107" s="89">
        <f t="shared" si="302"/>
        <v>51.179276000000002</v>
      </c>
      <c r="AD1107" s="89">
        <f t="shared" si="303"/>
        <v>108.88826</v>
      </c>
      <c r="AE1107" s="89">
        <f t="shared" si="304"/>
        <v>21233.2107</v>
      </c>
      <c r="AF1107" s="90">
        <f t="shared" si="307"/>
        <v>11253.25188</v>
      </c>
      <c r="AG1107" s="93">
        <f t="shared" si="308"/>
        <v>1.1275850013978315</v>
      </c>
      <c r="AK1107" s="90">
        <f t="shared" si="305"/>
        <v>142</v>
      </c>
      <c r="AL1107" s="89">
        <f t="shared" si="306"/>
        <v>68.865979063380294</v>
      </c>
      <c r="AM1107" s="89">
        <f t="shared" si="298"/>
        <v>108.88826</v>
      </c>
      <c r="AN1107" s="90">
        <f t="shared" si="299"/>
        <v>15462.13292</v>
      </c>
      <c r="AO1107" s="93">
        <f t="shared" si="300"/>
        <v>0.58116186658415914</v>
      </c>
    </row>
    <row r="1108" spans="2:41" x14ac:dyDescent="0.25">
      <c r="B1108" s="91">
        <v>40956</v>
      </c>
      <c r="C1108" s="89">
        <v>136.520004</v>
      </c>
      <c r="D1108" s="89">
        <v>136.63000500000001</v>
      </c>
      <c r="E1108" s="89">
        <v>135.96000699999999</v>
      </c>
      <c r="F1108" s="89">
        <v>136.41000399999999</v>
      </c>
      <c r="G1108" s="89">
        <v>109.176399</v>
      </c>
      <c r="H1108" s="89">
        <v>129869400</v>
      </c>
      <c r="J1108" s="89">
        <v>0</v>
      </c>
      <c r="K1108" s="89">
        <f t="shared" si="317"/>
        <v>88</v>
      </c>
      <c r="L1108" s="89">
        <f t="shared" si="318"/>
        <v>112.621376</v>
      </c>
      <c r="M1108" s="89">
        <f>+SPY__2[[#This Row],[Adj Close]]</f>
        <v>109.176399</v>
      </c>
      <c r="N1108" s="89">
        <f t="shared" si="313"/>
        <v>9607.5231120000008</v>
      </c>
      <c r="O1108" s="90">
        <f t="shared" si="314"/>
        <v>-303.15797599999951</v>
      </c>
      <c r="P1108" s="93">
        <f t="shared" si="315"/>
        <v>-3.0589015357084581E-2</v>
      </c>
      <c r="Q1108" s="96"/>
      <c r="R1108" s="96"/>
      <c r="T1108" s="90">
        <f t="shared" si="309"/>
        <v>95</v>
      </c>
      <c r="U1108" s="89">
        <f t="shared" si="310"/>
        <v>103.31428490526316</v>
      </c>
      <c r="V1108" s="89">
        <f t="shared" si="311"/>
        <v>109.176399</v>
      </c>
      <c r="W1108" s="90">
        <f t="shared" si="316"/>
        <v>10371.757905</v>
      </c>
      <c r="X1108" s="98">
        <f t="shared" si="312"/>
        <v>5.6740595940941496E-2</v>
      </c>
      <c r="AB1108" s="89">
        <f t="shared" si="301"/>
        <v>195</v>
      </c>
      <c r="AC1108" s="89">
        <f t="shared" si="302"/>
        <v>51.179276000000002</v>
      </c>
      <c r="AD1108" s="89">
        <f t="shared" si="303"/>
        <v>109.176399</v>
      </c>
      <c r="AE1108" s="89">
        <f t="shared" si="304"/>
        <v>21289.397805000001</v>
      </c>
      <c r="AF1108" s="90">
        <f t="shared" si="307"/>
        <v>11309.438985000001</v>
      </c>
      <c r="AG1108" s="93">
        <f t="shared" si="308"/>
        <v>1.1332149950694888</v>
      </c>
      <c r="AK1108" s="90">
        <f t="shared" si="305"/>
        <v>142</v>
      </c>
      <c r="AL1108" s="89">
        <f t="shared" si="306"/>
        <v>68.865979063380294</v>
      </c>
      <c r="AM1108" s="89">
        <f t="shared" si="298"/>
        <v>109.176399</v>
      </c>
      <c r="AN1108" s="90">
        <f t="shared" si="299"/>
        <v>15503.048658</v>
      </c>
      <c r="AO1108" s="93">
        <f t="shared" si="300"/>
        <v>0.58534592094480087</v>
      </c>
    </row>
    <row r="1109" spans="2:41" x14ac:dyDescent="0.25">
      <c r="B1109" s="91">
        <v>40960</v>
      </c>
      <c r="C1109" s="89">
        <v>136.729996</v>
      </c>
      <c r="D1109" s="89">
        <v>137.050003</v>
      </c>
      <c r="E1109" s="89">
        <v>136.050003</v>
      </c>
      <c r="F1109" s="89">
        <v>136.470001</v>
      </c>
      <c r="G1109" s="89">
        <v>109.224419</v>
      </c>
      <c r="H1109" s="89">
        <v>134042300</v>
      </c>
      <c r="J1109" s="89">
        <v>0</v>
      </c>
      <c r="K1109" s="89">
        <f t="shared" si="317"/>
        <v>88</v>
      </c>
      <c r="L1109" s="89">
        <f t="shared" si="318"/>
        <v>112.621376</v>
      </c>
      <c r="M1109" s="89">
        <f>+SPY__2[[#This Row],[Adj Close]]</f>
        <v>109.224419</v>
      </c>
      <c r="N1109" s="89">
        <f t="shared" si="313"/>
        <v>9611.7488720000001</v>
      </c>
      <c r="O1109" s="90">
        <f t="shared" si="314"/>
        <v>-298.93221600000004</v>
      </c>
      <c r="P1109" s="93">
        <f t="shared" si="315"/>
        <v>-3.0162630937842549E-2</v>
      </c>
      <c r="Q1109" s="96"/>
      <c r="R1109" s="96"/>
      <c r="T1109" s="90">
        <f t="shared" si="309"/>
        <v>95</v>
      </c>
      <c r="U1109" s="89">
        <f t="shared" si="310"/>
        <v>103.31428490526316</v>
      </c>
      <c r="V1109" s="89">
        <f t="shared" si="311"/>
        <v>109.224419</v>
      </c>
      <c r="W1109" s="90">
        <f t="shared" si="316"/>
        <v>10376.319804999999</v>
      </c>
      <c r="X1109" s="98">
        <f t="shared" si="312"/>
        <v>5.720539129856328E-2</v>
      </c>
      <c r="AB1109" s="89">
        <f t="shared" si="301"/>
        <v>195</v>
      </c>
      <c r="AC1109" s="89">
        <f t="shared" si="302"/>
        <v>51.179276000000002</v>
      </c>
      <c r="AD1109" s="89">
        <f t="shared" si="303"/>
        <v>109.224419</v>
      </c>
      <c r="AE1109" s="89">
        <f t="shared" si="304"/>
        <v>21298.761705000001</v>
      </c>
      <c r="AF1109" s="90">
        <f t="shared" si="307"/>
        <v>11318.802884999999</v>
      </c>
      <c r="AG1109" s="93">
        <f t="shared" si="308"/>
        <v>1.1341532654740951</v>
      </c>
      <c r="AK1109" s="90">
        <f t="shared" si="305"/>
        <v>142</v>
      </c>
      <c r="AL1109" s="89">
        <f t="shared" si="306"/>
        <v>68.865979063380294</v>
      </c>
      <c r="AM1109" s="89">
        <f t="shared" si="298"/>
        <v>109.224419</v>
      </c>
      <c r="AN1109" s="90">
        <f t="shared" si="299"/>
        <v>15509.867498</v>
      </c>
      <c r="AO1109" s="93">
        <f t="shared" si="300"/>
        <v>0.58604321735520704</v>
      </c>
    </row>
    <row r="1110" spans="2:41" x14ac:dyDescent="0.25">
      <c r="B1110" s="91">
        <v>40961</v>
      </c>
      <c r="C1110" s="89">
        <v>136.259995</v>
      </c>
      <c r="D1110" s="89">
        <v>136.550003</v>
      </c>
      <c r="E1110" s="89">
        <v>135.78999300000001</v>
      </c>
      <c r="F1110" s="89">
        <v>136.029999</v>
      </c>
      <c r="G1110" s="89">
        <v>108.872231</v>
      </c>
      <c r="H1110" s="89">
        <v>124455300</v>
      </c>
      <c r="J1110" s="89">
        <v>0</v>
      </c>
      <c r="K1110" s="89">
        <f t="shared" si="317"/>
        <v>88</v>
      </c>
      <c r="L1110" s="89">
        <f t="shared" si="318"/>
        <v>112.621376</v>
      </c>
      <c r="M1110" s="89">
        <f>+SPY__2[[#This Row],[Adj Close]]</f>
        <v>108.872231</v>
      </c>
      <c r="N1110" s="89">
        <f t="shared" si="313"/>
        <v>9580.7563279999995</v>
      </c>
      <c r="O1110" s="90">
        <f t="shared" si="314"/>
        <v>-329.92475999999988</v>
      </c>
      <c r="P1110" s="93">
        <f t="shared" si="315"/>
        <v>-3.32898170237238E-2</v>
      </c>
      <c r="Q1110" s="96"/>
      <c r="R1110" s="96"/>
      <c r="T1110" s="90">
        <f t="shared" si="309"/>
        <v>95</v>
      </c>
      <c r="U1110" s="89">
        <f t="shared" si="310"/>
        <v>103.31428490526316</v>
      </c>
      <c r="V1110" s="89">
        <f t="shared" si="311"/>
        <v>108.872231</v>
      </c>
      <c r="W1110" s="90">
        <f t="shared" si="316"/>
        <v>10342.861945000001</v>
      </c>
      <c r="X1110" s="98">
        <f t="shared" si="312"/>
        <v>5.3796491935586221E-2</v>
      </c>
      <c r="AB1110" s="89">
        <f t="shared" si="301"/>
        <v>195</v>
      </c>
      <c r="AC1110" s="89">
        <f t="shared" si="302"/>
        <v>51.179276000000002</v>
      </c>
      <c r="AD1110" s="89">
        <f t="shared" si="303"/>
        <v>108.872231</v>
      </c>
      <c r="AE1110" s="89">
        <f t="shared" si="304"/>
        <v>21230.085045</v>
      </c>
      <c r="AF1110" s="90">
        <f t="shared" si="307"/>
        <v>11250.126225</v>
      </c>
      <c r="AG1110" s="93">
        <f t="shared" si="308"/>
        <v>1.1272718082217499</v>
      </c>
      <c r="AK1110" s="90">
        <f t="shared" si="305"/>
        <v>142</v>
      </c>
      <c r="AL1110" s="89">
        <f t="shared" si="306"/>
        <v>68.865979063380294</v>
      </c>
      <c r="AM1110" s="89">
        <f t="shared" si="298"/>
        <v>108.872231</v>
      </c>
      <c r="AN1110" s="90">
        <f t="shared" si="299"/>
        <v>15459.856802</v>
      </c>
      <c r="AO1110" s="93">
        <f t="shared" si="300"/>
        <v>0.58092911014595838</v>
      </c>
    </row>
    <row r="1111" spans="2:41" x14ac:dyDescent="0.25">
      <c r="B1111" s="91">
        <v>40962</v>
      </c>
      <c r="C1111" s="89">
        <v>135.96000699999999</v>
      </c>
      <c r="D1111" s="89">
        <v>136.729996</v>
      </c>
      <c r="E1111" s="89">
        <v>135.5</v>
      </c>
      <c r="F1111" s="89">
        <v>136.63000500000001</v>
      </c>
      <c r="G1111" s="89">
        <v>109.35247</v>
      </c>
      <c r="H1111" s="89">
        <v>137704300</v>
      </c>
      <c r="J1111" s="89">
        <v>0</v>
      </c>
      <c r="K1111" s="89">
        <f t="shared" si="317"/>
        <v>88</v>
      </c>
      <c r="L1111" s="89">
        <f t="shared" si="318"/>
        <v>112.621376</v>
      </c>
      <c r="M1111" s="89">
        <f>+SPY__2[[#This Row],[Adj Close]]</f>
        <v>109.35247</v>
      </c>
      <c r="N1111" s="89">
        <f t="shared" si="313"/>
        <v>9623.0173599999998</v>
      </c>
      <c r="O1111" s="90">
        <f t="shared" si="314"/>
        <v>-287.66372800000011</v>
      </c>
      <c r="P1111" s="93">
        <f t="shared" si="315"/>
        <v>-2.902562653825147E-2</v>
      </c>
      <c r="Q1111" s="96"/>
      <c r="R1111" s="96"/>
      <c r="T1111" s="90">
        <f t="shared" si="309"/>
        <v>95</v>
      </c>
      <c r="U1111" s="89">
        <f t="shared" si="310"/>
        <v>103.31428490526316</v>
      </c>
      <c r="V1111" s="89">
        <f t="shared" si="311"/>
        <v>109.35247</v>
      </c>
      <c r="W1111" s="90">
        <f t="shared" si="316"/>
        <v>10388.48465</v>
      </c>
      <c r="X1111" s="98">
        <f t="shared" si="312"/>
        <v>5.8444823000746826E-2</v>
      </c>
      <c r="AB1111" s="89">
        <f t="shared" si="301"/>
        <v>195</v>
      </c>
      <c r="AC1111" s="89">
        <f t="shared" si="302"/>
        <v>51.179276000000002</v>
      </c>
      <c r="AD1111" s="89">
        <f t="shared" si="303"/>
        <v>109.35247</v>
      </c>
      <c r="AE1111" s="89">
        <f t="shared" si="304"/>
        <v>21323.731649999998</v>
      </c>
      <c r="AF1111" s="90">
        <f t="shared" si="307"/>
        <v>11343.77283</v>
      </c>
      <c r="AG1111" s="93">
        <f t="shared" si="308"/>
        <v>1.1366552742950096</v>
      </c>
      <c r="AK1111" s="90">
        <f t="shared" si="305"/>
        <v>142</v>
      </c>
      <c r="AL1111" s="89">
        <f t="shared" si="306"/>
        <v>68.865979063380294</v>
      </c>
      <c r="AM1111" s="89">
        <f t="shared" si="298"/>
        <v>109.35247</v>
      </c>
      <c r="AN1111" s="90">
        <f t="shared" si="299"/>
        <v>15528.050739999999</v>
      </c>
      <c r="AO1111" s="93">
        <f t="shared" si="300"/>
        <v>0.5879026405673875</v>
      </c>
    </row>
    <row r="1112" spans="2:41" x14ac:dyDescent="0.25">
      <c r="B1112" s="91">
        <v>40963</v>
      </c>
      <c r="C1112" s="89">
        <v>136.929993</v>
      </c>
      <c r="D1112" s="89">
        <v>137.199997</v>
      </c>
      <c r="E1112" s="89">
        <v>136.63000500000001</v>
      </c>
      <c r="F1112" s="89">
        <v>136.929993</v>
      </c>
      <c r="G1112" s="89">
        <v>109.59256000000001</v>
      </c>
      <c r="H1112" s="89">
        <v>105539100</v>
      </c>
      <c r="J1112" s="89">
        <v>0</v>
      </c>
      <c r="K1112" s="89">
        <f t="shared" si="317"/>
        <v>88</v>
      </c>
      <c r="L1112" s="89">
        <f t="shared" si="318"/>
        <v>112.621376</v>
      </c>
      <c r="M1112" s="89">
        <f>+SPY__2[[#This Row],[Adj Close]]</f>
        <v>109.59256000000001</v>
      </c>
      <c r="N1112" s="89">
        <f t="shared" si="313"/>
        <v>9644.1452800000006</v>
      </c>
      <c r="O1112" s="90">
        <f t="shared" si="314"/>
        <v>-266.53580799999929</v>
      </c>
      <c r="P1112" s="93">
        <f t="shared" si="315"/>
        <v>-2.6893793235131414E-2</v>
      </c>
      <c r="Q1112" s="96"/>
      <c r="R1112" s="96"/>
      <c r="T1112" s="90">
        <f t="shared" si="309"/>
        <v>95</v>
      </c>
      <c r="U1112" s="89">
        <f t="shared" si="310"/>
        <v>103.31428490526316</v>
      </c>
      <c r="V1112" s="89">
        <f t="shared" si="311"/>
        <v>109.59256000000001</v>
      </c>
      <c r="W1112" s="90">
        <f t="shared" si="316"/>
        <v>10411.2932</v>
      </c>
      <c r="X1112" s="98">
        <f t="shared" si="312"/>
        <v>6.0768702996820467E-2</v>
      </c>
      <c r="AB1112" s="89">
        <f t="shared" si="301"/>
        <v>195</v>
      </c>
      <c r="AC1112" s="89">
        <f t="shared" si="302"/>
        <v>51.179276000000002</v>
      </c>
      <c r="AD1112" s="89">
        <f t="shared" si="303"/>
        <v>109.59256000000001</v>
      </c>
      <c r="AE1112" s="89">
        <f t="shared" si="304"/>
        <v>21370.549200000001</v>
      </c>
      <c r="AF1112" s="90">
        <f t="shared" si="307"/>
        <v>11390.590380000001</v>
      </c>
      <c r="AG1112" s="93">
        <f t="shared" si="308"/>
        <v>1.1413464309264554</v>
      </c>
      <c r="AK1112" s="90">
        <f t="shared" si="305"/>
        <v>142</v>
      </c>
      <c r="AL1112" s="89">
        <f t="shared" si="306"/>
        <v>68.865979063380294</v>
      </c>
      <c r="AM1112" s="89">
        <f t="shared" si="298"/>
        <v>109.59256000000001</v>
      </c>
      <c r="AN1112" s="90">
        <f t="shared" si="299"/>
        <v>15562.143520000001</v>
      </c>
      <c r="AO1112" s="93">
        <f t="shared" si="300"/>
        <v>0.59138897740983709</v>
      </c>
    </row>
    <row r="1113" spans="2:41" x14ac:dyDescent="0.25">
      <c r="B1113" s="91">
        <v>40966</v>
      </c>
      <c r="C1113" s="89">
        <v>136.020004</v>
      </c>
      <c r="D1113" s="89">
        <v>137.529999</v>
      </c>
      <c r="E1113" s="89">
        <v>135.800003</v>
      </c>
      <c r="F1113" s="89">
        <v>137.16000399999999</v>
      </c>
      <c r="G1113" s="89">
        <v>109.77666499999999</v>
      </c>
      <c r="H1113" s="89">
        <v>145728900</v>
      </c>
      <c r="J1113" s="89">
        <v>0</v>
      </c>
      <c r="K1113" s="89">
        <f t="shared" si="317"/>
        <v>88</v>
      </c>
      <c r="L1113" s="89">
        <f t="shared" si="318"/>
        <v>112.621376</v>
      </c>
      <c r="M1113" s="89">
        <f>+SPY__2[[#This Row],[Adj Close]]</f>
        <v>109.77666499999999</v>
      </c>
      <c r="N1113" s="89">
        <f t="shared" si="313"/>
        <v>9660.3465199999991</v>
      </c>
      <c r="O1113" s="90">
        <f t="shared" si="314"/>
        <v>-250.33456800000033</v>
      </c>
      <c r="P1113" s="93">
        <f t="shared" si="315"/>
        <v>-2.5259068047614686E-2</v>
      </c>
      <c r="Q1113" s="96"/>
      <c r="R1113" s="96"/>
      <c r="T1113" s="90">
        <f t="shared" si="309"/>
        <v>95</v>
      </c>
      <c r="U1113" s="89">
        <f t="shared" si="310"/>
        <v>103.31428490526316</v>
      </c>
      <c r="V1113" s="89">
        <f t="shared" si="311"/>
        <v>109.77666499999999</v>
      </c>
      <c r="W1113" s="90">
        <f t="shared" si="316"/>
        <v>10428.783174999999</v>
      </c>
      <c r="X1113" s="98">
        <f t="shared" si="312"/>
        <v>6.2550692778473804E-2</v>
      </c>
      <c r="AB1113" s="89">
        <f t="shared" si="301"/>
        <v>195</v>
      </c>
      <c r="AC1113" s="89">
        <f t="shared" si="302"/>
        <v>51.179276000000002</v>
      </c>
      <c r="AD1113" s="89">
        <f t="shared" si="303"/>
        <v>109.77666499999999</v>
      </c>
      <c r="AE1113" s="89">
        <f t="shared" si="304"/>
        <v>21406.449675</v>
      </c>
      <c r="AF1113" s="90">
        <f t="shared" si="307"/>
        <v>11426.490854999998</v>
      </c>
      <c r="AG1113" s="93">
        <f t="shared" si="308"/>
        <v>1.1449436877536132</v>
      </c>
      <c r="AK1113" s="90">
        <f t="shared" si="305"/>
        <v>142</v>
      </c>
      <c r="AL1113" s="89">
        <f t="shared" si="306"/>
        <v>68.865979063380294</v>
      </c>
      <c r="AM1113" s="89">
        <f t="shared" si="298"/>
        <v>109.77666499999999</v>
      </c>
      <c r="AN1113" s="90">
        <f t="shared" si="299"/>
        <v>15588.286429999998</v>
      </c>
      <c r="AO1113" s="93">
        <f t="shared" si="300"/>
        <v>0.59406235841020805</v>
      </c>
    </row>
    <row r="1114" spans="2:41" x14ac:dyDescent="0.25">
      <c r="B1114" s="91">
        <v>40967</v>
      </c>
      <c r="C1114" s="89">
        <v>137.199997</v>
      </c>
      <c r="D1114" s="89">
        <v>137.720001</v>
      </c>
      <c r="E1114" s="89">
        <v>136.929993</v>
      </c>
      <c r="F1114" s="89">
        <v>137.55999800000001</v>
      </c>
      <c r="G1114" s="89">
        <v>110.096779</v>
      </c>
      <c r="H1114" s="89">
        <v>129355900</v>
      </c>
      <c r="J1114" s="89">
        <v>0</v>
      </c>
      <c r="K1114" s="89">
        <f t="shared" si="317"/>
        <v>88</v>
      </c>
      <c r="L1114" s="89">
        <f t="shared" si="318"/>
        <v>112.621376</v>
      </c>
      <c r="M1114" s="89">
        <f>+SPY__2[[#This Row],[Adj Close]]</f>
        <v>110.096779</v>
      </c>
      <c r="N1114" s="89">
        <f t="shared" si="313"/>
        <v>9688.5165519999991</v>
      </c>
      <c r="O1114" s="90">
        <f t="shared" si="314"/>
        <v>-222.164536</v>
      </c>
      <c r="P1114" s="93">
        <f t="shared" si="315"/>
        <v>-2.241667691930882E-2</v>
      </c>
      <c r="Q1114" s="96"/>
      <c r="R1114" s="96"/>
      <c r="T1114" s="90">
        <f t="shared" si="309"/>
        <v>95</v>
      </c>
      <c r="U1114" s="89">
        <f t="shared" si="310"/>
        <v>103.31428490526316</v>
      </c>
      <c r="V1114" s="89">
        <f t="shared" si="311"/>
        <v>110.096779</v>
      </c>
      <c r="W1114" s="90">
        <f t="shared" si="316"/>
        <v>10459.194004999999</v>
      </c>
      <c r="X1114" s="98">
        <f t="shared" si="312"/>
        <v>6.5649141364683805E-2</v>
      </c>
      <c r="AB1114" s="89">
        <f t="shared" si="301"/>
        <v>195</v>
      </c>
      <c r="AC1114" s="89">
        <f t="shared" si="302"/>
        <v>51.179276000000002</v>
      </c>
      <c r="AD1114" s="89">
        <f t="shared" si="303"/>
        <v>110.096779</v>
      </c>
      <c r="AE1114" s="89">
        <f t="shared" si="304"/>
        <v>21468.871905</v>
      </c>
      <c r="AF1114" s="90">
        <f t="shared" si="307"/>
        <v>11488.913085</v>
      </c>
      <c r="AG1114" s="93">
        <f t="shared" si="308"/>
        <v>1.1511984460272551</v>
      </c>
      <c r="AK1114" s="90">
        <f t="shared" si="305"/>
        <v>142</v>
      </c>
      <c r="AL1114" s="89">
        <f t="shared" si="306"/>
        <v>68.865979063380294</v>
      </c>
      <c r="AM1114" s="89">
        <f t="shared" si="298"/>
        <v>110.096779</v>
      </c>
      <c r="AN1114" s="90">
        <f t="shared" si="299"/>
        <v>15633.742618</v>
      </c>
      <c r="AO1114" s="93">
        <f t="shared" si="300"/>
        <v>0.59871072040772488</v>
      </c>
    </row>
    <row r="1115" spans="2:41" x14ac:dyDescent="0.25">
      <c r="B1115" s="91">
        <v>40968</v>
      </c>
      <c r="C1115" s="89">
        <v>137.759995</v>
      </c>
      <c r="D1115" s="89">
        <v>138.19000199999999</v>
      </c>
      <c r="E1115" s="89">
        <v>136.53999300000001</v>
      </c>
      <c r="F1115" s="89">
        <v>137.020004</v>
      </c>
      <c r="G1115" s="89">
        <v>109.664597</v>
      </c>
      <c r="H1115" s="89">
        <v>185934700</v>
      </c>
      <c r="J1115" s="89">
        <v>0</v>
      </c>
      <c r="K1115" s="89">
        <f t="shared" si="317"/>
        <v>88</v>
      </c>
      <c r="L1115" s="89">
        <f t="shared" si="318"/>
        <v>112.621376</v>
      </c>
      <c r="M1115" s="89">
        <f>+SPY__2[[#This Row],[Adj Close]]</f>
        <v>109.664597</v>
      </c>
      <c r="N1115" s="89">
        <f t="shared" si="313"/>
        <v>9650.4845359999999</v>
      </c>
      <c r="O1115" s="90">
        <f t="shared" si="314"/>
        <v>-260.19655199999977</v>
      </c>
      <c r="P1115" s="93">
        <f t="shared" si="315"/>
        <v>-2.6254154451105238E-2</v>
      </c>
      <c r="Q1115" s="96"/>
      <c r="R1115" s="96"/>
      <c r="T1115" s="90">
        <f t="shared" si="309"/>
        <v>95</v>
      </c>
      <c r="U1115" s="89">
        <f t="shared" si="310"/>
        <v>103.31428490526316</v>
      </c>
      <c r="V1115" s="89">
        <f t="shared" si="311"/>
        <v>109.664597</v>
      </c>
      <c r="W1115" s="90">
        <f t="shared" si="316"/>
        <v>10418.136715000001</v>
      </c>
      <c r="X1115" s="98">
        <f t="shared" si="312"/>
        <v>6.1465963787678879E-2</v>
      </c>
      <c r="AB1115" s="89">
        <f t="shared" si="301"/>
        <v>195</v>
      </c>
      <c r="AC1115" s="89">
        <f t="shared" si="302"/>
        <v>51.179276000000002</v>
      </c>
      <c r="AD1115" s="89">
        <f t="shared" si="303"/>
        <v>109.664597</v>
      </c>
      <c r="AE1115" s="89">
        <f t="shared" si="304"/>
        <v>21384.596415</v>
      </c>
      <c r="AF1115" s="90">
        <f t="shared" si="307"/>
        <v>11404.637595</v>
      </c>
      <c r="AG1115" s="93">
        <f t="shared" si="308"/>
        <v>1.1427539733074772</v>
      </c>
      <c r="AK1115" s="90">
        <f t="shared" si="305"/>
        <v>142</v>
      </c>
      <c r="AL1115" s="89">
        <f t="shared" si="306"/>
        <v>68.865979063380294</v>
      </c>
      <c r="AM1115" s="89">
        <f t="shared" si="298"/>
        <v>109.664597</v>
      </c>
      <c r="AN1115" s="90">
        <f t="shared" si="299"/>
        <v>15572.372773999999</v>
      </c>
      <c r="AO1115" s="93">
        <f t="shared" si="300"/>
        <v>0.59243502367215317</v>
      </c>
    </row>
    <row r="1116" spans="2:41" x14ac:dyDescent="0.25">
      <c r="B1116" s="91">
        <v>40969</v>
      </c>
      <c r="C1116" s="89">
        <v>137.30999800000001</v>
      </c>
      <c r="D1116" s="89">
        <v>137.990005</v>
      </c>
      <c r="E1116" s="89">
        <v>136.929993</v>
      </c>
      <c r="F1116" s="89">
        <v>137.729996</v>
      </c>
      <c r="G1116" s="89">
        <v>110.23287999999999</v>
      </c>
      <c r="H1116" s="89">
        <v>145023500</v>
      </c>
      <c r="J1116" s="89">
        <v>0</v>
      </c>
      <c r="K1116" s="89">
        <f t="shared" si="317"/>
        <v>88</v>
      </c>
      <c r="L1116" s="89">
        <f t="shared" si="318"/>
        <v>112.621376</v>
      </c>
      <c r="M1116" s="89">
        <f>+SPY__2[[#This Row],[Adj Close]]</f>
        <v>110.23287999999999</v>
      </c>
      <c r="N1116" s="89">
        <f t="shared" si="313"/>
        <v>9700.4934400000002</v>
      </c>
      <c r="O1116" s="90">
        <f t="shared" si="314"/>
        <v>-210.18764800000031</v>
      </c>
      <c r="P1116" s="93">
        <f t="shared" si="315"/>
        <v>-2.1208194082089737E-2</v>
      </c>
      <c r="Q1116" s="96"/>
      <c r="R1116" s="96"/>
      <c r="T1116" s="90">
        <f t="shared" si="309"/>
        <v>95</v>
      </c>
      <c r="U1116" s="89">
        <f t="shared" si="310"/>
        <v>103.31428490526316</v>
      </c>
      <c r="V1116" s="89">
        <f t="shared" si="311"/>
        <v>110.23287999999999</v>
      </c>
      <c r="W1116" s="90">
        <f t="shared" si="316"/>
        <v>10472.123599999999</v>
      </c>
      <c r="X1116" s="98">
        <f t="shared" si="312"/>
        <v>6.6966490655972821E-2</v>
      </c>
      <c r="AB1116" s="89">
        <f t="shared" si="301"/>
        <v>195</v>
      </c>
      <c r="AC1116" s="89">
        <f t="shared" si="302"/>
        <v>51.179276000000002</v>
      </c>
      <c r="AD1116" s="89">
        <f t="shared" si="303"/>
        <v>110.23287999999999</v>
      </c>
      <c r="AE1116" s="89">
        <f t="shared" si="304"/>
        <v>21495.411599999999</v>
      </c>
      <c r="AF1116" s="90">
        <f t="shared" si="307"/>
        <v>11515.452779999998</v>
      </c>
      <c r="AG1116" s="93">
        <f t="shared" si="308"/>
        <v>1.1538577450763468</v>
      </c>
      <c r="AK1116" s="90">
        <f t="shared" si="305"/>
        <v>142</v>
      </c>
      <c r="AL1116" s="89">
        <f t="shared" si="306"/>
        <v>68.865979063380294</v>
      </c>
      <c r="AM1116" s="89">
        <f t="shared" si="298"/>
        <v>110.23287999999999</v>
      </c>
      <c r="AN1116" s="90">
        <f t="shared" si="299"/>
        <v>15653.068959999999</v>
      </c>
      <c r="AO1116" s="93">
        <f t="shared" si="300"/>
        <v>0.6006870373330202</v>
      </c>
    </row>
    <row r="1117" spans="2:41" x14ac:dyDescent="0.25">
      <c r="B1117" s="91">
        <v>40970</v>
      </c>
      <c r="C1117" s="89">
        <v>137.63999899999999</v>
      </c>
      <c r="D1117" s="89">
        <v>137.820007</v>
      </c>
      <c r="E1117" s="89">
        <v>137</v>
      </c>
      <c r="F1117" s="89">
        <v>137.30999800000001</v>
      </c>
      <c r="G1117" s="89">
        <v>109.89672899999999</v>
      </c>
      <c r="H1117" s="89">
        <v>120638300</v>
      </c>
      <c r="J1117" s="89">
        <v>0</v>
      </c>
      <c r="K1117" s="89">
        <f t="shared" si="317"/>
        <v>88</v>
      </c>
      <c r="L1117" s="89">
        <f t="shared" si="318"/>
        <v>112.621376</v>
      </c>
      <c r="M1117" s="89">
        <f>+SPY__2[[#This Row],[Adj Close]]</f>
        <v>109.89672899999999</v>
      </c>
      <c r="N1117" s="89">
        <f t="shared" si="313"/>
        <v>9670.912151999999</v>
      </c>
      <c r="O1117" s="90">
        <f t="shared" si="314"/>
        <v>-239.76893600000039</v>
      </c>
      <c r="P1117" s="93">
        <f t="shared" si="315"/>
        <v>-2.4192982689183351E-2</v>
      </c>
      <c r="Q1117" s="96"/>
      <c r="R1117" s="96"/>
      <c r="T1117" s="90">
        <f t="shared" si="309"/>
        <v>95</v>
      </c>
      <c r="U1117" s="89">
        <f t="shared" si="310"/>
        <v>103.31428490526316</v>
      </c>
      <c r="V1117" s="89">
        <f t="shared" si="311"/>
        <v>109.89672899999999</v>
      </c>
      <c r="W1117" s="90">
        <f t="shared" si="316"/>
        <v>10440.189254999999</v>
      </c>
      <c r="X1117" s="98">
        <f t="shared" si="312"/>
        <v>6.3712816681379403E-2</v>
      </c>
      <c r="AB1117" s="89">
        <f t="shared" si="301"/>
        <v>195</v>
      </c>
      <c r="AC1117" s="89">
        <f t="shared" si="302"/>
        <v>51.179276000000002</v>
      </c>
      <c r="AD1117" s="89">
        <f t="shared" si="303"/>
        <v>109.89672899999999</v>
      </c>
      <c r="AE1117" s="89">
        <f t="shared" si="304"/>
        <v>21429.862154999999</v>
      </c>
      <c r="AF1117" s="90">
        <f t="shared" si="307"/>
        <v>11449.903334999999</v>
      </c>
      <c r="AG1117" s="93">
        <f t="shared" si="308"/>
        <v>1.147289637313353</v>
      </c>
      <c r="AK1117" s="90">
        <f t="shared" si="305"/>
        <v>142</v>
      </c>
      <c r="AL1117" s="89">
        <f t="shared" si="306"/>
        <v>68.865979063380294</v>
      </c>
      <c r="AM1117" s="89">
        <f t="shared" si="298"/>
        <v>109.89672899999999</v>
      </c>
      <c r="AN1117" s="90">
        <f t="shared" si="299"/>
        <v>15605.335518</v>
      </c>
      <c r="AO1117" s="93">
        <f t="shared" si="300"/>
        <v>0.59580580272963757</v>
      </c>
    </row>
    <row r="1118" spans="2:41" x14ac:dyDescent="0.25">
      <c r="B1118" s="91">
        <v>40973</v>
      </c>
      <c r="C1118" s="89">
        <v>137.10000600000001</v>
      </c>
      <c r="D1118" s="89">
        <v>137.199997</v>
      </c>
      <c r="E1118" s="89">
        <v>136.279999</v>
      </c>
      <c r="F1118" s="89">
        <v>136.75</v>
      </c>
      <c r="G1118" s="89">
        <v>109.448494</v>
      </c>
      <c r="H1118" s="89">
        <v>140765000</v>
      </c>
      <c r="J1118" s="89">
        <v>0</v>
      </c>
      <c r="K1118" s="89">
        <f t="shared" si="317"/>
        <v>88</v>
      </c>
      <c r="L1118" s="89">
        <f t="shared" si="318"/>
        <v>112.621376</v>
      </c>
      <c r="M1118" s="89">
        <f>+SPY__2[[#This Row],[Adj Close]]</f>
        <v>109.448494</v>
      </c>
      <c r="N1118" s="89">
        <f t="shared" si="313"/>
        <v>9631.4674720000003</v>
      </c>
      <c r="O1118" s="90">
        <f t="shared" si="314"/>
        <v>-279.21361600000012</v>
      </c>
      <c r="P1118" s="93">
        <f t="shared" si="315"/>
        <v>-2.8172999768711793E-2</v>
      </c>
      <c r="Q1118" s="96"/>
      <c r="R1118" s="96"/>
      <c r="T1118" s="90">
        <f t="shared" si="309"/>
        <v>95</v>
      </c>
      <c r="U1118" s="89">
        <f t="shared" si="310"/>
        <v>103.31428490526316</v>
      </c>
      <c r="V1118" s="89">
        <f t="shared" si="311"/>
        <v>109.448494</v>
      </c>
      <c r="W1118" s="90">
        <f t="shared" si="316"/>
        <v>10397.60693</v>
      </c>
      <c r="X1118" s="98">
        <f t="shared" si="312"/>
        <v>5.937425884873293E-2</v>
      </c>
      <c r="AB1118" s="89">
        <f t="shared" si="301"/>
        <v>195</v>
      </c>
      <c r="AC1118" s="89">
        <f t="shared" si="302"/>
        <v>51.179276000000002</v>
      </c>
      <c r="AD1118" s="89">
        <f t="shared" si="303"/>
        <v>109.448494</v>
      </c>
      <c r="AE1118" s="89">
        <f t="shared" si="304"/>
        <v>21342.456330000001</v>
      </c>
      <c r="AF1118" s="90">
        <f t="shared" si="307"/>
        <v>11362.497509999999</v>
      </c>
      <c r="AG1118" s="93">
        <f t="shared" si="308"/>
        <v>1.1385315024776825</v>
      </c>
      <c r="AK1118" s="90">
        <f t="shared" si="305"/>
        <v>142</v>
      </c>
      <c r="AL1118" s="89">
        <f t="shared" si="306"/>
        <v>68.865979063380294</v>
      </c>
      <c r="AM1118" s="89">
        <f t="shared" si="298"/>
        <v>109.448494</v>
      </c>
      <c r="AN1118" s="90">
        <f t="shared" si="299"/>
        <v>15541.686147999999</v>
      </c>
      <c r="AO1118" s="93">
        <f t="shared" si="300"/>
        <v>0.58929700105286953</v>
      </c>
    </row>
    <row r="1119" spans="2:41" x14ac:dyDescent="0.25">
      <c r="B1119" s="91">
        <v>40974</v>
      </c>
      <c r="C1119" s="89">
        <v>135.35000600000001</v>
      </c>
      <c r="D1119" s="89">
        <v>135.429993</v>
      </c>
      <c r="E1119" s="89">
        <v>134.36000100000001</v>
      </c>
      <c r="F1119" s="89">
        <v>134.75</v>
      </c>
      <c r="G1119" s="89">
        <v>107.84781599999999</v>
      </c>
      <c r="H1119" s="89">
        <v>202129900</v>
      </c>
      <c r="J1119" s="89">
        <v>0</v>
      </c>
      <c r="K1119" s="89">
        <f t="shared" si="317"/>
        <v>88</v>
      </c>
      <c r="L1119" s="89">
        <f t="shared" si="318"/>
        <v>112.621376</v>
      </c>
      <c r="M1119" s="89">
        <f>+SPY__2[[#This Row],[Adj Close]]</f>
        <v>107.84781599999999</v>
      </c>
      <c r="N1119" s="89">
        <f t="shared" si="313"/>
        <v>9490.6078079999988</v>
      </c>
      <c r="O1119" s="90">
        <f t="shared" si="314"/>
        <v>-420.0732800000003</v>
      </c>
      <c r="P1119" s="93">
        <f t="shared" si="315"/>
        <v>-4.2385914375615563E-2</v>
      </c>
      <c r="Q1119" s="96"/>
      <c r="R1119" s="96"/>
      <c r="T1119" s="90">
        <f t="shared" si="309"/>
        <v>95</v>
      </c>
      <c r="U1119" s="89">
        <f t="shared" si="310"/>
        <v>103.31428490526316</v>
      </c>
      <c r="V1119" s="89">
        <f t="shared" si="311"/>
        <v>107.84781599999999</v>
      </c>
      <c r="W1119" s="90">
        <f t="shared" si="316"/>
        <v>10245.542519999999</v>
      </c>
      <c r="X1119" s="98">
        <f t="shared" si="312"/>
        <v>4.3880970563692889E-2</v>
      </c>
      <c r="AB1119" s="89">
        <f t="shared" si="301"/>
        <v>195</v>
      </c>
      <c r="AC1119" s="89">
        <f t="shared" si="302"/>
        <v>51.179276000000002</v>
      </c>
      <c r="AD1119" s="89">
        <f t="shared" si="303"/>
        <v>107.84781599999999</v>
      </c>
      <c r="AE1119" s="89">
        <f t="shared" si="304"/>
        <v>21030.324119999997</v>
      </c>
      <c r="AF1119" s="90">
        <f t="shared" si="307"/>
        <v>11050.365299999999</v>
      </c>
      <c r="AG1119" s="93">
        <f t="shared" si="308"/>
        <v>1.1072556008803249</v>
      </c>
      <c r="AK1119" s="90">
        <f t="shared" si="305"/>
        <v>142</v>
      </c>
      <c r="AL1119" s="89">
        <f t="shared" si="306"/>
        <v>68.865979063380294</v>
      </c>
      <c r="AM1119" s="89">
        <f t="shared" si="298"/>
        <v>107.84781599999999</v>
      </c>
      <c r="AN1119" s="90">
        <f t="shared" si="299"/>
        <v>15314.389872</v>
      </c>
      <c r="AO1119" s="93">
        <f t="shared" si="300"/>
        <v>0.5660536228018056</v>
      </c>
    </row>
    <row r="1120" spans="2:41" x14ac:dyDescent="0.25">
      <c r="B1120" s="91">
        <v>40975</v>
      </c>
      <c r="C1120" s="89">
        <v>135.05999800000001</v>
      </c>
      <c r="D1120" s="89">
        <v>135.91000399999999</v>
      </c>
      <c r="E1120" s="89">
        <v>134.929993</v>
      </c>
      <c r="F1120" s="89">
        <v>135.69000199999999</v>
      </c>
      <c r="G1120" s="89">
        <v>108.600166</v>
      </c>
      <c r="H1120" s="89">
        <v>143692200</v>
      </c>
      <c r="J1120" s="89">
        <v>0</v>
      </c>
      <c r="K1120" s="89">
        <f t="shared" si="317"/>
        <v>88</v>
      </c>
      <c r="L1120" s="89">
        <f t="shared" si="318"/>
        <v>112.621376</v>
      </c>
      <c r="M1120" s="89">
        <f>+SPY__2[[#This Row],[Adj Close]]</f>
        <v>108.600166</v>
      </c>
      <c r="N1120" s="89">
        <f t="shared" si="313"/>
        <v>9556.8146080000006</v>
      </c>
      <c r="O1120" s="90">
        <f t="shared" si="314"/>
        <v>-353.86647999999968</v>
      </c>
      <c r="P1120" s="93">
        <f t="shared" si="315"/>
        <v>-3.5705566232825947E-2</v>
      </c>
      <c r="Q1120" s="96"/>
      <c r="R1120" s="96"/>
      <c r="T1120" s="90">
        <f t="shared" si="309"/>
        <v>95</v>
      </c>
      <c r="U1120" s="89">
        <f t="shared" si="310"/>
        <v>103.31428490526316</v>
      </c>
      <c r="V1120" s="89">
        <f t="shared" si="311"/>
        <v>108.600166</v>
      </c>
      <c r="W1120" s="90">
        <f t="shared" si="316"/>
        <v>10317.01577</v>
      </c>
      <c r="X1120" s="98">
        <f t="shared" si="312"/>
        <v>5.1163119403903057E-2</v>
      </c>
      <c r="AB1120" s="89">
        <f t="shared" si="301"/>
        <v>195</v>
      </c>
      <c r="AC1120" s="89">
        <f t="shared" si="302"/>
        <v>51.179276000000002</v>
      </c>
      <c r="AD1120" s="89">
        <f t="shared" si="303"/>
        <v>108.600166</v>
      </c>
      <c r="AE1120" s="89">
        <f t="shared" si="304"/>
        <v>21177.032370000001</v>
      </c>
      <c r="AF1120" s="90">
        <f t="shared" si="307"/>
        <v>11197.073549999999</v>
      </c>
      <c r="AG1120" s="93">
        <f t="shared" si="308"/>
        <v>1.1219558869883191</v>
      </c>
      <c r="AK1120" s="90">
        <f t="shared" si="305"/>
        <v>142</v>
      </c>
      <c r="AL1120" s="89">
        <f t="shared" si="306"/>
        <v>68.865979063380294</v>
      </c>
      <c r="AM1120" s="89">
        <f t="shared" si="298"/>
        <v>108.600166</v>
      </c>
      <c r="AN1120" s="90">
        <f t="shared" si="299"/>
        <v>15421.223572000001</v>
      </c>
      <c r="AO1120" s="93">
        <f t="shared" si="300"/>
        <v>0.57697846566663435</v>
      </c>
    </row>
    <row r="1121" spans="2:41" x14ac:dyDescent="0.25">
      <c r="B1121" s="91">
        <v>40976</v>
      </c>
      <c r="C1121" s="89">
        <v>136.520004</v>
      </c>
      <c r="D1121" s="89">
        <v>137.320007</v>
      </c>
      <c r="E1121" s="89">
        <v>136.240005</v>
      </c>
      <c r="F1121" s="89">
        <v>137.03999300000001</v>
      </c>
      <c r="G1121" s="89">
        <v>109.680611</v>
      </c>
      <c r="H1121" s="89">
        <v>116968900</v>
      </c>
      <c r="J1121" s="89">
        <v>0</v>
      </c>
      <c r="K1121" s="89">
        <f t="shared" si="317"/>
        <v>88</v>
      </c>
      <c r="L1121" s="89">
        <f t="shared" si="318"/>
        <v>112.621376</v>
      </c>
      <c r="M1121" s="89">
        <f>+SPY__2[[#This Row],[Adj Close]]</f>
        <v>109.680611</v>
      </c>
      <c r="N1121" s="89">
        <f t="shared" si="313"/>
        <v>9651.8937679999999</v>
      </c>
      <c r="O1121" s="90">
        <f t="shared" si="314"/>
        <v>-258.78731999999991</v>
      </c>
      <c r="P1121" s="93">
        <f t="shared" si="315"/>
        <v>-2.6111961196425115E-2</v>
      </c>
      <c r="Q1121" s="96"/>
      <c r="R1121" s="96"/>
      <c r="T1121" s="90">
        <f t="shared" si="309"/>
        <v>95</v>
      </c>
      <c r="U1121" s="89">
        <f t="shared" si="310"/>
        <v>103.31428490526316</v>
      </c>
      <c r="V1121" s="89">
        <f t="shared" si="311"/>
        <v>109.680611</v>
      </c>
      <c r="W1121" s="90">
        <f t="shared" si="316"/>
        <v>10419.658045</v>
      </c>
      <c r="X1121" s="98">
        <f t="shared" si="312"/>
        <v>6.162096655437943E-2</v>
      </c>
      <c r="AB1121" s="89">
        <f t="shared" si="301"/>
        <v>195</v>
      </c>
      <c r="AC1121" s="89">
        <f t="shared" si="302"/>
        <v>51.179276000000002</v>
      </c>
      <c r="AD1121" s="89">
        <f t="shared" si="303"/>
        <v>109.680611</v>
      </c>
      <c r="AE1121" s="89">
        <f t="shared" si="304"/>
        <v>21387.719144999999</v>
      </c>
      <c r="AF1121" s="90">
        <f t="shared" si="307"/>
        <v>11407.760324999999</v>
      </c>
      <c r="AG1121" s="93">
        <f t="shared" si="308"/>
        <v>1.1430668733961769</v>
      </c>
      <c r="AK1121" s="90">
        <f t="shared" si="305"/>
        <v>142</v>
      </c>
      <c r="AL1121" s="89">
        <f t="shared" si="306"/>
        <v>68.865979063380294</v>
      </c>
      <c r="AM1121" s="89">
        <f t="shared" si="298"/>
        <v>109.680611</v>
      </c>
      <c r="AN1121" s="90">
        <f t="shared" si="299"/>
        <v>15574.646762</v>
      </c>
      <c r="AO1121" s="93">
        <f t="shared" si="300"/>
        <v>0.59266756229598183</v>
      </c>
    </row>
    <row r="1122" spans="2:41" x14ac:dyDescent="0.25">
      <c r="B1122" s="91">
        <v>40977</v>
      </c>
      <c r="C1122" s="89">
        <v>137.300003</v>
      </c>
      <c r="D1122" s="89">
        <v>137.929993</v>
      </c>
      <c r="E1122" s="89">
        <v>137.13000500000001</v>
      </c>
      <c r="F1122" s="89">
        <v>137.570007</v>
      </c>
      <c r="G1122" s="89">
        <v>110.10483600000001</v>
      </c>
      <c r="H1122" s="89">
        <v>122836800</v>
      </c>
      <c r="J1122" s="89">
        <v>0</v>
      </c>
      <c r="K1122" s="89">
        <f t="shared" si="317"/>
        <v>88</v>
      </c>
      <c r="L1122" s="89">
        <f t="shared" si="318"/>
        <v>112.621376</v>
      </c>
      <c r="M1122" s="89">
        <f>+SPY__2[[#This Row],[Adj Close]]</f>
        <v>110.10483600000001</v>
      </c>
      <c r="N1122" s="89">
        <f t="shared" si="313"/>
        <v>9689.2255679999998</v>
      </c>
      <c r="O1122" s="90">
        <f t="shared" si="314"/>
        <v>-221.4555199999993</v>
      </c>
      <c r="P1122" s="93">
        <f t="shared" si="315"/>
        <v>-2.2345136326517578E-2</v>
      </c>
      <c r="Q1122" s="96"/>
      <c r="R1122" s="96"/>
      <c r="T1122" s="90">
        <f t="shared" si="309"/>
        <v>95</v>
      </c>
      <c r="U1122" s="89">
        <f t="shared" si="310"/>
        <v>103.31428490526316</v>
      </c>
      <c r="V1122" s="89">
        <f t="shared" si="311"/>
        <v>110.10483600000001</v>
      </c>
      <c r="W1122" s="90">
        <f t="shared" si="316"/>
        <v>10459.959420000001</v>
      </c>
      <c r="X1122" s="98">
        <f t="shared" si="312"/>
        <v>6.57271267082149E-2</v>
      </c>
      <c r="AB1122" s="89">
        <f t="shared" si="301"/>
        <v>195</v>
      </c>
      <c r="AC1122" s="89">
        <f t="shared" si="302"/>
        <v>51.179276000000002</v>
      </c>
      <c r="AD1122" s="89">
        <f t="shared" si="303"/>
        <v>110.10483600000001</v>
      </c>
      <c r="AE1122" s="89">
        <f t="shared" si="304"/>
        <v>21470.443020000002</v>
      </c>
      <c r="AF1122" s="90">
        <f t="shared" si="307"/>
        <v>11490.484200000001</v>
      </c>
      <c r="AG1122" s="93">
        <f t="shared" si="308"/>
        <v>1.1513558730295443</v>
      </c>
      <c r="AK1122" s="90">
        <f t="shared" si="305"/>
        <v>142</v>
      </c>
      <c r="AL1122" s="89">
        <f t="shared" si="306"/>
        <v>68.865979063380294</v>
      </c>
      <c r="AM1122" s="89">
        <f t="shared" si="298"/>
        <v>110.10483600000001</v>
      </c>
      <c r="AN1122" s="90">
        <f t="shared" si="299"/>
        <v>15634.886712000001</v>
      </c>
      <c r="AO1122" s="93">
        <f t="shared" si="300"/>
        <v>0.59882771576754679</v>
      </c>
    </row>
    <row r="1123" spans="2:41" x14ac:dyDescent="0.25">
      <c r="B1123" s="91">
        <v>40980</v>
      </c>
      <c r="C1123" s="89">
        <v>137.550003</v>
      </c>
      <c r="D1123" s="89">
        <v>137.759995</v>
      </c>
      <c r="E1123" s="89">
        <v>137.08999600000001</v>
      </c>
      <c r="F1123" s="89">
        <v>137.58000200000001</v>
      </c>
      <c r="G1123" s="89">
        <v>110.112816</v>
      </c>
      <c r="H1123" s="89">
        <v>104003500</v>
      </c>
      <c r="J1123" s="89">
        <v>0</v>
      </c>
      <c r="K1123" s="89">
        <f t="shared" si="317"/>
        <v>88</v>
      </c>
      <c r="L1123" s="89">
        <f t="shared" si="318"/>
        <v>112.621376</v>
      </c>
      <c r="M1123" s="89">
        <f>+SPY__2[[#This Row],[Adj Close]]</f>
        <v>110.112816</v>
      </c>
      <c r="N1123" s="89">
        <f t="shared" si="313"/>
        <v>9689.9278080000004</v>
      </c>
      <c r="O1123" s="90">
        <f t="shared" si="314"/>
        <v>-220.75328000000025</v>
      </c>
      <c r="P1123" s="93">
        <f t="shared" si="315"/>
        <v>-2.2274279440521183E-2</v>
      </c>
      <c r="Q1123" s="96"/>
      <c r="R1123" s="96"/>
      <c r="T1123" s="90">
        <f t="shared" si="309"/>
        <v>95</v>
      </c>
      <c r="U1123" s="89">
        <f t="shared" si="310"/>
        <v>103.31428490526316</v>
      </c>
      <c r="V1123" s="89">
        <f t="shared" si="311"/>
        <v>110.112816</v>
      </c>
      <c r="W1123" s="90">
        <f t="shared" si="316"/>
        <v>10460.71752</v>
      </c>
      <c r="X1123" s="98">
        <f t="shared" si="312"/>
        <v>6.5804366753067445E-2</v>
      </c>
      <c r="AB1123" s="89">
        <f t="shared" si="301"/>
        <v>195</v>
      </c>
      <c r="AC1123" s="89">
        <f t="shared" si="302"/>
        <v>51.179276000000002</v>
      </c>
      <c r="AD1123" s="89">
        <f t="shared" si="303"/>
        <v>110.112816</v>
      </c>
      <c r="AE1123" s="89">
        <f t="shared" si="304"/>
        <v>21471.99912</v>
      </c>
      <c r="AF1123" s="90">
        <f t="shared" si="307"/>
        <v>11492.040299999999</v>
      </c>
      <c r="AG1123" s="93">
        <f t="shared" si="308"/>
        <v>1.151511795516607</v>
      </c>
      <c r="AK1123" s="90">
        <f t="shared" si="305"/>
        <v>142</v>
      </c>
      <c r="AL1123" s="89">
        <f t="shared" si="306"/>
        <v>68.865979063380294</v>
      </c>
      <c r="AM1123" s="89">
        <f t="shared" si="298"/>
        <v>110.112816</v>
      </c>
      <c r="AN1123" s="90">
        <f t="shared" si="299"/>
        <v>15636.019871999999</v>
      </c>
      <c r="AO1123" s="93">
        <f t="shared" si="300"/>
        <v>0.59894359301359068</v>
      </c>
    </row>
    <row r="1124" spans="2:41" x14ac:dyDescent="0.25">
      <c r="B1124" s="91">
        <v>40981</v>
      </c>
      <c r="C1124" s="89">
        <v>138.320007</v>
      </c>
      <c r="D1124" s="89">
        <v>140.13000500000001</v>
      </c>
      <c r="E1124" s="89">
        <v>138.08999600000001</v>
      </c>
      <c r="F1124" s="89">
        <v>140.05999800000001</v>
      </c>
      <c r="G1124" s="89">
        <v>112.09768699999999</v>
      </c>
      <c r="H1124" s="89">
        <v>184090500</v>
      </c>
      <c r="J1124" s="89">
        <v>0</v>
      </c>
      <c r="K1124" s="89">
        <f t="shared" si="317"/>
        <v>88</v>
      </c>
      <c r="L1124" s="89">
        <f t="shared" si="318"/>
        <v>112.621376</v>
      </c>
      <c r="M1124" s="89">
        <f>+SPY__2[[#This Row],[Adj Close]]</f>
        <v>112.09768699999999</v>
      </c>
      <c r="N1124" s="89">
        <f t="shared" si="313"/>
        <v>9864.5964559999993</v>
      </c>
      <c r="O1124" s="90">
        <f t="shared" si="314"/>
        <v>-46.084632000000397</v>
      </c>
      <c r="P1124" s="93">
        <f t="shared" si="315"/>
        <v>-4.649996462483319E-3</v>
      </c>
      <c r="Q1124" s="96"/>
      <c r="R1124" s="96"/>
      <c r="T1124" s="90">
        <f t="shared" si="309"/>
        <v>95</v>
      </c>
      <c r="U1124" s="89">
        <f t="shared" si="310"/>
        <v>103.31428490526316</v>
      </c>
      <c r="V1124" s="89">
        <f t="shared" si="311"/>
        <v>112.09768699999999</v>
      </c>
      <c r="W1124" s="90">
        <f t="shared" si="316"/>
        <v>10649.280264999999</v>
      </c>
      <c r="X1124" s="98">
        <f t="shared" si="312"/>
        <v>8.5016337312802559E-2</v>
      </c>
      <c r="AB1124" s="89">
        <f t="shared" si="301"/>
        <v>195</v>
      </c>
      <c r="AC1124" s="89">
        <f t="shared" si="302"/>
        <v>51.179276000000002</v>
      </c>
      <c r="AD1124" s="89">
        <f t="shared" si="303"/>
        <v>112.09768699999999</v>
      </c>
      <c r="AE1124" s="89">
        <f t="shared" si="304"/>
        <v>21859.048964999998</v>
      </c>
      <c r="AF1124" s="90">
        <f t="shared" si="307"/>
        <v>11879.090144999998</v>
      </c>
      <c r="AG1124" s="93">
        <f t="shared" si="308"/>
        <v>1.1902945051430582</v>
      </c>
      <c r="AK1124" s="90">
        <f t="shared" si="305"/>
        <v>142</v>
      </c>
      <c r="AL1124" s="89">
        <f t="shared" si="306"/>
        <v>68.865979063380294</v>
      </c>
      <c r="AM1124" s="89">
        <f t="shared" si="298"/>
        <v>112.09768699999999</v>
      </c>
      <c r="AN1124" s="90">
        <f t="shared" si="299"/>
        <v>15917.871553999999</v>
      </c>
      <c r="AO1124" s="93">
        <f t="shared" si="300"/>
        <v>0.627765821739523</v>
      </c>
    </row>
    <row r="1125" spans="2:41" x14ac:dyDescent="0.25">
      <c r="B1125" s="91">
        <v>40982</v>
      </c>
      <c r="C1125" s="89">
        <v>140.10000600000001</v>
      </c>
      <c r="D1125" s="89">
        <v>140.449997</v>
      </c>
      <c r="E1125" s="89">
        <v>139.479996</v>
      </c>
      <c r="F1125" s="89">
        <v>139.91000399999999</v>
      </c>
      <c r="G1125" s="89">
        <v>111.97762299999999</v>
      </c>
      <c r="H1125" s="89">
        <v>145163600</v>
      </c>
      <c r="J1125" s="89">
        <v>0</v>
      </c>
      <c r="K1125" s="89">
        <f t="shared" si="317"/>
        <v>88</v>
      </c>
      <c r="L1125" s="89">
        <f t="shared" si="318"/>
        <v>112.621376</v>
      </c>
      <c r="M1125" s="89">
        <f>+SPY__2[[#This Row],[Adj Close]]</f>
        <v>111.97762299999999</v>
      </c>
      <c r="N1125" s="89">
        <f t="shared" si="313"/>
        <v>9854.0308239999995</v>
      </c>
      <c r="O1125" s="90">
        <f t="shared" si="314"/>
        <v>-56.650264000000334</v>
      </c>
      <c r="P1125" s="93">
        <f t="shared" si="315"/>
        <v>-5.7160818209147646E-3</v>
      </c>
      <c r="Q1125" s="96"/>
      <c r="R1125" s="96"/>
      <c r="T1125" s="90">
        <f t="shared" si="309"/>
        <v>95</v>
      </c>
      <c r="U1125" s="89">
        <f t="shared" si="310"/>
        <v>103.31428490526316</v>
      </c>
      <c r="V1125" s="89">
        <f t="shared" si="311"/>
        <v>111.97762299999999</v>
      </c>
      <c r="W1125" s="90">
        <f t="shared" si="316"/>
        <v>10637.874184999999</v>
      </c>
      <c r="X1125" s="98">
        <f t="shared" si="312"/>
        <v>8.385421340989696E-2</v>
      </c>
      <c r="AB1125" s="89">
        <f t="shared" si="301"/>
        <v>195</v>
      </c>
      <c r="AC1125" s="89">
        <f t="shared" si="302"/>
        <v>51.179276000000002</v>
      </c>
      <c r="AD1125" s="89">
        <f t="shared" si="303"/>
        <v>111.97762299999999</v>
      </c>
      <c r="AE1125" s="89">
        <f t="shared" si="304"/>
        <v>21835.636484999999</v>
      </c>
      <c r="AF1125" s="90">
        <f t="shared" si="307"/>
        <v>11855.677664999999</v>
      </c>
      <c r="AG1125" s="93">
        <f t="shared" si="308"/>
        <v>1.1879485555833185</v>
      </c>
      <c r="AK1125" s="90">
        <f t="shared" si="305"/>
        <v>142</v>
      </c>
      <c r="AL1125" s="89">
        <f t="shared" si="306"/>
        <v>68.865979063380294</v>
      </c>
      <c r="AM1125" s="89">
        <f t="shared" si="298"/>
        <v>111.97762299999999</v>
      </c>
      <c r="AN1125" s="90">
        <f t="shared" si="299"/>
        <v>15900.822466</v>
      </c>
      <c r="AO1125" s="93">
        <f t="shared" si="300"/>
        <v>0.62602237742009348</v>
      </c>
    </row>
    <row r="1126" spans="2:41" x14ac:dyDescent="0.25">
      <c r="B1126" s="91">
        <v>40983</v>
      </c>
      <c r="C1126" s="89">
        <v>140.11999499999999</v>
      </c>
      <c r="D1126" s="89">
        <v>140.779999</v>
      </c>
      <c r="E1126" s="89">
        <v>139.759995</v>
      </c>
      <c r="F1126" s="89">
        <v>140.720001</v>
      </c>
      <c r="G1126" s="89">
        <v>112.6259</v>
      </c>
      <c r="H1126" s="89">
        <v>165118500</v>
      </c>
      <c r="J1126" s="89">
        <v>0</v>
      </c>
      <c r="K1126" s="89">
        <f t="shared" si="317"/>
        <v>88</v>
      </c>
      <c r="L1126" s="89">
        <f t="shared" si="318"/>
        <v>112.621376</v>
      </c>
      <c r="M1126" s="89">
        <f>+SPY__2[[#This Row],[Adj Close]]</f>
        <v>112.6259</v>
      </c>
      <c r="N1126" s="89">
        <f t="shared" si="313"/>
        <v>9911.0792000000001</v>
      </c>
      <c r="O1126" s="90">
        <f t="shared" si="314"/>
        <v>0.39811200000031022</v>
      </c>
      <c r="P1126" s="93">
        <f t="shared" si="315"/>
        <v>4.0169994016014954E-5</v>
      </c>
      <c r="Q1126" s="96"/>
      <c r="R1126" s="96"/>
      <c r="T1126" s="90">
        <f t="shared" si="309"/>
        <v>95</v>
      </c>
      <c r="U1126" s="89">
        <f t="shared" si="310"/>
        <v>103.31428490526316</v>
      </c>
      <c r="V1126" s="89">
        <f t="shared" si="311"/>
        <v>112.6259</v>
      </c>
      <c r="W1126" s="90">
        <f t="shared" si="316"/>
        <v>10699.460500000001</v>
      </c>
      <c r="X1126" s="98">
        <f t="shared" si="312"/>
        <v>9.0129018492218993E-2</v>
      </c>
      <c r="AB1126" s="89">
        <f t="shared" si="301"/>
        <v>195</v>
      </c>
      <c r="AC1126" s="89">
        <f t="shared" si="302"/>
        <v>51.179276000000002</v>
      </c>
      <c r="AD1126" s="89">
        <f t="shared" si="303"/>
        <v>112.6259</v>
      </c>
      <c r="AE1126" s="89">
        <f t="shared" si="304"/>
        <v>21962.050500000001</v>
      </c>
      <c r="AF1126" s="90">
        <f t="shared" si="307"/>
        <v>11982.09168</v>
      </c>
      <c r="AG1126" s="93">
        <f t="shared" si="308"/>
        <v>1.2006153428196211</v>
      </c>
      <c r="AK1126" s="90">
        <f t="shared" si="305"/>
        <v>142</v>
      </c>
      <c r="AL1126" s="89">
        <f t="shared" si="306"/>
        <v>68.865979063380294</v>
      </c>
      <c r="AM1126" s="89">
        <f t="shared" si="298"/>
        <v>112.6259</v>
      </c>
      <c r="AN1126" s="90">
        <f t="shared" si="299"/>
        <v>15992.8778</v>
      </c>
      <c r="AO1126" s="93">
        <f t="shared" si="300"/>
        <v>0.63543598060728357</v>
      </c>
    </row>
    <row r="1127" spans="2:41" x14ac:dyDescent="0.25">
      <c r="B1127" s="91">
        <v>40984</v>
      </c>
      <c r="C1127" s="89">
        <v>140.36000100000001</v>
      </c>
      <c r="D1127" s="89">
        <v>140.479996</v>
      </c>
      <c r="E1127" s="89">
        <v>140</v>
      </c>
      <c r="F1127" s="89">
        <v>140.300003</v>
      </c>
      <c r="G1127" s="89">
        <v>112.781891</v>
      </c>
      <c r="H1127" s="89">
        <v>152893500</v>
      </c>
      <c r="J1127" s="89">
        <v>0</v>
      </c>
      <c r="K1127" s="89">
        <f t="shared" si="317"/>
        <v>88</v>
      </c>
      <c r="L1127" s="89">
        <f t="shared" si="318"/>
        <v>112.621376</v>
      </c>
      <c r="M1127" s="89">
        <f>+SPY__2[[#This Row],[Adj Close]]</f>
        <v>112.781891</v>
      </c>
      <c r="N1127" s="89">
        <f t="shared" si="313"/>
        <v>9924.8064080000004</v>
      </c>
      <c r="O1127" s="90">
        <f t="shared" si="314"/>
        <v>14.125320000000329</v>
      </c>
      <c r="P1127" s="93">
        <f t="shared" si="315"/>
        <v>1.4252622876851362E-3</v>
      </c>
      <c r="Q1127" s="96"/>
      <c r="R1127" s="96"/>
      <c r="T1127" s="90">
        <f t="shared" si="309"/>
        <v>95</v>
      </c>
      <c r="U1127" s="89">
        <f t="shared" si="310"/>
        <v>103.31428490526316</v>
      </c>
      <c r="V1127" s="89">
        <f t="shared" si="311"/>
        <v>112.781891</v>
      </c>
      <c r="W1127" s="90">
        <f t="shared" si="316"/>
        <v>10714.279645000001</v>
      </c>
      <c r="X1127" s="98">
        <f t="shared" si="312"/>
        <v>9.1638887143422831E-2</v>
      </c>
      <c r="AB1127" s="89">
        <f t="shared" si="301"/>
        <v>195</v>
      </c>
      <c r="AC1127" s="89">
        <f t="shared" si="302"/>
        <v>51.179276000000002</v>
      </c>
      <c r="AD1127" s="89">
        <f t="shared" si="303"/>
        <v>112.781891</v>
      </c>
      <c r="AE1127" s="89">
        <f t="shared" si="304"/>
        <v>21992.468745000002</v>
      </c>
      <c r="AF1127" s="90">
        <f t="shared" si="307"/>
        <v>12012.509925</v>
      </c>
      <c r="AG1127" s="93">
        <f t="shared" si="308"/>
        <v>1.2036632757368433</v>
      </c>
      <c r="AK1127" s="90">
        <f t="shared" si="305"/>
        <v>142</v>
      </c>
      <c r="AL1127" s="89">
        <f t="shared" si="306"/>
        <v>68.865979063380294</v>
      </c>
      <c r="AM1127" s="89">
        <f t="shared" si="298"/>
        <v>112.781891</v>
      </c>
      <c r="AN1127" s="90">
        <f t="shared" si="299"/>
        <v>16015.028522000001</v>
      </c>
      <c r="AO1127" s="93">
        <f t="shared" si="300"/>
        <v>0.63770111939020047</v>
      </c>
    </row>
    <row r="1128" spans="2:41" x14ac:dyDescent="0.25">
      <c r="B1128" s="91">
        <v>40987</v>
      </c>
      <c r="C1128" s="89">
        <v>140.21000699999999</v>
      </c>
      <c r="D1128" s="89">
        <v>141.279999</v>
      </c>
      <c r="E1128" s="89">
        <v>140.11000100000001</v>
      </c>
      <c r="F1128" s="89">
        <v>140.85000600000001</v>
      </c>
      <c r="G1128" s="89">
        <v>113.22402200000001</v>
      </c>
      <c r="H1128" s="89">
        <v>125291100</v>
      </c>
      <c r="J1128" s="89">
        <v>0</v>
      </c>
      <c r="K1128" s="89">
        <f t="shared" si="317"/>
        <v>88</v>
      </c>
      <c r="L1128" s="89">
        <f t="shared" si="318"/>
        <v>112.621376</v>
      </c>
      <c r="M1128" s="89">
        <f>+SPY__2[[#This Row],[Adj Close]]</f>
        <v>113.22402200000001</v>
      </c>
      <c r="N1128" s="89">
        <f t="shared" si="313"/>
        <v>9963.7139360000001</v>
      </c>
      <c r="O1128" s="90">
        <f t="shared" si="314"/>
        <v>53.032848000000627</v>
      </c>
      <c r="P1128" s="93">
        <f t="shared" si="315"/>
        <v>5.3510800649425594E-3</v>
      </c>
      <c r="Q1128" s="96"/>
      <c r="R1128" s="96"/>
      <c r="T1128" s="90">
        <f t="shared" si="309"/>
        <v>95</v>
      </c>
      <c r="U1128" s="89">
        <f t="shared" si="310"/>
        <v>103.31428490526316</v>
      </c>
      <c r="V1128" s="89">
        <f t="shared" si="311"/>
        <v>113.22402200000001</v>
      </c>
      <c r="W1128" s="90">
        <f t="shared" si="316"/>
        <v>10756.282090000001</v>
      </c>
      <c r="X1128" s="98">
        <f t="shared" si="312"/>
        <v>9.591836311719959E-2</v>
      </c>
      <c r="AB1128" s="89">
        <f t="shared" si="301"/>
        <v>195</v>
      </c>
      <c r="AC1128" s="89">
        <f t="shared" si="302"/>
        <v>51.179276000000002</v>
      </c>
      <c r="AD1128" s="89">
        <f t="shared" si="303"/>
        <v>113.22402200000001</v>
      </c>
      <c r="AE1128" s="89">
        <f t="shared" si="304"/>
        <v>22078.684290000001</v>
      </c>
      <c r="AF1128" s="90">
        <f t="shared" si="307"/>
        <v>12098.725470000001</v>
      </c>
      <c r="AG1128" s="93">
        <f t="shared" si="308"/>
        <v>1.2123021435473218</v>
      </c>
      <c r="AK1128" s="90">
        <f t="shared" si="305"/>
        <v>142</v>
      </c>
      <c r="AL1128" s="89">
        <f t="shared" si="306"/>
        <v>68.865979063380294</v>
      </c>
      <c r="AM1128" s="89">
        <f t="shared" si="298"/>
        <v>113.22402200000001</v>
      </c>
      <c r="AN1128" s="90">
        <f t="shared" si="299"/>
        <v>16077.811124</v>
      </c>
      <c r="AO1128" s="93">
        <f t="shared" si="300"/>
        <v>0.64412128513841527</v>
      </c>
    </row>
    <row r="1129" spans="2:41" x14ac:dyDescent="0.25">
      <c r="B1129" s="91">
        <v>40988</v>
      </c>
      <c r="C1129" s="89">
        <v>140.050003</v>
      </c>
      <c r="D1129" s="89">
        <v>140.61000100000001</v>
      </c>
      <c r="E1129" s="89">
        <v>139.63999899999999</v>
      </c>
      <c r="F1129" s="89">
        <v>140.44000199999999</v>
      </c>
      <c r="G1129" s="89">
        <v>112.894424</v>
      </c>
      <c r="H1129" s="89">
        <v>121729700</v>
      </c>
      <c r="J1129" s="89">
        <v>0</v>
      </c>
      <c r="K1129" s="89">
        <f t="shared" si="317"/>
        <v>88</v>
      </c>
      <c r="L1129" s="89">
        <f t="shared" si="318"/>
        <v>112.621376</v>
      </c>
      <c r="M1129" s="89">
        <f>+SPY__2[[#This Row],[Adj Close]]</f>
        <v>112.894424</v>
      </c>
      <c r="N1129" s="89">
        <f t="shared" si="313"/>
        <v>9934.7093120000009</v>
      </c>
      <c r="O1129" s="90">
        <f t="shared" si="314"/>
        <v>24.02822400000025</v>
      </c>
      <c r="P1129" s="93">
        <f t="shared" si="315"/>
        <v>2.4244775698709642E-3</v>
      </c>
      <c r="Q1129" s="96"/>
      <c r="R1129" s="96"/>
      <c r="T1129" s="90">
        <f t="shared" si="309"/>
        <v>95</v>
      </c>
      <c r="U1129" s="89">
        <f t="shared" si="310"/>
        <v>103.31428490526316</v>
      </c>
      <c r="V1129" s="89">
        <f t="shared" si="311"/>
        <v>112.894424</v>
      </c>
      <c r="W1129" s="90">
        <f t="shared" si="316"/>
        <v>10724.97028</v>
      </c>
      <c r="X1129" s="98">
        <f t="shared" si="312"/>
        <v>9.2728116963899154E-2</v>
      </c>
      <c r="AB1129" s="89">
        <f t="shared" si="301"/>
        <v>195</v>
      </c>
      <c r="AC1129" s="89">
        <f t="shared" si="302"/>
        <v>51.179276000000002</v>
      </c>
      <c r="AD1129" s="89">
        <f t="shared" si="303"/>
        <v>112.894424</v>
      </c>
      <c r="AE1129" s="89">
        <f t="shared" si="304"/>
        <v>22014.412680000001</v>
      </c>
      <c r="AF1129" s="90">
        <f t="shared" si="307"/>
        <v>12034.45386</v>
      </c>
      <c r="AG1129" s="93">
        <f t="shared" si="308"/>
        <v>1.2058620758918122</v>
      </c>
      <c r="AK1129" s="90">
        <f t="shared" si="305"/>
        <v>142</v>
      </c>
      <c r="AL1129" s="89">
        <f t="shared" si="306"/>
        <v>68.865979063380294</v>
      </c>
      <c r="AM1129" s="89">
        <f t="shared" si="298"/>
        <v>112.894424</v>
      </c>
      <c r="AN1129" s="90">
        <f t="shared" si="299"/>
        <v>16031.008207999999</v>
      </c>
      <c r="AO1129" s="93">
        <f t="shared" si="300"/>
        <v>0.63933520637379537</v>
      </c>
    </row>
    <row r="1130" spans="2:41" x14ac:dyDescent="0.25">
      <c r="B1130" s="91">
        <v>40989</v>
      </c>
      <c r="C1130" s="89">
        <v>140.520004</v>
      </c>
      <c r="D1130" s="89">
        <v>140.64999399999999</v>
      </c>
      <c r="E1130" s="89">
        <v>139.91999799999999</v>
      </c>
      <c r="F1130" s="89">
        <v>140.21000699999999</v>
      </c>
      <c r="G1130" s="89">
        <v>112.709526</v>
      </c>
      <c r="H1130" s="89">
        <v>122388400</v>
      </c>
      <c r="J1130" s="89">
        <v>0</v>
      </c>
      <c r="K1130" s="89">
        <f t="shared" si="317"/>
        <v>88</v>
      </c>
      <c r="L1130" s="89">
        <f t="shared" si="318"/>
        <v>112.621376</v>
      </c>
      <c r="M1130" s="89">
        <f>+SPY__2[[#This Row],[Adj Close]]</f>
        <v>112.709526</v>
      </c>
      <c r="N1130" s="89">
        <f t="shared" si="313"/>
        <v>9918.4382879999994</v>
      </c>
      <c r="O1130" s="90">
        <f t="shared" si="314"/>
        <v>7.757199999999898</v>
      </c>
      <c r="P1130" s="93">
        <f t="shared" si="315"/>
        <v>7.8271109029959263E-4</v>
      </c>
      <c r="Q1130" s="96"/>
      <c r="R1130" s="96"/>
      <c r="T1130" s="90">
        <f t="shared" si="309"/>
        <v>95</v>
      </c>
      <c r="U1130" s="89">
        <f t="shared" si="310"/>
        <v>103.31428490526316</v>
      </c>
      <c r="V1130" s="89">
        <f t="shared" si="311"/>
        <v>112.709526</v>
      </c>
      <c r="W1130" s="90">
        <f t="shared" si="316"/>
        <v>10707.40497</v>
      </c>
      <c r="X1130" s="98">
        <f t="shared" si="312"/>
        <v>9.0938451573778556E-2</v>
      </c>
      <c r="AB1130" s="89">
        <f t="shared" si="301"/>
        <v>195</v>
      </c>
      <c r="AC1130" s="89">
        <f t="shared" si="302"/>
        <v>51.179276000000002</v>
      </c>
      <c r="AD1130" s="89">
        <f t="shared" si="303"/>
        <v>112.709526</v>
      </c>
      <c r="AE1130" s="89">
        <f t="shared" si="304"/>
        <v>21978.35757</v>
      </c>
      <c r="AF1130" s="90">
        <f t="shared" si="307"/>
        <v>11998.398749999998</v>
      </c>
      <c r="AG1130" s="93">
        <f t="shared" si="308"/>
        <v>1.2022493245117416</v>
      </c>
      <c r="AK1130" s="90">
        <f t="shared" si="305"/>
        <v>142</v>
      </c>
      <c r="AL1130" s="89">
        <f t="shared" si="306"/>
        <v>68.865979063380294</v>
      </c>
      <c r="AM1130" s="89">
        <f t="shared" si="298"/>
        <v>112.709526</v>
      </c>
      <c r="AN1130" s="90">
        <f t="shared" si="299"/>
        <v>16004.752692</v>
      </c>
      <c r="AO1130" s="93">
        <f t="shared" si="300"/>
        <v>0.63665031025361052</v>
      </c>
    </row>
    <row r="1131" spans="2:41" x14ac:dyDescent="0.25">
      <c r="B1131" s="91">
        <v>40990</v>
      </c>
      <c r="C1131" s="89">
        <v>139.179993</v>
      </c>
      <c r="D1131" s="89">
        <v>139.550003</v>
      </c>
      <c r="E1131" s="89">
        <v>138.740005</v>
      </c>
      <c r="F1131" s="89">
        <v>139.199997</v>
      </c>
      <c r="G1131" s="89">
        <v>111.89762899999999</v>
      </c>
      <c r="H1131" s="89">
        <v>135216700</v>
      </c>
      <c r="J1131" s="89">
        <v>0</v>
      </c>
      <c r="K1131" s="89">
        <f t="shared" si="317"/>
        <v>88</v>
      </c>
      <c r="L1131" s="89">
        <f t="shared" si="318"/>
        <v>112.621376</v>
      </c>
      <c r="M1131" s="89">
        <f>+SPY__2[[#This Row],[Adj Close]]</f>
        <v>111.89762899999999</v>
      </c>
      <c r="N1131" s="89">
        <f t="shared" si="313"/>
        <v>9846.9913519999991</v>
      </c>
      <c r="O1131" s="90">
        <f t="shared" si="314"/>
        <v>-63.689736000000266</v>
      </c>
      <c r="P1131" s="93">
        <f t="shared" si="315"/>
        <v>-6.4263732668299323E-3</v>
      </c>
      <c r="Q1131" s="96"/>
      <c r="R1131" s="96"/>
      <c r="T1131" s="90">
        <f t="shared" si="309"/>
        <v>95</v>
      </c>
      <c r="U1131" s="89">
        <f t="shared" si="310"/>
        <v>103.31428490526316</v>
      </c>
      <c r="V1131" s="89">
        <f t="shared" si="311"/>
        <v>111.89762899999999</v>
      </c>
      <c r="W1131" s="90">
        <f t="shared" si="316"/>
        <v>10630.274755</v>
      </c>
      <c r="X1131" s="98">
        <f t="shared" si="312"/>
        <v>8.3079935195869314E-2</v>
      </c>
      <c r="AB1131" s="89">
        <f t="shared" si="301"/>
        <v>195</v>
      </c>
      <c r="AC1131" s="89">
        <f t="shared" si="302"/>
        <v>51.179276000000002</v>
      </c>
      <c r="AD1131" s="89">
        <f t="shared" si="303"/>
        <v>111.89762899999999</v>
      </c>
      <c r="AE1131" s="89">
        <f t="shared" si="304"/>
        <v>21820.037655</v>
      </c>
      <c r="AF1131" s="90">
        <f t="shared" si="307"/>
        <v>11840.078834999998</v>
      </c>
      <c r="AG1131" s="93">
        <f t="shared" si="308"/>
        <v>1.1863855401158858</v>
      </c>
      <c r="AK1131" s="90">
        <f t="shared" si="305"/>
        <v>142</v>
      </c>
      <c r="AL1131" s="89">
        <f t="shared" si="306"/>
        <v>68.865979063380294</v>
      </c>
      <c r="AM1131" s="89">
        <f t="shared" si="298"/>
        <v>111.89762899999999</v>
      </c>
      <c r="AN1131" s="90">
        <f t="shared" si="299"/>
        <v>15889.463318</v>
      </c>
      <c r="AO1131" s="93">
        <f t="shared" si="300"/>
        <v>0.62486078789377042</v>
      </c>
    </row>
    <row r="1132" spans="2:41" x14ac:dyDescent="0.25">
      <c r="B1132" s="91">
        <v>40991</v>
      </c>
      <c r="C1132" s="89">
        <v>139.320007</v>
      </c>
      <c r="D1132" s="89">
        <v>139.80999800000001</v>
      </c>
      <c r="E1132" s="89">
        <v>138.550003</v>
      </c>
      <c r="F1132" s="89">
        <v>139.64999399999999</v>
      </c>
      <c r="G1132" s="89">
        <v>112.25936900000001</v>
      </c>
      <c r="H1132" s="89">
        <v>120521000</v>
      </c>
      <c r="J1132" s="89">
        <v>0</v>
      </c>
      <c r="K1132" s="89">
        <f t="shared" si="317"/>
        <v>88</v>
      </c>
      <c r="L1132" s="89">
        <f t="shared" si="318"/>
        <v>112.621376</v>
      </c>
      <c r="M1132" s="89">
        <f>+SPY__2[[#This Row],[Adj Close]]</f>
        <v>112.25936900000001</v>
      </c>
      <c r="N1132" s="89">
        <f t="shared" si="313"/>
        <v>9878.8244720000002</v>
      </c>
      <c r="O1132" s="90">
        <f t="shared" si="314"/>
        <v>-31.856615999999235</v>
      </c>
      <c r="P1132" s="93">
        <f t="shared" si="315"/>
        <v>-3.2143720211693649E-3</v>
      </c>
      <c r="Q1132" s="96"/>
      <c r="R1132" s="96"/>
      <c r="T1132" s="90">
        <f t="shared" si="309"/>
        <v>95</v>
      </c>
      <c r="U1132" s="89">
        <f t="shared" si="310"/>
        <v>103.31428490526316</v>
      </c>
      <c r="V1132" s="89">
        <f t="shared" si="311"/>
        <v>112.25936900000001</v>
      </c>
      <c r="W1132" s="90">
        <f t="shared" si="316"/>
        <v>10664.640055</v>
      </c>
      <c r="X1132" s="98">
        <f t="shared" si="312"/>
        <v>8.6581290311782855E-2</v>
      </c>
      <c r="AB1132" s="89">
        <f t="shared" si="301"/>
        <v>195</v>
      </c>
      <c r="AC1132" s="89">
        <f t="shared" si="302"/>
        <v>51.179276000000002</v>
      </c>
      <c r="AD1132" s="89">
        <f t="shared" si="303"/>
        <v>112.25936900000001</v>
      </c>
      <c r="AE1132" s="89">
        <f t="shared" si="304"/>
        <v>21890.576955</v>
      </c>
      <c r="AF1132" s="90">
        <f t="shared" si="307"/>
        <v>11910.618135000001</v>
      </c>
      <c r="AG1132" s="93">
        <f t="shared" si="308"/>
        <v>1.1934536354128964</v>
      </c>
      <c r="AK1132" s="90">
        <f t="shared" si="305"/>
        <v>142</v>
      </c>
      <c r="AL1132" s="89">
        <f t="shared" si="306"/>
        <v>68.865979063380294</v>
      </c>
      <c r="AM1132" s="89">
        <f t="shared" si="298"/>
        <v>112.25936900000001</v>
      </c>
      <c r="AN1132" s="90">
        <f t="shared" si="299"/>
        <v>15940.830398</v>
      </c>
      <c r="AO1132" s="93">
        <f t="shared" si="300"/>
        <v>0.63011359929527666</v>
      </c>
    </row>
    <row r="1133" spans="2:41" x14ac:dyDescent="0.25">
      <c r="B1133" s="91">
        <v>40994</v>
      </c>
      <c r="C1133" s="89">
        <v>140.64999399999999</v>
      </c>
      <c r="D1133" s="89">
        <v>141.61000100000001</v>
      </c>
      <c r="E1133" s="89">
        <v>140.60000600000001</v>
      </c>
      <c r="F1133" s="89">
        <v>141.61000100000001</v>
      </c>
      <c r="G1133" s="89">
        <v>113.834915</v>
      </c>
      <c r="H1133" s="89">
        <v>120164000</v>
      </c>
      <c r="J1133" s="89">
        <v>0</v>
      </c>
      <c r="K1133" s="89">
        <f t="shared" si="317"/>
        <v>88</v>
      </c>
      <c r="L1133" s="89">
        <f t="shared" si="318"/>
        <v>112.621376</v>
      </c>
      <c r="M1133" s="89">
        <f>+SPY__2[[#This Row],[Adj Close]]</f>
        <v>113.834915</v>
      </c>
      <c r="N1133" s="89">
        <f t="shared" si="313"/>
        <v>10017.472519999999</v>
      </c>
      <c r="O1133" s="90">
        <f t="shared" si="314"/>
        <v>106.79143199999976</v>
      </c>
      <c r="P1133" s="93">
        <f t="shared" si="315"/>
        <v>1.0775387791390534E-2</v>
      </c>
      <c r="Q1133" s="96"/>
      <c r="R1133" s="96"/>
      <c r="T1133" s="90">
        <f t="shared" si="309"/>
        <v>95</v>
      </c>
      <c r="U1133" s="89">
        <f t="shared" si="310"/>
        <v>103.31428490526316</v>
      </c>
      <c r="V1133" s="89">
        <f t="shared" si="311"/>
        <v>113.834915</v>
      </c>
      <c r="W1133" s="90">
        <f t="shared" si="316"/>
        <v>10814.316924999999</v>
      </c>
      <c r="X1133" s="98">
        <f t="shared" si="312"/>
        <v>0.10183132085155511</v>
      </c>
      <c r="AB1133" s="89">
        <f t="shared" si="301"/>
        <v>195</v>
      </c>
      <c r="AC1133" s="89">
        <f t="shared" si="302"/>
        <v>51.179276000000002</v>
      </c>
      <c r="AD1133" s="89">
        <f t="shared" si="303"/>
        <v>113.834915</v>
      </c>
      <c r="AE1133" s="89">
        <f t="shared" si="304"/>
        <v>22197.808424999999</v>
      </c>
      <c r="AF1133" s="90">
        <f t="shared" si="307"/>
        <v>12217.849604999999</v>
      </c>
      <c r="AG1133" s="93">
        <f t="shared" si="308"/>
        <v>1.2242384788717993</v>
      </c>
      <c r="AK1133" s="90">
        <f t="shared" si="305"/>
        <v>142</v>
      </c>
      <c r="AL1133" s="89">
        <f t="shared" si="306"/>
        <v>68.865979063380294</v>
      </c>
      <c r="AM1133" s="89">
        <f t="shared" ref="AM1133:AM1196" si="319">+AD1133</f>
        <v>113.834915</v>
      </c>
      <c r="AN1133" s="90">
        <f t="shared" ref="AN1133:AN1196" si="320">+AM1133*AK1133</f>
        <v>16164.557929999999</v>
      </c>
      <c r="AO1133" s="93">
        <f t="shared" ref="AO1133:AO1196" si="321">+AN1133/(AL1133*AK1133)-1</f>
        <v>0.65299203682609197</v>
      </c>
    </row>
    <row r="1134" spans="2:41" x14ac:dyDescent="0.25">
      <c r="B1134" s="91">
        <v>40995</v>
      </c>
      <c r="C1134" s="89">
        <v>141.740005</v>
      </c>
      <c r="D1134" s="89">
        <v>141.83000200000001</v>
      </c>
      <c r="E1134" s="89">
        <v>141.08000200000001</v>
      </c>
      <c r="F1134" s="89">
        <v>141.16999799999999</v>
      </c>
      <c r="G1134" s="89">
        <v>113.48123200000001</v>
      </c>
      <c r="H1134" s="89">
        <v>119868500</v>
      </c>
      <c r="J1134" s="89">
        <v>0</v>
      </c>
      <c r="K1134" s="89">
        <f t="shared" si="317"/>
        <v>88</v>
      </c>
      <c r="L1134" s="89">
        <f t="shared" si="318"/>
        <v>112.621376</v>
      </c>
      <c r="M1134" s="89">
        <f>+SPY__2[[#This Row],[Adj Close]]</f>
        <v>113.48123200000001</v>
      </c>
      <c r="N1134" s="89">
        <f t="shared" si="313"/>
        <v>9986.3484160000007</v>
      </c>
      <c r="O1134" s="90">
        <f t="shared" si="314"/>
        <v>75.66732800000068</v>
      </c>
      <c r="P1134" s="93">
        <f t="shared" si="315"/>
        <v>7.6349271385212081E-3</v>
      </c>
      <c r="Q1134" s="96"/>
      <c r="R1134" s="96"/>
      <c r="T1134" s="90">
        <f t="shared" si="309"/>
        <v>95</v>
      </c>
      <c r="U1134" s="89">
        <f t="shared" si="310"/>
        <v>103.31428490526316</v>
      </c>
      <c r="V1134" s="89">
        <f t="shared" si="311"/>
        <v>113.48123200000001</v>
      </c>
      <c r="W1134" s="90">
        <f t="shared" si="316"/>
        <v>10780.717040000001</v>
      </c>
      <c r="X1134" s="98">
        <f t="shared" si="312"/>
        <v>9.8407951079172662E-2</v>
      </c>
      <c r="AB1134" s="89">
        <f t="shared" ref="AB1134:AB1197" si="322">+AB1133</f>
        <v>195</v>
      </c>
      <c r="AC1134" s="89">
        <f t="shared" ref="AC1134:AC1197" si="323">+AC1133</f>
        <v>51.179276000000002</v>
      </c>
      <c r="AD1134" s="89">
        <f t="shared" ref="AD1134:AD1197" si="324">+V1134</f>
        <v>113.48123200000001</v>
      </c>
      <c r="AE1134" s="89">
        <f t="shared" ref="AE1134:AE1197" si="325">+AB1134*AD1134</f>
        <v>22128.840240000001</v>
      </c>
      <c r="AF1134" s="90">
        <f t="shared" si="307"/>
        <v>12148.881420000002</v>
      </c>
      <c r="AG1134" s="93">
        <f t="shared" si="308"/>
        <v>1.217327810577078</v>
      </c>
      <c r="AK1134" s="90">
        <f t="shared" ref="AK1134:AK1197" si="326">+AK1133</f>
        <v>142</v>
      </c>
      <c r="AL1134" s="89">
        <f t="shared" ref="AL1134:AL1197" si="327">+AL1133</f>
        <v>68.865979063380294</v>
      </c>
      <c r="AM1134" s="89">
        <f t="shared" si="319"/>
        <v>113.48123200000001</v>
      </c>
      <c r="AN1134" s="90">
        <f t="shared" si="320"/>
        <v>16114.334944</v>
      </c>
      <c r="AO1134" s="93">
        <f t="shared" si="321"/>
        <v>0.64785622078440785</v>
      </c>
    </row>
    <row r="1135" spans="2:41" x14ac:dyDescent="0.25">
      <c r="B1135" s="91">
        <v>40996</v>
      </c>
      <c r="C1135" s="89">
        <v>141.10000600000001</v>
      </c>
      <c r="D1135" s="89">
        <v>141.320007</v>
      </c>
      <c r="E1135" s="89">
        <v>139.63999899999999</v>
      </c>
      <c r="F1135" s="89">
        <v>140.470001</v>
      </c>
      <c r="G1135" s="89">
        <v>112.91849499999999</v>
      </c>
      <c r="H1135" s="89">
        <v>148562100</v>
      </c>
      <c r="J1135" s="89">
        <v>0</v>
      </c>
      <c r="K1135" s="89">
        <f t="shared" si="317"/>
        <v>88</v>
      </c>
      <c r="L1135" s="89">
        <f t="shared" si="318"/>
        <v>112.621376</v>
      </c>
      <c r="M1135" s="89">
        <f>+SPY__2[[#This Row],[Adj Close]]</f>
        <v>112.91849499999999</v>
      </c>
      <c r="N1135" s="89">
        <f t="shared" si="313"/>
        <v>9936.8275599999997</v>
      </c>
      <c r="O1135" s="90">
        <f t="shared" si="314"/>
        <v>26.146471999999562</v>
      </c>
      <c r="P1135" s="93">
        <f t="shared" si="315"/>
        <v>2.6382114173422178E-3</v>
      </c>
      <c r="Q1135" s="96"/>
      <c r="R1135" s="96"/>
      <c r="T1135" s="90">
        <f t="shared" si="309"/>
        <v>95</v>
      </c>
      <c r="U1135" s="89">
        <f t="shared" si="310"/>
        <v>103.31428490526316</v>
      </c>
      <c r="V1135" s="89">
        <f t="shared" si="311"/>
        <v>112.91849499999999</v>
      </c>
      <c r="W1135" s="90">
        <f t="shared" si="316"/>
        <v>10727.257024999999</v>
      </c>
      <c r="X1135" s="98">
        <f t="shared" si="312"/>
        <v>9.2961105074130579E-2</v>
      </c>
      <c r="AB1135" s="89">
        <f t="shared" si="322"/>
        <v>195</v>
      </c>
      <c r="AC1135" s="89">
        <f t="shared" si="323"/>
        <v>51.179276000000002</v>
      </c>
      <c r="AD1135" s="89">
        <f t="shared" si="324"/>
        <v>112.91849499999999</v>
      </c>
      <c r="AE1135" s="89">
        <f t="shared" si="325"/>
        <v>22019.106524999999</v>
      </c>
      <c r="AF1135" s="90">
        <f t="shared" si="307"/>
        <v>12039.147704999998</v>
      </c>
      <c r="AG1135" s="93">
        <f t="shared" si="308"/>
        <v>1.2063324029828011</v>
      </c>
      <c r="AK1135" s="90">
        <f t="shared" si="326"/>
        <v>142</v>
      </c>
      <c r="AL1135" s="89">
        <f t="shared" si="327"/>
        <v>68.865979063380294</v>
      </c>
      <c r="AM1135" s="89">
        <f t="shared" si="319"/>
        <v>112.91849499999999</v>
      </c>
      <c r="AN1135" s="90">
        <f t="shared" si="320"/>
        <v>16034.426289999999</v>
      </c>
      <c r="AO1135" s="93">
        <f t="shared" si="321"/>
        <v>0.63968474035744571</v>
      </c>
    </row>
    <row r="1136" spans="2:41" x14ac:dyDescent="0.25">
      <c r="B1136" s="91">
        <v>40997</v>
      </c>
      <c r="C1136" s="89">
        <v>139.63999899999999</v>
      </c>
      <c r="D1136" s="89">
        <v>140.490005</v>
      </c>
      <c r="E1136" s="89">
        <v>139.08999600000001</v>
      </c>
      <c r="F1136" s="89">
        <v>140.229996</v>
      </c>
      <c r="G1136" s="89">
        <v>112.725624</v>
      </c>
      <c r="H1136" s="89">
        <v>164963700</v>
      </c>
      <c r="J1136" s="89">
        <v>0</v>
      </c>
      <c r="K1136" s="89">
        <f t="shared" si="317"/>
        <v>88</v>
      </c>
      <c r="L1136" s="89">
        <f t="shared" si="318"/>
        <v>112.621376</v>
      </c>
      <c r="M1136" s="89">
        <f>+SPY__2[[#This Row],[Adj Close]]</f>
        <v>112.725624</v>
      </c>
      <c r="N1136" s="89">
        <f t="shared" si="313"/>
        <v>9919.8549119999989</v>
      </c>
      <c r="O1136" s="90">
        <f t="shared" si="314"/>
        <v>9.1738239999998541</v>
      </c>
      <c r="P1136" s="93">
        <f t="shared" si="315"/>
        <v>9.2565020693768929E-4</v>
      </c>
      <c r="Q1136" s="96"/>
      <c r="R1136" s="96"/>
      <c r="T1136" s="90">
        <f t="shared" si="309"/>
        <v>95</v>
      </c>
      <c r="U1136" s="89">
        <f t="shared" si="310"/>
        <v>103.31428490526316</v>
      </c>
      <c r="V1136" s="89">
        <f t="shared" si="311"/>
        <v>112.725624</v>
      </c>
      <c r="W1136" s="90">
        <f t="shared" si="316"/>
        <v>10708.934279999999</v>
      </c>
      <c r="X1136" s="98">
        <f t="shared" si="312"/>
        <v>9.109426739358284E-2</v>
      </c>
      <c r="AB1136" s="89">
        <f t="shared" si="322"/>
        <v>195</v>
      </c>
      <c r="AC1136" s="89">
        <f t="shared" si="323"/>
        <v>51.179276000000002</v>
      </c>
      <c r="AD1136" s="89">
        <f t="shared" si="324"/>
        <v>112.725624</v>
      </c>
      <c r="AE1136" s="89">
        <f t="shared" si="325"/>
        <v>21981.49668</v>
      </c>
      <c r="AF1136" s="90">
        <f t="shared" si="307"/>
        <v>12001.537859999999</v>
      </c>
      <c r="AG1136" s="93">
        <f t="shared" si="308"/>
        <v>1.202563865889779</v>
      </c>
      <c r="AK1136" s="90">
        <f t="shared" si="326"/>
        <v>142</v>
      </c>
      <c r="AL1136" s="89">
        <f t="shared" si="327"/>
        <v>68.865979063380294</v>
      </c>
      <c r="AM1136" s="89">
        <f t="shared" si="319"/>
        <v>112.725624</v>
      </c>
      <c r="AN1136" s="90">
        <f t="shared" si="320"/>
        <v>16007.038607999999</v>
      </c>
      <c r="AO1136" s="93">
        <f t="shared" si="321"/>
        <v>0.63688406863792357</v>
      </c>
    </row>
    <row r="1137" spans="2:41" x14ac:dyDescent="0.25">
      <c r="B1137" s="91">
        <v>40998</v>
      </c>
      <c r="C1137" s="89">
        <v>140.91999799999999</v>
      </c>
      <c r="D1137" s="89">
        <v>141.050003</v>
      </c>
      <c r="E1137" s="89">
        <v>140.050003</v>
      </c>
      <c r="F1137" s="89">
        <v>140.80999800000001</v>
      </c>
      <c r="G1137" s="89">
        <v>113.191841</v>
      </c>
      <c r="H1137" s="89">
        <v>135486800</v>
      </c>
      <c r="J1137" s="89">
        <v>0</v>
      </c>
      <c r="K1137" s="89">
        <f t="shared" si="317"/>
        <v>88</v>
      </c>
      <c r="L1137" s="89">
        <f t="shared" si="318"/>
        <v>112.621376</v>
      </c>
      <c r="M1137" s="89">
        <f>+SPY__2[[#This Row],[Adj Close]]</f>
        <v>113.191841</v>
      </c>
      <c r="N1137" s="89">
        <f t="shared" si="313"/>
        <v>9960.8820080000005</v>
      </c>
      <c r="O1137" s="90">
        <f t="shared" si="314"/>
        <v>50.200919999999883</v>
      </c>
      <c r="P1137" s="93">
        <f t="shared" si="315"/>
        <v>5.0653350213019088E-3</v>
      </c>
      <c r="Q1137" s="96"/>
      <c r="R1137" s="96"/>
      <c r="T1137" s="90">
        <f t="shared" si="309"/>
        <v>95</v>
      </c>
      <c r="U1137" s="89">
        <f t="shared" si="310"/>
        <v>103.31428490526316</v>
      </c>
      <c r="V1137" s="89">
        <f t="shared" si="311"/>
        <v>113.191841</v>
      </c>
      <c r="W1137" s="90">
        <f t="shared" si="316"/>
        <v>10753.224894999999</v>
      </c>
      <c r="X1137" s="98">
        <f t="shared" si="312"/>
        <v>9.5606876665645268E-2</v>
      </c>
      <c r="AB1137" s="89">
        <f t="shared" si="322"/>
        <v>195</v>
      </c>
      <c r="AC1137" s="89">
        <f t="shared" si="323"/>
        <v>51.179276000000002</v>
      </c>
      <c r="AD1137" s="89">
        <f t="shared" si="324"/>
        <v>113.191841</v>
      </c>
      <c r="AE1137" s="89">
        <f t="shared" si="325"/>
        <v>22072.408994999998</v>
      </c>
      <c r="AF1137" s="90">
        <f t="shared" si="307"/>
        <v>12092.450174999998</v>
      </c>
      <c r="AG1137" s="93">
        <f t="shared" si="308"/>
        <v>1.2116733538786284</v>
      </c>
      <c r="AK1137" s="90">
        <f t="shared" si="326"/>
        <v>142</v>
      </c>
      <c r="AL1137" s="89">
        <f t="shared" si="327"/>
        <v>68.865979063380294</v>
      </c>
      <c r="AM1137" s="89">
        <f t="shared" si="319"/>
        <v>113.191841</v>
      </c>
      <c r="AN1137" s="90">
        <f t="shared" si="320"/>
        <v>16073.241421999999</v>
      </c>
      <c r="AO1137" s="93">
        <f t="shared" si="321"/>
        <v>0.64365398618416103</v>
      </c>
    </row>
    <row r="1138" spans="2:41" x14ac:dyDescent="0.25">
      <c r="B1138" s="91">
        <v>41001</v>
      </c>
      <c r="C1138" s="89">
        <v>140.63999899999999</v>
      </c>
      <c r="D1138" s="89">
        <v>142.21000699999999</v>
      </c>
      <c r="E1138" s="89">
        <v>140.36000100000001</v>
      </c>
      <c r="F1138" s="89">
        <v>141.83999600000001</v>
      </c>
      <c r="G1138" s="89">
        <v>114.019867</v>
      </c>
      <c r="H1138" s="89">
        <v>151741100</v>
      </c>
      <c r="J1138" s="89">
        <v>0</v>
      </c>
      <c r="K1138" s="89">
        <f t="shared" si="317"/>
        <v>88</v>
      </c>
      <c r="L1138" s="89">
        <f t="shared" si="318"/>
        <v>112.621376</v>
      </c>
      <c r="M1138" s="89">
        <f>+SPY__2[[#This Row],[Adj Close]]</f>
        <v>114.019867</v>
      </c>
      <c r="N1138" s="89">
        <f t="shared" si="313"/>
        <v>10033.748296</v>
      </c>
      <c r="O1138" s="90">
        <f t="shared" si="314"/>
        <v>123.06720800000062</v>
      </c>
      <c r="P1138" s="93">
        <f t="shared" si="315"/>
        <v>1.2417633753649016E-2</v>
      </c>
      <c r="Q1138" s="96"/>
      <c r="R1138" s="96"/>
      <c r="T1138" s="90">
        <f t="shared" si="309"/>
        <v>95</v>
      </c>
      <c r="U1138" s="89">
        <f t="shared" si="310"/>
        <v>103.31428490526316</v>
      </c>
      <c r="V1138" s="89">
        <f t="shared" si="311"/>
        <v>114.019867</v>
      </c>
      <c r="W1138" s="90">
        <f t="shared" si="316"/>
        <v>10831.887365000001</v>
      </c>
      <c r="X1138" s="98">
        <f t="shared" si="312"/>
        <v>0.10362150891867095</v>
      </c>
      <c r="AB1138" s="89">
        <f t="shared" si="322"/>
        <v>195</v>
      </c>
      <c r="AC1138" s="89">
        <f t="shared" si="323"/>
        <v>51.179276000000002</v>
      </c>
      <c r="AD1138" s="89">
        <f t="shared" si="324"/>
        <v>114.019867</v>
      </c>
      <c r="AE1138" s="89">
        <f t="shared" si="325"/>
        <v>22233.874065</v>
      </c>
      <c r="AF1138" s="90">
        <f t="shared" ref="AF1138:AF1201" si="328">+(AD1138-AC1138)*AB1138</f>
        <v>12253.915245</v>
      </c>
      <c r="AG1138" s="93">
        <f t="shared" ref="AG1138:AG1201" si="329">+AD1138/AC1138-1</f>
        <v>1.2278522853664442</v>
      </c>
      <c r="AK1138" s="90">
        <f t="shared" si="326"/>
        <v>142</v>
      </c>
      <c r="AL1138" s="89">
        <f t="shared" si="327"/>
        <v>68.865979063380294</v>
      </c>
      <c r="AM1138" s="89">
        <f t="shared" si="319"/>
        <v>114.019867</v>
      </c>
      <c r="AN1138" s="90">
        <f t="shared" si="320"/>
        <v>16190.821114</v>
      </c>
      <c r="AO1138" s="93">
        <f t="shared" si="321"/>
        <v>0.65567771707801725</v>
      </c>
    </row>
    <row r="1139" spans="2:41" x14ac:dyDescent="0.25">
      <c r="B1139" s="91">
        <v>41002</v>
      </c>
      <c r="C1139" s="89">
        <v>141.63999899999999</v>
      </c>
      <c r="D1139" s="89">
        <v>141.88000500000001</v>
      </c>
      <c r="E1139" s="89">
        <v>140.429993</v>
      </c>
      <c r="F1139" s="89">
        <v>141.259995</v>
      </c>
      <c r="G1139" s="89">
        <v>113.553589</v>
      </c>
      <c r="H1139" s="89">
        <v>155806700</v>
      </c>
      <c r="J1139" s="89">
        <v>0</v>
      </c>
      <c r="K1139" s="89">
        <f t="shared" si="317"/>
        <v>88</v>
      </c>
      <c r="L1139" s="89">
        <f t="shared" si="318"/>
        <v>112.621376</v>
      </c>
      <c r="M1139" s="89">
        <f>+SPY__2[[#This Row],[Adj Close]]</f>
        <v>113.553589</v>
      </c>
      <c r="N1139" s="89">
        <f t="shared" si="313"/>
        <v>9992.7158319999999</v>
      </c>
      <c r="O1139" s="90">
        <f t="shared" si="314"/>
        <v>82.034744000000387</v>
      </c>
      <c r="P1139" s="93">
        <f t="shared" si="315"/>
        <v>8.2774073014344474E-3</v>
      </c>
      <c r="Q1139" s="96"/>
      <c r="R1139" s="96"/>
      <c r="T1139" s="90">
        <f t="shared" si="309"/>
        <v>95</v>
      </c>
      <c r="U1139" s="89">
        <f t="shared" si="310"/>
        <v>103.31428490526316</v>
      </c>
      <c r="V1139" s="89">
        <f t="shared" si="311"/>
        <v>113.553589</v>
      </c>
      <c r="W1139" s="90">
        <f t="shared" si="316"/>
        <v>10787.590955</v>
      </c>
      <c r="X1139" s="98">
        <f t="shared" si="312"/>
        <v>9.9108309215187873E-2</v>
      </c>
      <c r="AB1139" s="89">
        <f t="shared" si="322"/>
        <v>195</v>
      </c>
      <c r="AC1139" s="89">
        <f t="shared" si="323"/>
        <v>51.179276000000002</v>
      </c>
      <c r="AD1139" s="89">
        <f t="shared" si="324"/>
        <v>113.553589</v>
      </c>
      <c r="AE1139" s="89">
        <f t="shared" si="325"/>
        <v>22142.949854999999</v>
      </c>
      <c r="AF1139" s="90">
        <f t="shared" si="328"/>
        <v>12162.991035000001</v>
      </c>
      <c r="AG1139" s="93">
        <f t="shared" si="329"/>
        <v>1.2187416054889093</v>
      </c>
      <c r="AK1139" s="90">
        <f t="shared" si="326"/>
        <v>142</v>
      </c>
      <c r="AL1139" s="89">
        <f t="shared" si="327"/>
        <v>68.865979063380294</v>
      </c>
      <c r="AM1139" s="89">
        <f t="shared" si="319"/>
        <v>113.553589</v>
      </c>
      <c r="AN1139" s="90">
        <f t="shared" si="320"/>
        <v>16124.609638</v>
      </c>
      <c r="AO1139" s="93">
        <f t="shared" si="321"/>
        <v>0.64890691375333254</v>
      </c>
    </row>
    <row r="1140" spans="2:41" x14ac:dyDescent="0.25">
      <c r="B1140" s="91">
        <v>41003</v>
      </c>
      <c r="C1140" s="89">
        <v>140.220001</v>
      </c>
      <c r="D1140" s="89">
        <v>140.33999600000001</v>
      </c>
      <c r="E1140" s="89">
        <v>139.33999600000001</v>
      </c>
      <c r="F1140" s="89">
        <v>139.86000100000001</v>
      </c>
      <c r="G1140" s="89">
        <v>112.428207</v>
      </c>
      <c r="H1140" s="89">
        <v>146896000</v>
      </c>
      <c r="J1140" s="89">
        <v>0</v>
      </c>
      <c r="K1140" s="89">
        <f t="shared" si="317"/>
        <v>88</v>
      </c>
      <c r="L1140" s="89">
        <f t="shared" si="318"/>
        <v>112.621376</v>
      </c>
      <c r="M1140" s="89">
        <f>+SPY__2[[#This Row],[Adj Close]]</f>
        <v>112.428207</v>
      </c>
      <c r="N1140" s="89">
        <f t="shared" si="313"/>
        <v>9893.6822159999992</v>
      </c>
      <c r="O1140" s="90">
        <f t="shared" si="314"/>
        <v>-16.998871999999778</v>
      </c>
      <c r="P1140" s="93">
        <f t="shared" si="315"/>
        <v>-1.7152072444932553E-3</v>
      </c>
      <c r="Q1140" s="96"/>
      <c r="R1140" s="96"/>
      <c r="T1140" s="90">
        <f t="shared" si="309"/>
        <v>95</v>
      </c>
      <c r="U1140" s="89">
        <f t="shared" si="310"/>
        <v>103.31428490526316</v>
      </c>
      <c r="V1140" s="89">
        <f t="shared" si="311"/>
        <v>112.428207</v>
      </c>
      <c r="W1140" s="90">
        <f t="shared" si="316"/>
        <v>10680.679665</v>
      </c>
      <c r="X1140" s="98">
        <f t="shared" si="312"/>
        <v>8.8215507691836503E-2</v>
      </c>
      <c r="AB1140" s="89">
        <f t="shared" si="322"/>
        <v>195</v>
      </c>
      <c r="AC1140" s="89">
        <f t="shared" si="323"/>
        <v>51.179276000000002</v>
      </c>
      <c r="AD1140" s="89">
        <f t="shared" si="324"/>
        <v>112.428207</v>
      </c>
      <c r="AE1140" s="89">
        <f t="shared" si="325"/>
        <v>21923.500365</v>
      </c>
      <c r="AF1140" s="90">
        <f t="shared" si="328"/>
        <v>11943.541545</v>
      </c>
      <c r="AG1140" s="93">
        <f t="shared" si="329"/>
        <v>1.1967525879029628</v>
      </c>
      <c r="AK1140" s="90">
        <f t="shared" si="326"/>
        <v>142</v>
      </c>
      <c r="AL1140" s="89">
        <f t="shared" si="327"/>
        <v>68.865979063380294</v>
      </c>
      <c r="AM1140" s="89">
        <f t="shared" si="319"/>
        <v>112.428207</v>
      </c>
      <c r="AN1140" s="90">
        <f t="shared" si="320"/>
        <v>15964.805394000001</v>
      </c>
      <c r="AO1140" s="93">
        <f t="shared" si="321"/>
        <v>0.63256528882755814</v>
      </c>
    </row>
    <row r="1141" spans="2:41" x14ac:dyDescent="0.25">
      <c r="B1141" s="91">
        <v>41004</v>
      </c>
      <c r="C1141" s="89">
        <v>139.38000500000001</v>
      </c>
      <c r="D1141" s="89">
        <v>140.199997</v>
      </c>
      <c r="E1141" s="89">
        <v>139.259995</v>
      </c>
      <c r="F1141" s="89">
        <v>139.78999300000001</v>
      </c>
      <c r="G1141" s="89">
        <v>112.37190200000001</v>
      </c>
      <c r="H1141" s="89">
        <v>137439400</v>
      </c>
      <c r="J1141" s="89">
        <v>0</v>
      </c>
      <c r="K1141" s="89">
        <f t="shared" si="317"/>
        <v>88</v>
      </c>
      <c r="L1141" s="89">
        <f t="shared" si="318"/>
        <v>112.621376</v>
      </c>
      <c r="M1141" s="89">
        <f>+SPY__2[[#This Row],[Adj Close]]</f>
        <v>112.37190200000001</v>
      </c>
      <c r="N1141" s="89">
        <f t="shared" si="313"/>
        <v>9888.7273760000007</v>
      </c>
      <c r="O1141" s="90">
        <f t="shared" si="314"/>
        <v>-21.953711999999314</v>
      </c>
      <c r="P1141" s="93">
        <f t="shared" si="315"/>
        <v>-2.2151567389834259E-3</v>
      </c>
      <c r="Q1141" s="96"/>
      <c r="R1141" s="96"/>
      <c r="T1141" s="90">
        <f t="shared" si="309"/>
        <v>95</v>
      </c>
      <c r="U1141" s="89">
        <f t="shared" si="310"/>
        <v>103.31428490526316</v>
      </c>
      <c r="V1141" s="89">
        <f t="shared" si="311"/>
        <v>112.37190200000001</v>
      </c>
      <c r="W1141" s="90">
        <f t="shared" si="316"/>
        <v>10675.330690000001</v>
      </c>
      <c r="X1141" s="98">
        <f t="shared" si="312"/>
        <v>8.7670520132259178E-2</v>
      </c>
      <c r="AB1141" s="89">
        <f t="shared" si="322"/>
        <v>195</v>
      </c>
      <c r="AC1141" s="89">
        <f t="shared" si="323"/>
        <v>51.179276000000002</v>
      </c>
      <c r="AD1141" s="89">
        <f t="shared" si="324"/>
        <v>112.37190200000001</v>
      </c>
      <c r="AE1141" s="89">
        <f t="shared" si="325"/>
        <v>21912.52089</v>
      </c>
      <c r="AF1141" s="90">
        <f t="shared" si="328"/>
        <v>11932.56207</v>
      </c>
      <c r="AG1141" s="93">
        <f t="shared" si="329"/>
        <v>1.1956524355678653</v>
      </c>
      <c r="AK1141" s="90">
        <f t="shared" si="326"/>
        <v>142</v>
      </c>
      <c r="AL1141" s="89">
        <f t="shared" si="327"/>
        <v>68.865979063380294</v>
      </c>
      <c r="AM1141" s="89">
        <f t="shared" si="319"/>
        <v>112.37190200000001</v>
      </c>
      <c r="AN1141" s="90">
        <f t="shared" si="320"/>
        <v>15956.810084000001</v>
      </c>
      <c r="AO1141" s="93">
        <f t="shared" si="321"/>
        <v>0.63174768627887157</v>
      </c>
    </row>
    <row r="1142" spans="2:41" x14ac:dyDescent="0.25">
      <c r="B1142" s="91">
        <v>41008</v>
      </c>
      <c r="C1142" s="89">
        <v>138.029999</v>
      </c>
      <c r="D1142" s="89">
        <v>139.83999600000001</v>
      </c>
      <c r="E1142" s="89">
        <v>137.83999600000001</v>
      </c>
      <c r="F1142" s="89">
        <v>138.220001</v>
      </c>
      <c r="G1142" s="89">
        <v>111.109863</v>
      </c>
      <c r="H1142" s="89">
        <v>127555900</v>
      </c>
      <c r="J1142" s="89">
        <v>0</v>
      </c>
      <c r="K1142" s="89">
        <f t="shared" si="317"/>
        <v>88</v>
      </c>
      <c r="L1142" s="89">
        <f t="shared" si="318"/>
        <v>112.621376</v>
      </c>
      <c r="M1142" s="89">
        <f>+SPY__2[[#This Row],[Adj Close]]</f>
        <v>111.109863</v>
      </c>
      <c r="N1142" s="89">
        <f t="shared" si="313"/>
        <v>9777.6679440000007</v>
      </c>
      <c r="O1142" s="90">
        <f t="shared" si="314"/>
        <v>-133.01314399999944</v>
      </c>
      <c r="P1142" s="93">
        <f t="shared" si="315"/>
        <v>-1.3421191017946699E-2</v>
      </c>
      <c r="Q1142" s="96"/>
      <c r="R1142" s="96"/>
      <c r="T1142" s="90">
        <f t="shared" si="309"/>
        <v>95</v>
      </c>
      <c r="U1142" s="89">
        <f t="shared" si="310"/>
        <v>103.31428490526316</v>
      </c>
      <c r="V1142" s="89">
        <f t="shared" si="311"/>
        <v>111.109863</v>
      </c>
      <c r="W1142" s="90">
        <f t="shared" si="316"/>
        <v>10555.436985</v>
      </c>
      <c r="X1142" s="98">
        <f t="shared" si="312"/>
        <v>7.5454987680408481E-2</v>
      </c>
      <c r="AB1142" s="89">
        <f t="shared" si="322"/>
        <v>195</v>
      </c>
      <c r="AC1142" s="89">
        <f t="shared" si="323"/>
        <v>51.179276000000002</v>
      </c>
      <c r="AD1142" s="89">
        <f t="shared" si="324"/>
        <v>111.109863</v>
      </c>
      <c r="AE1142" s="89">
        <f t="shared" si="325"/>
        <v>21666.423285000001</v>
      </c>
      <c r="AF1142" s="90">
        <f t="shared" si="328"/>
        <v>11686.464465000001</v>
      </c>
      <c r="AG1142" s="93">
        <f t="shared" si="329"/>
        <v>1.1709932551605458</v>
      </c>
      <c r="AK1142" s="90">
        <f t="shared" si="326"/>
        <v>142</v>
      </c>
      <c r="AL1142" s="89">
        <f t="shared" si="327"/>
        <v>68.865979063380294</v>
      </c>
      <c r="AM1142" s="89">
        <f t="shared" si="319"/>
        <v>111.109863</v>
      </c>
      <c r="AN1142" s="90">
        <f t="shared" si="320"/>
        <v>15777.600546000001</v>
      </c>
      <c r="AO1142" s="93">
        <f t="shared" si="321"/>
        <v>0.61342167077506993</v>
      </c>
    </row>
    <row r="1143" spans="2:41" x14ac:dyDescent="0.25">
      <c r="B1143" s="91">
        <v>41009</v>
      </c>
      <c r="C1143" s="89">
        <v>137.949997</v>
      </c>
      <c r="D1143" s="89">
        <v>138.33999600000001</v>
      </c>
      <c r="E1143" s="89">
        <v>135.759995</v>
      </c>
      <c r="F1143" s="89">
        <v>135.89999399999999</v>
      </c>
      <c r="G1143" s="89">
        <v>109.244873</v>
      </c>
      <c r="H1143" s="89">
        <v>235360300</v>
      </c>
      <c r="J1143" s="89">
        <v>0</v>
      </c>
      <c r="K1143" s="89">
        <f t="shared" si="317"/>
        <v>88</v>
      </c>
      <c r="L1143" s="89">
        <f t="shared" si="318"/>
        <v>112.621376</v>
      </c>
      <c r="M1143" s="89">
        <f>+SPY__2[[#This Row],[Adj Close]]</f>
        <v>109.244873</v>
      </c>
      <c r="N1143" s="89">
        <f t="shared" si="313"/>
        <v>9613.5488239999995</v>
      </c>
      <c r="O1143" s="90">
        <f t="shared" si="314"/>
        <v>-297.13226399999996</v>
      </c>
      <c r="P1143" s="93">
        <f t="shared" si="315"/>
        <v>-2.9981013551104163E-2</v>
      </c>
      <c r="Q1143" s="96"/>
      <c r="R1143" s="96"/>
      <c r="T1143" s="90">
        <f t="shared" si="309"/>
        <v>95</v>
      </c>
      <c r="U1143" s="89">
        <f t="shared" si="310"/>
        <v>103.31428490526316</v>
      </c>
      <c r="V1143" s="89">
        <f t="shared" si="311"/>
        <v>109.244873</v>
      </c>
      <c r="W1143" s="90">
        <f t="shared" si="316"/>
        <v>10378.262935000001</v>
      </c>
      <c r="X1143" s="98">
        <f t="shared" si="312"/>
        <v>5.7403369729317255E-2</v>
      </c>
      <c r="AB1143" s="89">
        <f t="shared" si="322"/>
        <v>195</v>
      </c>
      <c r="AC1143" s="89">
        <f t="shared" si="323"/>
        <v>51.179276000000002</v>
      </c>
      <c r="AD1143" s="89">
        <f t="shared" si="324"/>
        <v>109.244873</v>
      </c>
      <c r="AE1143" s="89">
        <f t="shared" si="325"/>
        <v>21302.750235</v>
      </c>
      <c r="AF1143" s="90">
        <f t="shared" si="328"/>
        <v>11322.791415</v>
      </c>
      <c r="AG1143" s="93">
        <f t="shared" si="329"/>
        <v>1.1345529194277777</v>
      </c>
      <c r="AK1143" s="90">
        <f t="shared" si="326"/>
        <v>142</v>
      </c>
      <c r="AL1143" s="89">
        <f t="shared" si="327"/>
        <v>68.865979063380294</v>
      </c>
      <c r="AM1143" s="89">
        <f t="shared" si="319"/>
        <v>109.244873</v>
      </c>
      <c r="AN1143" s="90">
        <f t="shared" si="320"/>
        <v>15512.771966</v>
      </c>
      <c r="AO1143" s="93">
        <f t="shared" si="321"/>
        <v>0.58634022903322558</v>
      </c>
    </row>
    <row r="1144" spans="2:41" x14ac:dyDescent="0.25">
      <c r="B1144" s="91">
        <v>41010</v>
      </c>
      <c r="C1144" s="89">
        <v>137.28999300000001</v>
      </c>
      <c r="D1144" s="89">
        <v>137.53999300000001</v>
      </c>
      <c r="E1144" s="89">
        <v>136.75</v>
      </c>
      <c r="F1144" s="89">
        <v>137</v>
      </c>
      <c r="G1144" s="89">
        <v>110.12917299999999</v>
      </c>
      <c r="H1144" s="89">
        <v>154133000</v>
      </c>
      <c r="J1144" s="89">
        <v>0</v>
      </c>
      <c r="K1144" s="89">
        <f t="shared" si="317"/>
        <v>88</v>
      </c>
      <c r="L1144" s="89">
        <f t="shared" si="318"/>
        <v>112.621376</v>
      </c>
      <c r="M1144" s="89">
        <f>+SPY__2[[#This Row],[Adj Close]]</f>
        <v>110.12917299999999</v>
      </c>
      <c r="N1144" s="89">
        <f t="shared" si="313"/>
        <v>9691.3672239999996</v>
      </c>
      <c r="O1144" s="90">
        <f t="shared" si="314"/>
        <v>-219.31386400000031</v>
      </c>
      <c r="P1144" s="93">
        <f t="shared" si="315"/>
        <v>-2.2129040582846371E-2</v>
      </c>
      <c r="Q1144" s="96"/>
      <c r="R1144" s="96"/>
      <c r="T1144" s="90">
        <f t="shared" si="309"/>
        <v>95</v>
      </c>
      <c r="U1144" s="89">
        <f t="shared" si="310"/>
        <v>103.31428490526316</v>
      </c>
      <c r="V1144" s="89">
        <f t="shared" si="311"/>
        <v>110.12917299999999</v>
      </c>
      <c r="W1144" s="90">
        <f t="shared" si="316"/>
        <v>10462.271434999999</v>
      </c>
      <c r="X1144" s="98">
        <f t="shared" si="312"/>
        <v>6.5962689486607884E-2</v>
      </c>
      <c r="AB1144" s="89">
        <f t="shared" si="322"/>
        <v>195</v>
      </c>
      <c r="AC1144" s="89">
        <f t="shared" si="323"/>
        <v>51.179276000000002</v>
      </c>
      <c r="AD1144" s="89">
        <f t="shared" si="324"/>
        <v>110.12917299999999</v>
      </c>
      <c r="AE1144" s="89">
        <f t="shared" si="325"/>
        <v>21475.188735</v>
      </c>
      <c r="AF1144" s="90">
        <f t="shared" si="328"/>
        <v>11495.229914999998</v>
      </c>
      <c r="AG1144" s="93">
        <f t="shared" si="329"/>
        <v>1.1518313975367684</v>
      </c>
      <c r="AK1144" s="90">
        <f t="shared" si="326"/>
        <v>142</v>
      </c>
      <c r="AL1144" s="89">
        <f t="shared" si="327"/>
        <v>68.865979063380294</v>
      </c>
      <c r="AM1144" s="89">
        <f t="shared" si="319"/>
        <v>110.12917299999999</v>
      </c>
      <c r="AN1144" s="90">
        <f t="shared" si="320"/>
        <v>15638.342565999999</v>
      </c>
      <c r="AO1144" s="93">
        <f t="shared" si="321"/>
        <v>0.59918111232606508</v>
      </c>
    </row>
    <row r="1145" spans="2:41" x14ac:dyDescent="0.25">
      <c r="B1145" s="91">
        <v>41011</v>
      </c>
      <c r="C1145" s="89">
        <v>137.13000500000001</v>
      </c>
      <c r="D1145" s="89">
        <v>138.89999399999999</v>
      </c>
      <c r="E1145" s="89">
        <v>137.029999</v>
      </c>
      <c r="F1145" s="89">
        <v>138.78999300000001</v>
      </c>
      <c r="G1145" s="89">
        <v>111.568039</v>
      </c>
      <c r="H1145" s="89">
        <v>154321500</v>
      </c>
      <c r="J1145" s="89">
        <v>0</v>
      </c>
      <c r="K1145" s="89">
        <f t="shared" si="317"/>
        <v>88</v>
      </c>
      <c r="L1145" s="89">
        <f t="shared" si="318"/>
        <v>112.621376</v>
      </c>
      <c r="M1145" s="89">
        <f>+SPY__2[[#This Row],[Adj Close]]</f>
        <v>111.568039</v>
      </c>
      <c r="N1145" s="89">
        <f t="shared" si="313"/>
        <v>9817.9874319999999</v>
      </c>
      <c r="O1145" s="90">
        <f t="shared" si="314"/>
        <v>-92.693655999999919</v>
      </c>
      <c r="P1145" s="93">
        <f t="shared" si="315"/>
        <v>-9.3529047274293342E-3</v>
      </c>
      <c r="Q1145" s="96"/>
      <c r="R1145" s="96"/>
      <c r="T1145" s="90">
        <f t="shared" si="309"/>
        <v>95</v>
      </c>
      <c r="U1145" s="89">
        <f t="shared" si="310"/>
        <v>103.31428490526316</v>
      </c>
      <c r="V1145" s="89">
        <f t="shared" si="311"/>
        <v>111.568039</v>
      </c>
      <c r="W1145" s="90">
        <f t="shared" si="316"/>
        <v>10598.963705</v>
      </c>
      <c r="X1145" s="98">
        <f t="shared" si="312"/>
        <v>7.9889766476197721E-2</v>
      </c>
      <c r="AB1145" s="89">
        <f t="shared" si="322"/>
        <v>195</v>
      </c>
      <c r="AC1145" s="89">
        <f t="shared" si="323"/>
        <v>51.179276000000002</v>
      </c>
      <c r="AD1145" s="89">
        <f t="shared" si="324"/>
        <v>111.568039</v>
      </c>
      <c r="AE1145" s="89">
        <f t="shared" si="325"/>
        <v>21755.767605000001</v>
      </c>
      <c r="AF1145" s="90">
        <f t="shared" si="328"/>
        <v>11775.808784999999</v>
      </c>
      <c r="AG1145" s="93">
        <f t="shared" si="329"/>
        <v>1.1799456287736465</v>
      </c>
      <c r="AK1145" s="90">
        <f t="shared" si="326"/>
        <v>142</v>
      </c>
      <c r="AL1145" s="89">
        <f t="shared" si="327"/>
        <v>68.865979063380294</v>
      </c>
      <c r="AM1145" s="89">
        <f t="shared" si="319"/>
        <v>111.568039</v>
      </c>
      <c r="AN1145" s="90">
        <f t="shared" si="320"/>
        <v>15842.661538</v>
      </c>
      <c r="AO1145" s="93">
        <f t="shared" si="321"/>
        <v>0.62007482529681579</v>
      </c>
    </row>
    <row r="1146" spans="2:41" x14ac:dyDescent="0.25">
      <c r="B1146" s="91">
        <v>41012</v>
      </c>
      <c r="C1146" s="89">
        <v>138.470001</v>
      </c>
      <c r="D1146" s="89">
        <v>138.820007</v>
      </c>
      <c r="E1146" s="89">
        <v>137.009995</v>
      </c>
      <c r="F1146" s="89">
        <v>137.13999899999999</v>
      </c>
      <c r="G1146" s="89">
        <v>110.24168400000001</v>
      </c>
      <c r="H1146" s="89">
        <v>169246700</v>
      </c>
      <c r="J1146" s="89">
        <v>0</v>
      </c>
      <c r="K1146" s="89">
        <f t="shared" si="317"/>
        <v>88</v>
      </c>
      <c r="L1146" s="89">
        <f t="shared" si="318"/>
        <v>112.621376</v>
      </c>
      <c r="M1146" s="89">
        <f>+SPY__2[[#This Row],[Adj Close]]</f>
        <v>110.24168400000001</v>
      </c>
      <c r="N1146" s="89">
        <f t="shared" si="313"/>
        <v>9701.2681920000014</v>
      </c>
      <c r="O1146" s="90">
        <f t="shared" si="314"/>
        <v>-209.41289599999925</v>
      </c>
      <c r="P1146" s="93">
        <f t="shared" si="315"/>
        <v>-2.113002064545888E-2</v>
      </c>
      <c r="Q1146" s="96"/>
      <c r="R1146" s="96"/>
      <c r="T1146" s="90">
        <f t="shared" si="309"/>
        <v>95</v>
      </c>
      <c r="U1146" s="89">
        <f t="shared" si="310"/>
        <v>103.31428490526316</v>
      </c>
      <c r="V1146" s="89">
        <f t="shared" si="311"/>
        <v>110.24168400000001</v>
      </c>
      <c r="W1146" s="90">
        <f t="shared" si="316"/>
        <v>10472.959980000001</v>
      </c>
      <c r="X1146" s="98">
        <f t="shared" si="312"/>
        <v>6.7051706364605002E-2</v>
      </c>
      <c r="AB1146" s="89">
        <f t="shared" si="322"/>
        <v>195</v>
      </c>
      <c r="AC1146" s="89">
        <f t="shared" si="323"/>
        <v>51.179276000000002</v>
      </c>
      <c r="AD1146" s="89">
        <f t="shared" si="324"/>
        <v>110.24168400000001</v>
      </c>
      <c r="AE1146" s="89">
        <f t="shared" si="325"/>
        <v>21497.128380000002</v>
      </c>
      <c r="AF1146" s="90">
        <f t="shared" si="328"/>
        <v>11517.16956</v>
      </c>
      <c r="AG1146" s="93">
        <f t="shared" si="329"/>
        <v>1.1540297678302447</v>
      </c>
      <c r="AK1146" s="90">
        <f t="shared" si="326"/>
        <v>142</v>
      </c>
      <c r="AL1146" s="89">
        <f t="shared" si="327"/>
        <v>68.865979063380294</v>
      </c>
      <c r="AM1146" s="89">
        <f t="shared" si="319"/>
        <v>110.24168400000001</v>
      </c>
      <c r="AN1146" s="90">
        <f t="shared" si="320"/>
        <v>15654.319128000001</v>
      </c>
      <c r="AO1146" s="93">
        <f t="shared" si="321"/>
        <v>0.60081487984858084</v>
      </c>
    </row>
    <row r="1147" spans="2:41" x14ac:dyDescent="0.25">
      <c r="B1147" s="91">
        <v>41015</v>
      </c>
      <c r="C1147" s="89">
        <v>137.83999600000001</v>
      </c>
      <c r="D1147" s="89">
        <v>138.03999300000001</v>
      </c>
      <c r="E1147" s="89">
        <v>136.58000200000001</v>
      </c>
      <c r="F1147" s="89">
        <v>137.050003</v>
      </c>
      <c r="G1147" s="89">
        <v>110.16933400000001</v>
      </c>
      <c r="H1147" s="89">
        <v>147825300</v>
      </c>
      <c r="J1147" s="89">
        <v>0</v>
      </c>
      <c r="K1147" s="89">
        <f t="shared" si="317"/>
        <v>88</v>
      </c>
      <c r="L1147" s="89">
        <f t="shared" si="318"/>
        <v>112.621376</v>
      </c>
      <c r="M1147" s="89">
        <f>+SPY__2[[#This Row],[Adj Close]]</f>
        <v>110.16933400000001</v>
      </c>
      <c r="N1147" s="89">
        <f t="shared" si="313"/>
        <v>9694.9013919999998</v>
      </c>
      <c r="O1147" s="90">
        <f t="shared" si="314"/>
        <v>-215.77969599999926</v>
      </c>
      <c r="P1147" s="93">
        <f t="shared" si="315"/>
        <v>-2.1772438653209103E-2</v>
      </c>
      <c r="Q1147" s="96"/>
      <c r="R1147" s="96"/>
      <c r="T1147" s="90">
        <f t="shared" si="309"/>
        <v>95</v>
      </c>
      <c r="U1147" s="89">
        <f t="shared" si="310"/>
        <v>103.31428490526316</v>
      </c>
      <c r="V1147" s="89">
        <f t="shared" si="311"/>
        <v>110.16933400000001</v>
      </c>
      <c r="W1147" s="90">
        <f t="shared" si="316"/>
        <v>10466.086730000001</v>
      </c>
      <c r="X1147" s="98">
        <f t="shared" si="312"/>
        <v>6.6351415983014972E-2</v>
      </c>
      <c r="AB1147" s="89">
        <f t="shared" si="322"/>
        <v>195</v>
      </c>
      <c r="AC1147" s="89">
        <f t="shared" si="323"/>
        <v>51.179276000000002</v>
      </c>
      <c r="AD1147" s="89">
        <f t="shared" si="324"/>
        <v>110.16933400000001</v>
      </c>
      <c r="AE1147" s="89">
        <f t="shared" si="325"/>
        <v>21483.020130000001</v>
      </c>
      <c r="AF1147" s="90">
        <f t="shared" si="328"/>
        <v>11503.061310000001</v>
      </c>
      <c r="AG1147" s="93">
        <f t="shared" si="329"/>
        <v>1.1526161096925249</v>
      </c>
      <c r="AK1147" s="90">
        <f t="shared" si="326"/>
        <v>142</v>
      </c>
      <c r="AL1147" s="89">
        <f t="shared" si="327"/>
        <v>68.865979063380294</v>
      </c>
      <c r="AM1147" s="89">
        <f t="shared" si="319"/>
        <v>110.16933400000001</v>
      </c>
      <c r="AN1147" s="90">
        <f t="shared" si="320"/>
        <v>15644.045428000001</v>
      </c>
      <c r="AO1147" s="93">
        <f t="shared" si="321"/>
        <v>0.59976428852636343</v>
      </c>
    </row>
    <row r="1148" spans="2:41" x14ac:dyDescent="0.25">
      <c r="B1148" s="91">
        <v>41016</v>
      </c>
      <c r="C1148" s="89">
        <v>137.83999600000001</v>
      </c>
      <c r="D1148" s="89">
        <v>139.36000100000001</v>
      </c>
      <c r="E1148" s="89">
        <v>137.699997</v>
      </c>
      <c r="F1148" s="89">
        <v>139.08000200000001</v>
      </c>
      <c r="G1148" s="89">
        <v>111.801193</v>
      </c>
      <c r="H1148" s="89">
        <v>147877600</v>
      </c>
      <c r="J1148" s="89">
        <v>0</v>
      </c>
      <c r="K1148" s="89">
        <f t="shared" si="317"/>
        <v>88</v>
      </c>
      <c r="L1148" s="89">
        <f t="shared" si="318"/>
        <v>112.621376</v>
      </c>
      <c r="M1148" s="89">
        <f>+SPY__2[[#This Row],[Adj Close]]</f>
        <v>111.801193</v>
      </c>
      <c r="N1148" s="89">
        <f t="shared" si="313"/>
        <v>9838.5049839999992</v>
      </c>
      <c r="O1148" s="90">
        <f t="shared" si="314"/>
        <v>-72.176104000000009</v>
      </c>
      <c r="P1148" s="93">
        <f t="shared" si="315"/>
        <v>-7.2826583116867294E-3</v>
      </c>
      <c r="Q1148" s="96"/>
      <c r="R1148" s="96"/>
      <c r="T1148" s="90">
        <f t="shared" si="309"/>
        <v>95</v>
      </c>
      <c r="U1148" s="89">
        <f t="shared" si="310"/>
        <v>103.31428490526316</v>
      </c>
      <c r="V1148" s="89">
        <f t="shared" si="311"/>
        <v>111.801193</v>
      </c>
      <c r="W1148" s="90">
        <f t="shared" si="316"/>
        <v>10621.113335</v>
      </c>
      <c r="X1148" s="98">
        <f t="shared" si="312"/>
        <v>8.2146511515993614E-2</v>
      </c>
      <c r="AB1148" s="89">
        <f t="shared" si="322"/>
        <v>195</v>
      </c>
      <c r="AC1148" s="89">
        <f t="shared" si="323"/>
        <v>51.179276000000002</v>
      </c>
      <c r="AD1148" s="89">
        <f t="shared" si="324"/>
        <v>111.801193</v>
      </c>
      <c r="AE1148" s="89">
        <f t="shared" si="325"/>
        <v>21801.232635</v>
      </c>
      <c r="AF1148" s="90">
        <f t="shared" si="328"/>
        <v>11821.273814999999</v>
      </c>
      <c r="AG1148" s="93">
        <f t="shared" si="329"/>
        <v>1.1845012617997956</v>
      </c>
      <c r="AK1148" s="90">
        <f t="shared" si="326"/>
        <v>142</v>
      </c>
      <c r="AL1148" s="89">
        <f t="shared" si="327"/>
        <v>68.865979063380294</v>
      </c>
      <c r="AM1148" s="89">
        <f t="shared" si="319"/>
        <v>111.801193</v>
      </c>
      <c r="AN1148" s="90">
        <f t="shared" si="320"/>
        <v>15875.769405999999</v>
      </c>
      <c r="AO1148" s="93">
        <f t="shared" si="321"/>
        <v>0.62346044477353035</v>
      </c>
    </row>
    <row r="1149" spans="2:41" x14ac:dyDescent="0.25">
      <c r="B1149" s="91">
        <v>41017</v>
      </c>
      <c r="C1149" s="89">
        <v>138.46000699999999</v>
      </c>
      <c r="D1149" s="89">
        <v>139.08000200000001</v>
      </c>
      <c r="E1149" s="89">
        <v>138.38000500000001</v>
      </c>
      <c r="F1149" s="89">
        <v>138.61000100000001</v>
      </c>
      <c r="G1149" s="89">
        <v>111.42334</v>
      </c>
      <c r="H1149" s="89">
        <v>123884200</v>
      </c>
      <c r="J1149" s="89">
        <v>0</v>
      </c>
      <c r="K1149" s="89">
        <f t="shared" si="317"/>
        <v>88</v>
      </c>
      <c r="L1149" s="89">
        <f t="shared" si="318"/>
        <v>112.621376</v>
      </c>
      <c r="M1149" s="89">
        <f>+SPY__2[[#This Row],[Adj Close]]</f>
        <v>111.42334</v>
      </c>
      <c r="N1149" s="89">
        <f t="shared" si="313"/>
        <v>9805.2539199999992</v>
      </c>
      <c r="O1149" s="90">
        <f t="shared" si="314"/>
        <v>-105.42716800000017</v>
      </c>
      <c r="P1149" s="93">
        <f t="shared" si="315"/>
        <v>-1.0637731863620603E-2</v>
      </c>
      <c r="Q1149" s="96"/>
      <c r="R1149" s="96"/>
      <c r="T1149" s="90">
        <f t="shared" si="309"/>
        <v>95</v>
      </c>
      <c r="U1149" s="89">
        <f t="shared" si="310"/>
        <v>103.31428490526316</v>
      </c>
      <c r="V1149" s="89">
        <f t="shared" si="311"/>
        <v>111.42334</v>
      </c>
      <c r="W1149" s="90">
        <f t="shared" si="316"/>
        <v>10585.2173</v>
      </c>
      <c r="X1149" s="98">
        <f t="shared" si="312"/>
        <v>7.8489195392221545E-2</v>
      </c>
      <c r="AB1149" s="89">
        <f t="shared" si="322"/>
        <v>195</v>
      </c>
      <c r="AC1149" s="89">
        <f t="shared" si="323"/>
        <v>51.179276000000002</v>
      </c>
      <c r="AD1149" s="89">
        <f t="shared" si="324"/>
        <v>111.42334</v>
      </c>
      <c r="AE1149" s="89">
        <f t="shared" si="325"/>
        <v>21727.551299999999</v>
      </c>
      <c r="AF1149" s="90">
        <f t="shared" si="328"/>
        <v>11747.592479999999</v>
      </c>
      <c r="AG1149" s="93">
        <f t="shared" si="329"/>
        <v>1.1771183320373657</v>
      </c>
      <c r="AK1149" s="90">
        <f t="shared" si="326"/>
        <v>142</v>
      </c>
      <c r="AL1149" s="89">
        <f t="shared" si="327"/>
        <v>68.865979063380294</v>
      </c>
      <c r="AM1149" s="89">
        <f t="shared" si="319"/>
        <v>111.42334</v>
      </c>
      <c r="AN1149" s="90">
        <f t="shared" si="320"/>
        <v>15822.11428</v>
      </c>
      <c r="AO1149" s="93">
        <f t="shared" si="321"/>
        <v>0.61797365717333896</v>
      </c>
    </row>
    <row r="1150" spans="2:41" x14ac:dyDescent="0.25">
      <c r="B1150" s="91">
        <v>41018</v>
      </c>
      <c r="C1150" s="89">
        <v>138.63000500000001</v>
      </c>
      <c r="D1150" s="89">
        <v>139.14999399999999</v>
      </c>
      <c r="E1150" s="89">
        <v>137.070007</v>
      </c>
      <c r="F1150" s="89">
        <v>137.720001</v>
      </c>
      <c r="G1150" s="89">
        <v>110.70792400000001</v>
      </c>
      <c r="H1150" s="89">
        <v>198666700</v>
      </c>
      <c r="J1150" s="89">
        <v>0</v>
      </c>
      <c r="K1150" s="89">
        <f t="shared" si="317"/>
        <v>88</v>
      </c>
      <c r="L1150" s="89">
        <f t="shared" si="318"/>
        <v>112.621376</v>
      </c>
      <c r="M1150" s="89">
        <f>+SPY__2[[#This Row],[Adj Close]]</f>
        <v>110.70792400000001</v>
      </c>
      <c r="N1150" s="89">
        <f t="shared" si="313"/>
        <v>9742.2973120000006</v>
      </c>
      <c r="O1150" s="90">
        <f t="shared" si="314"/>
        <v>-168.38377599999933</v>
      </c>
      <c r="P1150" s="93">
        <f t="shared" si="315"/>
        <v>-1.6990131606987258E-2</v>
      </c>
      <c r="Q1150" s="96"/>
      <c r="R1150" s="96"/>
      <c r="T1150" s="90">
        <f t="shared" si="309"/>
        <v>95</v>
      </c>
      <c r="U1150" s="89">
        <f t="shared" si="310"/>
        <v>103.31428490526316</v>
      </c>
      <c r="V1150" s="89">
        <f t="shared" si="311"/>
        <v>110.70792400000001</v>
      </c>
      <c r="W1150" s="90">
        <f t="shared" si="316"/>
        <v>10517.252780000001</v>
      </c>
      <c r="X1150" s="98">
        <f t="shared" si="312"/>
        <v>7.1564538258350741E-2</v>
      </c>
      <c r="AB1150" s="89">
        <f t="shared" si="322"/>
        <v>195</v>
      </c>
      <c r="AC1150" s="89">
        <f t="shared" si="323"/>
        <v>51.179276000000002</v>
      </c>
      <c r="AD1150" s="89">
        <f t="shared" si="324"/>
        <v>110.70792400000001</v>
      </c>
      <c r="AE1150" s="89">
        <f t="shared" si="325"/>
        <v>21588.045180000001</v>
      </c>
      <c r="AF1150" s="90">
        <f t="shared" si="328"/>
        <v>11608.086360000001</v>
      </c>
      <c r="AG1150" s="93">
        <f t="shared" si="329"/>
        <v>1.1631397052197454</v>
      </c>
      <c r="AK1150" s="90">
        <f t="shared" si="326"/>
        <v>142</v>
      </c>
      <c r="AL1150" s="89">
        <f t="shared" si="327"/>
        <v>68.865979063380294</v>
      </c>
      <c r="AM1150" s="89">
        <f t="shared" si="319"/>
        <v>110.70792400000001</v>
      </c>
      <c r="AN1150" s="90">
        <f t="shared" si="320"/>
        <v>15720.525208000001</v>
      </c>
      <c r="AO1150" s="93">
        <f t="shared" si="321"/>
        <v>0.60758513137685588</v>
      </c>
    </row>
    <row r="1151" spans="2:41" x14ac:dyDescent="0.25">
      <c r="B1151" s="91">
        <v>41019</v>
      </c>
      <c r="C1151" s="89">
        <v>138.33000200000001</v>
      </c>
      <c r="D1151" s="89">
        <v>138.83000200000001</v>
      </c>
      <c r="E1151" s="89">
        <v>137.86999499999999</v>
      </c>
      <c r="F1151" s="89">
        <v>137.949997</v>
      </c>
      <c r="G1151" s="89">
        <v>110.892807</v>
      </c>
      <c r="H1151" s="89">
        <v>143199600</v>
      </c>
      <c r="J1151" s="89">
        <v>0</v>
      </c>
      <c r="K1151" s="89">
        <f t="shared" si="317"/>
        <v>88</v>
      </c>
      <c r="L1151" s="89">
        <f t="shared" si="318"/>
        <v>112.621376</v>
      </c>
      <c r="M1151" s="89">
        <f>+SPY__2[[#This Row],[Adj Close]]</f>
        <v>110.892807</v>
      </c>
      <c r="N1151" s="89">
        <f t="shared" si="313"/>
        <v>9758.5670160000009</v>
      </c>
      <c r="O1151" s="90">
        <f t="shared" si="314"/>
        <v>-152.1140719999994</v>
      </c>
      <c r="P1151" s="93">
        <f t="shared" si="315"/>
        <v>-1.5348498317051207E-2</v>
      </c>
      <c r="Q1151" s="96"/>
      <c r="R1151" s="96"/>
      <c r="T1151" s="90">
        <f t="shared" si="309"/>
        <v>95</v>
      </c>
      <c r="U1151" s="89">
        <f t="shared" si="310"/>
        <v>103.31428490526316</v>
      </c>
      <c r="V1151" s="89">
        <f t="shared" si="311"/>
        <v>110.892807</v>
      </c>
      <c r="W1151" s="90">
        <f t="shared" si="316"/>
        <v>10534.816665</v>
      </c>
      <c r="X1151" s="98">
        <f t="shared" si="312"/>
        <v>7.3354058460416871E-2</v>
      </c>
      <c r="AB1151" s="89">
        <f t="shared" si="322"/>
        <v>195</v>
      </c>
      <c r="AC1151" s="89">
        <f t="shared" si="323"/>
        <v>51.179276000000002</v>
      </c>
      <c r="AD1151" s="89">
        <f t="shared" si="324"/>
        <v>110.892807</v>
      </c>
      <c r="AE1151" s="89">
        <f t="shared" si="325"/>
        <v>21624.097365000001</v>
      </c>
      <c r="AF1151" s="90">
        <f t="shared" si="328"/>
        <v>11644.138545</v>
      </c>
      <c r="AG1151" s="93">
        <f t="shared" si="329"/>
        <v>1.166752163512434</v>
      </c>
      <c r="AK1151" s="90">
        <f t="shared" si="326"/>
        <v>142</v>
      </c>
      <c r="AL1151" s="89">
        <f t="shared" si="327"/>
        <v>68.865979063380294</v>
      </c>
      <c r="AM1151" s="89">
        <f t="shared" si="319"/>
        <v>110.892807</v>
      </c>
      <c r="AN1151" s="90">
        <f t="shared" si="320"/>
        <v>15746.778594000001</v>
      </c>
      <c r="AO1151" s="93">
        <f t="shared" si="321"/>
        <v>0.61026980968266842</v>
      </c>
    </row>
    <row r="1152" spans="2:41" x14ac:dyDescent="0.25">
      <c r="B1152" s="91">
        <v>41022</v>
      </c>
      <c r="C1152" s="89">
        <v>136.53999300000001</v>
      </c>
      <c r="D1152" s="89">
        <v>136.91000399999999</v>
      </c>
      <c r="E1152" s="89">
        <v>135.94000199999999</v>
      </c>
      <c r="F1152" s="89">
        <v>136.78999300000001</v>
      </c>
      <c r="G1152" s="89">
        <v>109.96032700000001</v>
      </c>
      <c r="H1152" s="89">
        <v>171844900</v>
      </c>
      <c r="J1152" s="89">
        <v>0</v>
      </c>
      <c r="K1152" s="89">
        <f t="shared" si="317"/>
        <v>88</v>
      </c>
      <c r="L1152" s="89">
        <f t="shared" si="318"/>
        <v>112.621376</v>
      </c>
      <c r="M1152" s="89">
        <f>+SPY__2[[#This Row],[Adj Close]]</f>
        <v>109.96032700000001</v>
      </c>
      <c r="N1152" s="89">
        <f t="shared" si="313"/>
        <v>9676.5087760000006</v>
      </c>
      <c r="O1152" s="90">
        <f t="shared" si="314"/>
        <v>-234.17231199999924</v>
      </c>
      <c r="P1152" s="93">
        <f t="shared" si="315"/>
        <v>-2.3628276393994563E-2</v>
      </c>
      <c r="Q1152" s="96"/>
      <c r="R1152" s="96"/>
      <c r="T1152" s="90">
        <f t="shared" si="309"/>
        <v>95</v>
      </c>
      <c r="U1152" s="89">
        <f t="shared" si="310"/>
        <v>103.31428490526316</v>
      </c>
      <c r="V1152" s="89">
        <f t="shared" si="311"/>
        <v>109.96032700000001</v>
      </c>
      <c r="W1152" s="90">
        <f t="shared" si="316"/>
        <v>10446.231065</v>
      </c>
      <c r="X1152" s="98">
        <f t="shared" si="312"/>
        <v>6.4328394672925393E-2</v>
      </c>
      <c r="AB1152" s="89">
        <f t="shared" si="322"/>
        <v>195</v>
      </c>
      <c r="AC1152" s="89">
        <f t="shared" si="323"/>
        <v>51.179276000000002</v>
      </c>
      <c r="AD1152" s="89">
        <f t="shared" si="324"/>
        <v>109.96032700000001</v>
      </c>
      <c r="AE1152" s="89">
        <f t="shared" si="325"/>
        <v>21442.263765</v>
      </c>
      <c r="AF1152" s="90">
        <f t="shared" si="328"/>
        <v>11462.304945000002</v>
      </c>
      <c r="AG1152" s="93">
        <f t="shared" si="329"/>
        <v>1.1485322887334317</v>
      </c>
      <c r="AK1152" s="90">
        <f t="shared" si="326"/>
        <v>142</v>
      </c>
      <c r="AL1152" s="89">
        <f t="shared" si="327"/>
        <v>68.865979063380294</v>
      </c>
      <c r="AM1152" s="89">
        <f t="shared" si="319"/>
        <v>109.96032700000001</v>
      </c>
      <c r="AN1152" s="90">
        <f t="shared" si="320"/>
        <v>15614.366434000001</v>
      </c>
      <c r="AO1152" s="93">
        <f t="shared" si="321"/>
        <v>0.59672930662611856</v>
      </c>
    </row>
    <row r="1153" spans="2:41" x14ac:dyDescent="0.25">
      <c r="B1153" s="91">
        <v>41023</v>
      </c>
      <c r="C1153" s="89">
        <v>136.91000399999999</v>
      </c>
      <c r="D1153" s="89">
        <v>137.66000399999999</v>
      </c>
      <c r="E1153" s="89">
        <v>136.800003</v>
      </c>
      <c r="F1153" s="89">
        <v>137.30999800000001</v>
      </c>
      <c r="G1153" s="89">
        <v>110.378342</v>
      </c>
      <c r="H1153" s="89">
        <v>137484200</v>
      </c>
      <c r="J1153" s="89">
        <v>0</v>
      </c>
      <c r="K1153" s="89">
        <f t="shared" si="317"/>
        <v>88</v>
      </c>
      <c r="L1153" s="89">
        <f t="shared" si="318"/>
        <v>112.621376</v>
      </c>
      <c r="M1153" s="89">
        <f>+SPY__2[[#This Row],[Adj Close]]</f>
        <v>110.378342</v>
      </c>
      <c r="N1153" s="89">
        <f t="shared" si="313"/>
        <v>9713.2940959999996</v>
      </c>
      <c r="O1153" s="90">
        <f t="shared" si="314"/>
        <v>-197.38699199999951</v>
      </c>
      <c r="P1153" s="93">
        <f t="shared" si="315"/>
        <v>-1.9916592033114466E-2</v>
      </c>
      <c r="Q1153" s="96"/>
      <c r="R1153" s="96"/>
      <c r="T1153" s="90">
        <f t="shared" si="309"/>
        <v>95</v>
      </c>
      <c r="U1153" s="89">
        <f t="shared" si="310"/>
        <v>103.31428490526316</v>
      </c>
      <c r="V1153" s="89">
        <f t="shared" si="311"/>
        <v>110.378342</v>
      </c>
      <c r="W1153" s="90">
        <f t="shared" si="316"/>
        <v>10485.942489999999</v>
      </c>
      <c r="X1153" s="98">
        <f t="shared" si="312"/>
        <v>6.837444697230799E-2</v>
      </c>
      <c r="AB1153" s="89">
        <f t="shared" si="322"/>
        <v>195</v>
      </c>
      <c r="AC1153" s="89">
        <f t="shared" si="323"/>
        <v>51.179276000000002</v>
      </c>
      <c r="AD1153" s="89">
        <f t="shared" si="324"/>
        <v>110.378342</v>
      </c>
      <c r="AE1153" s="89">
        <f t="shared" si="325"/>
        <v>21523.776690000002</v>
      </c>
      <c r="AF1153" s="90">
        <f t="shared" si="328"/>
        <v>11543.817870000001</v>
      </c>
      <c r="AG1153" s="93">
        <f t="shared" si="329"/>
        <v>1.1566999501907764</v>
      </c>
      <c r="AK1153" s="90">
        <f t="shared" si="326"/>
        <v>142</v>
      </c>
      <c r="AL1153" s="89">
        <f t="shared" si="327"/>
        <v>68.865979063380294</v>
      </c>
      <c r="AM1153" s="89">
        <f t="shared" si="319"/>
        <v>110.378342</v>
      </c>
      <c r="AN1153" s="90">
        <f t="shared" si="320"/>
        <v>15673.724564</v>
      </c>
      <c r="AO1153" s="93">
        <f t="shared" si="321"/>
        <v>0.60279928494756629</v>
      </c>
    </row>
    <row r="1154" spans="2:41" x14ac:dyDescent="0.25">
      <c r="B1154" s="91">
        <v>41024</v>
      </c>
      <c r="C1154" s="89">
        <v>138.64999399999999</v>
      </c>
      <c r="D1154" s="89">
        <v>139.25</v>
      </c>
      <c r="E1154" s="89">
        <v>138.529999</v>
      </c>
      <c r="F1154" s="89">
        <v>139.19000199999999</v>
      </c>
      <c r="G1154" s="89">
        <v>111.88958700000001</v>
      </c>
      <c r="H1154" s="89">
        <v>150252200</v>
      </c>
      <c r="J1154" s="89">
        <v>0</v>
      </c>
      <c r="K1154" s="89">
        <f t="shared" si="317"/>
        <v>88</v>
      </c>
      <c r="L1154" s="89">
        <f t="shared" si="318"/>
        <v>112.621376</v>
      </c>
      <c r="M1154" s="89">
        <f>+SPY__2[[#This Row],[Adj Close]]</f>
        <v>111.88958700000001</v>
      </c>
      <c r="N1154" s="89">
        <f t="shared" si="313"/>
        <v>9846.2836559999996</v>
      </c>
      <c r="O1154" s="90">
        <f t="shared" si="314"/>
        <v>-64.397431999999299</v>
      </c>
      <c r="P1154" s="93">
        <f t="shared" si="315"/>
        <v>-6.4977806699857421E-3</v>
      </c>
      <c r="Q1154" s="96"/>
      <c r="R1154" s="96"/>
      <c r="T1154" s="90">
        <f t="shared" ref="T1154:T1217" si="330">+T1153</f>
        <v>95</v>
      </c>
      <c r="U1154" s="89">
        <f t="shared" ref="U1154:U1217" si="331">+U1153</f>
        <v>103.31428490526316</v>
      </c>
      <c r="V1154" s="89">
        <f t="shared" si="311"/>
        <v>111.88958700000001</v>
      </c>
      <c r="W1154" s="90">
        <f t="shared" si="316"/>
        <v>10629.510765000001</v>
      </c>
      <c r="X1154" s="98">
        <f t="shared" si="312"/>
        <v>8.3002095040392465E-2</v>
      </c>
      <c r="AB1154" s="89">
        <f t="shared" si="322"/>
        <v>195</v>
      </c>
      <c r="AC1154" s="89">
        <f t="shared" si="323"/>
        <v>51.179276000000002</v>
      </c>
      <c r="AD1154" s="89">
        <f t="shared" si="324"/>
        <v>111.88958700000001</v>
      </c>
      <c r="AE1154" s="89">
        <f t="shared" si="325"/>
        <v>21818.469465000002</v>
      </c>
      <c r="AF1154" s="90">
        <f t="shared" si="328"/>
        <v>11838.510645</v>
      </c>
      <c r="AG1154" s="93">
        <f t="shared" si="329"/>
        <v>1.1862284062009789</v>
      </c>
      <c r="AK1154" s="90">
        <f t="shared" si="326"/>
        <v>142</v>
      </c>
      <c r="AL1154" s="89">
        <f t="shared" si="327"/>
        <v>68.865979063380294</v>
      </c>
      <c r="AM1154" s="89">
        <f t="shared" si="319"/>
        <v>111.88958700000001</v>
      </c>
      <c r="AN1154" s="90">
        <f t="shared" si="320"/>
        <v>15888.321354000002</v>
      </c>
      <c r="AO1154" s="93">
        <f t="shared" si="321"/>
        <v>0.62474401034832105</v>
      </c>
    </row>
    <row r="1155" spans="2:41" x14ac:dyDescent="0.25">
      <c r="B1155" s="91">
        <v>41025</v>
      </c>
      <c r="C1155" s="89">
        <v>138.88999899999999</v>
      </c>
      <c r="D1155" s="89">
        <v>140.320007</v>
      </c>
      <c r="E1155" s="89">
        <v>138.80999800000001</v>
      </c>
      <c r="F1155" s="89">
        <v>140.16000399999999</v>
      </c>
      <c r="G1155" s="89">
        <v>112.66933400000001</v>
      </c>
      <c r="H1155" s="89">
        <v>136291600</v>
      </c>
      <c r="J1155" s="89">
        <v>0</v>
      </c>
      <c r="K1155" s="89">
        <f t="shared" si="317"/>
        <v>88</v>
      </c>
      <c r="L1155" s="89">
        <f t="shared" si="318"/>
        <v>112.621376</v>
      </c>
      <c r="M1155" s="89">
        <f>+SPY__2[[#This Row],[Adj Close]]</f>
        <v>112.66933400000001</v>
      </c>
      <c r="N1155" s="89">
        <f t="shared" si="313"/>
        <v>9914.9013919999998</v>
      </c>
      <c r="O1155" s="90">
        <f t="shared" si="314"/>
        <v>4.2203040000007377</v>
      </c>
      <c r="P1155" s="93">
        <f t="shared" si="315"/>
        <v>4.2583390208283944E-4</v>
      </c>
      <c r="Q1155" s="96"/>
      <c r="R1155" s="96"/>
      <c r="T1155" s="90">
        <f t="shared" si="330"/>
        <v>95</v>
      </c>
      <c r="U1155" s="89">
        <f t="shared" si="331"/>
        <v>103.31428490526316</v>
      </c>
      <c r="V1155" s="89">
        <f t="shared" ref="V1155:V1218" si="332">+M1155</f>
        <v>112.66933400000001</v>
      </c>
      <c r="W1155" s="90">
        <f t="shared" si="316"/>
        <v>10703.586730000001</v>
      </c>
      <c r="X1155" s="98">
        <f t="shared" ref="X1155:X1218" si="333">+W1155/(U1155*T1155)-1</f>
        <v>9.054942502205976E-2</v>
      </c>
      <c r="AB1155" s="89">
        <f t="shared" si="322"/>
        <v>195</v>
      </c>
      <c r="AC1155" s="89">
        <f t="shared" si="323"/>
        <v>51.179276000000002</v>
      </c>
      <c r="AD1155" s="89">
        <f t="shared" si="324"/>
        <v>112.66933400000001</v>
      </c>
      <c r="AE1155" s="89">
        <f t="shared" si="325"/>
        <v>21970.520130000001</v>
      </c>
      <c r="AF1155" s="90">
        <f t="shared" si="328"/>
        <v>11990.561310000001</v>
      </c>
      <c r="AG1155" s="93">
        <f t="shared" si="329"/>
        <v>1.2014640066420634</v>
      </c>
      <c r="AK1155" s="90">
        <f t="shared" si="326"/>
        <v>142</v>
      </c>
      <c r="AL1155" s="89">
        <f t="shared" si="327"/>
        <v>68.865979063380294</v>
      </c>
      <c r="AM1155" s="89">
        <f t="shared" si="319"/>
        <v>112.66933400000001</v>
      </c>
      <c r="AN1155" s="90">
        <f t="shared" si="320"/>
        <v>15999.045428000001</v>
      </c>
      <c r="AO1155" s="93">
        <f t="shared" si="321"/>
        <v>0.63606668390360976</v>
      </c>
    </row>
    <row r="1156" spans="2:41" x14ac:dyDescent="0.25">
      <c r="B1156" s="91">
        <v>41026</v>
      </c>
      <c r="C1156" s="89">
        <v>140.58000200000001</v>
      </c>
      <c r="D1156" s="89">
        <v>140.78999300000001</v>
      </c>
      <c r="E1156" s="89">
        <v>139.800003</v>
      </c>
      <c r="F1156" s="89">
        <v>140.38999899999999</v>
      </c>
      <c r="G1156" s="89">
        <v>112.854248</v>
      </c>
      <c r="H1156" s="89">
        <v>130725000</v>
      </c>
      <c r="J1156" s="89">
        <v>0</v>
      </c>
      <c r="K1156" s="89">
        <f t="shared" si="317"/>
        <v>88</v>
      </c>
      <c r="L1156" s="89">
        <f t="shared" si="318"/>
        <v>112.621376</v>
      </c>
      <c r="M1156" s="89">
        <f>+SPY__2[[#This Row],[Adj Close]]</f>
        <v>112.854248</v>
      </c>
      <c r="N1156" s="89">
        <f t="shared" ref="N1156:N1219" si="334">+K1156*M1156</f>
        <v>9931.1738239999995</v>
      </c>
      <c r="O1156" s="90">
        <f t="shared" ref="O1156:O1219" si="335">+(M1156-L1156)*K1156</f>
        <v>20.492736000000036</v>
      </c>
      <c r="P1156" s="93">
        <f t="shared" ref="P1156:P1219" si="336">+M1156/L1156-1</f>
        <v>2.0677424505983755E-3</v>
      </c>
      <c r="Q1156" s="96"/>
      <c r="R1156" s="96"/>
      <c r="T1156" s="90">
        <f t="shared" si="330"/>
        <v>95</v>
      </c>
      <c r="U1156" s="89">
        <f t="shared" si="331"/>
        <v>103.31428490526316</v>
      </c>
      <c r="V1156" s="89">
        <f t="shared" si="332"/>
        <v>112.854248</v>
      </c>
      <c r="W1156" s="90">
        <f t="shared" ref="W1156:W1219" si="337">+V1156*T1156</f>
        <v>10721.153560000001</v>
      </c>
      <c r="X1156" s="98">
        <f t="shared" si="333"/>
        <v>9.2339245279438043E-2</v>
      </c>
      <c r="AB1156" s="89">
        <f t="shared" si="322"/>
        <v>195</v>
      </c>
      <c r="AC1156" s="89">
        <f t="shared" si="323"/>
        <v>51.179276000000002</v>
      </c>
      <c r="AD1156" s="89">
        <f t="shared" si="324"/>
        <v>112.854248</v>
      </c>
      <c r="AE1156" s="89">
        <f t="shared" si="325"/>
        <v>22006.57836</v>
      </c>
      <c r="AF1156" s="90">
        <f t="shared" si="328"/>
        <v>12026.61954</v>
      </c>
      <c r="AG1156" s="93">
        <f t="shared" si="329"/>
        <v>1.2050770706486742</v>
      </c>
      <c r="AK1156" s="90">
        <f t="shared" si="326"/>
        <v>142</v>
      </c>
      <c r="AL1156" s="89">
        <f t="shared" si="327"/>
        <v>68.865979063380294</v>
      </c>
      <c r="AM1156" s="89">
        <f t="shared" si="319"/>
        <v>112.854248</v>
      </c>
      <c r="AN1156" s="90">
        <f t="shared" si="320"/>
        <v>16025.303216</v>
      </c>
      <c r="AO1156" s="93">
        <f t="shared" si="321"/>
        <v>0.63875181235912493</v>
      </c>
    </row>
    <row r="1157" spans="2:41" x14ac:dyDescent="0.25">
      <c r="B1157" s="91">
        <v>41029</v>
      </c>
      <c r="C1157" s="89">
        <v>140.11000100000001</v>
      </c>
      <c r="D1157" s="89">
        <v>140.21000699999999</v>
      </c>
      <c r="E1157" s="89">
        <v>139.490005</v>
      </c>
      <c r="F1157" s="89">
        <v>139.86999499999999</v>
      </c>
      <c r="G1157" s="89">
        <v>112.436218</v>
      </c>
      <c r="H1157" s="89">
        <v>115092200</v>
      </c>
      <c r="J1157" s="89">
        <v>0</v>
      </c>
      <c r="K1157" s="89">
        <f t="shared" ref="K1157:K1220" si="338">+$K$3</f>
        <v>88</v>
      </c>
      <c r="L1157" s="89">
        <f t="shared" ref="L1157:L1220" si="339">+$L$3</f>
        <v>112.621376</v>
      </c>
      <c r="M1157" s="89">
        <f>+SPY__2[[#This Row],[Adj Close]]</f>
        <v>112.436218</v>
      </c>
      <c r="N1157" s="89">
        <f t="shared" si="334"/>
        <v>9894.3871839999993</v>
      </c>
      <c r="O1157" s="90">
        <f t="shared" si="335"/>
        <v>-16.293904000000111</v>
      </c>
      <c r="P1157" s="93">
        <f t="shared" si="336"/>
        <v>-1.6440750999171527E-3</v>
      </c>
      <c r="Q1157" s="96"/>
      <c r="R1157" s="96"/>
      <c r="T1157" s="90">
        <f t="shared" si="330"/>
        <v>95</v>
      </c>
      <c r="U1157" s="89">
        <f t="shared" si="331"/>
        <v>103.31428490526316</v>
      </c>
      <c r="V1157" s="89">
        <f t="shared" si="332"/>
        <v>112.436218</v>
      </c>
      <c r="W1157" s="90">
        <f t="shared" si="337"/>
        <v>10681.440709999999</v>
      </c>
      <c r="X1157" s="98">
        <f t="shared" si="333"/>
        <v>8.82930477920012E-2</v>
      </c>
      <c r="AB1157" s="89">
        <f t="shared" si="322"/>
        <v>195</v>
      </c>
      <c r="AC1157" s="89">
        <f t="shared" si="323"/>
        <v>51.179276000000002</v>
      </c>
      <c r="AD1157" s="89">
        <f t="shared" si="324"/>
        <v>112.436218</v>
      </c>
      <c r="AE1157" s="89">
        <f t="shared" si="325"/>
        <v>21925.06251</v>
      </c>
      <c r="AF1157" s="90">
        <f t="shared" si="328"/>
        <v>11945.10369</v>
      </c>
      <c r="AG1157" s="93">
        <f t="shared" si="329"/>
        <v>1.196909116103948</v>
      </c>
      <c r="AK1157" s="90">
        <f t="shared" si="326"/>
        <v>142</v>
      </c>
      <c r="AL1157" s="89">
        <f t="shared" si="327"/>
        <v>68.865979063380294</v>
      </c>
      <c r="AM1157" s="89">
        <f t="shared" si="319"/>
        <v>112.436218</v>
      </c>
      <c r="AN1157" s="90">
        <f t="shared" si="320"/>
        <v>15965.942955999999</v>
      </c>
      <c r="AO1157" s="93">
        <f t="shared" si="321"/>
        <v>0.63268161622330465</v>
      </c>
    </row>
    <row r="1158" spans="2:41" x14ac:dyDescent="0.25">
      <c r="B1158" s="91">
        <v>41030</v>
      </c>
      <c r="C1158" s="89">
        <v>139.78999300000001</v>
      </c>
      <c r="D1158" s="89">
        <v>141.66000399999999</v>
      </c>
      <c r="E1158" s="89">
        <v>139.63000500000001</v>
      </c>
      <c r="F1158" s="89">
        <v>140.740005</v>
      </c>
      <c r="G1158" s="89">
        <v>113.135544</v>
      </c>
      <c r="H1158" s="89">
        <v>138832200</v>
      </c>
      <c r="J1158" s="89">
        <v>0</v>
      </c>
      <c r="K1158" s="89">
        <f t="shared" si="338"/>
        <v>88</v>
      </c>
      <c r="L1158" s="89">
        <f t="shared" si="339"/>
        <v>112.621376</v>
      </c>
      <c r="M1158" s="89">
        <f>+SPY__2[[#This Row],[Adj Close]]</f>
        <v>113.135544</v>
      </c>
      <c r="N1158" s="89">
        <f t="shared" si="334"/>
        <v>9955.9278720000002</v>
      </c>
      <c r="O1158" s="90">
        <f t="shared" si="335"/>
        <v>45.24678399999982</v>
      </c>
      <c r="P1158" s="93">
        <f t="shared" si="336"/>
        <v>4.5654565612835984E-3</v>
      </c>
      <c r="Q1158" s="96"/>
      <c r="R1158" s="96"/>
      <c r="T1158" s="90">
        <f t="shared" si="330"/>
        <v>95</v>
      </c>
      <c r="U1158" s="89">
        <f t="shared" si="331"/>
        <v>103.31428490526316</v>
      </c>
      <c r="V1158" s="89">
        <f t="shared" si="332"/>
        <v>113.135544</v>
      </c>
      <c r="W1158" s="90">
        <f t="shared" si="337"/>
        <v>10747.876679999999</v>
      </c>
      <c r="X1158" s="98">
        <f t="shared" si="333"/>
        <v>9.5061966539696785E-2</v>
      </c>
      <c r="AB1158" s="89">
        <f t="shared" si="322"/>
        <v>195</v>
      </c>
      <c r="AC1158" s="89">
        <f t="shared" si="323"/>
        <v>51.179276000000002</v>
      </c>
      <c r="AD1158" s="89">
        <f t="shared" si="324"/>
        <v>113.135544</v>
      </c>
      <c r="AE1158" s="89">
        <f t="shared" si="325"/>
        <v>22061.431079999998</v>
      </c>
      <c r="AF1158" s="90">
        <f t="shared" si="328"/>
        <v>12081.472259999999</v>
      </c>
      <c r="AG1158" s="93">
        <f t="shared" si="329"/>
        <v>1.2105733578568012</v>
      </c>
      <c r="AK1158" s="90">
        <f t="shared" si="326"/>
        <v>142</v>
      </c>
      <c r="AL1158" s="89">
        <f t="shared" si="327"/>
        <v>68.865979063380294</v>
      </c>
      <c r="AM1158" s="89">
        <f t="shared" si="319"/>
        <v>113.135544</v>
      </c>
      <c r="AN1158" s="90">
        <f t="shared" si="320"/>
        <v>16065.247248</v>
      </c>
      <c r="AO1158" s="93">
        <f t="shared" si="321"/>
        <v>0.64283649980313995</v>
      </c>
    </row>
    <row r="1159" spans="2:41" x14ac:dyDescent="0.25">
      <c r="B1159" s="91">
        <v>41031</v>
      </c>
      <c r="C1159" s="89">
        <v>139.91999799999999</v>
      </c>
      <c r="D1159" s="89">
        <v>140.46000699999999</v>
      </c>
      <c r="E1159" s="89">
        <v>139.46000699999999</v>
      </c>
      <c r="F1159" s="89">
        <v>140.320007</v>
      </c>
      <c r="G1159" s="89">
        <v>112.797951</v>
      </c>
      <c r="H1159" s="89">
        <v>121081000</v>
      </c>
      <c r="J1159" s="89">
        <v>0</v>
      </c>
      <c r="K1159" s="89">
        <f t="shared" si="338"/>
        <v>88</v>
      </c>
      <c r="L1159" s="89">
        <f t="shared" si="339"/>
        <v>112.621376</v>
      </c>
      <c r="M1159" s="89">
        <f>+SPY__2[[#This Row],[Adj Close]]</f>
        <v>112.797951</v>
      </c>
      <c r="N1159" s="89">
        <f t="shared" si="334"/>
        <v>9926.2196879999992</v>
      </c>
      <c r="O1159" s="90">
        <f t="shared" si="335"/>
        <v>15.538599999999974</v>
      </c>
      <c r="P1159" s="93">
        <f t="shared" si="336"/>
        <v>1.5678639905802871E-3</v>
      </c>
      <c r="Q1159" s="96"/>
      <c r="R1159" s="96"/>
      <c r="T1159" s="90">
        <f t="shared" si="330"/>
        <v>95</v>
      </c>
      <c r="U1159" s="89">
        <f t="shared" si="331"/>
        <v>103.31428490526316</v>
      </c>
      <c r="V1159" s="89">
        <f t="shared" si="332"/>
        <v>112.797951</v>
      </c>
      <c r="W1159" s="90">
        <f t="shared" si="337"/>
        <v>10715.805345000001</v>
      </c>
      <c r="X1159" s="98">
        <f t="shared" si="333"/>
        <v>9.1794335153489559E-2</v>
      </c>
      <c r="AB1159" s="89">
        <f t="shared" si="322"/>
        <v>195</v>
      </c>
      <c r="AC1159" s="89">
        <f t="shared" si="323"/>
        <v>51.179276000000002</v>
      </c>
      <c r="AD1159" s="89">
        <f t="shared" si="324"/>
        <v>112.797951</v>
      </c>
      <c r="AE1159" s="89">
        <f t="shared" si="325"/>
        <v>21995.600445</v>
      </c>
      <c r="AF1159" s="90">
        <f t="shared" si="328"/>
        <v>12015.641624999998</v>
      </c>
      <c r="AG1159" s="93">
        <f t="shared" si="329"/>
        <v>1.203977074626847</v>
      </c>
      <c r="AK1159" s="90">
        <f t="shared" si="326"/>
        <v>142</v>
      </c>
      <c r="AL1159" s="89">
        <f t="shared" si="327"/>
        <v>68.865979063380294</v>
      </c>
      <c r="AM1159" s="89">
        <f t="shared" si="319"/>
        <v>112.797951</v>
      </c>
      <c r="AN1159" s="90">
        <f t="shared" si="320"/>
        <v>16017.309041999999</v>
      </c>
      <c r="AO1159" s="93">
        <f t="shared" si="321"/>
        <v>0.63793432597810362</v>
      </c>
    </row>
    <row r="1160" spans="2:41" x14ac:dyDescent="0.25">
      <c r="B1160" s="91">
        <v>41032</v>
      </c>
      <c r="C1160" s="89">
        <v>140.33999600000001</v>
      </c>
      <c r="D1160" s="89">
        <v>140.449997</v>
      </c>
      <c r="E1160" s="89">
        <v>138.990005</v>
      </c>
      <c r="F1160" s="89">
        <v>139.25</v>
      </c>
      <c r="G1160" s="89">
        <v>111.937836</v>
      </c>
      <c r="H1160" s="89">
        <v>143759700</v>
      </c>
      <c r="J1160" s="89">
        <v>0</v>
      </c>
      <c r="K1160" s="89">
        <f t="shared" si="338"/>
        <v>88</v>
      </c>
      <c r="L1160" s="89">
        <f t="shared" si="339"/>
        <v>112.621376</v>
      </c>
      <c r="M1160" s="89">
        <f>+SPY__2[[#This Row],[Adj Close]]</f>
        <v>111.937836</v>
      </c>
      <c r="N1160" s="89">
        <f t="shared" si="334"/>
        <v>9850.5295679999999</v>
      </c>
      <c r="O1160" s="90">
        <f t="shared" si="335"/>
        <v>-60.151519999999437</v>
      </c>
      <c r="P1160" s="93">
        <f t="shared" si="336"/>
        <v>-6.0693628889776363E-3</v>
      </c>
      <c r="Q1160" s="96"/>
      <c r="R1160" s="96"/>
      <c r="T1160" s="90">
        <f t="shared" si="330"/>
        <v>95</v>
      </c>
      <c r="U1160" s="89">
        <f t="shared" si="331"/>
        <v>103.31428490526316</v>
      </c>
      <c r="V1160" s="89">
        <f t="shared" si="332"/>
        <v>111.937836</v>
      </c>
      <c r="W1160" s="90">
        <f t="shared" si="337"/>
        <v>10634.094420000001</v>
      </c>
      <c r="X1160" s="98">
        <f t="shared" si="333"/>
        <v>8.3469106935642579E-2</v>
      </c>
      <c r="AB1160" s="89">
        <f t="shared" si="322"/>
        <v>195</v>
      </c>
      <c r="AC1160" s="89">
        <f t="shared" si="323"/>
        <v>51.179276000000002</v>
      </c>
      <c r="AD1160" s="89">
        <f t="shared" si="324"/>
        <v>111.937836</v>
      </c>
      <c r="AE1160" s="89">
        <f t="shared" si="325"/>
        <v>21827.87802</v>
      </c>
      <c r="AF1160" s="90">
        <f t="shared" si="328"/>
        <v>11847.9192</v>
      </c>
      <c r="AG1160" s="93">
        <f t="shared" si="329"/>
        <v>1.1871711510729459</v>
      </c>
      <c r="AK1160" s="90">
        <f t="shared" si="326"/>
        <v>142</v>
      </c>
      <c r="AL1160" s="89">
        <f t="shared" si="327"/>
        <v>68.865979063380294</v>
      </c>
      <c r="AM1160" s="89">
        <f t="shared" si="319"/>
        <v>111.937836</v>
      </c>
      <c r="AN1160" s="90">
        <f t="shared" si="320"/>
        <v>15895.172712000001</v>
      </c>
      <c r="AO1160" s="93">
        <f t="shared" si="321"/>
        <v>0.62544463205814393</v>
      </c>
    </row>
    <row r="1161" spans="2:41" x14ac:dyDescent="0.25">
      <c r="B1161" s="91">
        <v>41033</v>
      </c>
      <c r="C1161" s="89">
        <v>138.520004</v>
      </c>
      <c r="D1161" s="89">
        <v>139.300003</v>
      </c>
      <c r="E1161" s="89">
        <v>136.91999799999999</v>
      </c>
      <c r="F1161" s="89">
        <v>137</v>
      </c>
      <c r="G1161" s="89">
        <v>110.12917299999999</v>
      </c>
      <c r="H1161" s="89">
        <v>193927300</v>
      </c>
      <c r="J1161" s="89">
        <v>0</v>
      </c>
      <c r="K1161" s="89">
        <f t="shared" si="338"/>
        <v>88</v>
      </c>
      <c r="L1161" s="89">
        <f t="shared" si="339"/>
        <v>112.621376</v>
      </c>
      <c r="M1161" s="89">
        <f>+SPY__2[[#This Row],[Adj Close]]</f>
        <v>110.12917299999999</v>
      </c>
      <c r="N1161" s="89">
        <f t="shared" si="334"/>
        <v>9691.3672239999996</v>
      </c>
      <c r="O1161" s="90">
        <f t="shared" si="335"/>
        <v>-219.31386400000031</v>
      </c>
      <c r="P1161" s="93">
        <f t="shared" si="336"/>
        <v>-2.2129040582846371E-2</v>
      </c>
      <c r="Q1161" s="96"/>
      <c r="R1161" s="96"/>
      <c r="T1161" s="90">
        <f t="shared" si="330"/>
        <v>95</v>
      </c>
      <c r="U1161" s="89">
        <f t="shared" si="331"/>
        <v>103.31428490526316</v>
      </c>
      <c r="V1161" s="89">
        <f t="shared" si="332"/>
        <v>110.12917299999999</v>
      </c>
      <c r="W1161" s="90">
        <f t="shared" si="337"/>
        <v>10462.271434999999</v>
      </c>
      <c r="X1161" s="98">
        <f t="shared" si="333"/>
        <v>6.5962689486607884E-2</v>
      </c>
      <c r="AB1161" s="89">
        <f t="shared" si="322"/>
        <v>195</v>
      </c>
      <c r="AC1161" s="89">
        <f t="shared" si="323"/>
        <v>51.179276000000002</v>
      </c>
      <c r="AD1161" s="89">
        <f t="shared" si="324"/>
        <v>110.12917299999999</v>
      </c>
      <c r="AE1161" s="89">
        <f t="shared" si="325"/>
        <v>21475.188735</v>
      </c>
      <c r="AF1161" s="90">
        <f t="shared" si="328"/>
        <v>11495.229914999998</v>
      </c>
      <c r="AG1161" s="93">
        <f t="shared" si="329"/>
        <v>1.1518313975367684</v>
      </c>
      <c r="AK1161" s="90">
        <f t="shared" si="326"/>
        <v>142</v>
      </c>
      <c r="AL1161" s="89">
        <f t="shared" si="327"/>
        <v>68.865979063380294</v>
      </c>
      <c r="AM1161" s="89">
        <f t="shared" si="319"/>
        <v>110.12917299999999</v>
      </c>
      <c r="AN1161" s="90">
        <f t="shared" si="320"/>
        <v>15638.342565999999</v>
      </c>
      <c r="AO1161" s="93">
        <f t="shared" si="321"/>
        <v>0.59918111232606508</v>
      </c>
    </row>
    <row r="1162" spans="2:41" x14ac:dyDescent="0.25">
      <c r="B1162" s="91">
        <v>41036</v>
      </c>
      <c r="C1162" s="89">
        <v>136.509995</v>
      </c>
      <c r="D1162" s="89">
        <v>137.55999800000001</v>
      </c>
      <c r="E1162" s="89">
        <v>136.46000699999999</v>
      </c>
      <c r="F1162" s="89">
        <v>137.10000600000001</v>
      </c>
      <c r="G1162" s="89">
        <v>110.209541</v>
      </c>
      <c r="H1162" s="89">
        <v>127765900</v>
      </c>
      <c r="J1162" s="89">
        <v>0</v>
      </c>
      <c r="K1162" s="89">
        <f t="shared" si="338"/>
        <v>88</v>
      </c>
      <c r="L1162" s="89">
        <f t="shared" si="339"/>
        <v>112.621376</v>
      </c>
      <c r="M1162" s="89">
        <f>+SPY__2[[#This Row],[Adj Close]]</f>
        <v>110.209541</v>
      </c>
      <c r="N1162" s="89">
        <f t="shared" si="334"/>
        <v>9698.4396080000006</v>
      </c>
      <c r="O1162" s="90">
        <f t="shared" si="335"/>
        <v>-212.24147999999968</v>
      </c>
      <c r="P1162" s="93">
        <f t="shared" si="336"/>
        <v>-2.1415428275356807E-2</v>
      </c>
      <c r="Q1162" s="96"/>
      <c r="R1162" s="96"/>
      <c r="T1162" s="90">
        <f t="shared" si="330"/>
        <v>95</v>
      </c>
      <c r="U1162" s="89">
        <f t="shared" si="331"/>
        <v>103.31428490526316</v>
      </c>
      <c r="V1162" s="89">
        <f t="shared" si="332"/>
        <v>110.209541</v>
      </c>
      <c r="W1162" s="90">
        <f t="shared" si="337"/>
        <v>10469.906395</v>
      </c>
      <c r="X1162" s="98">
        <f t="shared" si="333"/>
        <v>6.6740587722788014E-2</v>
      </c>
      <c r="AB1162" s="89">
        <f t="shared" si="322"/>
        <v>195</v>
      </c>
      <c r="AC1162" s="89">
        <f t="shared" si="323"/>
        <v>51.179276000000002</v>
      </c>
      <c r="AD1162" s="89">
        <f t="shared" si="324"/>
        <v>110.209541</v>
      </c>
      <c r="AE1162" s="89">
        <f t="shared" si="325"/>
        <v>21490.860495000001</v>
      </c>
      <c r="AF1162" s="90">
        <f t="shared" si="328"/>
        <v>11510.901674999999</v>
      </c>
      <c r="AG1162" s="93">
        <f t="shared" si="329"/>
        <v>1.1534017206495846</v>
      </c>
      <c r="AK1162" s="90">
        <f t="shared" si="326"/>
        <v>142</v>
      </c>
      <c r="AL1162" s="89">
        <f t="shared" si="327"/>
        <v>68.865979063380294</v>
      </c>
      <c r="AM1162" s="89">
        <f t="shared" si="319"/>
        <v>110.209541</v>
      </c>
      <c r="AN1162" s="90">
        <f t="shared" si="320"/>
        <v>15649.754822000001</v>
      </c>
      <c r="AO1162" s="93">
        <f t="shared" si="321"/>
        <v>0.6003481326907365</v>
      </c>
    </row>
    <row r="1163" spans="2:41" x14ac:dyDescent="0.25">
      <c r="B1163" s="91">
        <v>41037</v>
      </c>
      <c r="C1163" s="89">
        <v>136.279999</v>
      </c>
      <c r="D1163" s="89">
        <v>136.770004</v>
      </c>
      <c r="E1163" s="89">
        <v>134.91999799999999</v>
      </c>
      <c r="F1163" s="89">
        <v>136.550003</v>
      </c>
      <c r="G1163" s="89">
        <v>109.767426</v>
      </c>
      <c r="H1163" s="89">
        <v>213377700</v>
      </c>
      <c r="J1163" s="89">
        <v>0</v>
      </c>
      <c r="K1163" s="89">
        <f t="shared" si="338"/>
        <v>88</v>
      </c>
      <c r="L1163" s="89">
        <f t="shared" si="339"/>
        <v>112.621376</v>
      </c>
      <c r="M1163" s="89">
        <f>+SPY__2[[#This Row],[Adj Close]]</f>
        <v>109.767426</v>
      </c>
      <c r="N1163" s="89">
        <f t="shared" si="334"/>
        <v>9659.5334880000009</v>
      </c>
      <c r="O1163" s="90">
        <f t="shared" si="335"/>
        <v>-251.14759999999978</v>
      </c>
      <c r="P1163" s="93">
        <f t="shared" si="336"/>
        <v>-2.5341103983669955E-2</v>
      </c>
      <c r="Q1163" s="96"/>
      <c r="R1163" s="96"/>
      <c r="T1163" s="90">
        <f t="shared" si="330"/>
        <v>95</v>
      </c>
      <c r="U1163" s="89">
        <f t="shared" si="331"/>
        <v>103.31428490526316</v>
      </c>
      <c r="V1163" s="89">
        <f t="shared" si="332"/>
        <v>109.767426</v>
      </c>
      <c r="W1163" s="90">
        <f t="shared" si="337"/>
        <v>10427.90547</v>
      </c>
      <c r="X1163" s="98">
        <f t="shared" si="333"/>
        <v>6.2461266616269162E-2</v>
      </c>
      <c r="AB1163" s="89">
        <f t="shared" si="322"/>
        <v>195</v>
      </c>
      <c r="AC1163" s="89">
        <f t="shared" si="323"/>
        <v>51.179276000000002</v>
      </c>
      <c r="AD1163" s="89">
        <f t="shared" si="324"/>
        <v>109.767426</v>
      </c>
      <c r="AE1163" s="89">
        <f t="shared" si="325"/>
        <v>21404.648069999999</v>
      </c>
      <c r="AF1163" s="90">
        <f t="shared" si="328"/>
        <v>11424.689249999999</v>
      </c>
      <c r="AG1163" s="93">
        <f t="shared" si="329"/>
        <v>1.1447631654656467</v>
      </c>
      <c r="AK1163" s="90">
        <f t="shared" si="326"/>
        <v>142</v>
      </c>
      <c r="AL1163" s="89">
        <f t="shared" si="327"/>
        <v>68.865979063380294</v>
      </c>
      <c r="AM1163" s="89">
        <f t="shared" si="319"/>
        <v>109.767426</v>
      </c>
      <c r="AN1163" s="90">
        <f t="shared" si="320"/>
        <v>15586.974491999999</v>
      </c>
      <c r="AO1163" s="93">
        <f t="shared" si="321"/>
        <v>0.59392819927785201</v>
      </c>
    </row>
    <row r="1164" spans="2:41" x14ac:dyDescent="0.25">
      <c r="B1164" s="91">
        <v>41038</v>
      </c>
      <c r="C1164" s="89">
        <v>135.10000600000001</v>
      </c>
      <c r="D1164" s="89">
        <v>136.61000100000001</v>
      </c>
      <c r="E1164" s="89">
        <v>134.490005</v>
      </c>
      <c r="F1164" s="89">
        <v>135.740005</v>
      </c>
      <c r="G1164" s="89">
        <v>109.11629499999999</v>
      </c>
      <c r="H1164" s="89">
        <v>220752500</v>
      </c>
      <c r="J1164" s="89">
        <v>0</v>
      </c>
      <c r="K1164" s="89">
        <f t="shared" si="338"/>
        <v>88</v>
      </c>
      <c r="L1164" s="89">
        <f t="shared" si="339"/>
        <v>112.621376</v>
      </c>
      <c r="M1164" s="89">
        <f>+SPY__2[[#This Row],[Adj Close]]</f>
        <v>109.11629499999999</v>
      </c>
      <c r="N1164" s="89">
        <f t="shared" si="334"/>
        <v>9602.2339599999996</v>
      </c>
      <c r="O1164" s="90">
        <f t="shared" si="335"/>
        <v>-308.44712800000036</v>
      </c>
      <c r="P1164" s="93">
        <f t="shared" si="336"/>
        <v>-3.1122697346549932E-2</v>
      </c>
      <c r="Q1164" s="96"/>
      <c r="R1164" s="96"/>
      <c r="T1164" s="90">
        <f t="shared" si="330"/>
        <v>95</v>
      </c>
      <c r="U1164" s="89">
        <f t="shared" si="331"/>
        <v>103.31428490526316</v>
      </c>
      <c r="V1164" s="89">
        <f t="shared" si="332"/>
        <v>109.11629499999999</v>
      </c>
      <c r="W1164" s="90">
        <f t="shared" si="337"/>
        <v>10366.048025</v>
      </c>
      <c r="X1164" s="98">
        <f t="shared" si="333"/>
        <v>5.6158837086828228E-2</v>
      </c>
      <c r="AB1164" s="89">
        <f t="shared" si="322"/>
        <v>195</v>
      </c>
      <c r="AC1164" s="89">
        <f t="shared" si="323"/>
        <v>51.179276000000002</v>
      </c>
      <c r="AD1164" s="89">
        <f t="shared" si="324"/>
        <v>109.11629499999999</v>
      </c>
      <c r="AE1164" s="89">
        <f t="shared" si="325"/>
        <v>21277.677524999999</v>
      </c>
      <c r="AF1164" s="90">
        <f t="shared" si="328"/>
        <v>11297.718704999999</v>
      </c>
      <c r="AG1164" s="93">
        <f t="shared" si="329"/>
        <v>1.1320406134701866</v>
      </c>
      <c r="AK1164" s="90">
        <f t="shared" si="326"/>
        <v>142</v>
      </c>
      <c r="AL1164" s="89">
        <f t="shared" si="327"/>
        <v>68.865979063380294</v>
      </c>
      <c r="AM1164" s="89">
        <f t="shared" si="319"/>
        <v>109.11629499999999</v>
      </c>
      <c r="AN1164" s="90">
        <f t="shared" si="320"/>
        <v>15494.513889999998</v>
      </c>
      <c r="AO1164" s="93">
        <f t="shared" si="321"/>
        <v>0.58447315327609917</v>
      </c>
    </row>
    <row r="1165" spans="2:41" x14ac:dyDescent="0.25">
      <c r="B1165" s="91">
        <v>41039</v>
      </c>
      <c r="C1165" s="89">
        <v>136.679993</v>
      </c>
      <c r="D1165" s="89">
        <v>136.85000600000001</v>
      </c>
      <c r="E1165" s="89">
        <v>135.71000699999999</v>
      </c>
      <c r="F1165" s="89">
        <v>136.020004</v>
      </c>
      <c r="G1165" s="89">
        <v>109.34137</v>
      </c>
      <c r="H1165" s="89">
        <v>150600000</v>
      </c>
      <c r="J1165" s="89">
        <v>0</v>
      </c>
      <c r="K1165" s="89">
        <f t="shared" si="338"/>
        <v>88</v>
      </c>
      <c r="L1165" s="89">
        <f t="shared" si="339"/>
        <v>112.621376</v>
      </c>
      <c r="M1165" s="89">
        <f>+SPY__2[[#This Row],[Adj Close]]</f>
        <v>109.34137</v>
      </c>
      <c r="N1165" s="89">
        <f t="shared" si="334"/>
        <v>9622.0405599999995</v>
      </c>
      <c r="O1165" s="90">
        <f t="shared" si="335"/>
        <v>-288.64052800000002</v>
      </c>
      <c r="P1165" s="93">
        <f t="shared" si="336"/>
        <v>-2.9124186868397017E-2</v>
      </c>
      <c r="Q1165" s="96"/>
      <c r="R1165" s="96"/>
      <c r="T1165" s="90">
        <f t="shared" si="330"/>
        <v>95</v>
      </c>
      <c r="U1165" s="89">
        <f t="shared" si="331"/>
        <v>103.31428490526316</v>
      </c>
      <c r="V1165" s="89">
        <f t="shared" si="332"/>
        <v>109.34137</v>
      </c>
      <c r="W1165" s="90">
        <f t="shared" si="337"/>
        <v>10387.43015</v>
      </c>
      <c r="X1165" s="98">
        <f t="shared" si="333"/>
        <v>5.8337383840613599E-2</v>
      </c>
      <c r="AB1165" s="89">
        <f t="shared" si="322"/>
        <v>195</v>
      </c>
      <c r="AC1165" s="89">
        <f t="shared" si="323"/>
        <v>51.179276000000002</v>
      </c>
      <c r="AD1165" s="89">
        <f t="shared" si="324"/>
        <v>109.34137</v>
      </c>
      <c r="AE1165" s="89">
        <f t="shared" si="325"/>
        <v>21321.567149999999</v>
      </c>
      <c r="AF1165" s="90">
        <f t="shared" si="328"/>
        <v>11341.608329999999</v>
      </c>
      <c r="AG1165" s="93">
        <f t="shared" si="329"/>
        <v>1.1364383896325534</v>
      </c>
      <c r="AK1165" s="90">
        <f t="shared" si="326"/>
        <v>142</v>
      </c>
      <c r="AL1165" s="89">
        <f t="shared" si="327"/>
        <v>68.865979063380294</v>
      </c>
      <c r="AM1165" s="89">
        <f t="shared" si="319"/>
        <v>109.34137</v>
      </c>
      <c r="AN1165" s="90">
        <f t="shared" si="320"/>
        <v>15526.474539999999</v>
      </c>
      <c r="AO1165" s="93">
        <f t="shared" si="321"/>
        <v>0.58774145793191268</v>
      </c>
    </row>
    <row r="1166" spans="2:41" x14ac:dyDescent="0.25">
      <c r="B1166" s="91">
        <v>41040</v>
      </c>
      <c r="C1166" s="89">
        <v>135.16999799999999</v>
      </c>
      <c r="D1166" s="89">
        <v>136.86999499999999</v>
      </c>
      <c r="E1166" s="89">
        <v>135.11000100000001</v>
      </c>
      <c r="F1166" s="89">
        <v>135.61000100000001</v>
      </c>
      <c r="G1166" s="89">
        <v>109.01174899999999</v>
      </c>
      <c r="H1166" s="89">
        <v>153032400</v>
      </c>
      <c r="J1166" s="89">
        <v>0</v>
      </c>
      <c r="K1166" s="89">
        <f t="shared" si="338"/>
        <v>88</v>
      </c>
      <c r="L1166" s="89">
        <f t="shared" si="339"/>
        <v>112.621376</v>
      </c>
      <c r="M1166" s="89">
        <f>+SPY__2[[#This Row],[Adj Close]]</f>
        <v>109.01174899999999</v>
      </c>
      <c r="N1166" s="89">
        <f t="shared" si="334"/>
        <v>9593.033911999999</v>
      </c>
      <c r="O1166" s="90">
        <f t="shared" si="335"/>
        <v>-317.64717600000029</v>
      </c>
      <c r="P1166" s="93">
        <f t="shared" si="336"/>
        <v>-3.2050993587576126E-2</v>
      </c>
      <c r="Q1166" s="96"/>
      <c r="R1166" s="96"/>
      <c r="T1166" s="90">
        <f t="shared" si="330"/>
        <v>95</v>
      </c>
      <c r="U1166" s="89">
        <f t="shared" si="331"/>
        <v>103.31428490526316</v>
      </c>
      <c r="V1166" s="89">
        <f t="shared" si="332"/>
        <v>109.01174899999999</v>
      </c>
      <c r="W1166" s="90">
        <f t="shared" si="337"/>
        <v>10356.116155</v>
      </c>
      <c r="X1166" s="98">
        <f t="shared" si="333"/>
        <v>5.5146915065629853E-2</v>
      </c>
      <c r="AB1166" s="89">
        <f t="shared" si="322"/>
        <v>195</v>
      </c>
      <c r="AC1166" s="89">
        <f t="shared" si="323"/>
        <v>51.179276000000002</v>
      </c>
      <c r="AD1166" s="89">
        <f t="shared" si="324"/>
        <v>109.01174899999999</v>
      </c>
      <c r="AE1166" s="89">
        <f t="shared" si="325"/>
        <v>21257.291054999998</v>
      </c>
      <c r="AF1166" s="90">
        <f t="shared" si="328"/>
        <v>11277.332234999998</v>
      </c>
      <c r="AG1166" s="93">
        <f t="shared" si="329"/>
        <v>1.1299978725763919</v>
      </c>
      <c r="AK1166" s="90">
        <f t="shared" si="326"/>
        <v>142</v>
      </c>
      <c r="AL1166" s="89">
        <f t="shared" si="327"/>
        <v>68.865979063380294</v>
      </c>
      <c r="AM1166" s="89">
        <f t="shared" si="319"/>
        <v>109.01174899999999</v>
      </c>
      <c r="AN1166" s="90">
        <f t="shared" si="320"/>
        <v>15479.668357999999</v>
      </c>
      <c r="AO1166" s="93">
        <f t="shared" si="321"/>
        <v>0.58295504518525543</v>
      </c>
    </row>
    <row r="1167" spans="2:41" x14ac:dyDescent="0.25">
      <c r="B1167" s="91">
        <v>41043</v>
      </c>
      <c r="C1167" s="89">
        <v>134.30999800000001</v>
      </c>
      <c r="D1167" s="89">
        <v>135.61000100000001</v>
      </c>
      <c r="E1167" s="89">
        <v>133.91000399999999</v>
      </c>
      <c r="F1167" s="89">
        <v>134.11000100000001</v>
      </c>
      <c r="G1167" s="89">
        <v>107.805977</v>
      </c>
      <c r="H1167" s="89">
        <v>163910000</v>
      </c>
      <c r="J1167" s="89">
        <v>0</v>
      </c>
      <c r="K1167" s="89">
        <f t="shared" si="338"/>
        <v>88</v>
      </c>
      <c r="L1167" s="89">
        <f t="shared" si="339"/>
        <v>112.621376</v>
      </c>
      <c r="M1167" s="89">
        <f>+SPY__2[[#This Row],[Adj Close]]</f>
        <v>107.805977</v>
      </c>
      <c r="N1167" s="89">
        <f t="shared" si="334"/>
        <v>9486.9259760000004</v>
      </c>
      <c r="O1167" s="90">
        <f t="shared" si="335"/>
        <v>-423.75511199999994</v>
      </c>
      <c r="P1167" s="93">
        <f t="shared" si="336"/>
        <v>-4.2757415785791841E-2</v>
      </c>
      <c r="Q1167" s="96"/>
      <c r="R1167" s="96"/>
      <c r="T1167" s="90">
        <f t="shared" si="330"/>
        <v>95</v>
      </c>
      <c r="U1167" s="89">
        <f t="shared" si="331"/>
        <v>103.31428490526316</v>
      </c>
      <c r="V1167" s="89">
        <f t="shared" si="332"/>
        <v>107.805977</v>
      </c>
      <c r="W1167" s="90">
        <f t="shared" si="337"/>
        <v>10241.567815</v>
      </c>
      <c r="X1167" s="98">
        <f t="shared" si="333"/>
        <v>4.3476002363619148E-2</v>
      </c>
      <c r="AB1167" s="89">
        <f t="shared" si="322"/>
        <v>195</v>
      </c>
      <c r="AC1167" s="89">
        <f t="shared" si="323"/>
        <v>51.179276000000002</v>
      </c>
      <c r="AD1167" s="89">
        <f t="shared" si="324"/>
        <v>107.805977</v>
      </c>
      <c r="AE1167" s="89">
        <f t="shared" si="325"/>
        <v>21022.165515000001</v>
      </c>
      <c r="AF1167" s="90">
        <f t="shared" si="328"/>
        <v>11042.206694999999</v>
      </c>
      <c r="AG1167" s="93">
        <f t="shared" si="329"/>
        <v>1.1064381020161362</v>
      </c>
      <c r="AK1167" s="90">
        <f t="shared" si="326"/>
        <v>142</v>
      </c>
      <c r="AL1167" s="89">
        <f t="shared" si="327"/>
        <v>68.865979063380294</v>
      </c>
      <c r="AM1167" s="89">
        <f t="shared" si="319"/>
        <v>107.805977</v>
      </c>
      <c r="AN1167" s="90">
        <f t="shared" si="320"/>
        <v>15308.448734</v>
      </c>
      <c r="AO1167" s="93">
        <f t="shared" si="321"/>
        <v>0.56544608043373024</v>
      </c>
    </row>
    <row r="1168" spans="2:41" x14ac:dyDescent="0.25">
      <c r="B1168" s="91">
        <v>41044</v>
      </c>
      <c r="C1168" s="89">
        <v>134.020004</v>
      </c>
      <c r="D1168" s="89">
        <v>134.80999800000001</v>
      </c>
      <c r="E1168" s="89">
        <v>133.13000500000001</v>
      </c>
      <c r="F1168" s="89">
        <v>133.33999600000001</v>
      </c>
      <c r="G1168" s="89">
        <v>107.187012</v>
      </c>
      <c r="H1168" s="89">
        <v>207629300</v>
      </c>
      <c r="J1168" s="89">
        <v>0</v>
      </c>
      <c r="K1168" s="89">
        <f t="shared" si="338"/>
        <v>88</v>
      </c>
      <c r="L1168" s="89">
        <f t="shared" si="339"/>
        <v>112.621376</v>
      </c>
      <c r="M1168" s="89">
        <f>+SPY__2[[#This Row],[Adj Close]]</f>
        <v>107.187012</v>
      </c>
      <c r="N1168" s="89">
        <f t="shared" si="334"/>
        <v>9432.4570559999993</v>
      </c>
      <c r="O1168" s="90">
        <f t="shared" si="335"/>
        <v>-478.22403200000019</v>
      </c>
      <c r="P1168" s="93">
        <f t="shared" si="336"/>
        <v>-4.8253397294666378E-2</v>
      </c>
      <c r="Q1168" s="96"/>
      <c r="R1168" s="96"/>
      <c r="T1168" s="90">
        <f t="shared" si="330"/>
        <v>95</v>
      </c>
      <c r="U1168" s="89">
        <f t="shared" si="331"/>
        <v>103.31428490526316</v>
      </c>
      <c r="V1168" s="89">
        <f t="shared" si="332"/>
        <v>107.187012</v>
      </c>
      <c r="W1168" s="90">
        <f t="shared" si="337"/>
        <v>10182.76614</v>
      </c>
      <c r="X1168" s="98">
        <f t="shared" si="333"/>
        <v>3.7484914097678068E-2</v>
      </c>
      <c r="AB1168" s="89">
        <f t="shared" si="322"/>
        <v>195</v>
      </c>
      <c r="AC1168" s="89">
        <f t="shared" si="323"/>
        <v>51.179276000000002</v>
      </c>
      <c r="AD1168" s="89">
        <f t="shared" si="324"/>
        <v>107.187012</v>
      </c>
      <c r="AE1168" s="89">
        <f t="shared" si="325"/>
        <v>20901.467339999999</v>
      </c>
      <c r="AF1168" s="90">
        <f t="shared" si="328"/>
        <v>10921.508519999999</v>
      </c>
      <c r="AG1168" s="93">
        <f t="shared" si="329"/>
        <v>1.0943440466019876</v>
      </c>
      <c r="AK1168" s="90">
        <f t="shared" si="326"/>
        <v>142</v>
      </c>
      <c r="AL1168" s="89">
        <f t="shared" si="327"/>
        <v>68.865979063380294</v>
      </c>
      <c r="AM1168" s="89">
        <f t="shared" si="319"/>
        <v>107.187012</v>
      </c>
      <c r="AN1168" s="90">
        <f t="shared" si="320"/>
        <v>15220.555703999999</v>
      </c>
      <c r="AO1168" s="93">
        <f t="shared" si="321"/>
        <v>0.55645811557185909</v>
      </c>
    </row>
    <row r="1169" spans="2:41" x14ac:dyDescent="0.25">
      <c r="B1169" s="91">
        <v>41045</v>
      </c>
      <c r="C1169" s="89">
        <v>133.94000199999999</v>
      </c>
      <c r="D1169" s="89">
        <v>134.550003</v>
      </c>
      <c r="E1169" s="89">
        <v>132.800003</v>
      </c>
      <c r="F1169" s="89">
        <v>132.83000200000001</v>
      </c>
      <c r="G1169" s="89">
        <v>106.777061</v>
      </c>
      <c r="H1169" s="89">
        <v>207265500</v>
      </c>
      <c r="J1169" s="89">
        <v>0</v>
      </c>
      <c r="K1169" s="89">
        <f t="shared" si="338"/>
        <v>88</v>
      </c>
      <c r="L1169" s="89">
        <f t="shared" si="339"/>
        <v>112.621376</v>
      </c>
      <c r="M1169" s="89">
        <f>+SPY__2[[#This Row],[Adj Close]]</f>
        <v>106.777061</v>
      </c>
      <c r="N1169" s="89">
        <f t="shared" si="334"/>
        <v>9396.3813680000003</v>
      </c>
      <c r="O1169" s="90">
        <f t="shared" si="335"/>
        <v>-514.29971999999952</v>
      </c>
      <c r="P1169" s="93">
        <f t="shared" si="336"/>
        <v>-5.1893478907592105E-2</v>
      </c>
      <c r="Q1169" s="96"/>
      <c r="R1169" s="96"/>
      <c r="T1169" s="90">
        <f t="shared" si="330"/>
        <v>95</v>
      </c>
      <c r="U1169" s="89">
        <f t="shared" si="331"/>
        <v>103.31428490526316</v>
      </c>
      <c r="V1169" s="89">
        <f t="shared" si="332"/>
        <v>106.777061</v>
      </c>
      <c r="W1169" s="90">
        <f t="shared" si="337"/>
        <v>10143.820795</v>
      </c>
      <c r="X1169" s="98">
        <f t="shared" si="333"/>
        <v>3.351691489625197E-2</v>
      </c>
      <c r="AB1169" s="89">
        <f t="shared" si="322"/>
        <v>195</v>
      </c>
      <c r="AC1169" s="89">
        <f t="shared" si="323"/>
        <v>51.179276000000002</v>
      </c>
      <c r="AD1169" s="89">
        <f t="shared" si="324"/>
        <v>106.777061</v>
      </c>
      <c r="AE1169" s="89">
        <f t="shared" si="325"/>
        <v>20821.526894999999</v>
      </c>
      <c r="AF1169" s="90">
        <f t="shared" si="328"/>
        <v>10841.568075000001</v>
      </c>
      <c r="AG1169" s="93">
        <f t="shared" si="329"/>
        <v>1.0863339489210437</v>
      </c>
      <c r="AK1169" s="90">
        <f t="shared" si="326"/>
        <v>142</v>
      </c>
      <c r="AL1169" s="89">
        <f t="shared" si="327"/>
        <v>68.865979063380294</v>
      </c>
      <c r="AM1169" s="89">
        <f t="shared" si="319"/>
        <v>106.777061</v>
      </c>
      <c r="AN1169" s="90">
        <f t="shared" si="320"/>
        <v>15162.342662000001</v>
      </c>
      <c r="AO1169" s="93">
        <f t="shared" si="321"/>
        <v>0.55050523425694031</v>
      </c>
    </row>
    <row r="1170" spans="2:41" x14ac:dyDescent="0.25">
      <c r="B1170" s="91">
        <v>41046</v>
      </c>
      <c r="C1170" s="89">
        <v>132.86000100000001</v>
      </c>
      <c r="D1170" s="89">
        <v>133.020004</v>
      </c>
      <c r="E1170" s="89">
        <v>130.78999300000001</v>
      </c>
      <c r="F1170" s="89">
        <v>130.86000100000001</v>
      </c>
      <c r="G1170" s="89">
        <v>105.193428</v>
      </c>
      <c r="H1170" s="89">
        <v>247992900</v>
      </c>
      <c r="J1170" s="89">
        <v>0</v>
      </c>
      <c r="K1170" s="89">
        <f t="shared" si="338"/>
        <v>88</v>
      </c>
      <c r="L1170" s="89">
        <f t="shared" si="339"/>
        <v>112.621376</v>
      </c>
      <c r="M1170" s="89">
        <f>+SPY__2[[#This Row],[Adj Close]]</f>
        <v>105.193428</v>
      </c>
      <c r="N1170" s="89">
        <f t="shared" si="334"/>
        <v>9257.0216639999999</v>
      </c>
      <c r="O1170" s="90">
        <f t="shared" si="335"/>
        <v>-653.65942400000006</v>
      </c>
      <c r="P1170" s="93">
        <f t="shared" si="336"/>
        <v>-6.5955045692213887E-2</v>
      </c>
      <c r="Q1170" s="96"/>
      <c r="R1170" s="96"/>
      <c r="T1170" s="90">
        <f t="shared" si="330"/>
        <v>95</v>
      </c>
      <c r="U1170" s="89">
        <f t="shared" si="331"/>
        <v>103.31428490526316</v>
      </c>
      <c r="V1170" s="89">
        <f t="shared" si="332"/>
        <v>105.193428</v>
      </c>
      <c r="W1170" s="90">
        <f t="shared" si="337"/>
        <v>9993.3756599999997</v>
      </c>
      <c r="X1170" s="98">
        <f t="shared" si="333"/>
        <v>1.8188608636840131E-2</v>
      </c>
      <c r="AB1170" s="89">
        <f t="shared" si="322"/>
        <v>195</v>
      </c>
      <c r="AC1170" s="89">
        <f t="shared" si="323"/>
        <v>51.179276000000002</v>
      </c>
      <c r="AD1170" s="89">
        <f t="shared" si="324"/>
        <v>105.193428</v>
      </c>
      <c r="AE1170" s="89">
        <f t="shared" si="325"/>
        <v>20512.71846</v>
      </c>
      <c r="AF1170" s="90">
        <f t="shared" si="328"/>
        <v>10532.759639999998</v>
      </c>
      <c r="AG1170" s="93">
        <f t="shared" si="329"/>
        <v>1.0553910922850882</v>
      </c>
      <c r="AK1170" s="90">
        <f t="shared" si="326"/>
        <v>142</v>
      </c>
      <c r="AL1170" s="89">
        <f t="shared" si="327"/>
        <v>68.865979063380294</v>
      </c>
      <c r="AM1170" s="89">
        <f t="shared" si="319"/>
        <v>105.193428</v>
      </c>
      <c r="AN1170" s="90">
        <f t="shared" si="320"/>
        <v>14937.466775999999</v>
      </c>
      <c r="AO1170" s="93">
        <f t="shared" si="321"/>
        <v>0.52750936573755824</v>
      </c>
    </row>
    <row r="1171" spans="2:41" x14ac:dyDescent="0.25">
      <c r="B1171" s="91">
        <v>41047</v>
      </c>
      <c r="C1171" s="89">
        <v>131.36999499999999</v>
      </c>
      <c r="D1171" s="89">
        <v>131.60000600000001</v>
      </c>
      <c r="E1171" s="89">
        <v>129.550003</v>
      </c>
      <c r="F1171" s="89">
        <v>129.740005</v>
      </c>
      <c r="G1171" s="89">
        <v>104.293091</v>
      </c>
      <c r="H1171" s="89">
        <v>319615900</v>
      </c>
      <c r="J1171" s="89">
        <v>0</v>
      </c>
      <c r="K1171" s="89">
        <f t="shared" si="338"/>
        <v>88</v>
      </c>
      <c r="L1171" s="89">
        <f t="shared" si="339"/>
        <v>112.621376</v>
      </c>
      <c r="M1171" s="89">
        <f>+SPY__2[[#This Row],[Adj Close]]</f>
        <v>104.293091</v>
      </c>
      <c r="N1171" s="89">
        <f t="shared" si="334"/>
        <v>9177.7920080000004</v>
      </c>
      <c r="O1171" s="90">
        <f t="shared" si="335"/>
        <v>-732.88907999999947</v>
      </c>
      <c r="P1171" s="93">
        <f t="shared" si="336"/>
        <v>-7.3949416139259316E-2</v>
      </c>
      <c r="Q1171" s="96"/>
      <c r="R1171" s="96"/>
      <c r="T1171" s="90">
        <f t="shared" si="330"/>
        <v>95</v>
      </c>
      <c r="U1171" s="89">
        <f t="shared" si="331"/>
        <v>103.31428490526316</v>
      </c>
      <c r="V1171" s="89">
        <f t="shared" si="332"/>
        <v>104.293091</v>
      </c>
      <c r="W1171" s="90">
        <f t="shared" si="337"/>
        <v>9907.8436450000008</v>
      </c>
      <c r="X1171" s="98">
        <f t="shared" si="333"/>
        <v>9.4740634911656407E-3</v>
      </c>
      <c r="AB1171" s="89">
        <f t="shared" si="322"/>
        <v>195</v>
      </c>
      <c r="AC1171" s="89">
        <f t="shared" si="323"/>
        <v>51.179276000000002</v>
      </c>
      <c r="AD1171" s="89">
        <f t="shared" si="324"/>
        <v>104.293091</v>
      </c>
      <c r="AE1171" s="89">
        <f t="shared" si="325"/>
        <v>20337.152744999999</v>
      </c>
      <c r="AF1171" s="90">
        <f t="shared" si="328"/>
        <v>10357.193925</v>
      </c>
      <c r="AG1171" s="93">
        <f t="shared" si="329"/>
        <v>1.0377992646867455</v>
      </c>
      <c r="AK1171" s="90">
        <f t="shared" si="326"/>
        <v>142</v>
      </c>
      <c r="AL1171" s="89">
        <f t="shared" si="327"/>
        <v>68.865979063380294</v>
      </c>
      <c r="AM1171" s="89">
        <f t="shared" si="319"/>
        <v>104.293091</v>
      </c>
      <c r="AN1171" s="90">
        <f t="shared" si="320"/>
        <v>14809.618922000001</v>
      </c>
      <c r="AO1171" s="93">
        <f t="shared" si="321"/>
        <v>0.51443560983885295</v>
      </c>
    </row>
    <row r="1172" spans="2:41" x14ac:dyDescent="0.25">
      <c r="B1172" s="91">
        <v>41050</v>
      </c>
      <c r="C1172" s="89">
        <v>130.16000399999999</v>
      </c>
      <c r="D1172" s="89">
        <v>132.020004</v>
      </c>
      <c r="E1172" s="89">
        <v>129.949997</v>
      </c>
      <c r="F1172" s="89">
        <v>131.970001</v>
      </c>
      <c r="G1172" s="89">
        <v>106.085724</v>
      </c>
      <c r="H1172" s="89">
        <v>177861100</v>
      </c>
      <c r="J1172" s="89">
        <v>0</v>
      </c>
      <c r="K1172" s="89">
        <f t="shared" si="338"/>
        <v>88</v>
      </c>
      <c r="L1172" s="89">
        <f t="shared" si="339"/>
        <v>112.621376</v>
      </c>
      <c r="M1172" s="89">
        <f>+SPY__2[[#This Row],[Adj Close]]</f>
        <v>106.085724</v>
      </c>
      <c r="N1172" s="89">
        <f t="shared" si="334"/>
        <v>9335.5437120000006</v>
      </c>
      <c r="O1172" s="90">
        <f t="shared" si="335"/>
        <v>-575.1373759999999</v>
      </c>
      <c r="P1172" s="93">
        <f t="shared" si="336"/>
        <v>-5.8032073769015202E-2</v>
      </c>
      <c r="Q1172" s="96"/>
      <c r="R1172" s="96"/>
      <c r="T1172" s="90">
        <f t="shared" si="330"/>
        <v>95</v>
      </c>
      <c r="U1172" s="89">
        <f t="shared" si="331"/>
        <v>103.31428490526316</v>
      </c>
      <c r="V1172" s="89">
        <f t="shared" si="332"/>
        <v>106.085724</v>
      </c>
      <c r="W1172" s="90">
        <f t="shared" si="337"/>
        <v>10078.14378</v>
      </c>
      <c r="X1172" s="98">
        <f t="shared" si="333"/>
        <v>2.6825323306241655E-2</v>
      </c>
      <c r="AB1172" s="89">
        <f t="shared" si="322"/>
        <v>195</v>
      </c>
      <c r="AC1172" s="89">
        <f t="shared" si="323"/>
        <v>51.179276000000002</v>
      </c>
      <c r="AD1172" s="89">
        <f t="shared" si="324"/>
        <v>106.085724</v>
      </c>
      <c r="AE1172" s="89">
        <f t="shared" si="325"/>
        <v>20686.716179999999</v>
      </c>
      <c r="AF1172" s="90">
        <f t="shared" si="328"/>
        <v>10706.75736</v>
      </c>
      <c r="AG1172" s="93">
        <f t="shared" si="329"/>
        <v>1.0728258055076823</v>
      </c>
      <c r="AK1172" s="90">
        <f t="shared" si="326"/>
        <v>142</v>
      </c>
      <c r="AL1172" s="89">
        <f t="shared" si="327"/>
        <v>68.865979063380294</v>
      </c>
      <c r="AM1172" s="89">
        <f t="shared" si="319"/>
        <v>106.085724</v>
      </c>
      <c r="AN1172" s="90">
        <f t="shared" si="320"/>
        <v>15064.172807999999</v>
      </c>
      <c r="AO1172" s="93">
        <f t="shared" si="321"/>
        <v>0.54046635861177239</v>
      </c>
    </row>
    <row r="1173" spans="2:41" x14ac:dyDescent="0.25">
      <c r="B1173" s="91">
        <v>41051</v>
      </c>
      <c r="C1173" s="89">
        <v>132.30999800000001</v>
      </c>
      <c r="D1173" s="89">
        <v>133.229996</v>
      </c>
      <c r="E1173" s="89">
        <v>131.33999600000001</v>
      </c>
      <c r="F1173" s="89">
        <v>132.199997</v>
      </c>
      <c r="G1173" s="89">
        <v>106.27059199999999</v>
      </c>
      <c r="H1173" s="89">
        <v>197531200</v>
      </c>
      <c r="J1173" s="89">
        <v>0</v>
      </c>
      <c r="K1173" s="89">
        <f t="shared" si="338"/>
        <v>88</v>
      </c>
      <c r="L1173" s="89">
        <f t="shared" si="339"/>
        <v>112.621376</v>
      </c>
      <c r="M1173" s="89">
        <f>+SPY__2[[#This Row],[Adj Close]]</f>
        <v>106.27059199999999</v>
      </c>
      <c r="N1173" s="89">
        <f t="shared" si="334"/>
        <v>9351.8120959999997</v>
      </c>
      <c r="O1173" s="90">
        <f t="shared" si="335"/>
        <v>-558.86899200000039</v>
      </c>
      <c r="P1173" s="93">
        <f t="shared" si="336"/>
        <v>-5.6390573668714583E-2</v>
      </c>
      <c r="Q1173" s="96"/>
      <c r="R1173" s="96"/>
      <c r="T1173" s="90">
        <f t="shared" si="330"/>
        <v>95</v>
      </c>
      <c r="U1173" s="89">
        <f t="shared" si="331"/>
        <v>103.31428490526316</v>
      </c>
      <c r="V1173" s="89">
        <f t="shared" si="332"/>
        <v>106.27059199999999</v>
      </c>
      <c r="W1173" s="90">
        <f t="shared" si="337"/>
        <v>10095.70624</v>
      </c>
      <c r="X1173" s="98">
        <f t="shared" si="333"/>
        <v>2.861469832025354E-2</v>
      </c>
      <c r="AB1173" s="89">
        <f t="shared" si="322"/>
        <v>195</v>
      </c>
      <c r="AC1173" s="89">
        <f t="shared" si="323"/>
        <v>51.179276000000002</v>
      </c>
      <c r="AD1173" s="89">
        <f t="shared" si="324"/>
        <v>106.27059199999999</v>
      </c>
      <c r="AE1173" s="89">
        <f t="shared" si="325"/>
        <v>20722.765439999999</v>
      </c>
      <c r="AF1173" s="90">
        <f t="shared" si="328"/>
        <v>10742.806619999998</v>
      </c>
      <c r="AG1173" s="93">
        <f t="shared" si="329"/>
        <v>1.076437970712989</v>
      </c>
      <c r="AK1173" s="90">
        <f t="shared" si="326"/>
        <v>142</v>
      </c>
      <c r="AL1173" s="89">
        <f t="shared" si="327"/>
        <v>68.865979063380294</v>
      </c>
      <c r="AM1173" s="89">
        <f t="shared" si="319"/>
        <v>106.27059199999999</v>
      </c>
      <c r="AN1173" s="90">
        <f t="shared" si="320"/>
        <v>15090.424063999999</v>
      </c>
      <c r="AO1173" s="93">
        <f t="shared" si="321"/>
        <v>0.54315081910321283</v>
      </c>
    </row>
    <row r="1174" spans="2:41" x14ac:dyDescent="0.25">
      <c r="B1174" s="91">
        <v>41052</v>
      </c>
      <c r="C1174" s="89">
        <v>131.25</v>
      </c>
      <c r="D1174" s="89">
        <v>132.46000699999999</v>
      </c>
      <c r="E1174" s="89">
        <v>129.990005</v>
      </c>
      <c r="F1174" s="89">
        <v>132.270004</v>
      </c>
      <c r="G1174" s="89">
        <v>106.326874</v>
      </c>
      <c r="H1174" s="89">
        <v>204958400</v>
      </c>
      <c r="J1174" s="89">
        <v>0</v>
      </c>
      <c r="K1174" s="89">
        <f t="shared" si="338"/>
        <v>88</v>
      </c>
      <c r="L1174" s="89">
        <f t="shared" si="339"/>
        <v>112.621376</v>
      </c>
      <c r="M1174" s="89">
        <f>+SPY__2[[#This Row],[Adj Close]]</f>
        <v>106.326874</v>
      </c>
      <c r="N1174" s="89">
        <f t="shared" si="334"/>
        <v>9356.7649120000005</v>
      </c>
      <c r="O1174" s="90">
        <f t="shared" si="335"/>
        <v>-553.9161759999995</v>
      </c>
      <c r="P1174" s="93">
        <f t="shared" si="336"/>
        <v>-5.5890828398331704E-2</v>
      </c>
      <c r="Q1174" s="96"/>
      <c r="R1174" s="96"/>
      <c r="T1174" s="90">
        <f t="shared" si="330"/>
        <v>95</v>
      </c>
      <c r="U1174" s="89">
        <f t="shared" si="331"/>
        <v>103.31428490526316</v>
      </c>
      <c r="V1174" s="89">
        <f t="shared" si="332"/>
        <v>106.326874</v>
      </c>
      <c r="W1174" s="90">
        <f t="shared" si="337"/>
        <v>10101.053030000001</v>
      </c>
      <c r="X1174" s="98">
        <f t="shared" si="333"/>
        <v>2.9159463258148E-2</v>
      </c>
      <c r="AB1174" s="89">
        <f t="shared" si="322"/>
        <v>195</v>
      </c>
      <c r="AC1174" s="89">
        <f t="shared" si="323"/>
        <v>51.179276000000002</v>
      </c>
      <c r="AD1174" s="89">
        <f t="shared" si="324"/>
        <v>106.326874</v>
      </c>
      <c r="AE1174" s="89">
        <f t="shared" si="325"/>
        <v>20733.740430000002</v>
      </c>
      <c r="AF1174" s="90">
        <f t="shared" si="328"/>
        <v>10753.78161</v>
      </c>
      <c r="AG1174" s="93">
        <f t="shared" si="329"/>
        <v>1.0775376736474351</v>
      </c>
      <c r="AK1174" s="90">
        <f t="shared" si="326"/>
        <v>142</v>
      </c>
      <c r="AL1174" s="89">
        <f t="shared" si="327"/>
        <v>68.865979063380294</v>
      </c>
      <c r="AM1174" s="89">
        <f t="shared" si="319"/>
        <v>106.326874</v>
      </c>
      <c r="AN1174" s="90">
        <f t="shared" si="320"/>
        <v>15098.416108000001</v>
      </c>
      <c r="AO1174" s="93">
        <f t="shared" si="321"/>
        <v>0.54396808766986182</v>
      </c>
    </row>
    <row r="1175" spans="2:41" x14ac:dyDescent="0.25">
      <c r="B1175" s="91">
        <v>41053</v>
      </c>
      <c r="C1175" s="89">
        <v>132.63000500000001</v>
      </c>
      <c r="D1175" s="89">
        <v>132.83999600000001</v>
      </c>
      <c r="E1175" s="89">
        <v>131.41999799999999</v>
      </c>
      <c r="F1175" s="89">
        <v>132.529999</v>
      </c>
      <c r="G1175" s="89">
        <v>106.535881</v>
      </c>
      <c r="H1175" s="89">
        <v>167357600</v>
      </c>
      <c r="J1175" s="89">
        <v>0</v>
      </c>
      <c r="K1175" s="89">
        <f t="shared" si="338"/>
        <v>88</v>
      </c>
      <c r="L1175" s="89">
        <f t="shared" si="339"/>
        <v>112.621376</v>
      </c>
      <c r="M1175" s="89">
        <f>+SPY__2[[#This Row],[Adj Close]]</f>
        <v>106.535881</v>
      </c>
      <c r="N1175" s="89">
        <f t="shared" si="334"/>
        <v>9375.1575279999997</v>
      </c>
      <c r="O1175" s="90">
        <f t="shared" si="335"/>
        <v>-535.52355999999952</v>
      </c>
      <c r="P1175" s="93">
        <f t="shared" si="336"/>
        <v>-5.4034990657546134E-2</v>
      </c>
      <c r="Q1175" s="96"/>
      <c r="R1175" s="96"/>
      <c r="T1175" s="90">
        <f t="shared" si="330"/>
        <v>95</v>
      </c>
      <c r="U1175" s="89">
        <f t="shared" si="331"/>
        <v>103.31428490526316</v>
      </c>
      <c r="V1175" s="89">
        <f t="shared" si="332"/>
        <v>106.535881</v>
      </c>
      <c r="W1175" s="90">
        <f t="shared" si="337"/>
        <v>10120.908695</v>
      </c>
      <c r="X1175" s="98">
        <f t="shared" si="333"/>
        <v>3.1182484568237356E-2</v>
      </c>
      <c r="AB1175" s="89">
        <f t="shared" si="322"/>
        <v>195</v>
      </c>
      <c r="AC1175" s="89">
        <f t="shared" si="323"/>
        <v>51.179276000000002</v>
      </c>
      <c r="AD1175" s="89">
        <f t="shared" si="324"/>
        <v>106.535881</v>
      </c>
      <c r="AE1175" s="89">
        <f t="shared" si="325"/>
        <v>20774.496794999999</v>
      </c>
      <c r="AF1175" s="90">
        <f t="shared" si="328"/>
        <v>10794.537975000001</v>
      </c>
      <c r="AG1175" s="93">
        <f t="shared" si="329"/>
        <v>1.0816214946065279</v>
      </c>
      <c r="AK1175" s="90">
        <f t="shared" si="326"/>
        <v>142</v>
      </c>
      <c r="AL1175" s="89">
        <f t="shared" si="327"/>
        <v>68.865979063380294</v>
      </c>
      <c r="AM1175" s="89">
        <f t="shared" si="319"/>
        <v>106.535881</v>
      </c>
      <c r="AN1175" s="90">
        <f t="shared" si="320"/>
        <v>15128.095102000001</v>
      </c>
      <c r="AO1175" s="93">
        <f t="shared" si="321"/>
        <v>0.54700306957010669</v>
      </c>
    </row>
    <row r="1176" spans="2:41" x14ac:dyDescent="0.25">
      <c r="B1176" s="91">
        <v>41054</v>
      </c>
      <c r="C1176" s="89">
        <v>132.479996</v>
      </c>
      <c r="D1176" s="89">
        <v>132.85000600000001</v>
      </c>
      <c r="E1176" s="89">
        <v>131.779999</v>
      </c>
      <c r="F1176" s="89">
        <v>132.10000600000001</v>
      </c>
      <c r="G1176" s="89">
        <v>106.190224</v>
      </c>
      <c r="H1176" s="89">
        <v>135465600</v>
      </c>
      <c r="J1176" s="89">
        <v>0</v>
      </c>
      <c r="K1176" s="89">
        <f t="shared" si="338"/>
        <v>88</v>
      </c>
      <c r="L1176" s="89">
        <f t="shared" si="339"/>
        <v>112.621376</v>
      </c>
      <c r="M1176" s="89">
        <f>+SPY__2[[#This Row],[Adj Close]]</f>
        <v>106.190224</v>
      </c>
      <c r="N1176" s="89">
        <f t="shared" si="334"/>
        <v>9344.7397120000005</v>
      </c>
      <c r="O1176" s="90">
        <f t="shared" si="335"/>
        <v>-565.94137599999976</v>
      </c>
      <c r="P1176" s="93">
        <f t="shared" si="336"/>
        <v>-5.7104185976204036E-2</v>
      </c>
      <c r="Q1176" s="96"/>
      <c r="R1176" s="96"/>
      <c r="T1176" s="90">
        <f t="shared" si="330"/>
        <v>95</v>
      </c>
      <c r="U1176" s="89">
        <f t="shared" si="331"/>
        <v>103.31428490526316</v>
      </c>
      <c r="V1176" s="89">
        <f t="shared" si="332"/>
        <v>106.190224</v>
      </c>
      <c r="W1176" s="90">
        <f t="shared" si="337"/>
        <v>10088.07128</v>
      </c>
      <c r="X1176" s="98">
        <f t="shared" si="333"/>
        <v>2.7836800084073632E-2</v>
      </c>
      <c r="AB1176" s="89">
        <f t="shared" si="322"/>
        <v>195</v>
      </c>
      <c r="AC1176" s="89">
        <f t="shared" si="323"/>
        <v>51.179276000000002</v>
      </c>
      <c r="AD1176" s="89">
        <f t="shared" si="324"/>
        <v>106.190224</v>
      </c>
      <c r="AE1176" s="89">
        <f t="shared" si="325"/>
        <v>20707.093680000002</v>
      </c>
      <c r="AF1176" s="90">
        <f t="shared" si="328"/>
        <v>10727.13486</v>
      </c>
      <c r="AG1176" s="93">
        <f t="shared" si="329"/>
        <v>1.0748676476001733</v>
      </c>
      <c r="AK1176" s="90">
        <f t="shared" si="326"/>
        <v>142</v>
      </c>
      <c r="AL1176" s="89">
        <f t="shared" si="327"/>
        <v>68.865979063380294</v>
      </c>
      <c r="AM1176" s="89">
        <f t="shared" si="319"/>
        <v>106.190224</v>
      </c>
      <c r="AN1176" s="90">
        <f t="shared" si="320"/>
        <v>15079.011807999999</v>
      </c>
      <c r="AO1176" s="93">
        <f t="shared" si="321"/>
        <v>0.54198379873854141</v>
      </c>
    </row>
    <row r="1177" spans="2:41" x14ac:dyDescent="0.25">
      <c r="B1177" s="91">
        <v>41058</v>
      </c>
      <c r="C1177" s="89">
        <v>133.16000399999999</v>
      </c>
      <c r="D1177" s="89">
        <v>133.929993</v>
      </c>
      <c r="E1177" s="89">
        <v>131.16999799999999</v>
      </c>
      <c r="F1177" s="89">
        <v>133.699997</v>
      </c>
      <c r="G1177" s="89">
        <v>107.476387</v>
      </c>
      <c r="H1177" s="89">
        <v>152883500</v>
      </c>
      <c r="J1177" s="89">
        <v>0</v>
      </c>
      <c r="K1177" s="89">
        <f t="shared" si="338"/>
        <v>88</v>
      </c>
      <c r="L1177" s="89">
        <f t="shared" si="339"/>
        <v>112.621376</v>
      </c>
      <c r="M1177" s="89">
        <f>+SPY__2[[#This Row],[Adj Close]]</f>
        <v>107.476387</v>
      </c>
      <c r="N1177" s="89">
        <f t="shared" si="334"/>
        <v>9457.9220559999994</v>
      </c>
      <c r="O1177" s="90">
        <f t="shared" si="335"/>
        <v>-452.75903199999959</v>
      </c>
      <c r="P1177" s="93">
        <f t="shared" si="336"/>
        <v>-4.5683947246391243E-2</v>
      </c>
      <c r="Q1177" s="96"/>
      <c r="R1177" s="96"/>
      <c r="T1177" s="90">
        <f t="shared" si="330"/>
        <v>95</v>
      </c>
      <c r="U1177" s="89">
        <f t="shared" si="331"/>
        <v>103.31428490526316</v>
      </c>
      <c r="V1177" s="89">
        <f t="shared" si="332"/>
        <v>107.476387</v>
      </c>
      <c r="W1177" s="90">
        <f t="shared" si="337"/>
        <v>10210.256765</v>
      </c>
      <c r="X1177" s="98">
        <f t="shared" si="333"/>
        <v>4.0285833643947555E-2</v>
      </c>
      <c r="AB1177" s="89">
        <f t="shared" si="322"/>
        <v>195</v>
      </c>
      <c r="AC1177" s="89">
        <f t="shared" si="323"/>
        <v>51.179276000000002</v>
      </c>
      <c r="AD1177" s="89">
        <f t="shared" si="324"/>
        <v>107.476387</v>
      </c>
      <c r="AE1177" s="89">
        <f t="shared" si="325"/>
        <v>20957.895465000001</v>
      </c>
      <c r="AF1177" s="90">
        <f t="shared" si="328"/>
        <v>10977.936645</v>
      </c>
      <c r="AG1177" s="93">
        <f t="shared" si="329"/>
        <v>1.0999981906738969</v>
      </c>
      <c r="AK1177" s="90">
        <f t="shared" si="326"/>
        <v>142</v>
      </c>
      <c r="AL1177" s="89">
        <f t="shared" si="327"/>
        <v>68.865979063380294</v>
      </c>
      <c r="AM1177" s="89">
        <f t="shared" si="319"/>
        <v>107.476387</v>
      </c>
      <c r="AN1177" s="90">
        <f t="shared" si="320"/>
        <v>15261.646954</v>
      </c>
      <c r="AO1177" s="93">
        <f t="shared" si="321"/>
        <v>0.56066011783677561</v>
      </c>
    </row>
    <row r="1178" spans="2:41" x14ac:dyDescent="0.25">
      <c r="B1178" s="91">
        <v>41059</v>
      </c>
      <c r="C1178" s="89">
        <v>132.55999800000001</v>
      </c>
      <c r="D1178" s="89">
        <v>133.69000199999999</v>
      </c>
      <c r="E1178" s="89">
        <v>131.490005</v>
      </c>
      <c r="F1178" s="89">
        <v>131.759995</v>
      </c>
      <c r="G1178" s="89">
        <v>105.91686199999999</v>
      </c>
      <c r="H1178" s="89">
        <v>162370400</v>
      </c>
      <c r="J1178" s="89">
        <v>0</v>
      </c>
      <c r="K1178" s="89">
        <f t="shared" si="338"/>
        <v>88</v>
      </c>
      <c r="L1178" s="89">
        <f t="shared" si="339"/>
        <v>112.621376</v>
      </c>
      <c r="M1178" s="89">
        <f>+SPY__2[[#This Row],[Adj Close]]</f>
        <v>105.91686199999999</v>
      </c>
      <c r="N1178" s="89">
        <f t="shared" si="334"/>
        <v>9320.6838559999997</v>
      </c>
      <c r="O1178" s="90">
        <f t="shared" si="335"/>
        <v>-589.99723200000028</v>
      </c>
      <c r="P1178" s="93">
        <f t="shared" si="336"/>
        <v>-5.9531451649107892E-2</v>
      </c>
      <c r="Q1178" s="96"/>
      <c r="R1178" s="96"/>
      <c r="T1178" s="90">
        <f t="shared" si="330"/>
        <v>95</v>
      </c>
      <c r="U1178" s="89">
        <f t="shared" si="331"/>
        <v>103.31428490526316</v>
      </c>
      <c r="V1178" s="89">
        <f t="shared" si="332"/>
        <v>105.91686199999999</v>
      </c>
      <c r="W1178" s="90">
        <f t="shared" si="337"/>
        <v>10062.10189</v>
      </c>
      <c r="X1178" s="98">
        <f t="shared" si="333"/>
        <v>2.5190873625301036E-2</v>
      </c>
      <c r="AB1178" s="89">
        <f t="shared" si="322"/>
        <v>195</v>
      </c>
      <c r="AC1178" s="89">
        <f t="shared" si="323"/>
        <v>51.179276000000002</v>
      </c>
      <c r="AD1178" s="89">
        <f t="shared" si="324"/>
        <v>105.91686199999999</v>
      </c>
      <c r="AE1178" s="89">
        <f t="shared" si="325"/>
        <v>20653.788089999998</v>
      </c>
      <c r="AF1178" s="90">
        <f t="shared" si="328"/>
        <v>10673.829269999998</v>
      </c>
      <c r="AG1178" s="93">
        <f t="shared" si="329"/>
        <v>1.0695263840778049</v>
      </c>
      <c r="AK1178" s="90">
        <f t="shared" si="326"/>
        <v>142</v>
      </c>
      <c r="AL1178" s="89">
        <f t="shared" si="327"/>
        <v>68.865979063380294</v>
      </c>
      <c r="AM1178" s="89">
        <f t="shared" si="319"/>
        <v>105.91686199999999</v>
      </c>
      <c r="AN1178" s="90">
        <f t="shared" si="320"/>
        <v>15040.194404</v>
      </c>
      <c r="AO1178" s="93">
        <f t="shared" si="321"/>
        <v>0.53801432057649556</v>
      </c>
    </row>
    <row r="1179" spans="2:41" x14ac:dyDescent="0.25">
      <c r="B1179" s="91">
        <v>41060</v>
      </c>
      <c r="C1179" s="89">
        <v>131.71000699999999</v>
      </c>
      <c r="D1179" s="89">
        <v>132.449997</v>
      </c>
      <c r="E1179" s="89">
        <v>130.33999600000001</v>
      </c>
      <c r="F1179" s="89">
        <v>131.470001</v>
      </c>
      <c r="G1179" s="89">
        <v>105.68377700000001</v>
      </c>
      <c r="H1179" s="89">
        <v>196186000</v>
      </c>
      <c r="J1179" s="89">
        <v>0</v>
      </c>
      <c r="K1179" s="89">
        <f t="shared" si="338"/>
        <v>88</v>
      </c>
      <c r="L1179" s="89">
        <f t="shared" si="339"/>
        <v>112.621376</v>
      </c>
      <c r="M1179" s="89">
        <f>+SPY__2[[#This Row],[Adj Close]]</f>
        <v>105.68377700000001</v>
      </c>
      <c r="N1179" s="89">
        <f t="shared" si="334"/>
        <v>9300.1723760000004</v>
      </c>
      <c r="O1179" s="90">
        <f t="shared" si="335"/>
        <v>-610.50871199999926</v>
      </c>
      <c r="P1179" s="93">
        <f t="shared" si="336"/>
        <v>-6.1601085392527843E-2</v>
      </c>
      <c r="Q1179" s="96"/>
      <c r="R1179" s="96"/>
      <c r="T1179" s="90">
        <f t="shared" si="330"/>
        <v>95</v>
      </c>
      <c r="U1179" s="89">
        <f t="shared" si="331"/>
        <v>103.31428490526316</v>
      </c>
      <c r="V1179" s="89">
        <f t="shared" si="332"/>
        <v>105.68377700000001</v>
      </c>
      <c r="W1179" s="90">
        <f t="shared" si="337"/>
        <v>10039.958815</v>
      </c>
      <c r="X1179" s="98">
        <f t="shared" si="333"/>
        <v>2.2934796450554851E-2</v>
      </c>
      <c r="AB1179" s="89">
        <f t="shared" si="322"/>
        <v>195</v>
      </c>
      <c r="AC1179" s="89">
        <f t="shared" si="323"/>
        <v>51.179276000000002</v>
      </c>
      <c r="AD1179" s="89">
        <f t="shared" si="324"/>
        <v>105.68377700000001</v>
      </c>
      <c r="AE1179" s="89">
        <f t="shared" si="325"/>
        <v>20608.336515000003</v>
      </c>
      <c r="AF1179" s="90">
        <f t="shared" si="328"/>
        <v>10628.377695000001</v>
      </c>
      <c r="AG1179" s="93">
        <f t="shared" si="329"/>
        <v>1.064972099253612</v>
      </c>
      <c r="AK1179" s="90">
        <f t="shared" si="326"/>
        <v>142</v>
      </c>
      <c r="AL1179" s="89">
        <f t="shared" si="327"/>
        <v>68.865979063380294</v>
      </c>
      <c r="AM1179" s="89">
        <f t="shared" si="319"/>
        <v>105.68377700000001</v>
      </c>
      <c r="AN1179" s="90">
        <f t="shared" si="320"/>
        <v>15007.096334000002</v>
      </c>
      <c r="AO1179" s="93">
        <f t="shared" si="321"/>
        <v>0.53462970304589352</v>
      </c>
    </row>
    <row r="1180" spans="2:41" x14ac:dyDescent="0.25">
      <c r="B1180" s="91">
        <v>41061</v>
      </c>
      <c r="C1180" s="89">
        <v>129.41000399999999</v>
      </c>
      <c r="D1180" s="89">
        <v>131.5</v>
      </c>
      <c r="E1180" s="89">
        <v>128.16000399999999</v>
      </c>
      <c r="F1180" s="89">
        <v>128.16000399999999</v>
      </c>
      <c r="G1180" s="89">
        <v>103.02301799999999</v>
      </c>
      <c r="H1180" s="89">
        <v>253240900</v>
      </c>
      <c r="J1180" s="89">
        <v>0</v>
      </c>
      <c r="K1180" s="89">
        <f t="shared" si="338"/>
        <v>88</v>
      </c>
      <c r="L1180" s="89">
        <f t="shared" si="339"/>
        <v>112.621376</v>
      </c>
      <c r="M1180" s="89">
        <f>+SPY__2[[#This Row],[Adj Close]]</f>
        <v>103.02301799999999</v>
      </c>
      <c r="N1180" s="89">
        <f t="shared" si="334"/>
        <v>9066.0255839999991</v>
      </c>
      <c r="O1180" s="90">
        <f t="shared" si="335"/>
        <v>-844.65550400000041</v>
      </c>
      <c r="P1180" s="93">
        <f t="shared" si="336"/>
        <v>-8.5226786786906317E-2</v>
      </c>
      <c r="Q1180" s="96"/>
      <c r="R1180" s="96"/>
      <c r="T1180" s="90">
        <f t="shared" si="330"/>
        <v>95</v>
      </c>
      <c r="U1180" s="89">
        <f t="shared" si="331"/>
        <v>103.31428490526316</v>
      </c>
      <c r="V1180" s="89">
        <f t="shared" si="332"/>
        <v>103.02301799999999</v>
      </c>
      <c r="W1180" s="90">
        <f t="shared" si="337"/>
        <v>9787.1867099999999</v>
      </c>
      <c r="X1180" s="98">
        <f t="shared" si="333"/>
        <v>-2.8192316825330632E-3</v>
      </c>
      <c r="AB1180" s="89">
        <f t="shared" si="322"/>
        <v>195</v>
      </c>
      <c r="AC1180" s="89">
        <f t="shared" si="323"/>
        <v>51.179276000000002</v>
      </c>
      <c r="AD1180" s="89">
        <f t="shared" si="324"/>
        <v>103.02301799999999</v>
      </c>
      <c r="AE1180" s="89">
        <f t="shared" si="325"/>
        <v>20089.488509999999</v>
      </c>
      <c r="AF1180" s="90">
        <f t="shared" si="328"/>
        <v>10109.529689999998</v>
      </c>
      <c r="AG1180" s="93">
        <f t="shared" si="329"/>
        <v>1.0129831066777886</v>
      </c>
      <c r="AK1180" s="90">
        <f t="shared" si="326"/>
        <v>142</v>
      </c>
      <c r="AL1180" s="89">
        <f t="shared" si="327"/>
        <v>68.865979063380294</v>
      </c>
      <c r="AM1180" s="89">
        <f t="shared" si="319"/>
        <v>103.02301799999999</v>
      </c>
      <c r="AN1180" s="90">
        <f t="shared" si="320"/>
        <v>14629.268555999999</v>
      </c>
      <c r="AO1180" s="93">
        <f t="shared" si="321"/>
        <v>0.49599293295726654</v>
      </c>
    </row>
    <row r="1181" spans="2:41" x14ac:dyDescent="0.25">
      <c r="B1181" s="91">
        <v>41064</v>
      </c>
      <c r="C1181" s="89">
        <v>128.38999899999999</v>
      </c>
      <c r="D1181" s="89">
        <v>128.740005</v>
      </c>
      <c r="E1181" s="89">
        <v>127.139999</v>
      </c>
      <c r="F1181" s="89">
        <v>128.10000600000001</v>
      </c>
      <c r="G1181" s="89">
        <v>102.974777</v>
      </c>
      <c r="H1181" s="89">
        <v>202545800</v>
      </c>
      <c r="J1181" s="89">
        <v>0</v>
      </c>
      <c r="K1181" s="89">
        <f t="shared" si="338"/>
        <v>88</v>
      </c>
      <c r="L1181" s="89">
        <f t="shared" si="339"/>
        <v>112.621376</v>
      </c>
      <c r="M1181" s="89">
        <f>+SPY__2[[#This Row],[Adj Close]]</f>
        <v>102.974777</v>
      </c>
      <c r="N1181" s="89">
        <f t="shared" si="334"/>
        <v>9061.7803760000006</v>
      </c>
      <c r="O1181" s="90">
        <f t="shared" si="335"/>
        <v>-848.90071199999954</v>
      </c>
      <c r="P1181" s="93">
        <f t="shared" si="336"/>
        <v>-8.5655133533442118E-2</v>
      </c>
      <c r="Q1181" s="96"/>
      <c r="R1181" s="96"/>
      <c r="T1181" s="90">
        <f t="shared" si="330"/>
        <v>95</v>
      </c>
      <c r="U1181" s="89">
        <f t="shared" si="331"/>
        <v>103.31428490526316</v>
      </c>
      <c r="V1181" s="89">
        <f t="shared" si="332"/>
        <v>102.974777</v>
      </c>
      <c r="W1181" s="90">
        <f t="shared" si="337"/>
        <v>9782.6038150000004</v>
      </c>
      <c r="X1181" s="98">
        <f t="shared" si="333"/>
        <v>-3.2861661441540013E-3</v>
      </c>
      <c r="AB1181" s="89">
        <f t="shared" si="322"/>
        <v>195</v>
      </c>
      <c r="AC1181" s="89">
        <f t="shared" si="323"/>
        <v>51.179276000000002</v>
      </c>
      <c r="AD1181" s="89">
        <f t="shared" si="324"/>
        <v>102.974777</v>
      </c>
      <c r="AE1181" s="89">
        <f t="shared" si="325"/>
        <v>20080.081515000002</v>
      </c>
      <c r="AF1181" s="90">
        <f t="shared" si="328"/>
        <v>10100.122695</v>
      </c>
      <c r="AG1181" s="93">
        <f t="shared" si="329"/>
        <v>1.0120405181190919</v>
      </c>
      <c r="AK1181" s="90">
        <f t="shared" si="326"/>
        <v>142</v>
      </c>
      <c r="AL1181" s="89">
        <f t="shared" si="327"/>
        <v>68.865979063380294</v>
      </c>
      <c r="AM1181" s="89">
        <f t="shared" si="319"/>
        <v>102.974777</v>
      </c>
      <c r="AN1181" s="90">
        <f t="shared" si="320"/>
        <v>14622.418334</v>
      </c>
      <c r="AO1181" s="93">
        <f t="shared" si="321"/>
        <v>0.49529242741510915</v>
      </c>
    </row>
    <row r="1182" spans="2:41" x14ac:dyDescent="0.25">
      <c r="B1182" s="91">
        <v>41065</v>
      </c>
      <c r="C1182" s="89">
        <v>127.849998</v>
      </c>
      <c r="D1182" s="89">
        <v>129.259995</v>
      </c>
      <c r="E1182" s="89">
        <v>127.779999</v>
      </c>
      <c r="F1182" s="89">
        <v>129.070007</v>
      </c>
      <c r="G1182" s="89">
        <v>103.75449399999999</v>
      </c>
      <c r="H1182" s="89">
        <v>164149400</v>
      </c>
      <c r="J1182" s="89">
        <v>0</v>
      </c>
      <c r="K1182" s="89">
        <f t="shared" si="338"/>
        <v>88</v>
      </c>
      <c r="L1182" s="89">
        <f t="shared" si="339"/>
        <v>112.621376</v>
      </c>
      <c r="M1182" s="89">
        <f>+SPY__2[[#This Row],[Adj Close]]</f>
        <v>103.75449399999999</v>
      </c>
      <c r="N1182" s="89">
        <f t="shared" si="334"/>
        <v>9130.3954720000002</v>
      </c>
      <c r="O1182" s="90">
        <f t="shared" si="335"/>
        <v>-780.28561600000035</v>
      </c>
      <c r="P1182" s="93">
        <f t="shared" si="336"/>
        <v>-7.87317853406444E-2</v>
      </c>
      <c r="Q1182" s="96"/>
      <c r="R1182" s="96"/>
      <c r="T1182" s="90">
        <f t="shared" si="330"/>
        <v>95</v>
      </c>
      <c r="U1182" s="89">
        <f t="shared" si="331"/>
        <v>103.31428490526316</v>
      </c>
      <c r="V1182" s="89">
        <f t="shared" si="332"/>
        <v>103.75449399999999</v>
      </c>
      <c r="W1182" s="90">
        <f t="shared" si="337"/>
        <v>9856.6769299999996</v>
      </c>
      <c r="X1182" s="98">
        <f t="shared" si="333"/>
        <v>4.2608734614046906E-3</v>
      </c>
      <c r="AB1182" s="89">
        <f t="shared" si="322"/>
        <v>195</v>
      </c>
      <c r="AC1182" s="89">
        <f t="shared" si="323"/>
        <v>51.179276000000002</v>
      </c>
      <c r="AD1182" s="89">
        <f t="shared" si="324"/>
        <v>103.75449399999999</v>
      </c>
      <c r="AE1182" s="89">
        <f t="shared" si="325"/>
        <v>20232.126329999999</v>
      </c>
      <c r="AF1182" s="90">
        <f t="shared" si="328"/>
        <v>10252.167509999999</v>
      </c>
      <c r="AG1182" s="93">
        <f t="shared" si="329"/>
        <v>1.027275532385413</v>
      </c>
      <c r="AK1182" s="90">
        <f t="shared" si="326"/>
        <v>142</v>
      </c>
      <c r="AL1182" s="89">
        <f t="shared" si="327"/>
        <v>68.865979063380294</v>
      </c>
      <c r="AM1182" s="89">
        <f t="shared" si="319"/>
        <v>103.75449399999999</v>
      </c>
      <c r="AN1182" s="90">
        <f t="shared" si="320"/>
        <v>14733.138148</v>
      </c>
      <c r="AO1182" s="93">
        <f t="shared" si="321"/>
        <v>0.50661466534165345</v>
      </c>
    </row>
    <row r="1183" spans="2:41" x14ac:dyDescent="0.25">
      <c r="B1183" s="91">
        <v>41066</v>
      </c>
      <c r="C1183" s="89">
        <v>129.970001</v>
      </c>
      <c r="D1183" s="89">
        <v>132.029999</v>
      </c>
      <c r="E1183" s="89">
        <v>129.929993</v>
      </c>
      <c r="F1183" s="89">
        <v>131.970001</v>
      </c>
      <c r="G1183" s="89">
        <v>106.085724</v>
      </c>
      <c r="H1183" s="89">
        <v>184202800</v>
      </c>
      <c r="J1183" s="89">
        <v>0</v>
      </c>
      <c r="K1183" s="89">
        <f t="shared" si="338"/>
        <v>88</v>
      </c>
      <c r="L1183" s="89">
        <f t="shared" si="339"/>
        <v>112.621376</v>
      </c>
      <c r="M1183" s="89">
        <f>+SPY__2[[#This Row],[Adj Close]]</f>
        <v>106.085724</v>
      </c>
      <c r="N1183" s="89">
        <f t="shared" si="334"/>
        <v>9335.5437120000006</v>
      </c>
      <c r="O1183" s="90">
        <f t="shared" si="335"/>
        <v>-575.1373759999999</v>
      </c>
      <c r="P1183" s="93">
        <f t="shared" si="336"/>
        <v>-5.8032073769015202E-2</v>
      </c>
      <c r="Q1183" s="96"/>
      <c r="R1183" s="96"/>
      <c r="T1183" s="90">
        <f t="shared" si="330"/>
        <v>95</v>
      </c>
      <c r="U1183" s="89">
        <f t="shared" si="331"/>
        <v>103.31428490526316</v>
      </c>
      <c r="V1183" s="89">
        <f t="shared" si="332"/>
        <v>106.085724</v>
      </c>
      <c r="W1183" s="90">
        <f t="shared" si="337"/>
        <v>10078.14378</v>
      </c>
      <c r="X1183" s="98">
        <f t="shared" si="333"/>
        <v>2.6825323306241655E-2</v>
      </c>
      <c r="AB1183" s="89">
        <f t="shared" si="322"/>
        <v>195</v>
      </c>
      <c r="AC1183" s="89">
        <f t="shared" si="323"/>
        <v>51.179276000000002</v>
      </c>
      <c r="AD1183" s="89">
        <f t="shared" si="324"/>
        <v>106.085724</v>
      </c>
      <c r="AE1183" s="89">
        <f t="shared" si="325"/>
        <v>20686.716179999999</v>
      </c>
      <c r="AF1183" s="90">
        <f t="shared" si="328"/>
        <v>10706.75736</v>
      </c>
      <c r="AG1183" s="93">
        <f t="shared" si="329"/>
        <v>1.0728258055076823</v>
      </c>
      <c r="AK1183" s="90">
        <f t="shared" si="326"/>
        <v>142</v>
      </c>
      <c r="AL1183" s="89">
        <f t="shared" si="327"/>
        <v>68.865979063380294</v>
      </c>
      <c r="AM1183" s="89">
        <f t="shared" si="319"/>
        <v>106.085724</v>
      </c>
      <c r="AN1183" s="90">
        <f t="shared" si="320"/>
        <v>15064.172807999999</v>
      </c>
      <c r="AO1183" s="93">
        <f t="shared" si="321"/>
        <v>0.54046635861177239</v>
      </c>
    </row>
    <row r="1184" spans="2:41" x14ac:dyDescent="0.25">
      <c r="B1184" s="91">
        <v>41067</v>
      </c>
      <c r="C1184" s="89">
        <v>133.470001</v>
      </c>
      <c r="D1184" s="89">
        <v>133.529999</v>
      </c>
      <c r="E1184" s="89">
        <v>131.779999</v>
      </c>
      <c r="F1184" s="89">
        <v>132.050003</v>
      </c>
      <c r="G1184" s="89">
        <v>106.15001700000001</v>
      </c>
      <c r="H1184" s="89">
        <v>184772700</v>
      </c>
      <c r="J1184" s="89">
        <v>0</v>
      </c>
      <c r="K1184" s="89">
        <f t="shared" si="338"/>
        <v>88</v>
      </c>
      <c r="L1184" s="89">
        <f t="shared" si="339"/>
        <v>112.621376</v>
      </c>
      <c r="M1184" s="89">
        <f>+SPY__2[[#This Row],[Adj Close]]</f>
        <v>106.15001700000001</v>
      </c>
      <c r="N1184" s="89">
        <f t="shared" si="334"/>
        <v>9341.2014959999997</v>
      </c>
      <c r="O1184" s="90">
        <f t="shared" si="335"/>
        <v>-569.47959199999934</v>
      </c>
      <c r="P1184" s="93">
        <f t="shared" si="336"/>
        <v>-5.7461196354056221E-2</v>
      </c>
      <c r="Q1184" s="96"/>
      <c r="R1184" s="96"/>
      <c r="T1184" s="90">
        <f t="shared" si="330"/>
        <v>95</v>
      </c>
      <c r="U1184" s="89">
        <f t="shared" si="331"/>
        <v>103.31428490526316</v>
      </c>
      <c r="V1184" s="89">
        <f t="shared" si="332"/>
        <v>106.15001700000001</v>
      </c>
      <c r="W1184" s="90">
        <f t="shared" si="337"/>
        <v>10084.251615000001</v>
      </c>
      <c r="X1184" s="98">
        <f t="shared" si="333"/>
        <v>2.744762834430059E-2</v>
      </c>
      <c r="AB1184" s="89">
        <f t="shared" si="322"/>
        <v>195</v>
      </c>
      <c r="AC1184" s="89">
        <f t="shared" si="323"/>
        <v>51.179276000000002</v>
      </c>
      <c r="AD1184" s="89">
        <f t="shared" si="324"/>
        <v>106.15001700000001</v>
      </c>
      <c r="AE1184" s="89">
        <f t="shared" si="325"/>
        <v>20699.253315000002</v>
      </c>
      <c r="AF1184" s="90">
        <f t="shared" si="328"/>
        <v>10719.294495</v>
      </c>
      <c r="AG1184" s="93">
        <f t="shared" si="329"/>
        <v>1.0740820366431132</v>
      </c>
      <c r="AK1184" s="90">
        <f t="shared" si="326"/>
        <v>142</v>
      </c>
      <c r="AL1184" s="89">
        <f t="shared" si="327"/>
        <v>68.865979063380294</v>
      </c>
      <c r="AM1184" s="89">
        <f t="shared" si="319"/>
        <v>106.15001700000001</v>
      </c>
      <c r="AN1184" s="90">
        <f t="shared" si="320"/>
        <v>15073.302414000002</v>
      </c>
      <c r="AO1184" s="93">
        <f t="shared" si="321"/>
        <v>0.54139995457416834</v>
      </c>
    </row>
    <row r="1185" spans="2:41" x14ac:dyDescent="0.25">
      <c r="B1185" s="91">
        <v>41068</v>
      </c>
      <c r="C1185" s="89">
        <v>131.71000699999999</v>
      </c>
      <c r="D1185" s="89">
        <v>133.13000500000001</v>
      </c>
      <c r="E1185" s="89">
        <v>131.28999300000001</v>
      </c>
      <c r="F1185" s="89">
        <v>133.10000600000001</v>
      </c>
      <c r="G1185" s="89">
        <v>106.994095</v>
      </c>
      <c r="H1185" s="89">
        <v>143915400</v>
      </c>
      <c r="J1185" s="89">
        <v>0</v>
      </c>
      <c r="K1185" s="89">
        <f t="shared" si="338"/>
        <v>88</v>
      </c>
      <c r="L1185" s="89">
        <f t="shared" si="339"/>
        <v>112.621376</v>
      </c>
      <c r="M1185" s="89">
        <f>+SPY__2[[#This Row],[Adj Close]]</f>
        <v>106.994095</v>
      </c>
      <c r="N1185" s="89">
        <f t="shared" si="334"/>
        <v>9415.4803599999996</v>
      </c>
      <c r="O1185" s="90">
        <f t="shared" si="335"/>
        <v>-495.20072799999969</v>
      </c>
      <c r="P1185" s="93">
        <f t="shared" si="336"/>
        <v>-4.9966366953286045E-2</v>
      </c>
      <c r="Q1185" s="96"/>
      <c r="R1185" s="96"/>
      <c r="T1185" s="90">
        <f t="shared" si="330"/>
        <v>95</v>
      </c>
      <c r="U1185" s="89">
        <f t="shared" si="331"/>
        <v>103.31428490526316</v>
      </c>
      <c r="V1185" s="89">
        <f t="shared" si="332"/>
        <v>106.994095</v>
      </c>
      <c r="W1185" s="90">
        <f t="shared" si="337"/>
        <v>10164.439025</v>
      </c>
      <c r="X1185" s="98">
        <f t="shared" si="333"/>
        <v>3.5617631173763931E-2</v>
      </c>
      <c r="AB1185" s="89">
        <f t="shared" si="322"/>
        <v>195</v>
      </c>
      <c r="AC1185" s="89">
        <f t="shared" si="323"/>
        <v>51.179276000000002</v>
      </c>
      <c r="AD1185" s="89">
        <f t="shared" si="324"/>
        <v>106.994095</v>
      </c>
      <c r="AE1185" s="89">
        <f t="shared" si="325"/>
        <v>20863.848525000001</v>
      </c>
      <c r="AF1185" s="90">
        <f t="shared" si="328"/>
        <v>10883.889705</v>
      </c>
      <c r="AG1185" s="93">
        <f t="shared" si="329"/>
        <v>1.0905746107076624</v>
      </c>
      <c r="AK1185" s="90">
        <f t="shared" si="326"/>
        <v>142</v>
      </c>
      <c r="AL1185" s="89">
        <f t="shared" si="327"/>
        <v>68.865979063380294</v>
      </c>
      <c r="AM1185" s="89">
        <f t="shared" si="319"/>
        <v>106.994095</v>
      </c>
      <c r="AN1185" s="90">
        <f t="shared" si="320"/>
        <v>15193.16149</v>
      </c>
      <c r="AO1185" s="93">
        <f t="shared" si="321"/>
        <v>0.55365677588826245</v>
      </c>
    </row>
    <row r="1186" spans="2:41" x14ac:dyDescent="0.25">
      <c r="B1186" s="91">
        <v>41071</v>
      </c>
      <c r="C1186" s="89">
        <v>134.16999799999999</v>
      </c>
      <c r="D1186" s="89">
        <v>134.25</v>
      </c>
      <c r="E1186" s="89">
        <v>131.279999</v>
      </c>
      <c r="F1186" s="89">
        <v>131.41000399999999</v>
      </c>
      <c r="G1186" s="89">
        <v>105.63556699999999</v>
      </c>
      <c r="H1186" s="89">
        <v>169756100</v>
      </c>
      <c r="J1186" s="89">
        <v>0</v>
      </c>
      <c r="K1186" s="89">
        <f t="shared" si="338"/>
        <v>88</v>
      </c>
      <c r="L1186" s="89">
        <f t="shared" si="339"/>
        <v>112.621376</v>
      </c>
      <c r="M1186" s="89">
        <f>+SPY__2[[#This Row],[Adj Close]]</f>
        <v>105.63556699999999</v>
      </c>
      <c r="N1186" s="89">
        <f t="shared" si="334"/>
        <v>9295.9298959999996</v>
      </c>
      <c r="O1186" s="90">
        <f t="shared" si="335"/>
        <v>-614.75119200000029</v>
      </c>
      <c r="P1186" s="93">
        <f t="shared" si="336"/>
        <v>-6.2029156880484271E-2</v>
      </c>
      <c r="Q1186" s="96"/>
      <c r="R1186" s="96"/>
      <c r="T1186" s="90">
        <f t="shared" si="330"/>
        <v>95</v>
      </c>
      <c r="U1186" s="89">
        <f t="shared" si="331"/>
        <v>103.31428490526316</v>
      </c>
      <c r="V1186" s="89">
        <f t="shared" si="332"/>
        <v>105.63556699999999</v>
      </c>
      <c r="W1186" s="90">
        <f t="shared" si="337"/>
        <v>10035.378864999999</v>
      </c>
      <c r="X1186" s="98">
        <f t="shared" si="333"/>
        <v>2.2468162044245732E-2</v>
      </c>
      <c r="AB1186" s="89">
        <f t="shared" si="322"/>
        <v>195</v>
      </c>
      <c r="AC1186" s="89">
        <f t="shared" si="323"/>
        <v>51.179276000000002</v>
      </c>
      <c r="AD1186" s="89">
        <f t="shared" si="324"/>
        <v>105.63556699999999</v>
      </c>
      <c r="AE1186" s="89">
        <f t="shared" si="325"/>
        <v>20598.935565</v>
      </c>
      <c r="AF1186" s="90">
        <f t="shared" si="328"/>
        <v>10618.976744999998</v>
      </c>
      <c r="AG1186" s="93">
        <f t="shared" si="329"/>
        <v>1.064030116408837</v>
      </c>
      <c r="AK1186" s="90">
        <f t="shared" si="326"/>
        <v>142</v>
      </c>
      <c r="AL1186" s="89">
        <f t="shared" si="327"/>
        <v>68.865979063380294</v>
      </c>
      <c r="AM1186" s="89">
        <f t="shared" si="319"/>
        <v>105.63556699999999</v>
      </c>
      <c r="AN1186" s="90">
        <f t="shared" si="320"/>
        <v>15000.250513999999</v>
      </c>
      <c r="AO1186" s="93">
        <f t="shared" si="321"/>
        <v>0.53392964765343853</v>
      </c>
    </row>
    <row r="1187" spans="2:41" x14ac:dyDescent="0.25">
      <c r="B1187" s="91">
        <v>41072</v>
      </c>
      <c r="C1187" s="89">
        <v>131.78999300000001</v>
      </c>
      <c r="D1187" s="89">
        <v>133.009995</v>
      </c>
      <c r="E1187" s="89">
        <v>131.16000399999999</v>
      </c>
      <c r="F1187" s="89">
        <v>132.91999799999999</v>
      </c>
      <c r="G1187" s="89">
        <v>106.849358</v>
      </c>
      <c r="H1187" s="89">
        <v>181931800</v>
      </c>
      <c r="J1187" s="89">
        <v>0</v>
      </c>
      <c r="K1187" s="89">
        <f t="shared" si="338"/>
        <v>88</v>
      </c>
      <c r="L1187" s="89">
        <f t="shared" si="339"/>
        <v>112.621376</v>
      </c>
      <c r="M1187" s="89">
        <f>+SPY__2[[#This Row],[Adj Close]]</f>
        <v>106.849358</v>
      </c>
      <c r="N1187" s="89">
        <f t="shared" si="334"/>
        <v>9402.743504</v>
      </c>
      <c r="O1187" s="90">
        <f t="shared" si="335"/>
        <v>-507.93758400000024</v>
      </c>
      <c r="P1187" s="93">
        <f t="shared" si="336"/>
        <v>-5.1251531503220149E-2</v>
      </c>
      <c r="Q1187" s="96"/>
      <c r="R1187" s="96"/>
      <c r="T1187" s="90">
        <f t="shared" si="330"/>
        <v>95</v>
      </c>
      <c r="U1187" s="89">
        <f t="shared" si="331"/>
        <v>103.31428490526316</v>
      </c>
      <c r="V1187" s="89">
        <f t="shared" si="332"/>
        <v>106.849358</v>
      </c>
      <c r="W1187" s="90">
        <f t="shared" si="337"/>
        <v>10150.68901</v>
      </c>
      <c r="X1187" s="98">
        <f t="shared" si="333"/>
        <v>3.421669228005042E-2</v>
      </c>
      <c r="AB1187" s="89">
        <f t="shared" si="322"/>
        <v>195</v>
      </c>
      <c r="AC1187" s="89">
        <f t="shared" si="323"/>
        <v>51.179276000000002</v>
      </c>
      <c r="AD1187" s="89">
        <f t="shared" si="324"/>
        <v>106.849358</v>
      </c>
      <c r="AE1187" s="89">
        <f t="shared" si="325"/>
        <v>20835.624809999998</v>
      </c>
      <c r="AF1187" s="90">
        <f t="shared" si="328"/>
        <v>10855.66599</v>
      </c>
      <c r="AG1187" s="93">
        <f t="shared" si="329"/>
        <v>1.0877465714833479</v>
      </c>
      <c r="AK1187" s="90">
        <f t="shared" si="326"/>
        <v>142</v>
      </c>
      <c r="AL1187" s="89">
        <f t="shared" si="327"/>
        <v>68.865979063380294</v>
      </c>
      <c r="AM1187" s="89">
        <f t="shared" si="319"/>
        <v>106.849358</v>
      </c>
      <c r="AN1187" s="90">
        <f t="shared" si="320"/>
        <v>15172.608835999999</v>
      </c>
      <c r="AO1187" s="93">
        <f t="shared" si="321"/>
        <v>0.55155505596837573</v>
      </c>
    </row>
    <row r="1188" spans="2:41" x14ac:dyDescent="0.25">
      <c r="B1188" s="91">
        <v>41073</v>
      </c>
      <c r="C1188" s="89">
        <v>132.529999</v>
      </c>
      <c r="D1188" s="89">
        <v>133.36000100000001</v>
      </c>
      <c r="E1188" s="89">
        <v>131.61999499999999</v>
      </c>
      <c r="F1188" s="89">
        <v>132.070007</v>
      </c>
      <c r="G1188" s="89">
        <v>106.16609200000001</v>
      </c>
      <c r="H1188" s="89">
        <v>172223900</v>
      </c>
      <c r="J1188" s="89">
        <v>0</v>
      </c>
      <c r="K1188" s="89">
        <f t="shared" si="338"/>
        <v>88</v>
      </c>
      <c r="L1188" s="89">
        <f t="shared" si="339"/>
        <v>112.621376</v>
      </c>
      <c r="M1188" s="89">
        <f>+SPY__2[[#This Row],[Adj Close]]</f>
        <v>106.16609200000001</v>
      </c>
      <c r="N1188" s="89">
        <f t="shared" si="334"/>
        <v>9342.6160959999997</v>
      </c>
      <c r="O1188" s="90">
        <f t="shared" si="335"/>
        <v>-568.06499199999928</v>
      </c>
      <c r="P1188" s="93">
        <f t="shared" si="336"/>
        <v>-5.7318461461525638E-2</v>
      </c>
      <c r="Q1188" s="96"/>
      <c r="R1188" s="96"/>
      <c r="T1188" s="90">
        <f t="shared" si="330"/>
        <v>95</v>
      </c>
      <c r="U1188" s="89">
        <f t="shared" si="331"/>
        <v>103.31428490526316</v>
      </c>
      <c r="V1188" s="89">
        <f t="shared" si="332"/>
        <v>106.16609200000001</v>
      </c>
      <c r="W1188" s="90">
        <f t="shared" si="337"/>
        <v>10085.77874</v>
      </c>
      <c r="X1188" s="98">
        <f t="shared" si="333"/>
        <v>2.7603221542421563E-2</v>
      </c>
      <c r="AB1188" s="89">
        <f t="shared" si="322"/>
        <v>195</v>
      </c>
      <c r="AC1188" s="89">
        <f t="shared" si="323"/>
        <v>51.179276000000002</v>
      </c>
      <c r="AD1188" s="89">
        <f t="shared" si="324"/>
        <v>106.16609200000001</v>
      </c>
      <c r="AE1188" s="89">
        <f t="shared" si="325"/>
        <v>20702.387940000001</v>
      </c>
      <c r="AF1188" s="90">
        <f t="shared" si="328"/>
        <v>10722.429120000001</v>
      </c>
      <c r="AG1188" s="93">
        <f t="shared" si="329"/>
        <v>1.0743961286204988</v>
      </c>
      <c r="AK1188" s="90">
        <f t="shared" si="326"/>
        <v>142</v>
      </c>
      <c r="AL1188" s="89">
        <f t="shared" si="327"/>
        <v>68.865979063380294</v>
      </c>
      <c r="AM1188" s="89">
        <f t="shared" si="319"/>
        <v>106.16609200000001</v>
      </c>
      <c r="AN1188" s="90">
        <f t="shared" si="320"/>
        <v>15075.585064000001</v>
      </c>
      <c r="AO1188" s="93">
        <f t="shared" si="321"/>
        <v>0.54163337897644404</v>
      </c>
    </row>
    <row r="1189" spans="2:41" x14ac:dyDescent="0.25">
      <c r="B1189" s="91">
        <v>41074</v>
      </c>
      <c r="C1189" s="89">
        <v>132.33999600000001</v>
      </c>
      <c r="D1189" s="89">
        <v>134</v>
      </c>
      <c r="E1189" s="89">
        <v>131.979996</v>
      </c>
      <c r="F1189" s="89">
        <v>133.470001</v>
      </c>
      <c r="G1189" s="89">
        <v>107.291496</v>
      </c>
      <c r="H1189" s="89">
        <v>230615500</v>
      </c>
      <c r="J1189" s="89">
        <v>0</v>
      </c>
      <c r="K1189" s="89">
        <f t="shared" si="338"/>
        <v>88</v>
      </c>
      <c r="L1189" s="89">
        <f t="shared" si="339"/>
        <v>112.621376</v>
      </c>
      <c r="M1189" s="89">
        <f>+SPY__2[[#This Row],[Adj Close]]</f>
        <v>107.291496</v>
      </c>
      <c r="N1189" s="89">
        <f t="shared" si="334"/>
        <v>9441.6516479999991</v>
      </c>
      <c r="O1189" s="90">
        <f t="shared" si="335"/>
        <v>-469.02944000000025</v>
      </c>
      <c r="P1189" s="93">
        <f t="shared" si="336"/>
        <v>-4.7325651570799487E-2</v>
      </c>
      <c r="Q1189" s="96"/>
      <c r="R1189" s="96"/>
      <c r="T1189" s="90">
        <f t="shared" si="330"/>
        <v>95</v>
      </c>
      <c r="U1189" s="89">
        <f t="shared" si="331"/>
        <v>103.31428490526316</v>
      </c>
      <c r="V1189" s="89">
        <f t="shared" si="332"/>
        <v>107.291496</v>
      </c>
      <c r="W1189" s="90">
        <f t="shared" si="337"/>
        <v>10192.69212</v>
      </c>
      <c r="X1189" s="98">
        <f t="shared" si="333"/>
        <v>3.849623600825236E-2</v>
      </c>
      <c r="AB1189" s="89">
        <f t="shared" si="322"/>
        <v>195</v>
      </c>
      <c r="AC1189" s="89">
        <f t="shared" si="323"/>
        <v>51.179276000000002</v>
      </c>
      <c r="AD1189" s="89">
        <f t="shared" si="324"/>
        <v>107.291496</v>
      </c>
      <c r="AE1189" s="89">
        <f t="shared" si="325"/>
        <v>20921.84172</v>
      </c>
      <c r="AF1189" s="90">
        <f t="shared" si="328"/>
        <v>10941.882899999999</v>
      </c>
      <c r="AG1189" s="93">
        <f t="shared" si="329"/>
        <v>1.096385576067938</v>
      </c>
      <c r="AK1189" s="90">
        <f t="shared" si="326"/>
        <v>142</v>
      </c>
      <c r="AL1189" s="89">
        <f t="shared" si="327"/>
        <v>68.865979063380294</v>
      </c>
      <c r="AM1189" s="89">
        <f t="shared" si="319"/>
        <v>107.291496</v>
      </c>
      <c r="AN1189" s="90">
        <f t="shared" si="320"/>
        <v>15235.392431999999</v>
      </c>
      <c r="AO1189" s="93">
        <f t="shared" si="321"/>
        <v>0.55797532336329758</v>
      </c>
    </row>
    <row r="1190" spans="2:41" x14ac:dyDescent="0.25">
      <c r="B1190" s="91">
        <v>41075</v>
      </c>
      <c r="C1190" s="89">
        <v>133.38000500000001</v>
      </c>
      <c r="D1190" s="89">
        <v>134.259995</v>
      </c>
      <c r="E1190" s="89">
        <v>133.10000600000001</v>
      </c>
      <c r="F1190" s="89">
        <v>134.13999899999999</v>
      </c>
      <c r="G1190" s="89">
        <v>108.38880899999999</v>
      </c>
      <c r="H1190" s="89">
        <v>169444500</v>
      </c>
      <c r="J1190" s="89">
        <v>0</v>
      </c>
      <c r="K1190" s="89">
        <f t="shared" si="338"/>
        <v>88</v>
      </c>
      <c r="L1190" s="89">
        <f t="shared" si="339"/>
        <v>112.621376</v>
      </c>
      <c r="M1190" s="89">
        <f>+SPY__2[[#This Row],[Adj Close]]</f>
        <v>108.38880899999999</v>
      </c>
      <c r="N1190" s="89">
        <f t="shared" si="334"/>
        <v>9538.2151919999997</v>
      </c>
      <c r="O1190" s="90">
        <f t="shared" si="335"/>
        <v>-372.46589600000027</v>
      </c>
      <c r="P1190" s="93">
        <f t="shared" si="336"/>
        <v>-3.758227034981354E-2</v>
      </c>
      <c r="Q1190" s="96"/>
      <c r="R1190" s="96"/>
      <c r="T1190" s="90">
        <f t="shared" si="330"/>
        <v>95</v>
      </c>
      <c r="U1190" s="89">
        <f t="shared" si="331"/>
        <v>103.31428490526316</v>
      </c>
      <c r="V1190" s="89">
        <f t="shared" si="332"/>
        <v>108.38880899999999</v>
      </c>
      <c r="W1190" s="90">
        <f t="shared" si="337"/>
        <v>10296.936855</v>
      </c>
      <c r="X1190" s="98">
        <f t="shared" si="333"/>
        <v>4.9117351965316969E-2</v>
      </c>
      <c r="AB1190" s="89">
        <f t="shared" si="322"/>
        <v>195</v>
      </c>
      <c r="AC1190" s="89">
        <f t="shared" si="323"/>
        <v>51.179276000000002</v>
      </c>
      <c r="AD1190" s="89">
        <f t="shared" si="324"/>
        <v>108.38880899999999</v>
      </c>
      <c r="AE1190" s="89">
        <f t="shared" si="325"/>
        <v>21135.817755</v>
      </c>
      <c r="AF1190" s="90">
        <f t="shared" si="328"/>
        <v>11155.858934999998</v>
      </c>
      <c r="AG1190" s="93">
        <f t="shared" si="329"/>
        <v>1.1178261490060937</v>
      </c>
      <c r="AK1190" s="90">
        <f t="shared" si="326"/>
        <v>142</v>
      </c>
      <c r="AL1190" s="89">
        <f t="shared" si="327"/>
        <v>68.865979063380294</v>
      </c>
      <c r="AM1190" s="89">
        <f t="shared" si="319"/>
        <v>108.38880899999999</v>
      </c>
      <c r="AN1190" s="90">
        <f t="shared" si="320"/>
        <v>15391.210878</v>
      </c>
      <c r="AO1190" s="93">
        <f t="shared" si="321"/>
        <v>0.57390935951473465</v>
      </c>
    </row>
    <row r="1191" spans="2:41" x14ac:dyDescent="0.25">
      <c r="B1191" s="91">
        <v>41078</v>
      </c>
      <c r="C1191" s="89">
        <v>133.58000200000001</v>
      </c>
      <c r="D1191" s="89">
        <v>134.729996</v>
      </c>
      <c r="E1191" s="89">
        <v>133.279999</v>
      </c>
      <c r="F1191" s="89">
        <v>134.39999399999999</v>
      </c>
      <c r="G1191" s="89">
        <v>108.59889200000001</v>
      </c>
      <c r="H1191" s="89">
        <v>131360900</v>
      </c>
      <c r="J1191" s="89">
        <v>0</v>
      </c>
      <c r="K1191" s="89">
        <f t="shared" si="338"/>
        <v>88</v>
      </c>
      <c r="L1191" s="89">
        <f t="shared" si="339"/>
        <v>112.621376</v>
      </c>
      <c r="M1191" s="89">
        <f>+SPY__2[[#This Row],[Adj Close]]</f>
        <v>108.59889200000001</v>
      </c>
      <c r="N1191" s="89">
        <f t="shared" si="334"/>
        <v>9556.7024959999999</v>
      </c>
      <c r="O1191" s="90">
        <f t="shared" si="335"/>
        <v>-353.97859199999925</v>
      </c>
      <c r="P1191" s="93">
        <f t="shared" si="336"/>
        <v>-3.5716878472520142E-2</v>
      </c>
      <c r="Q1191" s="96"/>
      <c r="R1191" s="96"/>
      <c r="T1191" s="90">
        <f t="shared" si="330"/>
        <v>95</v>
      </c>
      <c r="U1191" s="89">
        <f t="shared" si="331"/>
        <v>103.31428490526316</v>
      </c>
      <c r="V1191" s="89">
        <f t="shared" si="332"/>
        <v>108.59889200000001</v>
      </c>
      <c r="W1191" s="90">
        <f t="shared" si="337"/>
        <v>10316.89474</v>
      </c>
      <c r="X1191" s="98">
        <f t="shared" si="333"/>
        <v>5.1150788098496713E-2</v>
      </c>
      <c r="AB1191" s="89">
        <f t="shared" si="322"/>
        <v>195</v>
      </c>
      <c r="AC1191" s="89">
        <f t="shared" si="323"/>
        <v>51.179276000000002</v>
      </c>
      <c r="AD1191" s="89">
        <f t="shared" si="324"/>
        <v>108.59889200000001</v>
      </c>
      <c r="AE1191" s="89">
        <f t="shared" si="325"/>
        <v>21176.783940000001</v>
      </c>
      <c r="AF1191" s="90">
        <f t="shared" si="328"/>
        <v>11196.825120000001</v>
      </c>
      <c r="AG1191" s="93">
        <f t="shared" si="329"/>
        <v>1.1219309941000337</v>
      </c>
      <c r="AK1191" s="90">
        <f t="shared" si="326"/>
        <v>142</v>
      </c>
      <c r="AL1191" s="89">
        <f t="shared" si="327"/>
        <v>68.865979063380294</v>
      </c>
      <c r="AM1191" s="89">
        <f t="shared" si="319"/>
        <v>108.59889200000001</v>
      </c>
      <c r="AN1191" s="90">
        <f t="shared" si="320"/>
        <v>15421.042664000001</v>
      </c>
      <c r="AO1191" s="93">
        <f t="shared" si="321"/>
        <v>0.57695996596594989</v>
      </c>
    </row>
    <row r="1192" spans="2:41" x14ac:dyDescent="0.25">
      <c r="B1192" s="91">
        <v>41079</v>
      </c>
      <c r="C1192" s="89">
        <v>135.08000200000001</v>
      </c>
      <c r="D1192" s="89">
        <v>136.25</v>
      </c>
      <c r="E1192" s="89">
        <v>134.36999499999999</v>
      </c>
      <c r="F1192" s="89">
        <v>135.699997</v>
      </c>
      <c r="G1192" s="89">
        <v>109.64933000000001</v>
      </c>
      <c r="H1192" s="89">
        <v>137382600</v>
      </c>
      <c r="J1192" s="89">
        <v>0</v>
      </c>
      <c r="K1192" s="89">
        <f t="shared" si="338"/>
        <v>88</v>
      </c>
      <c r="L1192" s="89">
        <f t="shared" si="339"/>
        <v>112.621376</v>
      </c>
      <c r="M1192" s="89">
        <f>+SPY__2[[#This Row],[Adj Close]]</f>
        <v>109.64933000000001</v>
      </c>
      <c r="N1192" s="89">
        <f t="shared" si="334"/>
        <v>9649.1410400000004</v>
      </c>
      <c r="O1192" s="90">
        <f t="shared" si="335"/>
        <v>-261.54004799999927</v>
      </c>
      <c r="P1192" s="93">
        <f t="shared" si="336"/>
        <v>-2.6389714861945857E-2</v>
      </c>
      <c r="Q1192" s="96"/>
      <c r="R1192" s="96"/>
      <c r="T1192" s="90">
        <f t="shared" si="330"/>
        <v>95</v>
      </c>
      <c r="U1192" s="89">
        <f t="shared" si="331"/>
        <v>103.31428490526316</v>
      </c>
      <c r="V1192" s="89">
        <f t="shared" si="332"/>
        <v>109.64933000000001</v>
      </c>
      <c r="W1192" s="90">
        <f t="shared" si="337"/>
        <v>10416.68635</v>
      </c>
      <c r="X1192" s="98">
        <f t="shared" si="333"/>
        <v>6.1318191386079191E-2</v>
      </c>
      <c r="AB1192" s="89">
        <f t="shared" si="322"/>
        <v>195</v>
      </c>
      <c r="AC1192" s="89">
        <f t="shared" si="323"/>
        <v>51.179276000000002</v>
      </c>
      <c r="AD1192" s="89">
        <f t="shared" si="324"/>
        <v>109.64933000000001</v>
      </c>
      <c r="AE1192" s="89">
        <f t="shared" si="325"/>
        <v>21381.619350000001</v>
      </c>
      <c r="AF1192" s="90">
        <f t="shared" si="328"/>
        <v>11401.660530000001</v>
      </c>
      <c r="AG1192" s="93">
        <f t="shared" si="329"/>
        <v>1.1424556689703858</v>
      </c>
      <c r="AK1192" s="90">
        <f t="shared" si="326"/>
        <v>142</v>
      </c>
      <c r="AL1192" s="89">
        <f t="shared" si="327"/>
        <v>68.865979063380294</v>
      </c>
      <c r="AM1192" s="89">
        <f t="shared" si="319"/>
        <v>109.64933000000001</v>
      </c>
      <c r="AN1192" s="90">
        <f t="shared" si="320"/>
        <v>15570.204860000002</v>
      </c>
      <c r="AO1192" s="93">
        <f t="shared" si="321"/>
        <v>0.59221333220406369</v>
      </c>
    </row>
    <row r="1193" spans="2:41" x14ac:dyDescent="0.25">
      <c r="B1193" s="91">
        <v>41080</v>
      </c>
      <c r="C1193" s="89">
        <v>135.71000699999999</v>
      </c>
      <c r="D1193" s="89">
        <v>136.10000600000001</v>
      </c>
      <c r="E1193" s="89">
        <v>134.270004</v>
      </c>
      <c r="F1193" s="89">
        <v>135.479996</v>
      </c>
      <c r="G1193" s="89">
        <v>109.471542</v>
      </c>
      <c r="H1193" s="89">
        <v>206451800</v>
      </c>
      <c r="J1193" s="89">
        <v>0</v>
      </c>
      <c r="K1193" s="89">
        <f t="shared" si="338"/>
        <v>88</v>
      </c>
      <c r="L1193" s="89">
        <f t="shared" si="339"/>
        <v>112.621376</v>
      </c>
      <c r="M1193" s="89">
        <f>+SPY__2[[#This Row],[Adj Close]]</f>
        <v>109.471542</v>
      </c>
      <c r="N1193" s="89">
        <f t="shared" si="334"/>
        <v>9633.495696</v>
      </c>
      <c r="O1193" s="90">
        <f t="shared" si="335"/>
        <v>-277.18539199999987</v>
      </c>
      <c r="P1193" s="93">
        <f t="shared" si="336"/>
        <v>-2.796834945436999E-2</v>
      </c>
      <c r="Q1193" s="96"/>
      <c r="R1193" s="96"/>
      <c r="T1193" s="90">
        <f t="shared" si="330"/>
        <v>95</v>
      </c>
      <c r="U1193" s="89">
        <f t="shared" si="331"/>
        <v>103.31428490526316</v>
      </c>
      <c r="V1193" s="89">
        <f t="shared" si="332"/>
        <v>109.471542</v>
      </c>
      <c r="W1193" s="90">
        <f t="shared" si="337"/>
        <v>10399.796490000001</v>
      </c>
      <c r="X1193" s="98">
        <f t="shared" si="333"/>
        <v>5.9597345133665769E-2</v>
      </c>
      <c r="AB1193" s="89">
        <f t="shared" si="322"/>
        <v>195</v>
      </c>
      <c r="AC1193" s="89">
        <f t="shared" si="323"/>
        <v>51.179276000000002</v>
      </c>
      <c r="AD1193" s="89">
        <f t="shared" si="324"/>
        <v>109.471542</v>
      </c>
      <c r="AE1193" s="89">
        <f t="shared" si="325"/>
        <v>21346.950690000001</v>
      </c>
      <c r="AF1193" s="90">
        <f t="shared" si="328"/>
        <v>11366.99187</v>
      </c>
      <c r="AG1193" s="93">
        <f t="shared" si="329"/>
        <v>1.1389818410092398</v>
      </c>
      <c r="AK1193" s="90">
        <f t="shared" si="326"/>
        <v>142</v>
      </c>
      <c r="AL1193" s="89">
        <f t="shared" si="327"/>
        <v>68.865979063380294</v>
      </c>
      <c r="AM1193" s="89">
        <f t="shared" si="319"/>
        <v>109.471542</v>
      </c>
      <c r="AN1193" s="90">
        <f t="shared" si="320"/>
        <v>15544.958963999999</v>
      </c>
      <c r="AO1193" s="93">
        <f t="shared" si="321"/>
        <v>0.58963168009633149</v>
      </c>
    </row>
    <row r="1194" spans="2:41" x14ac:dyDescent="0.25">
      <c r="B1194" s="91">
        <v>41081</v>
      </c>
      <c r="C1194" s="89">
        <v>135.63999899999999</v>
      </c>
      <c r="D1194" s="89">
        <v>135.779999</v>
      </c>
      <c r="E1194" s="89">
        <v>132.33000200000001</v>
      </c>
      <c r="F1194" s="89">
        <v>132.44000199999999</v>
      </c>
      <c r="G1194" s="89">
        <v>107.015152</v>
      </c>
      <c r="H1194" s="89">
        <v>205272200</v>
      </c>
      <c r="J1194" s="89">
        <v>0</v>
      </c>
      <c r="K1194" s="89">
        <f t="shared" si="338"/>
        <v>88</v>
      </c>
      <c r="L1194" s="89">
        <f t="shared" si="339"/>
        <v>112.621376</v>
      </c>
      <c r="M1194" s="89">
        <f>+SPY__2[[#This Row],[Adj Close]]</f>
        <v>107.015152</v>
      </c>
      <c r="N1194" s="89">
        <f t="shared" si="334"/>
        <v>9417.3333760000005</v>
      </c>
      <c r="O1194" s="90">
        <f t="shared" si="335"/>
        <v>-493.34771199999977</v>
      </c>
      <c r="P1194" s="93">
        <f t="shared" si="336"/>
        <v>-4.97793953432073E-2</v>
      </c>
      <c r="Q1194" s="96"/>
      <c r="R1194" s="96"/>
      <c r="T1194" s="90">
        <f t="shared" si="330"/>
        <v>95</v>
      </c>
      <c r="U1194" s="89">
        <f t="shared" si="331"/>
        <v>103.31428490526316</v>
      </c>
      <c r="V1194" s="89">
        <f t="shared" si="332"/>
        <v>107.015152</v>
      </c>
      <c r="W1194" s="90">
        <f t="shared" si="337"/>
        <v>10166.43944</v>
      </c>
      <c r="X1194" s="98">
        <f t="shared" si="333"/>
        <v>3.5821446164298054E-2</v>
      </c>
      <c r="AB1194" s="89">
        <f t="shared" si="322"/>
        <v>195</v>
      </c>
      <c r="AC1194" s="89">
        <f t="shared" si="323"/>
        <v>51.179276000000002</v>
      </c>
      <c r="AD1194" s="89">
        <f t="shared" si="324"/>
        <v>107.015152</v>
      </c>
      <c r="AE1194" s="89">
        <f t="shared" si="325"/>
        <v>20867.95464</v>
      </c>
      <c r="AF1194" s="90">
        <f t="shared" si="328"/>
        <v>10887.99582</v>
      </c>
      <c r="AG1194" s="93">
        <f t="shared" si="329"/>
        <v>1.0909860467740886</v>
      </c>
      <c r="AK1194" s="90">
        <f t="shared" si="326"/>
        <v>142</v>
      </c>
      <c r="AL1194" s="89">
        <f t="shared" si="327"/>
        <v>68.865979063380294</v>
      </c>
      <c r="AM1194" s="89">
        <f t="shared" si="319"/>
        <v>107.015152</v>
      </c>
      <c r="AN1194" s="90">
        <f t="shared" si="320"/>
        <v>15196.151583999999</v>
      </c>
      <c r="AO1194" s="93">
        <f t="shared" si="321"/>
        <v>0.55396254370404585</v>
      </c>
    </row>
    <row r="1195" spans="2:41" x14ac:dyDescent="0.25">
      <c r="B1195" s="91">
        <v>41082</v>
      </c>
      <c r="C1195" s="89">
        <v>133.13000500000001</v>
      </c>
      <c r="D1195" s="89">
        <v>133.71000699999999</v>
      </c>
      <c r="E1195" s="89">
        <v>132.61999499999999</v>
      </c>
      <c r="F1195" s="89">
        <v>133.46000699999999</v>
      </c>
      <c r="G1195" s="89">
        <v>107.839371</v>
      </c>
      <c r="H1195" s="89">
        <v>130029200</v>
      </c>
      <c r="J1195" s="89">
        <v>0</v>
      </c>
      <c r="K1195" s="89">
        <f t="shared" si="338"/>
        <v>88</v>
      </c>
      <c r="L1195" s="89">
        <f t="shared" si="339"/>
        <v>112.621376</v>
      </c>
      <c r="M1195" s="89">
        <f>+SPY__2[[#This Row],[Adj Close]]</f>
        <v>107.839371</v>
      </c>
      <c r="N1195" s="89">
        <f t="shared" si="334"/>
        <v>9489.8646480000007</v>
      </c>
      <c r="O1195" s="90">
        <f t="shared" si="335"/>
        <v>-420.81643999999983</v>
      </c>
      <c r="P1195" s="93">
        <f t="shared" si="336"/>
        <v>-4.2460900140307234E-2</v>
      </c>
      <c r="Q1195" s="96"/>
      <c r="R1195" s="96"/>
      <c r="T1195" s="90">
        <f t="shared" si="330"/>
        <v>95</v>
      </c>
      <c r="U1195" s="89">
        <f t="shared" si="331"/>
        <v>103.31428490526316</v>
      </c>
      <c r="V1195" s="89">
        <f t="shared" si="332"/>
        <v>107.839371</v>
      </c>
      <c r="W1195" s="90">
        <f t="shared" si="337"/>
        <v>10244.740245000001</v>
      </c>
      <c r="X1195" s="98">
        <f t="shared" si="333"/>
        <v>4.3799229689159169E-2</v>
      </c>
      <c r="AB1195" s="89">
        <f t="shared" si="322"/>
        <v>195</v>
      </c>
      <c r="AC1195" s="89">
        <f t="shared" si="323"/>
        <v>51.179276000000002</v>
      </c>
      <c r="AD1195" s="89">
        <f t="shared" si="324"/>
        <v>107.839371</v>
      </c>
      <c r="AE1195" s="89">
        <f t="shared" si="325"/>
        <v>21028.677345</v>
      </c>
      <c r="AF1195" s="90">
        <f t="shared" si="328"/>
        <v>11048.718525</v>
      </c>
      <c r="AG1195" s="93">
        <f t="shared" si="329"/>
        <v>1.1070905926844294</v>
      </c>
      <c r="AK1195" s="90">
        <f t="shared" si="326"/>
        <v>142</v>
      </c>
      <c r="AL1195" s="89">
        <f t="shared" si="327"/>
        <v>68.865979063380294</v>
      </c>
      <c r="AM1195" s="89">
        <f t="shared" si="319"/>
        <v>107.839371</v>
      </c>
      <c r="AN1195" s="90">
        <f t="shared" si="320"/>
        <v>15313.190682</v>
      </c>
      <c r="AO1195" s="93">
        <f t="shared" si="321"/>
        <v>0.56593099331022145</v>
      </c>
    </row>
    <row r="1196" spans="2:41" x14ac:dyDescent="0.25">
      <c r="B1196" s="91">
        <v>41085</v>
      </c>
      <c r="C1196" s="89">
        <v>132.050003</v>
      </c>
      <c r="D1196" s="89">
        <v>132.10000600000001</v>
      </c>
      <c r="E1196" s="89">
        <v>130.85000600000001</v>
      </c>
      <c r="F1196" s="89">
        <v>131.320007</v>
      </c>
      <c r="G1196" s="89">
        <v>106.110168</v>
      </c>
      <c r="H1196" s="89">
        <v>146375700</v>
      </c>
      <c r="J1196" s="89">
        <v>0</v>
      </c>
      <c r="K1196" s="89">
        <f t="shared" si="338"/>
        <v>88</v>
      </c>
      <c r="L1196" s="89">
        <f t="shared" si="339"/>
        <v>112.621376</v>
      </c>
      <c r="M1196" s="89">
        <f>+SPY__2[[#This Row],[Adj Close]]</f>
        <v>106.110168</v>
      </c>
      <c r="N1196" s="89">
        <f t="shared" si="334"/>
        <v>9337.6947839999993</v>
      </c>
      <c r="O1196" s="90">
        <f t="shared" si="335"/>
        <v>-572.98630399999968</v>
      </c>
      <c r="P1196" s="93">
        <f t="shared" si="336"/>
        <v>-5.7815027939278618E-2</v>
      </c>
      <c r="Q1196" s="96"/>
      <c r="R1196" s="96"/>
      <c r="T1196" s="90">
        <f t="shared" si="330"/>
        <v>95</v>
      </c>
      <c r="U1196" s="89">
        <f t="shared" si="331"/>
        <v>103.31428490526316</v>
      </c>
      <c r="V1196" s="89">
        <f t="shared" si="332"/>
        <v>106.110168</v>
      </c>
      <c r="W1196" s="90">
        <f t="shared" si="337"/>
        <v>10080.46596</v>
      </c>
      <c r="X1196" s="98">
        <f t="shared" si="333"/>
        <v>2.7061921759421681E-2</v>
      </c>
      <c r="AB1196" s="89">
        <f t="shared" si="322"/>
        <v>195</v>
      </c>
      <c r="AC1196" s="89">
        <f t="shared" si="323"/>
        <v>51.179276000000002</v>
      </c>
      <c r="AD1196" s="89">
        <f t="shared" si="324"/>
        <v>106.110168</v>
      </c>
      <c r="AE1196" s="89">
        <f t="shared" si="325"/>
        <v>20691.482759999999</v>
      </c>
      <c r="AF1196" s="90">
        <f t="shared" si="328"/>
        <v>10711.523939999999</v>
      </c>
      <c r="AG1196" s="93">
        <f t="shared" si="329"/>
        <v>1.0733034207048964</v>
      </c>
      <c r="AK1196" s="90">
        <f t="shared" si="326"/>
        <v>142</v>
      </c>
      <c r="AL1196" s="89">
        <f t="shared" si="327"/>
        <v>68.865979063380294</v>
      </c>
      <c r="AM1196" s="89">
        <f t="shared" si="319"/>
        <v>106.110168</v>
      </c>
      <c r="AN1196" s="90">
        <f t="shared" si="320"/>
        <v>15067.643856000001</v>
      </c>
      <c r="AO1196" s="93">
        <f t="shared" si="321"/>
        <v>0.5408213089128131</v>
      </c>
    </row>
    <row r="1197" spans="2:41" x14ac:dyDescent="0.25">
      <c r="B1197" s="91">
        <v>41086</v>
      </c>
      <c r="C1197" s="89">
        <v>131.699997</v>
      </c>
      <c r="D1197" s="89">
        <v>132.38000500000001</v>
      </c>
      <c r="E1197" s="89">
        <v>130.929993</v>
      </c>
      <c r="F1197" s="89">
        <v>131.979996</v>
      </c>
      <c r="G1197" s="89">
        <v>106.643463</v>
      </c>
      <c r="H1197" s="89">
        <v>141634000</v>
      </c>
      <c r="J1197" s="89">
        <v>0</v>
      </c>
      <c r="K1197" s="89">
        <f t="shared" si="338"/>
        <v>88</v>
      </c>
      <c r="L1197" s="89">
        <f t="shared" si="339"/>
        <v>112.621376</v>
      </c>
      <c r="M1197" s="89">
        <f>+SPY__2[[#This Row],[Adj Close]]</f>
        <v>106.643463</v>
      </c>
      <c r="N1197" s="89">
        <f t="shared" si="334"/>
        <v>9384.6247440000006</v>
      </c>
      <c r="O1197" s="90">
        <f t="shared" si="335"/>
        <v>-526.05634400000008</v>
      </c>
      <c r="P1197" s="93">
        <f t="shared" si="336"/>
        <v>-5.3079736834328872E-2</v>
      </c>
      <c r="Q1197" s="96"/>
      <c r="R1197" s="96"/>
      <c r="T1197" s="90">
        <f t="shared" si="330"/>
        <v>95</v>
      </c>
      <c r="U1197" s="89">
        <f t="shared" si="331"/>
        <v>103.31428490526316</v>
      </c>
      <c r="V1197" s="89">
        <f t="shared" si="332"/>
        <v>106.643463</v>
      </c>
      <c r="W1197" s="90">
        <f t="shared" si="337"/>
        <v>10131.128984999999</v>
      </c>
      <c r="X1197" s="98">
        <f t="shared" si="333"/>
        <v>3.2223792651612682E-2</v>
      </c>
      <c r="AB1197" s="89">
        <f t="shared" si="322"/>
        <v>195</v>
      </c>
      <c r="AC1197" s="89">
        <f t="shared" si="323"/>
        <v>51.179276000000002</v>
      </c>
      <c r="AD1197" s="89">
        <f t="shared" si="324"/>
        <v>106.643463</v>
      </c>
      <c r="AE1197" s="89">
        <f t="shared" si="325"/>
        <v>20795.475285</v>
      </c>
      <c r="AF1197" s="90">
        <f t="shared" si="328"/>
        <v>10815.516464999999</v>
      </c>
      <c r="AG1197" s="93">
        <f t="shared" si="329"/>
        <v>1.0837235563863779</v>
      </c>
      <c r="AK1197" s="90">
        <f t="shared" si="326"/>
        <v>142</v>
      </c>
      <c r="AL1197" s="89">
        <f t="shared" si="327"/>
        <v>68.865979063380294</v>
      </c>
      <c r="AM1197" s="89">
        <f t="shared" ref="AM1197:AM1244" si="340">+AD1197</f>
        <v>106.643463</v>
      </c>
      <c r="AN1197" s="90">
        <f t="shared" ref="AN1197:AN1244" si="341">+AM1197*AK1197</f>
        <v>15143.371745999999</v>
      </c>
      <c r="AO1197" s="93">
        <f t="shared" ref="AO1197:AO1244" si="342">+AN1197/(AL1197*AK1197)-1</f>
        <v>0.54856526328989652</v>
      </c>
    </row>
    <row r="1198" spans="2:41" x14ac:dyDescent="0.25">
      <c r="B1198" s="91">
        <v>41087</v>
      </c>
      <c r="C1198" s="89">
        <v>132.41999799999999</v>
      </c>
      <c r="D1198" s="89">
        <v>133.429993</v>
      </c>
      <c r="E1198" s="89">
        <v>131.970001</v>
      </c>
      <c r="F1198" s="89">
        <v>133.16999799999999</v>
      </c>
      <c r="G1198" s="89">
        <v>107.605042</v>
      </c>
      <c r="H1198" s="89">
        <v>108088000</v>
      </c>
      <c r="J1198" s="89">
        <v>0</v>
      </c>
      <c r="K1198" s="89">
        <f t="shared" si="338"/>
        <v>88</v>
      </c>
      <c r="L1198" s="89">
        <f t="shared" si="339"/>
        <v>112.621376</v>
      </c>
      <c r="M1198" s="89">
        <f>+SPY__2[[#This Row],[Adj Close]]</f>
        <v>107.605042</v>
      </c>
      <c r="N1198" s="89">
        <f t="shared" si="334"/>
        <v>9469.2436959999995</v>
      </c>
      <c r="O1198" s="90">
        <f t="shared" si="335"/>
        <v>-441.43739200000005</v>
      </c>
      <c r="P1198" s="93">
        <f t="shared" si="336"/>
        <v>-4.454157974415085E-2</v>
      </c>
      <c r="Q1198" s="96"/>
      <c r="R1198" s="96"/>
      <c r="T1198" s="90">
        <f t="shared" si="330"/>
        <v>95</v>
      </c>
      <c r="U1198" s="89">
        <f t="shared" si="331"/>
        <v>103.31428490526316</v>
      </c>
      <c r="V1198" s="89">
        <f t="shared" si="332"/>
        <v>107.605042</v>
      </c>
      <c r="W1198" s="90">
        <f t="shared" si="337"/>
        <v>10222.47899</v>
      </c>
      <c r="X1198" s="98">
        <f t="shared" si="333"/>
        <v>4.153111158511491E-2</v>
      </c>
      <c r="AB1198" s="89">
        <f t="shared" ref="AB1198:AB1244" si="343">+AB1197</f>
        <v>195</v>
      </c>
      <c r="AC1198" s="89">
        <f t="shared" ref="AC1198:AC1244" si="344">+AC1197</f>
        <v>51.179276000000002</v>
      </c>
      <c r="AD1198" s="89">
        <f t="shared" ref="AD1198:AD1244" si="345">+V1198</f>
        <v>107.605042</v>
      </c>
      <c r="AE1198" s="89">
        <f t="shared" ref="AE1198:AE1244" si="346">+AB1198*AD1198</f>
        <v>20982.983189999999</v>
      </c>
      <c r="AF1198" s="90">
        <f t="shared" si="328"/>
        <v>11003.024369999999</v>
      </c>
      <c r="AG1198" s="93">
        <f t="shared" si="329"/>
        <v>1.1025120011467142</v>
      </c>
      <c r="AK1198" s="90">
        <f t="shared" ref="AK1198:AK1244" si="347">+AK1197</f>
        <v>142</v>
      </c>
      <c r="AL1198" s="89">
        <f t="shared" ref="AL1198:AL1244" si="348">+AL1197</f>
        <v>68.865979063380294</v>
      </c>
      <c r="AM1198" s="89">
        <f t="shared" si="340"/>
        <v>107.605042</v>
      </c>
      <c r="AN1198" s="90">
        <f t="shared" si="341"/>
        <v>15279.915964</v>
      </c>
      <c r="AO1198" s="93">
        <f t="shared" si="342"/>
        <v>0.56252831170767936</v>
      </c>
    </row>
    <row r="1199" spans="2:41" x14ac:dyDescent="0.25">
      <c r="B1199" s="91">
        <v>41088</v>
      </c>
      <c r="C1199" s="89">
        <v>132.28999300000001</v>
      </c>
      <c r="D1199" s="89">
        <v>132.990005</v>
      </c>
      <c r="E1199" s="89">
        <v>131.279999</v>
      </c>
      <c r="F1199" s="89">
        <v>132.78999300000001</v>
      </c>
      <c r="G1199" s="89">
        <v>107.297974</v>
      </c>
      <c r="H1199" s="89">
        <v>169242100</v>
      </c>
      <c r="J1199" s="89">
        <v>0</v>
      </c>
      <c r="K1199" s="89">
        <f t="shared" si="338"/>
        <v>88</v>
      </c>
      <c r="L1199" s="89">
        <f t="shared" si="339"/>
        <v>112.621376</v>
      </c>
      <c r="M1199" s="89">
        <f>+SPY__2[[#This Row],[Adj Close]]</f>
        <v>107.297974</v>
      </c>
      <c r="N1199" s="89">
        <f t="shared" si="334"/>
        <v>9442.2217120000005</v>
      </c>
      <c r="O1199" s="90">
        <f t="shared" si="335"/>
        <v>-468.45937600000013</v>
      </c>
      <c r="P1199" s="93">
        <f t="shared" si="336"/>
        <v>-4.7268131406954184E-2</v>
      </c>
      <c r="Q1199" s="96"/>
      <c r="R1199" s="96"/>
      <c r="T1199" s="90">
        <f t="shared" si="330"/>
        <v>95</v>
      </c>
      <c r="U1199" s="89">
        <f t="shared" si="331"/>
        <v>103.31428490526316</v>
      </c>
      <c r="V1199" s="89">
        <f t="shared" si="332"/>
        <v>107.297974</v>
      </c>
      <c r="W1199" s="90">
        <f t="shared" si="337"/>
        <v>10193.30753</v>
      </c>
      <c r="X1199" s="98">
        <f t="shared" si="333"/>
        <v>3.8558937889274336E-2</v>
      </c>
      <c r="AB1199" s="89">
        <f t="shared" si="343"/>
        <v>195</v>
      </c>
      <c r="AC1199" s="89">
        <f t="shared" si="344"/>
        <v>51.179276000000002</v>
      </c>
      <c r="AD1199" s="89">
        <f t="shared" si="345"/>
        <v>107.297974</v>
      </c>
      <c r="AE1199" s="89">
        <f t="shared" si="346"/>
        <v>20923.104929999998</v>
      </c>
      <c r="AF1199" s="90">
        <f t="shared" si="328"/>
        <v>10943.14611</v>
      </c>
      <c r="AG1199" s="93">
        <f t="shared" si="329"/>
        <v>1.0965121507385138</v>
      </c>
      <c r="AK1199" s="90">
        <f t="shared" si="347"/>
        <v>142</v>
      </c>
      <c r="AL1199" s="89">
        <f t="shared" si="348"/>
        <v>68.865979063380294</v>
      </c>
      <c r="AM1199" s="89">
        <f t="shared" si="340"/>
        <v>107.297974</v>
      </c>
      <c r="AN1199" s="90">
        <f t="shared" si="341"/>
        <v>15236.312307999999</v>
      </c>
      <c r="AO1199" s="93">
        <f t="shared" si="342"/>
        <v>0.55806939013019918</v>
      </c>
    </row>
    <row r="1200" spans="2:41" x14ac:dyDescent="0.25">
      <c r="B1200" s="91">
        <v>41089</v>
      </c>
      <c r="C1200" s="89">
        <v>135.199997</v>
      </c>
      <c r="D1200" s="89">
        <v>136.270004</v>
      </c>
      <c r="E1200" s="89">
        <v>134.85000600000001</v>
      </c>
      <c r="F1200" s="89">
        <v>136.10000600000001</v>
      </c>
      <c r="G1200" s="89">
        <v>109.97251900000001</v>
      </c>
      <c r="H1200" s="89">
        <v>212250900</v>
      </c>
      <c r="J1200" s="89">
        <v>0</v>
      </c>
      <c r="K1200" s="89">
        <f t="shared" si="338"/>
        <v>88</v>
      </c>
      <c r="L1200" s="89">
        <f t="shared" si="339"/>
        <v>112.621376</v>
      </c>
      <c r="M1200" s="89">
        <f>+SPY__2[[#This Row],[Adj Close]]</f>
        <v>109.97251900000001</v>
      </c>
      <c r="N1200" s="89">
        <f t="shared" si="334"/>
        <v>9677.5816720000003</v>
      </c>
      <c r="O1200" s="90">
        <f t="shared" si="335"/>
        <v>-233.09941599999934</v>
      </c>
      <c r="P1200" s="93">
        <f t="shared" si="336"/>
        <v>-2.3520019858397023E-2</v>
      </c>
      <c r="Q1200" s="96"/>
      <c r="R1200" s="96"/>
      <c r="T1200" s="90">
        <f t="shared" si="330"/>
        <v>95</v>
      </c>
      <c r="U1200" s="89">
        <f t="shared" si="331"/>
        <v>103.31428490526316</v>
      </c>
      <c r="V1200" s="89">
        <f t="shared" si="332"/>
        <v>109.97251900000001</v>
      </c>
      <c r="W1200" s="90">
        <f t="shared" si="337"/>
        <v>10447.389305000001</v>
      </c>
      <c r="X1200" s="98">
        <f t="shared" si="333"/>
        <v>6.4446403523407136E-2</v>
      </c>
      <c r="AB1200" s="89">
        <f t="shared" si="343"/>
        <v>195</v>
      </c>
      <c r="AC1200" s="89">
        <f t="shared" si="344"/>
        <v>51.179276000000002</v>
      </c>
      <c r="AD1200" s="89">
        <f t="shared" si="345"/>
        <v>109.97251900000001</v>
      </c>
      <c r="AE1200" s="89">
        <f t="shared" si="346"/>
        <v>21444.641205</v>
      </c>
      <c r="AF1200" s="90">
        <f t="shared" si="328"/>
        <v>11464.682385</v>
      </c>
      <c r="AG1200" s="93">
        <f t="shared" si="329"/>
        <v>1.1487705101572754</v>
      </c>
      <c r="AK1200" s="90">
        <f t="shared" si="347"/>
        <v>142</v>
      </c>
      <c r="AL1200" s="89">
        <f t="shared" si="348"/>
        <v>68.865979063380294</v>
      </c>
      <c r="AM1200" s="89">
        <f t="shared" si="340"/>
        <v>109.97251900000001</v>
      </c>
      <c r="AN1200" s="90">
        <f t="shared" si="341"/>
        <v>15616.097698000001</v>
      </c>
      <c r="AO1200" s="93">
        <f t="shared" si="342"/>
        <v>0.59690634614789428</v>
      </c>
    </row>
    <row r="1201" spans="2:41" x14ac:dyDescent="0.25">
      <c r="B1201" s="91">
        <v>41092</v>
      </c>
      <c r="C1201" s="89">
        <v>136.479996</v>
      </c>
      <c r="D1201" s="89">
        <v>136.64999399999999</v>
      </c>
      <c r="E1201" s="89">
        <v>135.520004</v>
      </c>
      <c r="F1201" s="89">
        <v>136.509995</v>
      </c>
      <c r="G1201" s="89">
        <v>110.30384100000001</v>
      </c>
      <c r="H1201" s="89">
        <v>129524500</v>
      </c>
      <c r="J1201" s="89">
        <v>0</v>
      </c>
      <c r="K1201" s="89">
        <f t="shared" si="338"/>
        <v>88</v>
      </c>
      <c r="L1201" s="89">
        <f t="shared" si="339"/>
        <v>112.621376</v>
      </c>
      <c r="M1201" s="89">
        <f>+SPY__2[[#This Row],[Adj Close]]</f>
        <v>110.30384100000001</v>
      </c>
      <c r="N1201" s="89">
        <f t="shared" si="334"/>
        <v>9706.7380080000003</v>
      </c>
      <c r="O1201" s="90">
        <f t="shared" si="335"/>
        <v>-203.94307999999933</v>
      </c>
      <c r="P1201" s="93">
        <f t="shared" si="336"/>
        <v>-2.0578109434571168E-2</v>
      </c>
      <c r="Q1201" s="96"/>
      <c r="R1201" s="96"/>
      <c r="T1201" s="90">
        <f t="shared" si="330"/>
        <v>95</v>
      </c>
      <c r="U1201" s="89">
        <f t="shared" si="331"/>
        <v>103.31428490526316</v>
      </c>
      <c r="V1201" s="89">
        <f t="shared" si="332"/>
        <v>110.30384100000001</v>
      </c>
      <c r="W1201" s="90">
        <f t="shared" si="337"/>
        <v>10478.864895000001</v>
      </c>
      <c r="X1201" s="98">
        <f t="shared" si="333"/>
        <v>6.7653336623740845E-2</v>
      </c>
      <c r="AB1201" s="89">
        <f t="shared" si="343"/>
        <v>195</v>
      </c>
      <c r="AC1201" s="89">
        <f t="shared" si="344"/>
        <v>51.179276000000002</v>
      </c>
      <c r="AD1201" s="89">
        <f t="shared" si="345"/>
        <v>110.30384100000001</v>
      </c>
      <c r="AE1201" s="89">
        <f t="shared" si="346"/>
        <v>21509.248995000002</v>
      </c>
      <c r="AF1201" s="90">
        <f t="shared" si="328"/>
        <v>11529.290175</v>
      </c>
      <c r="AG1201" s="93">
        <f t="shared" si="329"/>
        <v>1.1552442633225213</v>
      </c>
      <c r="AK1201" s="90">
        <f t="shared" si="347"/>
        <v>142</v>
      </c>
      <c r="AL1201" s="89">
        <f t="shared" si="348"/>
        <v>68.865979063380294</v>
      </c>
      <c r="AM1201" s="89">
        <f t="shared" si="340"/>
        <v>110.30384100000001</v>
      </c>
      <c r="AN1201" s="90">
        <f t="shared" si="341"/>
        <v>15663.145422000001</v>
      </c>
      <c r="AO1201" s="93">
        <f t="shared" si="342"/>
        <v>0.60171745904436635</v>
      </c>
    </row>
    <row r="1202" spans="2:41" x14ac:dyDescent="0.25">
      <c r="B1202" s="91">
        <v>41093</v>
      </c>
      <c r="C1202" s="89">
        <v>136.479996</v>
      </c>
      <c r="D1202" s="89">
        <v>137.509995</v>
      </c>
      <c r="E1202" s="89">
        <v>136.33999600000001</v>
      </c>
      <c r="F1202" s="89">
        <v>137.41000399999999</v>
      </c>
      <c r="G1202" s="89">
        <v>111.031052</v>
      </c>
      <c r="H1202" s="89">
        <v>80450000</v>
      </c>
      <c r="J1202" s="89">
        <v>0</v>
      </c>
      <c r="K1202" s="89">
        <f t="shared" si="338"/>
        <v>88</v>
      </c>
      <c r="L1202" s="89">
        <f t="shared" si="339"/>
        <v>112.621376</v>
      </c>
      <c r="M1202" s="89">
        <f>+SPY__2[[#This Row],[Adj Close]]</f>
        <v>111.031052</v>
      </c>
      <c r="N1202" s="89">
        <f t="shared" si="334"/>
        <v>9770.7325760000003</v>
      </c>
      <c r="O1202" s="90">
        <f t="shared" si="335"/>
        <v>-139.9485119999996</v>
      </c>
      <c r="P1202" s="93">
        <f t="shared" si="336"/>
        <v>-1.4120978241288773E-2</v>
      </c>
      <c r="Q1202" s="96"/>
      <c r="R1202" s="96"/>
      <c r="T1202" s="90">
        <f t="shared" si="330"/>
        <v>95</v>
      </c>
      <c r="U1202" s="89">
        <f t="shared" si="331"/>
        <v>103.31428490526316</v>
      </c>
      <c r="V1202" s="89">
        <f t="shared" si="332"/>
        <v>111.031052</v>
      </c>
      <c r="W1202" s="90">
        <f t="shared" si="337"/>
        <v>10547.94994</v>
      </c>
      <c r="X1202" s="98">
        <f t="shared" si="333"/>
        <v>7.4692159964258042E-2</v>
      </c>
      <c r="AB1202" s="89">
        <f t="shared" si="343"/>
        <v>195</v>
      </c>
      <c r="AC1202" s="89">
        <f t="shared" si="344"/>
        <v>51.179276000000002</v>
      </c>
      <c r="AD1202" s="89">
        <f t="shared" si="345"/>
        <v>111.031052</v>
      </c>
      <c r="AE1202" s="89">
        <f t="shared" si="346"/>
        <v>21651.05514</v>
      </c>
      <c r="AF1202" s="90">
        <f t="shared" ref="AF1202:AF1243" si="349">+(AD1202-AC1202)*AB1202</f>
        <v>11671.096320000001</v>
      </c>
      <c r="AG1202" s="93">
        <f t="shared" ref="AG1202:AG1243" si="350">+AD1202/AC1202-1</f>
        <v>1.16945335451795</v>
      </c>
      <c r="AK1202" s="90">
        <f t="shared" si="347"/>
        <v>142</v>
      </c>
      <c r="AL1202" s="89">
        <f t="shared" si="348"/>
        <v>68.865979063380294</v>
      </c>
      <c r="AM1202" s="89">
        <f t="shared" si="340"/>
        <v>111.031052</v>
      </c>
      <c r="AN1202" s="90">
        <f t="shared" si="341"/>
        <v>15766.409384000001</v>
      </c>
      <c r="AO1202" s="93">
        <f t="shared" si="342"/>
        <v>0.61227725954223944</v>
      </c>
    </row>
    <row r="1203" spans="2:41" x14ac:dyDescent="0.25">
      <c r="B1203" s="91">
        <v>41095</v>
      </c>
      <c r="C1203" s="89">
        <v>136.89999399999999</v>
      </c>
      <c r="D1203" s="89">
        <v>137.800003</v>
      </c>
      <c r="E1203" s="89">
        <v>136.28999300000001</v>
      </c>
      <c r="F1203" s="89">
        <v>136.78999300000001</v>
      </c>
      <c r="G1203" s="89">
        <v>110.530067</v>
      </c>
      <c r="H1203" s="89">
        <v>126177500</v>
      </c>
      <c r="J1203" s="89">
        <v>0</v>
      </c>
      <c r="K1203" s="89">
        <f t="shared" si="338"/>
        <v>88</v>
      </c>
      <c r="L1203" s="89">
        <f t="shared" si="339"/>
        <v>112.621376</v>
      </c>
      <c r="M1203" s="89">
        <f>+SPY__2[[#This Row],[Adj Close]]</f>
        <v>110.530067</v>
      </c>
      <c r="N1203" s="89">
        <f t="shared" si="334"/>
        <v>9726.645896</v>
      </c>
      <c r="O1203" s="90">
        <f t="shared" si="335"/>
        <v>-184.0351919999996</v>
      </c>
      <c r="P1203" s="93">
        <f t="shared" si="336"/>
        <v>-1.8569378871733822E-2</v>
      </c>
      <c r="Q1203" s="96"/>
      <c r="R1203" s="96"/>
      <c r="T1203" s="90">
        <f t="shared" si="330"/>
        <v>95</v>
      </c>
      <c r="U1203" s="89">
        <f t="shared" si="331"/>
        <v>103.31428490526316</v>
      </c>
      <c r="V1203" s="89">
        <f t="shared" si="332"/>
        <v>110.530067</v>
      </c>
      <c r="W1203" s="90">
        <f t="shared" si="337"/>
        <v>10500.356365</v>
      </c>
      <c r="X1203" s="98">
        <f t="shared" si="333"/>
        <v>6.9843024140887611E-2</v>
      </c>
      <c r="AB1203" s="89">
        <f t="shared" si="343"/>
        <v>195</v>
      </c>
      <c r="AC1203" s="89">
        <f t="shared" si="344"/>
        <v>51.179276000000002</v>
      </c>
      <c r="AD1203" s="89">
        <f t="shared" si="345"/>
        <v>110.530067</v>
      </c>
      <c r="AE1203" s="89">
        <f t="shared" si="346"/>
        <v>21553.363065000001</v>
      </c>
      <c r="AF1203" s="90">
        <f t="shared" si="349"/>
        <v>11573.404245</v>
      </c>
      <c r="AG1203" s="93">
        <f t="shared" si="350"/>
        <v>1.1596645290566441</v>
      </c>
      <c r="AK1203" s="90">
        <f t="shared" si="347"/>
        <v>142</v>
      </c>
      <c r="AL1203" s="89">
        <f t="shared" si="348"/>
        <v>68.865979063380294</v>
      </c>
      <c r="AM1203" s="89">
        <f t="shared" si="340"/>
        <v>110.530067</v>
      </c>
      <c r="AN1203" s="90">
        <f t="shared" si="341"/>
        <v>15695.269514</v>
      </c>
      <c r="AO1203" s="93">
        <f t="shared" si="342"/>
        <v>0.60500247732301138</v>
      </c>
    </row>
    <row r="1204" spans="2:41" x14ac:dyDescent="0.25">
      <c r="B1204" s="91">
        <v>41096</v>
      </c>
      <c r="C1204" s="89">
        <v>135.470001</v>
      </c>
      <c r="D1204" s="89">
        <v>135.770004</v>
      </c>
      <c r="E1204" s="89">
        <v>134.85000600000001</v>
      </c>
      <c r="F1204" s="89">
        <v>135.490005</v>
      </c>
      <c r="G1204" s="89">
        <v>109.479645</v>
      </c>
      <c r="H1204" s="89">
        <v>151192100</v>
      </c>
      <c r="J1204" s="89">
        <v>0</v>
      </c>
      <c r="K1204" s="89">
        <f t="shared" si="338"/>
        <v>88</v>
      </c>
      <c r="L1204" s="89">
        <f t="shared" si="339"/>
        <v>112.621376</v>
      </c>
      <c r="M1204" s="89">
        <f>+SPY__2[[#This Row],[Adj Close]]</f>
        <v>109.479645</v>
      </c>
      <c r="N1204" s="89">
        <f t="shared" si="334"/>
        <v>9634.2087600000013</v>
      </c>
      <c r="O1204" s="90">
        <f t="shared" si="335"/>
        <v>-276.47232799999938</v>
      </c>
      <c r="P1204" s="93">
        <f t="shared" si="336"/>
        <v>-2.789640041336372E-2</v>
      </c>
      <c r="Q1204" s="96"/>
      <c r="R1204" s="96"/>
      <c r="T1204" s="90">
        <f t="shared" si="330"/>
        <v>95</v>
      </c>
      <c r="U1204" s="89">
        <f t="shared" si="331"/>
        <v>103.31428490526316</v>
      </c>
      <c r="V1204" s="89">
        <f t="shared" si="332"/>
        <v>109.479645</v>
      </c>
      <c r="W1204" s="90">
        <f t="shared" si="337"/>
        <v>10400.566275000001</v>
      </c>
      <c r="X1204" s="98">
        <f t="shared" si="333"/>
        <v>5.9675775720563262E-2</v>
      </c>
      <c r="AB1204" s="89">
        <f t="shared" si="343"/>
        <v>195</v>
      </c>
      <c r="AC1204" s="89">
        <f t="shared" si="344"/>
        <v>51.179276000000002</v>
      </c>
      <c r="AD1204" s="89">
        <f t="shared" si="345"/>
        <v>109.479645</v>
      </c>
      <c r="AE1204" s="89">
        <f t="shared" si="346"/>
        <v>21348.530774999999</v>
      </c>
      <c r="AF1204" s="90">
        <f t="shared" si="349"/>
        <v>11368.571955000001</v>
      </c>
      <c r="AG1204" s="93">
        <f t="shared" si="350"/>
        <v>1.1391401668128327</v>
      </c>
      <c r="AK1204" s="90">
        <f t="shared" si="347"/>
        <v>142</v>
      </c>
      <c r="AL1204" s="89">
        <f t="shared" si="348"/>
        <v>68.865979063380294</v>
      </c>
      <c r="AM1204" s="89">
        <f t="shared" si="340"/>
        <v>109.479645</v>
      </c>
      <c r="AN1204" s="90">
        <f t="shared" si="341"/>
        <v>15546.10959</v>
      </c>
      <c r="AO1204" s="93">
        <f t="shared" si="342"/>
        <v>0.58974934342022833</v>
      </c>
    </row>
    <row r="1205" spans="2:41" x14ac:dyDescent="0.25">
      <c r="B1205" s="91">
        <v>41099</v>
      </c>
      <c r="C1205" s="89">
        <v>135.38000500000001</v>
      </c>
      <c r="D1205" s="89">
        <v>135.570007</v>
      </c>
      <c r="E1205" s="89">
        <v>134.699997</v>
      </c>
      <c r="F1205" s="89">
        <v>135.320007</v>
      </c>
      <c r="G1205" s="89">
        <v>109.34229999999999</v>
      </c>
      <c r="H1205" s="89">
        <v>103780500</v>
      </c>
      <c r="J1205" s="89">
        <v>0</v>
      </c>
      <c r="K1205" s="89">
        <f t="shared" si="338"/>
        <v>88</v>
      </c>
      <c r="L1205" s="89">
        <f t="shared" si="339"/>
        <v>112.621376</v>
      </c>
      <c r="M1205" s="89">
        <f>+SPY__2[[#This Row],[Adj Close]]</f>
        <v>109.34229999999999</v>
      </c>
      <c r="N1205" s="89">
        <f t="shared" si="334"/>
        <v>9622.1224000000002</v>
      </c>
      <c r="O1205" s="90">
        <f t="shared" si="335"/>
        <v>-288.5586880000003</v>
      </c>
      <c r="P1205" s="93">
        <f t="shared" si="336"/>
        <v>-2.9115929111006467E-2</v>
      </c>
      <c r="Q1205" s="96"/>
      <c r="R1205" s="96"/>
      <c r="T1205" s="90">
        <f t="shared" si="330"/>
        <v>95</v>
      </c>
      <c r="U1205" s="89">
        <f t="shared" si="331"/>
        <v>103.31428490526316</v>
      </c>
      <c r="V1205" s="89">
        <f t="shared" si="332"/>
        <v>109.34229999999999</v>
      </c>
      <c r="W1205" s="90">
        <f t="shared" si="337"/>
        <v>10387.5185</v>
      </c>
      <c r="X1205" s="98">
        <f t="shared" si="333"/>
        <v>5.834638549997595E-2</v>
      </c>
      <c r="AB1205" s="89">
        <f t="shared" si="343"/>
        <v>195</v>
      </c>
      <c r="AC1205" s="89">
        <f t="shared" si="344"/>
        <v>51.179276000000002</v>
      </c>
      <c r="AD1205" s="89">
        <f t="shared" si="345"/>
        <v>109.34229999999999</v>
      </c>
      <c r="AE1205" s="89">
        <f t="shared" si="346"/>
        <v>21321.748499999998</v>
      </c>
      <c r="AF1205" s="90">
        <f t="shared" si="349"/>
        <v>11341.789679999998</v>
      </c>
      <c r="AG1205" s="93">
        <f t="shared" si="350"/>
        <v>1.1364565610502186</v>
      </c>
      <c r="AK1205" s="90">
        <f t="shared" si="347"/>
        <v>142</v>
      </c>
      <c r="AL1205" s="89">
        <f t="shared" si="348"/>
        <v>68.865979063380294</v>
      </c>
      <c r="AM1205" s="89">
        <f t="shared" si="340"/>
        <v>109.34229999999999</v>
      </c>
      <c r="AN1205" s="90">
        <f t="shared" si="341"/>
        <v>15526.606599999999</v>
      </c>
      <c r="AO1205" s="93">
        <f t="shared" si="342"/>
        <v>0.58775496242299297</v>
      </c>
    </row>
    <row r="1206" spans="2:41" x14ac:dyDescent="0.25">
      <c r="B1206" s="91">
        <v>41100</v>
      </c>
      <c r="C1206" s="89">
        <v>136.009995</v>
      </c>
      <c r="D1206" s="89">
        <v>136.229996</v>
      </c>
      <c r="E1206" s="89">
        <v>133.679993</v>
      </c>
      <c r="F1206" s="89">
        <v>134.13999899999999</v>
      </c>
      <c r="G1206" s="89">
        <v>108.38880899999999</v>
      </c>
      <c r="H1206" s="89">
        <v>167884800</v>
      </c>
      <c r="J1206" s="89">
        <v>0</v>
      </c>
      <c r="K1206" s="89">
        <f t="shared" si="338"/>
        <v>88</v>
      </c>
      <c r="L1206" s="89">
        <f t="shared" si="339"/>
        <v>112.621376</v>
      </c>
      <c r="M1206" s="89">
        <f>+SPY__2[[#This Row],[Adj Close]]</f>
        <v>108.38880899999999</v>
      </c>
      <c r="N1206" s="89">
        <f t="shared" si="334"/>
        <v>9538.2151919999997</v>
      </c>
      <c r="O1206" s="90">
        <f t="shared" si="335"/>
        <v>-372.46589600000027</v>
      </c>
      <c r="P1206" s="93">
        <f t="shared" si="336"/>
        <v>-3.758227034981354E-2</v>
      </c>
      <c r="Q1206" s="96"/>
      <c r="R1206" s="96"/>
      <c r="T1206" s="90">
        <f t="shared" si="330"/>
        <v>95</v>
      </c>
      <c r="U1206" s="89">
        <f t="shared" si="331"/>
        <v>103.31428490526316</v>
      </c>
      <c r="V1206" s="89">
        <f t="shared" si="332"/>
        <v>108.38880899999999</v>
      </c>
      <c r="W1206" s="90">
        <f t="shared" si="337"/>
        <v>10296.936855</v>
      </c>
      <c r="X1206" s="98">
        <f t="shared" si="333"/>
        <v>4.9117351965316969E-2</v>
      </c>
      <c r="AB1206" s="89">
        <f t="shared" si="343"/>
        <v>195</v>
      </c>
      <c r="AC1206" s="89">
        <f t="shared" si="344"/>
        <v>51.179276000000002</v>
      </c>
      <c r="AD1206" s="89">
        <f t="shared" si="345"/>
        <v>108.38880899999999</v>
      </c>
      <c r="AE1206" s="89">
        <f t="shared" si="346"/>
        <v>21135.817755</v>
      </c>
      <c r="AF1206" s="90">
        <f t="shared" si="349"/>
        <v>11155.858934999998</v>
      </c>
      <c r="AG1206" s="93">
        <f t="shared" si="350"/>
        <v>1.1178261490060937</v>
      </c>
      <c r="AK1206" s="90">
        <f t="shared" si="347"/>
        <v>142</v>
      </c>
      <c r="AL1206" s="89">
        <f t="shared" si="348"/>
        <v>68.865979063380294</v>
      </c>
      <c r="AM1206" s="89">
        <f t="shared" si="340"/>
        <v>108.38880899999999</v>
      </c>
      <c r="AN1206" s="90">
        <f t="shared" si="341"/>
        <v>15391.210878</v>
      </c>
      <c r="AO1206" s="93">
        <f t="shared" si="342"/>
        <v>0.57390935951473465</v>
      </c>
    </row>
    <row r="1207" spans="2:41" x14ac:dyDescent="0.25">
      <c r="B1207" s="91">
        <v>41101</v>
      </c>
      <c r="C1207" s="89">
        <v>134.21000699999999</v>
      </c>
      <c r="D1207" s="89">
        <v>134.60000600000001</v>
      </c>
      <c r="E1207" s="89">
        <v>133.38000500000001</v>
      </c>
      <c r="F1207" s="89">
        <v>134.16000399999999</v>
      </c>
      <c r="G1207" s="89">
        <v>108.404945</v>
      </c>
      <c r="H1207" s="89">
        <v>141733400</v>
      </c>
      <c r="J1207" s="89">
        <v>0</v>
      </c>
      <c r="K1207" s="89">
        <f t="shared" si="338"/>
        <v>88</v>
      </c>
      <c r="L1207" s="89">
        <f t="shared" si="339"/>
        <v>112.621376</v>
      </c>
      <c r="M1207" s="89">
        <f>+SPY__2[[#This Row],[Adj Close]]</f>
        <v>108.404945</v>
      </c>
      <c r="N1207" s="89">
        <f t="shared" si="334"/>
        <v>9539.6351599999998</v>
      </c>
      <c r="O1207" s="90">
        <f t="shared" si="335"/>
        <v>-371.045928</v>
      </c>
      <c r="P1207" s="93">
        <f t="shared" si="336"/>
        <v>-3.7438993819432609E-2</v>
      </c>
      <c r="Q1207" s="96"/>
      <c r="R1207" s="96"/>
      <c r="T1207" s="90">
        <f t="shared" si="330"/>
        <v>95</v>
      </c>
      <c r="U1207" s="89">
        <f t="shared" si="331"/>
        <v>103.31428490526316</v>
      </c>
      <c r="V1207" s="89">
        <f t="shared" si="332"/>
        <v>108.404945</v>
      </c>
      <c r="W1207" s="90">
        <f t="shared" si="337"/>
        <v>10298.469775</v>
      </c>
      <c r="X1207" s="98">
        <f t="shared" si="333"/>
        <v>4.9273535594858364E-2</v>
      </c>
      <c r="AB1207" s="89">
        <f t="shared" si="343"/>
        <v>195</v>
      </c>
      <c r="AC1207" s="89">
        <f t="shared" si="344"/>
        <v>51.179276000000002</v>
      </c>
      <c r="AD1207" s="89">
        <f t="shared" si="345"/>
        <v>108.404945</v>
      </c>
      <c r="AE1207" s="89">
        <f t="shared" si="346"/>
        <v>21138.964274999998</v>
      </c>
      <c r="AF1207" s="90">
        <f t="shared" si="349"/>
        <v>11159.005454999999</v>
      </c>
      <c r="AG1207" s="93">
        <f t="shared" si="350"/>
        <v>1.1181414328721648</v>
      </c>
      <c r="AK1207" s="90">
        <f t="shared" si="347"/>
        <v>142</v>
      </c>
      <c r="AL1207" s="89">
        <f t="shared" si="348"/>
        <v>68.865979063380294</v>
      </c>
      <c r="AM1207" s="89">
        <f t="shared" si="340"/>
        <v>108.404945</v>
      </c>
      <c r="AN1207" s="90">
        <f t="shared" si="341"/>
        <v>15393.502189999999</v>
      </c>
      <c r="AO1207" s="93">
        <f t="shared" si="342"/>
        <v>0.5741436696954576</v>
      </c>
    </row>
    <row r="1208" spans="2:41" x14ac:dyDescent="0.25">
      <c r="B1208" s="91">
        <v>41102</v>
      </c>
      <c r="C1208" s="89">
        <v>133.38000500000001</v>
      </c>
      <c r="D1208" s="89">
        <v>134.229996</v>
      </c>
      <c r="E1208" s="89">
        <v>132.60000600000001</v>
      </c>
      <c r="F1208" s="89">
        <v>133.509995</v>
      </c>
      <c r="G1208" s="89">
        <v>107.879784</v>
      </c>
      <c r="H1208" s="89">
        <v>143583200</v>
      </c>
      <c r="J1208" s="89">
        <v>0</v>
      </c>
      <c r="K1208" s="89">
        <f t="shared" si="338"/>
        <v>88</v>
      </c>
      <c r="L1208" s="89">
        <f t="shared" si="339"/>
        <v>112.621376</v>
      </c>
      <c r="M1208" s="89">
        <f>+SPY__2[[#This Row],[Adj Close]]</f>
        <v>107.879784</v>
      </c>
      <c r="N1208" s="89">
        <f t="shared" si="334"/>
        <v>9493.4209919999994</v>
      </c>
      <c r="O1208" s="90">
        <f t="shared" si="335"/>
        <v>-417.26009599999975</v>
      </c>
      <c r="P1208" s="93">
        <f t="shared" si="336"/>
        <v>-4.2102060624796489E-2</v>
      </c>
      <c r="Q1208" s="96"/>
      <c r="R1208" s="96"/>
      <c r="T1208" s="90">
        <f t="shared" si="330"/>
        <v>95</v>
      </c>
      <c r="U1208" s="89">
        <f t="shared" si="331"/>
        <v>103.31428490526316</v>
      </c>
      <c r="V1208" s="89">
        <f t="shared" si="332"/>
        <v>107.879784</v>
      </c>
      <c r="W1208" s="90">
        <f t="shared" si="337"/>
        <v>10248.57948</v>
      </c>
      <c r="X1208" s="98">
        <f t="shared" si="333"/>
        <v>4.4190395344877009E-2</v>
      </c>
      <c r="AB1208" s="89">
        <f t="shared" si="343"/>
        <v>195</v>
      </c>
      <c r="AC1208" s="89">
        <f t="shared" si="344"/>
        <v>51.179276000000002</v>
      </c>
      <c r="AD1208" s="89">
        <f t="shared" si="345"/>
        <v>107.879784</v>
      </c>
      <c r="AE1208" s="89">
        <f t="shared" si="346"/>
        <v>21036.55788</v>
      </c>
      <c r="AF1208" s="90">
        <f t="shared" si="349"/>
        <v>11056.59906</v>
      </c>
      <c r="AG1208" s="93">
        <f t="shared" si="350"/>
        <v>1.1078802287081984</v>
      </c>
      <c r="AK1208" s="90">
        <f t="shared" si="347"/>
        <v>142</v>
      </c>
      <c r="AL1208" s="89">
        <f t="shared" si="348"/>
        <v>68.865979063380294</v>
      </c>
      <c r="AM1208" s="89">
        <f t="shared" si="340"/>
        <v>107.879784</v>
      </c>
      <c r="AN1208" s="90">
        <f t="shared" si="341"/>
        <v>15318.929328</v>
      </c>
      <c r="AO1208" s="93">
        <f t="shared" si="342"/>
        <v>0.56651782879197365</v>
      </c>
    </row>
    <row r="1209" spans="2:41" x14ac:dyDescent="0.25">
      <c r="B1209" s="91">
        <v>41103</v>
      </c>
      <c r="C1209" s="89">
        <v>133.86000100000001</v>
      </c>
      <c r="D1209" s="89">
        <v>135.88999899999999</v>
      </c>
      <c r="E1209" s="89">
        <v>133.83999600000001</v>
      </c>
      <c r="F1209" s="89">
        <v>135.75</v>
      </c>
      <c r="G1209" s="89">
        <v>109.68971999999999</v>
      </c>
      <c r="H1209" s="89">
        <v>129642600</v>
      </c>
      <c r="J1209" s="89">
        <v>0</v>
      </c>
      <c r="K1209" s="89">
        <f t="shared" si="338"/>
        <v>88</v>
      </c>
      <c r="L1209" s="89">
        <f t="shared" si="339"/>
        <v>112.621376</v>
      </c>
      <c r="M1209" s="89">
        <f>+SPY__2[[#This Row],[Adj Close]]</f>
        <v>109.68971999999999</v>
      </c>
      <c r="N1209" s="89">
        <f t="shared" si="334"/>
        <v>9652.6953599999997</v>
      </c>
      <c r="O1209" s="90">
        <f t="shared" si="335"/>
        <v>-257.98572800000034</v>
      </c>
      <c r="P1209" s="93">
        <f t="shared" si="336"/>
        <v>-2.6031079570542626E-2</v>
      </c>
      <c r="Q1209" s="96"/>
      <c r="R1209" s="96"/>
      <c r="T1209" s="90">
        <f t="shared" si="330"/>
        <v>95</v>
      </c>
      <c r="U1209" s="89">
        <f t="shared" si="331"/>
        <v>103.31428490526316</v>
      </c>
      <c r="V1209" s="89">
        <f t="shared" si="332"/>
        <v>109.68971999999999</v>
      </c>
      <c r="W1209" s="90">
        <f t="shared" si="337"/>
        <v>10420.5234</v>
      </c>
      <c r="X1209" s="98">
        <f t="shared" si="333"/>
        <v>6.1709134420113942E-2</v>
      </c>
      <c r="AB1209" s="89">
        <f t="shared" si="343"/>
        <v>195</v>
      </c>
      <c r="AC1209" s="89">
        <f t="shared" si="344"/>
        <v>51.179276000000002</v>
      </c>
      <c r="AD1209" s="89">
        <f t="shared" si="345"/>
        <v>109.68971999999999</v>
      </c>
      <c r="AE1209" s="89">
        <f t="shared" si="346"/>
        <v>21389.4954</v>
      </c>
      <c r="AF1209" s="90">
        <f t="shared" si="349"/>
        <v>11409.536579999998</v>
      </c>
      <c r="AG1209" s="93">
        <f t="shared" si="350"/>
        <v>1.143244855593502</v>
      </c>
      <c r="AK1209" s="90">
        <f t="shared" si="347"/>
        <v>142</v>
      </c>
      <c r="AL1209" s="89">
        <f t="shared" si="348"/>
        <v>68.865979063380294</v>
      </c>
      <c r="AM1209" s="89">
        <f t="shared" si="340"/>
        <v>109.68971999999999</v>
      </c>
      <c r="AN1209" s="90">
        <f t="shared" si="341"/>
        <v>15575.94024</v>
      </c>
      <c r="AO1209" s="93">
        <f t="shared" si="342"/>
        <v>0.59279983370377831</v>
      </c>
    </row>
    <row r="1210" spans="2:41" x14ac:dyDescent="0.25">
      <c r="B1210" s="91">
        <v>41106</v>
      </c>
      <c r="C1210" s="89">
        <v>135.44000199999999</v>
      </c>
      <c r="D1210" s="89">
        <v>135.83000200000001</v>
      </c>
      <c r="E1210" s="89">
        <v>134.89999399999999</v>
      </c>
      <c r="F1210" s="89">
        <v>135.429993</v>
      </c>
      <c r="G1210" s="89">
        <v>109.43113700000001</v>
      </c>
      <c r="H1210" s="89">
        <v>97525200</v>
      </c>
      <c r="J1210" s="89">
        <v>0</v>
      </c>
      <c r="K1210" s="89">
        <f t="shared" si="338"/>
        <v>88</v>
      </c>
      <c r="L1210" s="89">
        <f t="shared" si="339"/>
        <v>112.621376</v>
      </c>
      <c r="M1210" s="89">
        <f>+SPY__2[[#This Row],[Adj Close]]</f>
        <v>109.43113700000001</v>
      </c>
      <c r="N1210" s="89">
        <f t="shared" si="334"/>
        <v>9629.9400560000013</v>
      </c>
      <c r="O1210" s="90">
        <f t="shared" si="335"/>
        <v>-280.74103199999922</v>
      </c>
      <c r="P1210" s="93">
        <f t="shared" si="336"/>
        <v>-2.8327117935408541E-2</v>
      </c>
      <c r="Q1210" s="96"/>
      <c r="R1210" s="96"/>
      <c r="T1210" s="90">
        <f t="shared" si="330"/>
        <v>95</v>
      </c>
      <c r="U1210" s="89">
        <f t="shared" si="331"/>
        <v>103.31428490526316</v>
      </c>
      <c r="V1210" s="89">
        <f t="shared" si="332"/>
        <v>109.43113700000001</v>
      </c>
      <c r="W1210" s="90">
        <f t="shared" si="337"/>
        <v>10395.958015</v>
      </c>
      <c r="X1210" s="98">
        <f t="shared" si="333"/>
        <v>5.9206256911576771E-2</v>
      </c>
      <c r="AB1210" s="89">
        <f t="shared" si="343"/>
        <v>195</v>
      </c>
      <c r="AC1210" s="89">
        <f t="shared" si="344"/>
        <v>51.179276000000002</v>
      </c>
      <c r="AD1210" s="89">
        <f t="shared" si="345"/>
        <v>109.43113700000001</v>
      </c>
      <c r="AE1210" s="89">
        <f t="shared" si="346"/>
        <v>21339.071715000002</v>
      </c>
      <c r="AF1210" s="90">
        <f t="shared" si="349"/>
        <v>11359.112895</v>
      </c>
      <c r="AG1210" s="93">
        <f t="shared" si="350"/>
        <v>1.1381923612987412</v>
      </c>
      <c r="AK1210" s="90">
        <f t="shared" si="347"/>
        <v>142</v>
      </c>
      <c r="AL1210" s="89">
        <f t="shared" si="348"/>
        <v>68.865979063380294</v>
      </c>
      <c r="AM1210" s="89">
        <f t="shared" si="340"/>
        <v>109.43113700000001</v>
      </c>
      <c r="AN1210" s="90">
        <f t="shared" si="341"/>
        <v>15539.221454</v>
      </c>
      <c r="AO1210" s="93">
        <f t="shared" si="342"/>
        <v>0.58904496078224455</v>
      </c>
    </row>
    <row r="1211" spans="2:41" x14ac:dyDescent="0.25">
      <c r="B1211" s="91">
        <v>41107</v>
      </c>
      <c r="C1211" s="89">
        <v>135.970001</v>
      </c>
      <c r="D1211" s="89">
        <v>136.63999899999999</v>
      </c>
      <c r="E1211" s="89">
        <v>134.550003</v>
      </c>
      <c r="F1211" s="89">
        <v>136.36000100000001</v>
      </c>
      <c r="G1211" s="89">
        <v>110.182648</v>
      </c>
      <c r="H1211" s="89">
        <v>138860300</v>
      </c>
      <c r="J1211" s="89">
        <v>0</v>
      </c>
      <c r="K1211" s="89">
        <f t="shared" si="338"/>
        <v>88</v>
      </c>
      <c r="L1211" s="89">
        <f t="shared" si="339"/>
        <v>112.621376</v>
      </c>
      <c r="M1211" s="89">
        <f>+SPY__2[[#This Row],[Adj Close]]</f>
        <v>110.182648</v>
      </c>
      <c r="N1211" s="89">
        <f t="shared" si="334"/>
        <v>9696.0730239999994</v>
      </c>
      <c r="O1211" s="90">
        <f t="shared" si="335"/>
        <v>-214.60806399999979</v>
      </c>
      <c r="P1211" s="93">
        <f t="shared" si="336"/>
        <v>-2.1654219532888708E-2</v>
      </c>
      <c r="Q1211" s="96"/>
      <c r="R1211" s="96"/>
      <c r="T1211" s="90">
        <f t="shared" si="330"/>
        <v>95</v>
      </c>
      <c r="U1211" s="89">
        <f t="shared" si="331"/>
        <v>103.31428490526316</v>
      </c>
      <c r="V1211" s="89">
        <f t="shared" si="332"/>
        <v>110.182648</v>
      </c>
      <c r="W1211" s="90">
        <f t="shared" si="337"/>
        <v>10467.351559999999</v>
      </c>
      <c r="X1211" s="98">
        <f t="shared" si="333"/>
        <v>6.6480284899953279E-2</v>
      </c>
      <c r="AB1211" s="89">
        <f t="shared" si="343"/>
        <v>195</v>
      </c>
      <c r="AC1211" s="89">
        <f t="shared" si="344"/>
        <v>51.179276000000002</v>
      </c>
      <c r="AD1211" s="89">
        <f t="shared" si="345"/>
        <v>110.182648</v>
      </c>
      <c r="AE1211" s="89">
        <f t="shared" si="346"/>
        <v>21485.61636</v>
      </c>
      <c r="AF1211" s="90">
        <f t="shared" si="349"/>
        <v>11505.65754</v>
      </c>
      <c r="AG1211" s="93">
        <f t="shared" si="350"/>
        <v>1.152876254052519</v>
      </c>
      <c r="AK1211" s="90">
        <f t="shared" si="347"/>
        <v>142</v>
      </c>
      <c r="AL1211" s="89">
        <f t="shared" si="348"/>
        <v>68.865979063380294</v>
      </c>
      <c r="AM1211" s="89">
        <f t="shared" si="340"/>
        <v>110.182648</v>
      </c>
      <c r="AN1211" s="90">
        <f t="shared" si="341"/>
        <v>15645.936016</v>
      </c>
      <c r="AO1211" s="93">
        <f t="shared" si="342"/>
        <v>0.59995762056318425</v>
      </c>
    </row>
    <row r="1212" spans="2:41" x14ac:dyDescent="0.25">
      <c r="B1212" s="91">
        <v>41108</v>
      </c>
      <c r="C1212" s="89">
        <v>136.03999300000001</v>
      </c>
      <c r="D1212" s="89">
        <v>137.63999899999999</v>
      </c>
      <c r="E1212" s="89">
        <v>135.96000699999999</v>
      </c>
      <c r="F1212" s="89">
        <v>137.36999499999999</v>
      </c>
      <c r="G1212" s="89">
        <v>110.998734</v>
      </c>
      <c r="H1212" s="89">
        <v>113349700</v>
      </c>
      <c r="J1212" s="89">
        <v>0</v>
      </c>
      <c r="K1212" s="89">
        <f t="shared" si="338"/>
        <v>88</v>
      </c>
      <c r="L1212" s="89">
        <f t="shared" si="339"/>
        <v>112.621376</v>
      </c>
      <c r="M1212" s="89">
        <f>+SPY__2[[#This Row],[Adj Close]]</f>
        <v>110.998734</v>
      </c>
      <c r="N1212" s="89">
        <f t="shared" si="334"/>
        <v>9767.8885919999993</v>
      </c>
      <c r="O1212" s="90">
        <f t="shared" si="335"/>
        <v>-142.79249599999991</v>
      </c>
      <c r="P1212" s="93">
        <f t="shared" si="336"/>
        <v>-1.4407939750265553E-2</v>
      </c>
      <c r="Q1212" s="96"/>
      <c r="R1212" s="96"/>
      <c r="T1212" s="90">
        <f t="shared" si="330"/>
        <v>95</v>
      </c>
      <c r="U1212" s="89">
        <f t="shared" si="331"/>
        <v>103.31428490526316</v>
      </c>
      <c r="V1212" s="89">
        <f t="shared" si="332"/>
        <v>110.998734</v>
      </c>
      <c r="W1212" s="90">
        <f t="shared" si="337"/>
        <v>10544.879730000001</v>
      </c>
      <c r="X1212" s="98">
        <f t="shared" si="333"/>
        <v>7.4379347461808409E-2</v>
      </c>
      <c r="AB1212" s="89">
        <f t="shared" si="343"/>
        <v>195</v>
      </c>
      <c r="AC1212" s="89">
        <f t="shared" si="344"/>
        <v>51.179276000000002</v>
      </c>
      <c r="AD1212" s="89">
        <f t="shared" si="345"/>
        <v>110.998734</v>
      </c>
      <c r="AE1212" s="89">
        <f t="shared" si="346"/>
        <v>21644.753130000001</v>
      </c>
      <c r="AF1212" s="90">
        <f t="shared" si="349"/>
        <v>11664.794309999999</v>
      </c>
      <c r="AG1212" s="93">
        <f t="shared" si="350"/>
        <v>1.1688218879845036</v>
      </c>
      <c r="AK1212" s="90">
        <f t="shared" si="347"/>
        <v>142</v>
      </c>
      <c r="AL1212" s="89">
        <f t="shared" si="348"/>
        <v>68.865979063380294</v>
      </c>
      <c r="AM1212" s="89">
        <f t="shared" si="340"/>
        <v>110.998734</v>
      </c>
      <c r="AN1212" s="90">
        <f t="shared" si="341"/>
        <v>15761.820228</v>
      </c>
      <c r="AO1212" s="93">
        <f t="shared" si="342"/>
        <v>0.61180797121671859</v>
      </c>
    </row>
    <row r="1213" spans="2:41" x14ac:dyDescent="0.25">
      <c r="B1213" s="91">
        <v>41109</v>
      </c>
      <c r="C1213" s="89">
        <v>137.64999399999999</v>
      </c>
      <c r="D1213" s="89">
        <v>138.179993</v>
      </c>
      <c r="E1213" s="89">
        <v>137.21000699999999</v>
      </c>
      <c r="F1213" s="89">
        <v>137.729996</v>
      </c>
      <c r="G1213" s="89">
        <v>111.289619</v>
      </c>
      <c r="H1213" s="89">
        <v>129847300</v>
      </c>
      <c r="J1213" s="89">
        <v>0</v>
      </c>
      <c r="K1213" s="89">
        <f t="shared" si="338"/>
        <v>88</v>
      </c>
      <c r="L1213" s="89">
        <f t="shared" si="339"/>
        <v>112.621376</v>
      </c>
      <c r="M1213" s="89">
        <f>+SPY__2[[#This Row],[Adj Close]]</f>
        <v>111.289619</v>
      </c>
      <c r="N1213" s="89">
        <f t="shared" si="334"/>
        <v>9793.4864720000005</v>
      </c>
      <c r="O1213" s="90">
        <f t="shared" si="335"/>
        <v>-117.19461599999966</v>
      </c>
      <c r="P1213" s="93">
        <f t="shared" si="336"/>
        <v>-1.1825081945367022E-2</v>
      </c>
      <c r="Q1213" s="96"/>
      <c r="R1213" s="96"/>
      <c r="T1213" s="90">
        <f t="shared" si="330"/>
        <v>95</v>
      </c>
      <c r="U1213" s="89">
        <f t="shared" si="331"/>
        <v>103.31428490526316</v>
      </c>
      <c r="V1213" s="89">
        <f t="shared" si="332"/>
        <v>111.289619</v>
      </c>
      <c r="W1213" s="90">
        <f t="shared" si="337"/>
        <v>10572.513805000001</v>
      </c>
      <c r="X1213" s="98">
        <f t="shared" si="333"/>
        <v>7.7194882605537529E-2</v>
      </c>
      <c r="AB1213" s="89">
        <f t="shared" si="343"/>
        <v>195</v>
      </c>
      <c r="AC1213" s="89">
        <f t="shared" si="344"/>
        <v>51.179276000000002</v>
      </c>
      <c r="AD1213" s="89">
        <f t="shared" si="345"/>
        <v>111.289619</v>
      </c>
      <c r="AE1213" s="89">
        <f t="shared" si="346"/>
        <v>21701.475705000001</v>
      </c>
      <c r="AF1213" s="90">
        <f t="shared" si="349"/>
        <v>11721.516885000001</v>
      </c>
      <c r="AG1213" s="93">
        <f t="shared" si="350"/>
        <v>1.1745055361861705</v>
      </c>
      <c r="AK1213" s="90">
        <f t="shared" si="347"/>
        <v>142</v>
      </c>
      <c r="AL1213" s="89">
        <f t="shared" si="348"/>
        <v>68.865979063380294</v>
      </c>
      <c r="AM1213" s="89">
        <f t="shared" si="340"/>
        <v>111.289619</v>
      </c>
      <c r="AN1213" s="90">
        <f t="shared" si="341"/>
        <v>15803.125898</v>
      </c>
      <c r="AO1213" s="93">
        <f t="shared" si="342"/>
        <v>0.61603190012844267</v>
      </c>
    </row>
    <row r="1214" spans="2:41" x14ac:dyDescent="0.25">
      <c r="B1214" s="91">
        <v>41110</v>
      </c>
      <c r="C1214" s="89">
        <v>136.949997</v>
      </c>
      <c r="D1214" s="89">
        <v>137.16000399999999</v>
      </c>
      <c r="E1214" s="89">
        <v>136.320007</v>
      </c>
      <c r="F1214" s="89">
        <v>136.470001</v>
      </c>
      <c r="G1214" s="89">
        <v>110.27149199999999</v>
      </c>
      <c r="H1214" s="89">
        <v>142904500</v>
      </c>
      <c r="J1214" s="89">
        <v>0</v>
      </c>
      <c r="K1214" s="89">
        <f t="shared" si="338"/>
        <v>88</v>
      </c>
      <c r="L1214" s="89">
        <f t="shared" si="339"/>
        <v>112.621376</v>
      </c>
      <c r="M1214" s="89">
        <f>+SPY__2[[#This Row],[Adj Close]]</f>
        <v>110.27149199999999</v>
      </c>
      <c r="N1214" s="89">
        <f t="shared" si="334"/>
        <v>9703.8912959999998</v>
      </c>
      <c r="O1214" s="90">
        <f t="shared" si="335"/>
        <v>-206.78979200000026</v>
      </c>
      <c r="P1214" s="93">
        <f t="shared" si="336"/>
        <v>-2.0865346202127766E-2</v>
      </c>
      <c r="Q1214" s="96"/>
      <c r="R1214" s="96"/>
      <c r="T1214" s="90">
        <f t="shared" si="330"/>
        <v>95</v>
      </c>
      <c r="U1214" s="89">
        <f t="shared" si="331"/>
        <v>103.31428490526316</v>
      </c>
      <c r="V1214" s="89">
        <f t="shared" si="332"/>
        <v>110.27149199999999</v>
      </c>
      <c r="W1214" s="90">
        <f t="shared" si="337"/>
        <v>10475.791739999999</v>
      </c>
      <c r="X1214" s="98">
        <f t="shared" si="333"/>
        <v>6.734022406597906E-2</v>
      </c>
      <c r="AB1214" s="89">
        <f t="shared" si="343"/>
        <v>195</v>
      </c>
      <c r="AC1214" s="89">
        <f t="shared" si="344"/>
        <v>51.179276000000002</v>
      </c>
      <c r="AD1214" s="89">
        <f t="shared" si="345"/>
        <v>110.27149199999999</v>
      </c>
      <c r="AE1214" s="89">
        <f t="shared" si="346"/>
        <v>21502.94094</v>
      </c>
      <c r="AF1214" s="90">
        <f t="shared" si="349"/>
        <v>11522.982119999999</v>
      </c>
      <c r="AG1214" s="93">
        <f t="shared" si="350"/>
        <v>1.1546121910751528</v>
      </c>
      <c r="AK1214" s="90">
        <f t="shared" si="347"/>
        <v>142</v>
      </c>
      <c r="AL1214" s="89">
        <f t="shared" si="348"/>
        <v>68.865979063380294</v>
      </c>
      <c r="AM1214" s="89">
        <f t="shared" si="340"/>
        <v>110.27149199999999</v>
      </c>
      <c r="AN1214" s="90">
        <f t="shared" si="341"/>
        <v>15658.551863999999</v>
      </c>
      <c r="AO1214" s="93">
        <f t="shared" si="342"/>
        <v>0.60124772056914266</v>
      </c>
    </row>
    <row r="1215" spans="2:41" x14ac:dyDescent="0.25">
      <c r="B1215" s="91">
        <v>41113</v>
      </c>
      <c r="C1215" s="89">
        <v>134.470001</v>
      </c>
      <c r="D1215" s="89">
        <v>136.38000500000001</v>
      </c>
      <c r="E1215" s="89">
        <v>133.83999600000001</v>
      </c>
      <c r="F1215" s="89">
        <v>135.08999600000001</v>
      </c>
      <c r="G1215" s="89">
        <v>109.15643300000001</v>
      </c>
      <c r="H1215" s="89">
        <v>145210900</v>
      </c>
      <c r="J1215" s="89">
        <v>0</v>
      </c>
      <c r="K1215" s="89">
        <f t="shared" si="338"/>
        <v>88</v>
      </c>
      <c r="L1215" s="89">
        <f t="shared" si="339"/>
        <v>112.621376</v>
      </c>
      <c r="M1215" s="89">
        <f>+SPY__2[[#This Row],[Adj Close]]</f>
        <v>109.15643300000001</v>
      </c>
      <c r="N1215" s="89">
        <f t="shared" si="334"/>
        <v>9605.7661040000003</v>
      </c>
      <c r="O1215" s="90">
        <f t="shared" si="335"/>
        <v>-304.91498399999921</v>
      </c>
      <c r="P1215" s="93">
        <f t="shared" si="336"/>
        <v>-3.0766299641020067E-2</v>
      </c>
      <c r="Q1215" s="96"/>
      <c r="R1215" s="96"/>
      <c r="T1215" s="90">
        <f t="shared" si="330"/>
        <v>95</v>
      </c>
      <c r="U1215" s="89">
        <f t="shared" si="331"/>
        <v>103.31428490526316</v>
      </c>
      <c r="V1215" s="89">
        <f t="shared" si="332"/>
        <v>109.15643300000001</v>
      </c>
      <c r="W1215" s="90">
        <f t="shared" si="337"/>
        <v>10369.861135000001</v>
      </c>
      <c r="X1215" s="98">
        <f t="shared" si="333"/>
        <v>5.6547340961552006E-2</v>
      </c>
      <c r="AB1215" s="89">
        <f t="shared" si="343"/>
        <v>195</v>
      </c>
      <c r="AC1215" s="89">
        <f t="shared" si="344"/>
        <v>51.179276000000002</v>
      </c>
      <c r="AD1215" s="89">
        <f t="shared" si="345"/>
        <v>109.15643300000001</v>
      </c>
      <c r="AE1215" s="89">
        <f t="shared" si="346"/>
        <v>21285.504435000003</v>
      </c>
      <c r="AF1215" s="90">
        <f t="shared" si="349"/>
        <v>11305.545615000001</v>
      </c>
      <c r="AG1215" s="93">
        <f t="shared" si="350"/>
        <v>1.1328248762252908</v>
      </c>
      <c r="AK1215" s="90">
        <f t="shared" si="347"/>
        <v>142</v>
      </c>
      <c r="AL1215" s="89">
        <f t="shared" si="348"/>
        <v>68.865979063380294</v>
      </c>
      <c r="AM1215" s="89">
        <f t="shared" si="340"/>
        <v>109.15643300000001</v>
      </c>
      <c r="AN1215" s="90">
        <f t="shared" si="341"/>
        <v>15500.213486000001</v>
      </c>
      <c r="AO1215" s="93">
        <f t="shared" si="342"/>
        <v>0.58505599549436016</v>
      </c>
    </row>
    <row r="1216" spans="2:41" x14ac:dyDescent="0.25">
      <c r="B1216" s="91">
        <v>41114</v>
      </c>
      <c r="C1216" s="89">
        <v>135.19000199999999</v>
      </c>
      <c r="D1216" s="89">
        <v>135.25</v>
      </c>
      <c r="E1216" s="89">
        <v>133.029999</v>
      </c>
      <c r="F1216" s="89">
        <v>133.929993</v>
      </c>
      <c r="G1216" s="89">
        <v>108.219086</v>
      </c>
      <c r="H1216" s="89">
        <v>173301200</v>
      </c>
      <c r="J1216" s="89">
        <v>0</v>
      </c>
      <c r="K1216" s="89">
        <f t="shared" si="338"/>
        <v>88</v>
      </c>
      <c r="L1216" s="89">
        <f t="shared" si="339"/>
        <v>112.621376</v>
      </c>
      <c r="M1216" s="89">
        <f>+SPY__2[[#This Row],[Adj Close]]</f>
        <v>108.219086</v>
      </c>
      <c r="N1216" s="89">
        <f t="shared" si="334"/>
        <v>9523.2795679999999</v>
      </c>
      <c r="O1216" s="90">
        <f t="shared" si="335"/>
        <v>-387.40151999999944</v>
      </c>
      <c r="P1216" s="93">
        <f t="shared" si="336"/>
        <v>-3.9089293314974127E-2</v>
      </c>
      <c r="Q1216" s="96"/>
      <c r="R1216" s="96"/>
      <c r="T1216" s="90">
        <f t="shared" si="330"/>
        <v>95</v>
      </c>
      <c r="U1216" s="89">
        <f t="shared" si="331"/>
        <v>103.31428490526316</v>
      </c>
      <c r="V1216" s="89">
        <f t="shared" si="332"/>
        <v>108.219086</v>
      </c>
      <c r="W1216" s="90">
        <f t="shared" si="337"/>
        <v>10280.813170000001</v>
      </c>
      <c r="X1216" s="98">
        <f t="shared" si="333"/>
        <v>4.7474568490063485E-2</v>
      </c>
      <c r="AB1216" s="89">
        <f t="shared" si="343"/>
        <v>195</v>
      </c>
      <c r="AC1216" s="89">
        <f t="shared" si="344"/>
        <v>51.179276000000002</v>
      </c>
      <c r="AD1216" s="89">
        <f t="shared" si="345"/>
        <v>108.219086</v>
      </c>
      <c r="AE1216" s="89">
        <f t="shared" si="346"/>
        <v>21102.72177</v>
      </c>
      <c r="AF1216" s="90">
        <f t="shared" si="349"/>
        <v>11122.76295</v>
      </c>
      <c r="AG1216" s="93">
        <f t="shared" si="350"/>
        <v>1.1145099043605073</v>
      </c>
      <c r="AK1216" s="90">
        <f t="shared" si="347"/>
        <v>142</v>
      </c>
      <c r="AL1216" s="89">
        <f t="shared" si="348"/>
        <v>68.865979063380294</v>
      </c>
      <c r="AM1216" s="89">
        <f t="shared" si="340"/>
        <v>108.219086</v>
      </c>
      <c r="AN1216" s="90">
        <f t="shared" si="341"/>
        <v>15367.110212000001</v>
      </c>
      <c r="AO1216" s="93">
        <f t="shared" si="342"/>
        <v>0.57144481893448984</v>
      </c>
    </row>
    <row r="1217" spans="2:41" x14ac:dyDescent="0.25">
      <c r="B1217" s="91">
        <v>41115</v>
      </c>
      <c r="C1217" s="89">
        <v>134.21000699999999</v>
      </c>
      <c r="D1217" s="89">
        <v>134.55999800000001</v>
      </c>
      <c r="E1217" s="89">
        <v>133.25</v>
      </c>
      <c r="F1217" s="89">
        <v>133.96000699999999</v>
      </c>
      <c r="G1217" s="89">
        <v>108.243347</v>
      </c>
      <c r="H1217" s="89">
        <v>129122300</v>
      </c>
      <c r="J1217" s="89">
        <v>0</v>
      </c>
      <c r="K1217" s="89">
        <f t="shared" si="338"/>
        <v>88</v>
      </c>
      <c r="L1217" s="89">
        <f t="shared" si="339"/>
        <v>112.621376</v>
      </c>
      <c r="M1217" s="89">
        <f>+SPY__2[[#This Row],[Adj Close]]</f>
        <v>108.243347</v>
      </c>
      <c r="N1217" s="89">
        <f t="shared" si="334"/>
        <v>9525.4145360000002</v>
      </c>
      <c r="O1217" s="90">
        <f t="shared" si="335"/>
        <v>-385.26655199999982</v>
      </c>
      <c r="P1217" s="93">
        <f t="shared" si="336"/>
        <v>-3.88738723987887E-2</v>
      </c>
      <c r="Q1217" s="96"/>
      <c r="R1217" s="96"/>
      <c r="T1217" s="90">
        <f t="shared" si="330"/>
        <v>95</v>
      </c>
      <c r="U1217" s="89">
        <f t="shared" si="331"/>
        <v>103.31428490526316</v>
      </c>
      <c r="V1217" s="89">
        <f t="shared" si="332"/>
        <v>108.243347</v>
      </c>
      <c r="W1217" s="90">
        <f t="shared" si="337"/>
        <v>10283.117964999999</v>
      </c>
      <c r="X1217" s="98">
        <f t="shared" si="333"/>
        <v>4.7709395648981801E-2</v>
      </c>
      <c r="AB1217" s="89">
        <f t="shared" si="343"/>
        <v>195</v>
      </c>
      <c r="AC1217" s="89">
        <f t="shared" si="344"/>
        <v>51.179276000000002</v>
      </c>
      <c r="AD1217" s="89">
        <f t="shared" si="345"/>
        <v>108.243347</v>
      </c>
      <c r="AE1217" s="89">
        <f t="shared" si="346"/>
        <v>21107.452665000001</v>
      </c>
      <c r="AF1217" s="90">
        <f t="shared" si="349"/>
        <v>11127.493844999999</v>
      </c>
      <c r="AG1217" s="93">
        <f t="shared" si="350"/>
        <v>1.114983943891664</v>
      </c>
      <c r="AK1217" s="90">
        <f t="shared" si="347"/>
        <v>142</v>
      </c>
      <c r="AL1217" s="89">
        <f t="shared" si="348"/>
        <v>68.865979063380294</v>
      </c>
      <c r="AM1217" s="89">
        <f t="shared" si="340"/>
        <v>108.243347</v>
      </c>
      <c r="AN1217" s="90">
        <f t="shared" si="341"/>
        <v>15370.555274</v>
      </c>
      <c r="AO1217" s="93">
        <f t="shared" si="342"/>
        <v>0.57179711190018878</v>
      </c>
    </row>
    <row r="1218" spans="2:41" x14ac:dyDescent="0.25">
      <c r="B1218" s="91">
        <v>41116</v>
      </c>
      <c r="C1218" s="89">
        <v>135.88999899999999</v>
      </c>
      <c r="D1218" s="89">
        <v>136.46000699999999</v>
      </c>
      <c r="E1218" s="89">
        <v>135.259995</v>
      </c>
      <c r="F1218" s="89">
        <v>136.16999799999999</v>
      </c>
      <c r="G1218" s="89">
        <v>110.029106</v>
      </c>
      <c r="H1218" s="89">
        <v>156526500</v>
      </c>
      <c r="J1218" s="89">
        <v>0</v>
      </c>
      <c r="K1218" s="89">
        <f t="shared" si="338"/>
        <v>88</v>
      </c>
      <c r="L1218" s="89">
        <f t="shared" si="339"/>
        <v>112.621376</v>
      </c>
      <c r="M1218" s="89">
        <f>+SPY__2[[#This Row],[Adj Close]]</f>
        <v>110.029106</v>
      </c>
      <c r="N1218" s="89">
        <f t="shared" si="334"/>
        <v>9682.5613279999998</v>
      </c>
      <c r="O1218" s="90">
        <f t="shared" si="335"/>
        <v>-228.11975999999993</v>
      </c>
      <c r="P1218" s="93">
        <f t="shared" si="336"/>
        <v>-2.3017566398762512E-2</v>
      </c>
      <c r="Q1218" s="96"/>
      <c r="R1218" s="96"/>
      <c r="T1218" s="90">
        <f t="shared" ref="T1218:T1244" si="351">+T1217</f>
        <v>95</v>
      </c>
      <c r="U1218" s="89">
        <f t="shared" ref="U1218:U1244" si="352">+U1217</f>
        <v>103.31428490526316</v>
      </c>
      <c r="V1218" s="89">
        <f t="shared" si="332"/>
        <v>110.029106</v>
      </c>
      <c r="W1218" s="90">
        <f t="shared" si="337"/>
        <v>10452.765069999999</v>
      </c>
      <c r="X1218" s="98">
        <f t="shared" si="333"/>
        <v>6.4994120618403928E-2</v>
      </c>
      <c r="AB1218" s="89">
        <f t="shared" si="343"/>
        <v>195</v>
      </c>
      <c r="AC1218" s="89">
        <f t="shared" si="344"/>
        <v>51.179276000000002</v>
      </c>
      <c r="AD1218" s="89">
        <f t="shared" si="345"/>
        <v>110.029106</v>
      </c>
      <c r="AE1218" s="89">
        <f t="shared" si="346"/>
        <v>21455.675670000001</v>
      </c>
      <c r="AF1218" s="90">
        <f t="shared" si="349"/>
        <v>11475.716849999999</v>
      </c>
      <c r="AG1218" s="93">
        <f t="shared" si="350"/>
        <v>1.1498761725351487</v>
      </c>
      <c r="AK1218" s="90">
        <f t="shared" si="347"/>
        <v>142</v>
      </c>
      <c r="AL1218" s="89">
        <f t="shared" si="348"/>
        <v>68.865979063380294</v>
      </c>
      <c r="AM1218" s="89">
        <f t="shared" si="340"/>
        <v>110.029106</v>
      </c>
      <c r="AN1218" s="90">
        <f t="shared" si="341"/>
        <v>15624.133051999999</v>
      </c>
      <c r="AO1218" s="93">
        <f t="shared" si="342"/>
        <v>0.59772804360677911</v>
      </c>
    </row>
    <row r="1219" spans="2:41" x14ac:dyDescent="0.25">
      <c r="B1219" s="91">
        <v>41117</v>
      </c>
      <c r="C1219" s="89">
        <v>136.88999899999999</v>
      </c>
      <c r="D1219" s="89">
        <v>139.070007</v>
      </c>
      <c r="E1219" s="89">
        <v>136.13999899999999</v>
      </c>
      <c r="F1219" s="89">
        <v>138.679993</v>
      </c>
      <c r="G1219" s="89">
        <v>112.057243</v>
      </c>
      <c r="H1219" s="89">
        <v>236768900</v>
      </c>
      <c r="J1219" s="89">
        <v>0</v>
      </c>
      <c r="K1219" s="89">
        <f t="shared" si="338"/>
        <v>88</v>
      </c>
      <c r="L1219" s="89">
        <f t="shared" si="339"/>
        <v>112.621376</v>
      </c>
      <c r="M1219" s="89">
        <f>+SPY__2[[#This Row],[Adj Close]]</f>
        <v>112.057243</v>
      </c>
      <c r="N1219" s="89">
        <f t="shared" si="334"/>
        <v>9861.0373839999993</v>
      </c>
      <c r="O1219" s="90">
        <f t="shared" si="335"/>
        <v>-49.643703999999843</v>
      </c>
      <c r="P1219" s="93">
        <f t="shared" si="336"/>
        <v>-5.0091112365737711E-3</v>
      </c>
      <c r="Q1219" s="96"/>
      <c r="R1219" s="96"/>
      <c r="T1219" s="90">
        <f t="shared" si="351"/>
        <v>95</v>
      </c>
      <c r="U1219" s="89">
        <f t="shared" si="352"/>
        <v>103.31428490526316</v>
      </c>
      <c r="V1219" s="89">
        <f t="shared" ref="V1219:V1244" si="353">+M1219</f>
        <v>112.057243</v>
      </c>
      <c r="W1219" s="90">
        <f t="shared" si="337"/>
        <v>10645.438085</v>
      </c>
      <c r="X1219" s="98">
        <f t="shared" ref="X1219:X1244" si="354">+W1219/(U1219*T1219)-1</f>
        <v>8.4624871601772567E-2</v>
      </c>
      <c r="AB1219" s="89">
        <f t="shared" si="343"/>
        <v>195</v>
      </c>
      <c r="AC1219" s="89">
        <f t="shared" si="344"/>
        <v>51.179276000000002</v>
      </c>
      <c r="AD1219" s="89">
        <f t="shared" si="345"/>
        <v>112.057243</v>
      </c>
      <c r="AE1219" s="89">
        <f t="shared" si="346"/>
        <v>21851.162385</v>
      </c>
      <c r="AF1219" s="90">
        <f t="shared" si="349"/>
        <v>11871.203565</v>
      </c>
      <c r="AG1219" s="93">
        <f t="shared" si="350"/>
        <v>1.1895042634053672</v>
      </c>
      <c r="AK1219" s="90">
        <f t="shared" si="347"/>
        <v>142</v>
      </c>
      <c r="AL1219" s="89">
        <f t="shared" si="348"/>
        <v>68.865979063380294</v>
      </c>
      <c r="AM1219" s="89">
        <f t="shared" si="340"/>
        <v>112.057243</v>
      </c>
      <c r="AN1219" s="90">
        <f t="shared" si="341"/>
        <v>15912.128505999999</v>
      </c>
      <c r="AO1219" s="93">
        <f t="shared" si="342"/>
        <v>0.62717853610806795</v>
      </c>
    </row>
    <row r="1220" spans="2:41" x14ac:dyDescent="0.25">
      <c r="B1220" s="91">
        <v>41120</v>
      </c>
      <c r="C1220" s="89">
        <v>138.520004</v>
      </c>
      <c r="D1220" s="89">
        <v>139.33999600000001</v>
      </c>
      <c r="E1220" s="89">
        <v>138.270004</v>
      </c>
      <c r="F1220" s="89">
        <v>138.679993</v>
      </c>
      <c r="G1220" s="89">
        <v>112.057243</v>
      </c>
      <c r="H1220" s="89">
        <v>106782000</v>
      </c>
      <c r="J1220" s="89">
        <v>0</v>
      </c>
      <c r="K1220" s="89">
        <f t="shared" si="338"/>
        <v>88</v>
      </c>
      <c r="L1220" s="89">
        <f t="shared" si="339"/>
        <v>112.621376</v>
      </c>
      <c r="M1220" s="89">
        <f>+SPY__2[[#This Row],[Adj Close]]</f>
        <v>112.057243</v>
      </c>
      <c r="N1220" s="89">
        <f t="shared" ref="N1220:N1244" si="355">+K1220*M1220</f>
        <v>9861.0373839999993</v>
      </c>
      <c r="O1220" s="90">
        <f t="shared" ref="O1220:O1244" si="356">+(M1220-L1220)*K1220</f>
        <v>-49.643703999999843</v>
      </c>
      <c r="P1220" s="93">
        <f t="shared" ref="P1220:P1244" si="357">+M1220/L1220-1</f>
        <v>-5.0091112365737711E-3</v>
      </c>
      <c r="Q1220" s="96"/>
      <c r="R1220" s="96"/>
      <c r="T1220" s="90">
        <f t="shared" si="351"/>
        <v>95</v>
      </c>
      <c r="U1220" s="89">
        <f t="shared" si="352"/>
        <v>103.31428490526316</v>
      </c>
      <c r="V1220" s="89">
        <f t="shared" si="353"/>
        <v>112.057243</v>
      </c>
      <c r="W1220" s="90">
        <f t="shared" ref="W1220:W1244" si="358">+V1220*T1220</f>
        <v>10645.438085</v>
      </c>
      <c r="X1220" s="98">
        <f t="shared" si="354"/>
        <v>8.4624871601772567E-2</v>
      </c>
      <c r="AB1220" s="89">
        <f t="shared" si="343"/>
        <v>195</v>
      </c>
      <c r="AC1220" s="89">
        <f t="shared" si="344"/>
        <v>51.179276000000002</v>
      </c>
      <c r="AD1220" s="89">
        <f t="shared" si="345"/>
        <v>112.057243</v>
      </c>
      <c r="AE1220" s="89">
        <f t="shared" si="346"/>
        <v>21851.162385</v>
      </c>
      <c r="AF1220" s="90">
        <f t="shared" si="349"/>
        <v>11871.203565</v>
      </c>
      <c r="AG1220" s="93">
        <f t="shared" si="350"/>
        <v>1.1895042634053672</v>
      </c>
      <c r="AK1220" s="90">
        <f t="shared" si="347"/>
        <v>142</v>
      </c>
      <c r="AL1220" s="89">
        <f t="shared" si="348"/>
        <v>68.865979063380294</v>
      </c>
      <c r="AM1220" s="89">
        <f t="shared" si="340"/>
        <v>112.057243</v>
      </c>
      <c r="AN1220" s="90">
        <f t="shared" si="341"/>
        <v>15912.128505999999</v>
      </c>
      <c r="AO1220" s="93">
        <f t="shared" si="342"/>
        <v>0.62717853610806795</v>
      </c>
    </row>
    <row r="1221" spans="2:41" x14ac:dyDescent="0.25">
      <c r="B1221" s="91">
        <v>41121</v>
      </c>
      <c r="C1221" s="89">
        <v>138.490005</v>
      </c>
      <c r="D1221" s="89">
        <v>138.86999499999999</v>
      </c>
      <c r="E1221" s="89">
        <v>137.71000699999999</v>
      </c>
      <c r="F1221" s="89">
        <v>137.71000699999999</v>
      </c>
      <c r="G1221" s="89">
        <v>111.27343</v>
      </c>
      <c r="H1221" s="89">
        <v>120575900</v>
      </c>
      <c r="J1221" s="89">
        <v>0</v>
      </c>
      <c r="K1221" s="89">
        <f t="shared" ref="K1221:K1244" si="359">+$K$3</f>
        <v>88</v>
      </c>
      <c r="L1221" s="89">
        <f t="shared" ref="L1221:L1244" si="360">+$L$3</f>
        <v>112.621376</v>
      </c>
      <c r="M1221" s="89">
        <f>+SPY__2[[#This Row],[Adj Close]]</f>
        <v>111.27343</v>
      </c>
      <c r="N1221" s="89">
        <f t="shared" si="355"/>
        <v>9792.0618400000003</v>
      </c>
      <c r="O1221" s="90">
        <f t="shared" si="356"/>
        <v>-118.6192479999994</v>
      </c>
      <c r="P1221" s="93">
        <f t="shared" si="357"/>
        <v>-1.1968829079126109E-2</v>
      </c>
      <c r="Q1221" s="96"/>
      <c r="R1221" s="96"/>
      <c r="T1221" s="90">
        <f t="shared" si="351"/>
        <v>95</v>
      </c>
      <c r="U1221" s="89">
        <f t="shared" si="352"/>
        <v>103.31428490526316</v>
      </c>
      <c r="V1221" s="89">
        <f t="shared" si="353"/>
        <v>111.27343</v>
      </c>
      <c r="W1221" s="90">
        <f t="shared" si="358"/>
        <v>10570.975850000001</v>
      </c>
      <c r="X1221" s="98">
        <f t="shared" si="354"/>
        <v>7.7038185978204332E-2</v>
      </c>
      <c r="AB1221" s="89">
        <f t="shared" si="343"/>
        <v>195</v>
      </c>
      <c r="AC1221" s="89">
        <f t="shared" si="344"/>
        <v>51.179276000000002</v>
      </c>
      <c r="AD1221" s="89">
        <f t="shared" si="345"/>
        <v>111.27343</v>
      </c>
      <c r="AE1221" s="89">
        <f t="shared" si="346"/>
        <v>21698.31885</v>
      </c>
      <c r="AF1221" s="90">
        <f t="shared" si="349"/>
        <v>11718.36003</v>
      </c>
      <c r="AG1221" s="93">
        <f t="shared" si="350"/>
        <v>1.1741892167446841</v>
      </c>
      <c r="AK1221" s="90">
        <f t="shared" si="347"/>
        <v>142</v>
      </c>
      <c r="AL1221" s="89">
        <f t="shared" si="348"/>
        <v>68.865979063380294</v>
      </c>
      <c r="AM1221" s="89">
        <f t="shared" si="340"/>
        <v>111.27343</v>
      </c>
      <c r="AN1221" s="90">
        <f t="shared" si="341"/>
        <v>15800.827060000001</v>
      </c>
      <c r="AO1221" s="93">
        <f t="shared" si="342"/>
        <v>0.61579682033693794</v>
      </c>
    </row>
    <row r="1222" spans="2:41" x14ac:dyDescent="0.25">
      <c r="B1222" s="91">
        <v>41122</v>
      </c>
      <c r="C1222" s="89">
        <v>138.699997</v>
      </c>
      <c r="D1222" s="89">
        <v>138.729996</v>
      </c>
      <c r="E1222" s="89">
        <v>137.39999399999999</v>
      </c>
      <c r="F1222" s="89">
        <v>137.58999600000001</v>
      </c>
      <c r="G1222" s="89">
        <v>111.176506</v>
      </c>
      <c r="H1222" s="89">
        <v>138293800</v>
      </c>
      <c r="J1222" s="89">
        <v>0</v>
      </c>
      <c r="K1222" s="89">
        <f t="shared" si="359"/>
        <v>88</v>
      </c>
      <c r="L1222" s="89">
        <f t="shared" si="360"/>
        <v>112.621376</v>
      </c>
      <c r="M1222" s="89">
        <f>+SPY__2[[#This Row],[Adj Close]]</f>
        <v>111.176506</v>
      </c>
      <c r="N1222" s="89">
        <f t="shared" si="355"/>
        <v>9783.5325279999997</v>
      </c>
      <c r="O1222" s="90">
        <f t="shared" si="356"/>
        <v>-127.14855999999952</v>
      </c>
      <c r="P1222" s="93">
        <f t="shared" si="357"/>
        <v>-1.2829447226785695E-2</v>
      </c>
      <c r="Q1222" s="96"/>
      <c r="R1222" s="96"/>
      <c r="T1222" s="90">
        <f t="shared" si="351"/>
        <v>95</v>
      </c>
      <c r="U1222" s="89">
        <f t="shared" si="352"/>
        <v>103.31428490526316</v>
      </c>
      <c r="V1222" s="89">
        <f t="shared" si="353"/>
        <v>111.176506</v>
      </c>
      <c r="W1222" s="90">
        <f t="shared" si="358"/>
        <v>10561.76807</v>
      </c>
      <c r="X1222" s="98">
        <f t="shared" si="354"/>
        <v>7.6100038846964146E-2</v>
      </c>
      <c r="AB1222" s="89">
        <f t="shared" si="343"/>
        <v>195</v>
      </c>
      <c r="AC1222" s="89">
        <f t="shared" si="344"/>
        <v>51.179276000000002</v>
      </c>
      <c r="AD1222" s="89">
        <f t="shared" si="345"/>
        <v>111.176506</v>
      </c>
      <c r="AE1222" s="89">
        <f t="shared" si="346"/>
        <v>21679.418669999999</v>
      </c>
      <c r="AF1222" s="90">
        <f t="shared" si="349"/>
        <v>11699.459850000001</v>
      </c>
      <c r="AG1222" s="93">
        <f t="shared" si="350"/>
        <v>1.1722954033191093</v>
      </c>
      <c r="AK1222" s="90">
        <f t="shared" si="347"/>
        <v>142</v>
      </c>
      <c r="AL1222" s="89">
        <f t="shared" si="348"/>
        <v>68.865979063380294</v>
      </c>
      <c r="AM1222" s="89">
        <f t="shared" si="340"/>
        <v>111.176506</v>
      </c>
      <c r="AN1222" s="90">
        <f t="shared" si="341"/>
        <v>15787.063852000001</v>
      </c>
      <c r="AO1222" s="93">
        <f t="shared" si="342"/>
        <v>0.61438939098912027</v>
      </c>
    </row>
    <row r="1223" spans="2:41" x14ac:dyDescent="0.25">
      <c r="B1223" s="91">
        <v>41123</v>
      </c>
      <c r="C1223" s="89">
        <v>136.550003</v>
      </c>
      <c r="D1223" s="89">
        <v>137.570007</v>
      </c>
      <c r="E1223" s="89">
        <v>135.58000200000001</v>
      </c>
      <c r="F1223" s="89">
        <v>136.63999899999999</v>
      </c>
      <c r="G1223" s="89">
        <v>110.40883599999999</v>
      </c>
      <c r="H1223" s="89">
        <v>199556600</v>
      </c>
      <c r="J1223" s="89">
        <v>0</v>
      </c>
      <c r="K1223" s="89">
        <f t="shared" si="359"/>
        <v>88</v>
      </c>
      <c r="L1223" s="89">
        <f t="shared" si="360"/>
        <v>112.621376</v>
      </c>
      <c r="M1223" s="89">
        <f>+SPY__2[[#This Row],[Adj Close]]</f>
        <v>110.40883599999999</v>
      </c>
      <c r="N1223" s="89">
        <f t="shared" si="355"/>
        <v>9715.9775680000002</v>
      </c>
      <c r="O1223" s="90">
        <f t="shared" si="356"/>
        <v>-194.70352000000037</v>
      </c>
      <c r="P1223" s="93">
        <f t="shared" si="357"/>
        <v>-1.9645826383794196E-2</v>
      </c>
      <c r="Q1223" s="96"/>
      <c r="R1223" s="96"/>
      <c r="T1223" s="90">
        <f t="shared" si="351"/>
        <v>95</v>
      </c>
      <c r="U1223" s="89">
        <f t="shared" si="352"/>
        <v>103.31428490526316</v>
      </c>
      <c r="V1223" s="89">
        <f t="shared" si="353"/>
        <v>110.40883599999999</v>
      </c>
      <c r="W1223" s="90">
        <f t="shared" si="358"/>
        <v>10488.83942</v>
      </c>
      <c r="X1223" s="98">
        <f t="shared" si="354"/>
        <v>6.8669604607362711E-2</v>
      </c>
      <c r="AB1223" s="89">
        <f t="shared" si="343"/>
        <v>195</v>
      </c>
      <c r="AC1223" s="89">
        <f t="shared" si="344"/>
        <v>51.179276000000002</v>
      </c>
      <c r="AD1223" s="89">
        <f t="shared" si="345"/>
        <v>110.40883599999999</v>
      </c>
      <c r="AE1223" s="89">
        <f t="shared" si="346"/>
        <v>21529.723019999998</v>
      </c>
      <c r="AF1223" s="90">
        <f t="shared" si="349"/>
        <v>11549.764199999998</v>
      </c>
      <c r="AG1223" s="93">
        <f t="shared" si="350"/>
        <v>1.1572957772986081</v>
      </c>
      <c r="AK1223" s="90">
        <f t="shared" si="347"/>
        <v>142</v>
      </c>
      <c r="AL1223" s="89">
        <f t="shared" si="348"/>
        <v>68.865979063380294</v>
      </c>
      <c r="AM1223" s="89">
        <f t="shared" si="340"/>
        <v>110.40883599999999</v>
      </c>
      <c r="AN1223" s="90">
        <f t="shared" si="341"/>
        <v>15678.054711999999</v>
      </c>
      <c r="AO1223" s="93">
        <f t="shared" si="342"/>
        <v>0.60324208704541982</v>
      </c>
    </row>
    <row r="1224" spans="2:41" x14ac:dyDescent="0.25">
      <c r="B1224" s="91">
        <v>41124</v>
      </c>
      <c r="C1224" s="89">
        <v>138.55999800000001</v>
      </c>
      <c r="D1224" s="89">
        <v>139.63999899999999</v>
      </c>
      <c r="E1224" s="89">
        <v>136.679993</v>
      </c>
      <c r="F1224" s="89">
        <v>139.35000600000001</v>
      </c>
      <c r="G1224" s="89">
        <v>112.59864</v>
      </c>
      <c r="H1224" s="89">
        <v>157825000</v>
      </c>
      <c r="J1224" s="89">
        <v>0</v>
      </c>
      <c r="K1224" s="89">
        <f t="shared" si="359"/>
        <v>88</v>
      </c>
      <c r="L1224" s="89">
        <f t="shared" si="360"/>
        <v>112.621376</v>
      </c>
      <c r="M1224" s="89">
        <f>+SPY__2[[#This Row],[Adj Close]]</f>
        <v>112.59864</v>
      </c>
      <c r="N1224" s="89">
        <f t="shared" si="355"/>
        <v>9908.6803199999995</v>
      </c>
      <c r="O1224" s="90">
        <f t="shared" si="356"/>
        <v>-2.0007679999995389</v>
      </c>
      <c r="P1224" s="93">
        <f t="shared" si="357"/>
        <v>-2.0187996992682145E-4</v>
      </c>
      <c r="Q1224" s="96"/>
      <c r="R1224" s="96"/>
      <c r="T1224" s="90">
        <f t="shared" si="351"/>
        <v>95</v>
      </c>
      <c r="U1224" s="89">
        <f t="shared" si="352"/>
        <v>103.31428490526316</v>
      </c>
      <c r="V1224" s="89">
        <f t="shared" si="353"/>
        <v>112.59864</v>
      </c>
      <c r="W1224" s="90">
        <f t="shared" si="358"/>
        <v>10696.870800000001</v>
      </c>
      <c r="X1224" s="98">
        <f t="shared" si="354"/>
        <v>8.9865163401657178E-2</v>
      </c>
      <c r="AB1224" s="89">
        <f t="shared" si="343"/>
        <v>195</v>
      </c>
      <c r="AC1224" s="89">
        <f t="shared" si="344"/>
        <v>51.179276000000002</v>
      </c>
      <c r="AD1224" s="89">
        <f t="shared" si="345"/>
        <v>112.59864</v>
      </c>
      <c r="AE1224" s="89">
        <f t="shared" si="346"/>
        <v>21956.734800000002</v>
      </c>
      <c r="AF1224" s="90">
        <f t="shared" si="349"/>
        <v>11976.77598</v>
      </c>
      <c r="AG1224" s="93">
        <f t="shared" si="350"/>
        <v>1.2000827053512833</v>
      </c>
      <c r="AK1224" s="90">
        <f t="shared" si="347"/>
        <v>142</v>
      </c>
      <c r="AL1224" s="89">
        <f t="shared" si="348"/>
        <v>68.865979063380294</v>
      </c>
      <c r="AM1224" s="89">
        <f t="shared" si="340"/>
        <v>112.59864</v>
      </c>
      <c r="AN1224" s="90">
        <f t="shared" si="341"/>
        <v>15989.006880000001</v>
      </c>
      <c r="AO1224" s="93">
        <f t="shared" si="342"/>
        <v>0.63504013928809022</v>
      </c>
    </row>
    <row r="1225" spans="2:41" x14ac:dyDescent="0.25">
      <c r="B1225" s="91">
        <v>41127</v>
      </c>
      <c r="C1225" s="89">
        <v>139.720001</v>
      </c>
      <c r="D1225" s="89">
        <v>140.16999799999999</v>
      </c>
      <c r="E1225" s="89">
        <v>139.55999800000001</v>
      </c>
      <c r="F1225" s="89">
        <v>139.61999499999999</v>
      </c>
      <c r="G1225" s="89">
        <v>112.816818</v>
      </c>
      <c r="H1225" s="89">
        <v>86326200</v>
      </c>
      <c r="J1225" s="89">
        <v>0</v>
      </c>
      <c r="K1225" s="89">
        <f t="shared" si="359"/>
        <v>88</v>
      </c>
      <c r="L1225" s="89">
        <f t="shared" si="360"/>
        <v>112.621376</v>
      </c>
      <c r="M1225" s="89">
        <f>+SPY__2[[#This Row],[Adj Close]]</f>
        <v>112.816818</v>
      </c>
      <c r="N1225" s="89">
        <f>+K1225*M1225</f>
        <v>9927.8799839999992</v>
      </c>
      <c r="O1225" s="95">
        <f>+(M1225-L1225)*K1225</f>
        <v>17.198895999999991</v>
      </c>
      <c r="P1225" s="98">
        <f t="shared" si="357"/>
        <v>1.7353899139005424E-3</v>
      </c>
      <c r="Q1225" s="96"/>
      <c r="R1225" s="96"/>
      <c r="T1225" s="90">
        <f t="shared" si="351"/>
        <v>95</v>
      </c>
      <c r="U1225" s="89">
        <f t="shared" si="352"/>
        <v>103.31428490526316</v>
      </c>
      <c r="V1225" s="89">
        <f t="shared" si="353"/>
        <v>112.816818</v>
      </c>
      <c r="W1225" s="90">
        <f t="shared" si="358"/>
        <v>10717.59771</v>
      </c>
      <c r="X1225" s="98">
        <f t="shared" si="354"/>
        <v>9.1976952688105351E-2</v>
      </c>
      <c r="AB1225" s="89">
        <f t="shared" si="343"/>
        <v>195</v>
      </c>
      <c r="AC1225" s="89">
        <f t="shared" si="344"/>
        <v>51.179276000000002</v>
      </c>
      <c r="AD1225" s="89">
        <f t="shared" si="345"/>
        <v>112.816818</v>
      </c>
      <c r="AE1225" s="89">
        <f t="shared" si="346"/>
        <v>21999.27951</v>
      </c>
      <c r="AF1225" s="90">
        <f t="shared" si="349"/>
        <v>12019.320689999999</v>
      </c>
      <c r="AG1225" s="93">
        <f t="shared" si="350"/>
        <v>1.2043457199355458</v>
      </c>
      <c r="AK1225" s="90">
        <f t="shared" si="347"/>
        <v>142</v>
      </c>
      <c r="AL1225" s="89">
        <f t="shared" si="348"/>
        <v>68.865979063380294</v>
      </c>
      <c r="AM1225" s="89">
        <f t="shared" si="340"/>
        <v>112.816818</v>
      </c>
      <c r="AN1225" s="90">
        <f t="shared" si="341"/>
        <v>16019.988155999999</v>
      </c>
      <c r="AO1225" s="93">
        <f t="shared" si="342"/>
        <v>0.63820829289553682</v>
      </c>
    </row>
    <row r="1226" spans="2:41" x14ac:dyDescent="0.25">
      <c r="B1226" s="91">
        <v>41128</v>
      </c>
      <c r="C1226" s="89">
        <v>140.179993</v>
      </c>
      <c r="D1226" s="89">
        <v>140.91999799999999</v>
      </c>
      <c r="E1226" s="89">
        <v>140.029999</v>
      </c>
      <c r="F1226" s="89">
        <v>140.320007</v>
      </c>
      <c r="G1226" s="89">
        <v>113.38241600000001</v>
      </c>
      <c r="H1226" s="89">
        <v>109545100</v>
      </c>
      <c r="J1226" s="89">
        <v>0</v>
      </c>
      <c r="K1226" s="89">
        <f t="shared" si="359"/>
        <v>88</v>
      </c>
      <c r="L1226" s="89">
        <f t="shared" si="360"/>
        <v>112.621376</v>
      </c>
      <c r="M1226" s="89">
        <f>+SPY__2[[#This Row],[Adj Close]]</f>
        <v>113.38241600000001</v>
      </c>
      <c r="N1226" s="89">
        <f t="shared" si="355"/>
        <v>9977.6526080000003</v>
      </c>
      <c r="O1226" s="95">
        <f t="shared" si="356"/>
        <v>66.971520000000737</v>
      </c>
      <c r="P1226" s="98">
        <f t="shared" si="357"/>
        <v>6.7575093381917473E-3</v>
      </c>
      <c r="Q1226" s="96"/>
      <c r="R1226" s="96"/>
      <c r="T1226" s="90">
        <f t="shared" si="351"/>
        <v>95</v>
      </c>
      <c r="U1226" s="89">
        <f t="shared" si="352"/>
        <v>103.31428490526316</v>
      </c>
      <c r="V1226" s="89">
        <f t="shared" si="353"/>
        <v>113.38241600000001</v>
      </c>
      <c r="W1226" s="90">
        <f t="shared" si="358"/>
        <v>10771.329520000001</v>
      </c>
      <c r="X1226" s="98">
        <f t="shared" si="354"/>
        <v>9.7451490894691739E-2</v>
      </c>
      <c r="AB1226" s="89">
        <f t="shared" si="343"/>
        <v>195</v>
      </c>
      <c r="AC1226" s="89">
        <f t="shared" si="344"/>
        <v>51.179276000000002</v>
      </c>
      <c r="AD1226" s="89">
        <f t="shared" si="345"/>
        <v>113.38241600000001</v>
      </c>
      <c r="AE1226" s="89">
        <f t="shared" si="346"/>
        <v>22109.571120000001</v>
      </c>
      <c r="AF1226" s="90">
        <f t="shared" si="349"/>
        <v>12129.612300000001</v>
      </c>
      <c r="AG1226" s="93">
        <f t="shared" si="350"/>
        <v>1.2153970290630918</v>
      </c>
      <c r="AK1226" s="90">
        <f t="shared" si="347"/>
        <v>142</v>
      </c>
      <c r="AL1226" s="89">
        <f t="shared" si="348"/>
        <v>68.865979063380294</v>
      </c>
      <c r="AM1226" s="89">
        <f t="shared" si="340"/>
        <v>113.38241600000001</v>
      </c>
      <c r="AN1226" s="90">
        <f t="shared" si="341"/>
        <v>16100.303072000001</v>
      </c>
      <c r="AO1226" s="93">
        <f t="shared" si="342"/>
        <v>0.64642131778376877</v>
      </c>
    </row>
    <row r="1227" spans="2:41" x14ac:dyDescent="0.25">
      <c r="B1227" s="91">
        <v>41129</v>
      </c>
      <c r="C1227" s="89">
        <v>139.85000600000001</v>
      </c>
      <c r="D1227" s="89">
        <v>140.64999399999999</v>
      </c>
      <c r="E1227" s="89">
        <v>139.80999800000001</v>
      </c>
      <c r="F1227" s="89">
        <v>140.490005</v>
      </c>
      <c r="G1227" s="89">
        <v>113.519783</v>
      </c>
      <c r="H1227" s="89">
        <v>89754700</v>
      </c>
      <c r="J1227" s="89">
        <v>0</v>
      </c>
      <c r="K1227" s="89">
        <f t="shared" si="359"/>
        <v>88</v>
      </c>
      <c r="L1227" s="89">
        <f t="shared" si="360"/>
        <v>112.621376</v>
      </c>
      <c r="M1227" s="89">
        <f>+SPY__2[[#This Row],[Adj Close]]</f>
        <v>113.519783</v>
      </c>
      <c r="N1227" s="89">
        <f t="shared" si="355"/>
        <v>9989.7409040000002</v>
      </c>
      <c r="O1227" s="95">
        <f t="shared" si="356"/>
        <v>79.059816000000524</v>
      </c>
      <c r="P1227" s="98">
        <f t="shared" si="357"/>
        <v>7.9772333806329421E-3</v>
      </c>
      <c r="Q1227" s="96"/>
      <c r="R1227" s="96"/>
      <c r="T1227" s="90">
        <f t="shared" si="351"/>
        <v>95</v>
      </c>
      <c r="U1227" s="89">
        <f t="shared" si="352"/>
        <v>103.31428490526316</v>
      </c>
      <c r="V1227" s="89">
        <f t="shared" si="353"/>
        <v>113.519783</v>
      </c>
      <c r="W1227" s="90">
        <f t="shared" si="358"/>
        <v>10784.379385</v>
      </c>
      <c r="X1227" s="98">
        <f t="shared" si="354"/>
        <v>9.8781094057758256E-2</v>
      </c>
      <c r="AB1227" s="89">
        <f t="shared" si="343"/>
        <v>195</v>
      </c>
      <c r="AC1227" s="89">
        <f t="shared" si="344"/>
        <v>51.179276000000002</v>
      </c>
      <c r="AD1227" s="89">
        <f t="shared" si="345"/>
        <v>113.519783</v>
      </c>
      <c r="AE1227" s="89">
        <f t="shared" si="346"/>
        <v>22136.357684999999</v>
      </c>
      <c r="AF1227" s="90">
        <f t="shared" si="349"/>
        <v>12156.398865000001</v>
      </c>
      <c r="AG1227" s="93">
        <f t="shared" si="350"/>
        <v>1.2180810646871989</v>
      </c>
      <c r="AK1227" s="90">
        <f t="shared" si="347"/>
        <v>142</v>
      </c>
      <c r="AL1227" s="89">
        <f t="shared" si="348"/>
        <v>68.865979063380294</v>
      </c>
      <c r="AM1227" s="89">
        <f t="shared" si="340"/>
        <v>113.519783</v>
      </c>
      <c r="AN1227" s="90">
        <f t="shared" si="341"/>
        <v>16119.809186</v>
      </c>
      <c r="AO1227" s="93">
        <f t="shared" si="342"/>
        <v>0.64841601824208328</v>
      </c>
    </row>
    <row r="1228" spans="2:41" x14ac:dyDescent="0.25">
      <c r="B1228" s="91">
        <v>41130</v>
      </c>
      <c r="C1228" s="89">
        <v>140.28999300000001</v>
      </c>
      <c r="D1228" s="89">
        <v>140.88999899999999</v>
      </c>
      <c r="E1228" s="89">
        <v>140.14999399999999</v>
      </c>
      <c r="F1228" s="89">
        <v>140.61000100000001</v>
      </c>
      <c r="G1228" s="89">
        <v>113.61674499999999</v>
      </c>
      <c r="H1228" s="89">
        <v>90291700</v>
      </c>
      <c r="J1228" s="89">
        <v>0</v>
      </c>
      <c r="K1228" s="89">
        <f t="shared" si="359"/>
        <v>88</v>
      </c>
      <c r="L1228" s="89">
        <f t="shared" si="360"/>
        <v>112.621376</v>
      </c>
      <c r="M1228" s="89">
        <f>+SPY__2[[#This Row],[Adj Close]]</f>
        <v>113.61674499999999</v>
      </c>
      <c r="N1228" s="89">
        <f t="shared" si="355"/>
        <v>9998.2735599999996</v>
      </c>
      <c r="O1228" s="95">
        <f t="shared" si="356"/>
        <v>87.592471999999702</v>
      </c>
      <c r="P1228" s="98">
        <f t="shared" si="357"/>
        <v>8.8381889420352522E-3</v>
      </c>
      <c r="Q1228" s="96"/>
      <c r="R1228" s="96"/>
      <c r="T1228" s="90">
        <f t="shared" si="351"/>
        <v>95</v>
      </c>
      <c r="U1228" s="89">
        <f t="shared" si="352"/>
        <v>103.31428490526316</v>
      </c>
      <c r="V1228" s="89">
        <f t="shared" si="353"/>
        <v>113.61674499999999</v>
      </c>
      <c r="W1228" s="90">
        <f t="shared" si="358"/>
        <v>10793.590774999999</v>
      </c>
      <c r="X1228" s="98">
        <f t="shared" si="354"/>
        <v>9.9719608998735776E-2</v>
      </c>
      <c r="AB1228" s="89">
        <f t="shared" si="343"/>
        <v>195</v>
      </c>
      <c r="AC1228" s="89">
        <f t="shared" si="344"/>
        <v>51.179276000000002</v>
      </c>
      <c r="AD1228" s="89">
        <f t="shared" si="345"/>
        <v>113.61674499999999</v>
      </c>
      <c r="AE1228" s="89">
        <f t="shared" si="346"/>
        <v>22155.265274999998</v>
      </c>
      <c r="AF1228" s="90">
        <f t="shared" si="349"/>
        <v>12175.306454999998</v>
      </c>
      <c r="AG1228" s="93">
        <f t="shared" si="350"/>
        <v>1.219975620600807</v>
      </c>
      <c r="AK1228" s="90">
        <f t="shared" si="347"/>
        <v>142</v>
      </c>
      <c r="AL1228" s="89">
        <f t="shared" si="348"/>
        <v>68.865979063380294</v>
      </c>
      <c r="AM1228" s="89">
        <f t="shared" si="340"/>
        <v>113.61674499999999</v>
      </c>
      <c r="AN1228" s="90">
        <f t="shared" si="341"/>
        <v>16133.577789999999</v>
      </c>
      <c r="AO1228" s="93">
        <f t="shared" si="342"/>
        <v>0.64982399938631064</v>
      </c>
    </row>
    <row r="1229" spans="2:41" x14ac:dyDescent="0.25">
      <c r="B1229" s="91">
        <v>41131</v>
      </c>
      <c r="C1229" s="89">
        <v>140.03999300000001</v>
      </c>
      <c r="D1229" s="89">
        <v>140.88999899999999</v>
      </c>
      <c r="E1229" s="89">
        <v>139.80999800000001</v>
      </c>
      <c r="F1229" s="89">
        <v>140.83999600000001</v>
      </c>
      <c r="G1229" s="89">
        <v>113.802605</v>
      </c>
      <c r="H1229" s="89">
        <v>99792700</v>
      </c>
      <c r="J1229" s="89">
        <v>0</v>
      </c>
      <c r="K1229" s="89">
        <f t="shared" si="359"/>
        <v>88</v>
      </c>
      <c r="L1229" s="89">
        <f t="shared" si="360"/>
        <v>112.621376</v>
      </c>
      <c r="M1229" s="89">
        <f>+SPY__2[[#This Row],[Adj Close]]</f>
        <v>113.802605</v>
      </c>
      <c r="N1229" s="89">
        <f t="shared" si="355"/>
        <v>10014.62924</v>
      </c>
      <c r="O1229" s="95">
        <f t="shared" si="356"/>
        <v>103.94815200000016</v>
      </c>
      <c r="P1229" s="98">
        <f t="shared" si="357"/>
        <v>1.0488497316885947E-2</v>
      </c>
      <c r="Q1229" s="96"/>
      <c r="R1229" s="96"/>
      <c r="T1229" s="90">
        <f t="shared" si="351"/>
        <v>95</v>
      </c>
      <c r="U1229" s="89">
        <f t="shared" si="352"/>
        <v>103.31428490526316</v>
      </c>
      <c r="V1229" s="89">
        <f t="shared" si="353"/>
        <v>113.802605</v>
      </c>
      <c r="W1229" s="90">
        <f t="shared" si="358"/>
        <v>10811.247475</v>
      </c>
      <c r="X1229" s="98">
        <f t="shared" si="354"/>
        <v>0.10151858578273454</v>
      </c>
      <c r="AB1229" s="89">
        <f t="shared" si="343"/>
        <v>195</v>
      </c>
      <c r="AC1229" s="89">
        <f t="shared" si="344"/>
        <v>51.179276000000002</v>
      </c>
      <c r="AD1229" s="89">
        <f t="shared" si="345"/>
        <v>113.802605</v>
      </c>
      <c r="AE1229" s="89">
        <f t="shared" si="346"/>
        <v>22191.507975</v>
      </c>
      <c r="AF1229" s="90">
        <f t="shared" si="349"/>
        <v>12211.549154999999</v>
      </c>
      <c r="AG1229" s="93">
        <f t="shared" si="350"/>
        <v>1.2236071686516237</v>
      </c>
      <c r="AK1229" s="90">
        <f t="shared" si="347"/>
        <v>142</v>
      </c>
      <c r="AL1229" s="89">
        <f t="shared" si="348"/>
        <v>68.865979063380294</v>
      </c>
      <c r="AM1229" s="89">
        <f t="shared" si="340"/>
        <v>113.802605</v>
      </c>
      <c r="AN1229" s="90">
        <f t="shared" si="341"/>
        <v>16159.96991</v>
      </c>
      <c r="AO1229" s="93">
        <f t="shared" si="342"/>
        <v>0.65252286466823661</v>
      </c>
    </row>
    <row r="1230" spans="2:41" x14ac:dyDescent="0.25">
      <c r="B1230" s="91">
        <v>41134</v>
      </c>
      <c r="C1230" s="89">
        <v>140.60000600000001</v>
      </c>
      <c r="D1230" s="89">
        <v>140.83999600000001</v>
      </c>
      <c r="E1230" s="89">
        <v>140.03999300000001</v>
      </c>
      <c r="F1230" s="89">
        <v>140.770004</v>
      </c>
      <c r="G1230" s="89">
        <v>113.746025</v>
      </c>
      <c r="H1230" s="89">
        <v>79426900</v>
      </c>
      <c r="J1230" s="89">
        <v>0</v>
      </c>
      <c r="K1230" s="89">
        <f t="shared" si="359"/>
        <v>88</v>
      </c>
      <c r="L1230" s="89">
        <f t="shared" si="360"/>
        <v>112.621376</v>
      </c>
      <c r="M1230" s="89">
        <f>+SPY__2[[#This Row],[Adj Close]]</f>
        <v>113.746025</v>
      </c>
      <c r="N1230" s="89">
        <f t="shared" si="355"/>
        <v>10009.6502</v>
      </c>
      <c r="O1230" s="95">
        <f t="shared" si="356"/>
        <v>98.96911200000045</v>
      </c>
      <c r="P1230" s="98">
        <f t="shared" si="357"/>
        <v>9.986106012414675E-3</v>
      </c>
      <c r="Q1230" s="96"/>
      <c r="R1230" s="96"/>
      <c r="T1230" s="90">
        <f t="shared" si="351"/>
        <v>95</v>
      </c>
      <c r="U1230" s="89">
        <f t="shared" si="352"/>
        <v>103.31428490526316</v>
      </c>
      <c r="V1230" s="89">
        <f t="shared" si="353"/>
        <v>113.746025</v>
      </c>
      <c r="W1230" s="90">
        <f t="shared" si="358"/>
        <v>10805.872375000001</v>
      </c>
      <c r="X1230" s="98">
        <f t="shared" si="354"/>
        <v>0.10097093644216293</v>
      </c>
      <c r="AB1230" s="89">
        <f t="shared" si="343"/>
        <v>195</v>
      </c>
      <c r="AC1230" s="89">
        <f t="shared" si="344"/>
        <v>51.179276000000002</v>
      </c>
      <c r="AD1230" s="89">
        <f t="shared" si="345"/>
        <v>113.746025</v>
      </c>
      <c r="AE1230" s="89">
        <f t="shared" si="346"/>
        <v>22180.474875</v>
      </c>
      <c r="AF1230" s="90">
        <f t="shared" si="349"/>
        <v>12200.516055</v>
      </c>
      <c r="AG1230" s="93">
        <f t="shared" si="350"/>
        <v>1.2225016430478619</v>
      </c>
      <c r="AK1230" s="90">
        <f t="shared" si="347"/>
        <v>142</v>
      </c>
      <c r="AL1230" s="89">
        <f t="shared" si="348"/>
        <v>68.865979063380294</v>
      </c>
      <c r="AM1230" s="89">
        <f t="shared" si="340"/>
        <v>113.746025</v>
      </c>
      <c r="AN1230" s="90">
        <f t="shared" si="341"/>
        <v>16151.93555</v>
      </c>
      <c r="AO1230" s="93">
        <f t="shared" si="342"/>
        <v>0.65170126885605884</v>
      </c>
    </row>
    <row r="1231" spans="2:41" x14ac:dyDescent="0.25">
      <c r="B1231" s="91">
        <v>41135</v>
      </c>
      <c r="C1231" s="89">
        <v>141.28999300000001</v>
      </c>
      <c r="D1231" s="89">
        <v>141.38000500000001</v>
      </c>
      <c r="E1231" s="89">
        <v>140.36999499999999</v>
      </c>
      <c r="F1231" s="89">
        <v>140.78999300000001</v>
      </c>
      <c r="G1231" s="89">
        <v>113.762169</v>
      </c>
      <c r="H1231" s="89">
        <v>102379400</v>
      </c>
      <c r="J1231" s="89">
        <v>0</v>
      </c>
      <c r="K1231" s="89">
        <f t="shared" si="359"/>
        <v>88</v>
      </c>
      <c r="L1231" s="89">
        <f t="shared" si="360"/>
        <v>112.621376</v>
      </c>
      <c r="M1231" s="89">
        <f>+SPY__2[[#This Row],[Adj Close]]</f>
        <v>113.762169</v>
      </c>
      <c r="N1231" s="89">
        <f t="shared" si="355"/>
        <v>10011.070872</v>
      </c>
      <c r="O1231" s="95">
        <f t="shared" si="356"/>
        <v>100.38978400000019</v>
      </c>
      <c r="P1231" s="98">
        <f t="shared" si="357"/>
        <v>1.0129453577267578E-2</v>
      </c>
      <c r="Q1231" s="96"/>
      <c r="R1231" s="96"/>
      <c r="T1231" s="90">
        <f t="shared" si="351"/>
        <v>95</v>
      </c>
      <c r="U1231" s="89">
        <f t="shared" si="352"/>
        <v>103.31428490526316</v>
      </c>
      <c r="V1231" s="89">
        <f t="shared" si="353"/>
        <v>113.762169</v>
      </c>
      <c r="W1231" s="90">
        <f t="shared" si="358"/>
        <v>10807.406054999999</v>
      </c>
      <c r="X1231" s="98">
        <f t="shared" si="354"/>
        <v>0.10112719750533339</v>
      </c>
      <c r="AB1231" s="89">
        <f t="shared" si="343"/>
        <v>195</v>
      </c>
      <c r="AC1231" s="89">
        <f t="shared" si="344"/>
        <v>51.179276000000002</v>
      </c>
      <c r="AD1231" s="89">
        <f t="shared" si="345"/>
        <v>113.762169</v>
      </c>
      <c r="AE1231" s="89">
        <f t="shared" si="346"/>
        <v>22183.622954999999</v>
      </c>
      <c r="AF1231" s="90">
        <f t="shared" si="349"/>
        <v>12203.664134999999</v>
      </c>
      <c r="AG1231" s="93">
        <f t="shared" si="350"/>
        <v>1.222817083227203</v>
      </c>
      <c r="AK1231" s="90">
        <f t="shared" si="347"/>
        <v>142</v>
      </c>
      <c r="AL1231" s="89">
        <f t="shared" si="348"/>
        <v>68.865979063380294</v>
      </c>
      <c r="AM1231" s="89">
        <f t="shared" si="340"/>
        <v>113.762169</v>
      </c>
      <c r="AN1231" s="90">
        <f t="shared" si="341"/>
        <v>16154.227998</v>
      </c>
      <c r="AO1231" s="93">
        <f t="shared" si="342"/>
        <v>0.65193569520444683</v>
      </c>
    </row>
    <row r="1232" spans="2:41" x14ac:dyDescent="0.25">
      <c r="B1232" s="91">
        <v>41136</v>
      </c>
      <c r="C1232" s="89">
        <v>140.63999899999999</v>
      </c>
      <c r="D1232" s="89">
        <v>141.19000199999999</v>
      </c>
      <c r="E1232" s="89">
        <v>140.550003</v>
      </c>
      <c r="F1232" s="89">
        <v>140.949997</v>
      </c>
      <c r="G1232" s="89">
        <v>113.891434</v>
      </c>
      <c r="H1232" s="89">
        <v>71085900</v>
      </c>
      <c r="J1232" s="89">
        <v>0</v>
      </c>
      <c r="K1232" s="89">
        <f t="shared" si="359"/>
        <v>88</v>
      </c>
      <c r="L1232" s="89">
        <f t="shared" si="360"/>
        <v>112.621376</v>
      </c>
      <c r="M1232" s="89">
        <f>+SPY__2[[#This Row],[Adj Close]]</f>
        <v>113.891434</v>
      </c>
      <c r="N1232" s="89">
        <f t="shared" si="355"/>
        <v>10022.446191999999</v>
      </c>
      <c r="O1232" s="95">
        <f t="shared" si="356"/>
        <v>111.76510400000052</v>
      </c>
      <c r="P1232" s="98">
        <f t="shared" si="357"/>
        <v>1.127723745801168E-2</v>
      </c>
      <c r="Q1232" s="96"/>
      <c r="R1232" s="96"/>
      <c r="T1232" s="90">
        <f t="shared" si="351"/>
        <v>95</v>
      </c>
      <c r="U1232" s="89">
        <f t="shared" si="352"/>
        <v>103.31428490526316</v>
      </c>
      <c r="V1232" s="89">
        <f t="shared" si="353"/>
        <v>113.891434</v>
      </c>
      <c r="W1232" s="90">
        <f t="shared" si="358"/>
        <v>10819.686230000001</v>
      </c>
      <c r="X1232" s="98">
        <f t="shared" si="354"/>
        <v>0.1023783797607063</v>
      </c>
      <c r="AB1232" s="89">
        <f t="shared" si="343"/>
        <v>195</v>
      </c>
      <c r="AC1232" s="89">
        <f t="shared" si="344"/>
        <v>51.179276000000002</v>
      </c>
      <c r="AD1232" s="89">
        <f t="shared" si="345"/>
        <v>113.891434</v>
      </c>
      <c r="AE1232" s="89">
        <f t="shared" si="346"/>
        <v>22208.82963</v>
      </c>
      <c r="AF1232" s="90">
        <f t="shared" si="349"/>
        <v>12228.87081</v>
      </c>
      <c r="AG1232" s="93">
        <f t="shared" si="350"/>
        <v>1.2253428125868759</v>
      </c>
      <c r="AK1232" s="90">
        <f t="shared" si="347"/>
        <v>142</v>
      </c>
      <c r="AL1232" s="89">
        <f t="shared" si="348"/>
        <v>68.865979063380294</v>
      </c>
      <c r="AM1232" s="89">
        <f t="shared" si="340"/>
        <v>113.891434</v>
      </c>
      <c r="AN1232" s="90">
        <f t="shared" si="341"/>
        <v>16172.583628</v>
      </c>
      <c r="AO1232" s="93">
        <f t="shared" si="342"/>
        <v>0.65381274685982271</v>
      </c>
    </row>
    <row r="1233" spans="2:41" x14ac:dyDescent="0.25">
      <c r="B1233" s="91">
        <v>41137</v>
      </c>
      <c r="C1233" s="89">
        <v>141.14999399999999</v>
      </c>
      <c r="D1233" s="89">
        <v>142.16000399999999</v>
      </c>
      <c r="E1233" s="89">
        <v>140.800003</v>
      </c>
      <c r="F1233" s="89">
        <v>141.990005</v>
      </c>
      <c r="G1233" s="89">
        <v>114.731865</v>
      </c>
      <c r="H1233" s="89">
        <v>112014200</v>
      </c>
      <c r="J1233" s="89">
        <v>0</v>
      </c>
      <c r="K1233" s="89">
        <f t="shared" si="359"/>
        <v>88</v>
      </c>
      <c r="L1233" s="89">
        <f t="shared" si="360"/>
        <v>112.621376</v>
      </c>
      <c r="M1233" s="89">
        <f>+SPY__2[[#This Row],[Adj Close]]</f>
        <v>114.731865</v>
      </c>
      <c r="N1233" s="89">
        <f t="shared" si="355"/>
        <v>10096.404119999999</v>
      </c>
      <c r="O1233" s="95">
        <f t="shared" si="356"/>
        <v>185.7230320000001</v>
      </c>
      <c r="P1233" s="98">
        <f t="shared" si="357"/>
        <v>1.8739684018778124E-2</v>
      </c>
      <c r="Q1233" s="96"/>
      <c r="R1233" s="96"/>
      <c r="T1233" s="90">
        <f t="shared" si="351"/>
        <v>95</v>
      </c>
      <c r="U1233" s="89">
        <f t="shared" si="352"/>
        <v>103.31428490526316</v>
      </c>
      <c r="V1233" s="89">
        <f t="shared" si="353"/>
        <v>114.731865</v>
      </c>
      <c r="W1233" s="90">
        <f t="shared" si="358"/>
        <v>10899.527174999999</v>
      </c>
      <c r="X1233" s="98">
        <f t="shared" si="354"/>
        <v>0.11051308253458347</v>
      </c>
      <c r="AB1233" s="89">
        <f t="shared" si="343"/>
        <v>195</v>
      </c>
      <c r="AC1233" s="89">
        <f t="shared" si="344"/>
        <v>51.179276000000002</v>
      </c>
      <c r="AD1233" s="89">
        <f t="shared" si="345"/>
        <v>114.731865</v>
      </c>
      <c r="AE1233" s="89">
        <f t="shared" si="346"/>
        <v>22372.713674999999</v>
      </c>
      <c r="AF1233" s="90">
        <f t="shared" si="349"/>
        <v>12392.754854999999</v>
      </c>
      <c r="AG1233" s="93">
        <f t="shared" si="350"/>
        <v>1.2417641273393549</v>
      </c>
      <c r="AK1233" s="90">
        <f t="shared" si="347"/>
        <v>142</v>
      </c>
      <c r="AL1233" s="89">
        <f t="shared" si="348"/>
        <v>68.865979063380294</v>
      </c>
      <c r="AM1233" s="89">
        <f t="shared" si="340"/>
        <v>114.731865</v>
      </c>
      <c r="AN1233" s="90">
        <f t="shared" si="341"/>
        <v>16291.92483</v>
      </c>
      <c r="AO1233" s="93">
        <f t="shared" si="342"/>
        <v>0.66601661023954062</v>
      </c>
    </row>
    <row r="1234" spans="2:41" x14ac:dyDescent="0.25">
      <c r="B1234" s="91">
        <v>41138</v>
      </c>
      <c r="C1234" s="89">
        <v>142.229996</v>
      </c>
      <c r="D1234" s="89">
        <v>142.300003</v>
      </c>
      <c r="E1234" s="89">
        <v>141.86000100000001</v>
      </c>
      <c r="F1234" s="89">
        <v>142.179993</v>
      </c>
      <c r="G1234" s="89">
        <v>114.885361</v>
      </c>
      <c r="H1234" s="89">
        <v>90813700</v>
      </c>
      <c r="J1234" s="89">
        <v>0</v>
      </c>
      <c r="K1234" s="89">
        <f t="shared" si="359"/>
        <v>88</v>
      </c>
      <c r="L1234" s="89">
        <f t="shared" si="360"/>
        <v>112.621376</v>
      </c>
      <c r="M1234" s="89">
        <f>+SPY__2[[#This Row],[Adj Close]]</f>
        <v>114.885361</v>
      </c>
      <c r="N1234" s="89">
        <f t="shared" si="355"/>
        <v>10109.911768</v>
      </c>
      <c r="O1234" s="95">
        <f t="shared" si="356"/>
        <v>199.23068000000046</v>
      </c>
      <c r="P1234" s="98">
        <f t="shared" si="357"/>
        <v>2.0102622436436901E-2</v>
      </c>
      <c r="Q1234" s="96"/>
      <c r="R1234" s="96"/>
      <c r="T1234" s="90">
        <f t="shared" si="351"/>
        <v>95</v>
      </c>
      <c r="U1234" s="89">
        <f t="shared" si="352"/>
        <v>103.31428490526316</v>
      </c>
      <c r="V1234" s="89">
        <f t="shared" si="353"/>
        <v>114.885361</v>
      </c>
      <c r="W1234" s="90">
        <f t="shared" si="358"/>
        <v>10914.109295</v>
      </c>
      <c r="X1234" s="98">
        <f t="shared" si="354"/>
        <v>0.11199880157276665</v>
      </c>
      <c r="AB1234" s="89">
        <f t="shared" si="343"/>
        <v>195</v>
      </c>
      <c r="AC1234" s="89">
        <f t="shared" si="344"/>
        <v>51.179276000000002</v>
      </c>
      <c r="AD1234" s="89">
        <f t="shared" si="345"/>
        <v>114.885361</v>
      </c>
      <c r="AE1234" s="89">
        <f t="shared" si="346"/>
        <v>22402.645395</v>
      </c>
      <c r="AF1234" s="90">
        <f t="shared" si="349"/>
        <v>12422.686575</v>
      </c>
      <c r="AG1234" s="93">
        <f t="shared" si="350"/>
        <v>1.2447633100554216</v>
      </c>
      <c r="AK1234" s="90">
        <f t="shared" si="347"/>
        <v>142</v>
      </c>
      <c r="AL1234" s="89">
        <f t="shared" si="348"/>
        <v>68.865979063380294</v>
      </c>
      <c r="AM1234" s="89">
        <f t="shared" si="340"/>
        <v>114.885361</v>
      </c>
      <c r="AN1234" s="90">
        <f t="shared" si="341"/>
        <v>16313.721262000001</v>
      </c>
      <c r="AO1234" s="93">
        <f t="shared" si="342"/>
        <v>0.66824551923187103</v>
      </c>
    </row>
    <row r="1235" spans="2:41" x14ac:dyDescent="0.25">
      <c r="B1235" s="91">
        <v>41141</v>
      </c>
      <c r="C1235" s="89">
        <v>141.979996</v>
      </c>
      <c r="D1235" s="89">
        <v>142.220001</v>
      </c>
      <c r="E1235" s="89">
        <v>141.58999600000001</v>
      </c>
      <c r="F1235" s="89">
        <v>142.19000199999999</v>
      </c>
      <c r="G1235" s="89">
        <v>114.893417</v>
      </c>
      <c r="H1235" s="89">
        <v>78255700</v>
      </c>
      <c r="J1235" s="89">
        <v>0</v>
      </c>
      <c r="K1235" s="89">
        <f t="shared" si="359"/>
        <v>88</v>
      </c>
      <c r="L1235" s="89">
        <f t="shared" si="360"/>
        <v>112.621376</v>
      </c>
      <c r="M1235" s="89">
        <f>+SPY__2[[#This Row],[Adj Close]]</f>
        <v>114.893417</v>
      </c>
      <c r="N1235" s="89">
        <f t="shared" si="355"/>
        <v>10110.620696</v>
      </c>
      <c r="O1235" s="95">
        <f t="shared" si="356"/>
        <v>199.93960800000013</v>
      </c>
      <c r="P1235" s="98">
        <f t="shared" si="357"/>
        <v>2.0174154149919188E-2</v>
      </c>
      <c r="Q1235" s="96"/>
      <c r="R1235" s="96"/>
      <c r="T1235" s="90">
        <f t="shared" si="351"/>
        <v>95</v>
      </c>
      <c r="U1235" s="89">
        <f t="shared" si="352"/>
        <v>103.31428490526316</v>
      </c>
      <c r="V1235" s="89">
        <f t="shared" si="353"/>
        <v>114.893417</v>
      </c>
      <c r="W1235" s="90">
        <f t="shared" si="358"/>
        <v>10914.874615000001</v>
      </c>
      <c r="X1235" s="98">
        <f t="shared" si="354"/>
        <v>0.11207677723709408</v>
      </c>
      <c r="AB1235" s="89">
        <f t="shared" si="343"/>
        <v>195</v>
      </c>
      <c r="AC1235" s="89">
        <f t="shared" si="344"/>
        <v>51.179276000000002</v>
      </c>
      <c r="AD1235" s="89">
        <f t="shared" si="345"/>
        <v>114.893417</v>
      </c>
      <c r="AE1235" s="89">
        <f t="shared" si="346"/>
        <v>22404.216315000001</v>
      </c>
      <c r="AF1235" s="90">
        <f t="shared" si="349"/>
        <v>12424.257495</v>
      </c>
      <c r="AG1235" s="93">
        <f t="shared" si="350"/>
        <v>1.2449207175185517</v>
      </c>
      <c r="AK1235" s="90">
        <f t="shared" si="347"/>
        <v>142</v>
      </c>
      <c r="AL1235" s="89">
        <f t="shared" si="348"/>
        <v>68.865979063380294</v>
      </c>
      <c r="AM1235" s="89">
        <f t="shared" si="340"/>
        <v>114.893417</v>
      </c>
      <c r="AN1235" s="90">
        <f t="shared" si="341"/>
        <v>16314.865213999999</v>
      </c>
      <c r="AO1235" s="93">
        <f t="shared" si="342"/>
        <v>0.6683625000707345</v>
      </c>
    </row>
    <row r="1236" spans="2:41" x14ac:dyDescent="0.25">
      <c r="B1236" s="91">
        <v>41142</v>
      </c>
      <c r="C1236" s="89">
        <v>142.53999300000001</v>
      </c>
      <c r="D1236" s="89">
        <v>143.08999600000001</v>
      </c>
      <c r="E1236" s="89">
        <v>141.449997</v>
      </c>
      <c r="F1236" s="89">
        <v>141.759995</v>
      </c>
      <c r="G1236" s="89">
        <v>114.545937</v>
      </c>
      <c r="H1236" s="89">
        <v>105581100</v>
      </c>
      <c r="J1236" s="89">
        <v>0</v>
      </c>
      <c r="K1236" s="89">
        <f t="shared" si="359"/>
        <v>88</v>
      </c>
      <c r="L1236" s="89">
        <f t="shared" si="360"/>
        <v>112.621376</v>
      </c>
      <c r="M1236" s="89">
        <f>+SPY__2[[#This Row],[Adj Close]]</f>
        <v>114.545937</v>
      </c>
      <c r="N1236" s="89">
        <f t="shared" si="355"/>
        <v>10080.042455999999</v>
      </c>
      <c r="O1236" s="95">
        <f t="shared" si="356"/>
        <v>169.36136799999974</v>
      </c>
      <c r="P1236" s="98">
        <f t="shared" si="357"/>
        <v>1.7088771850914064E-2</v>
      </c>
      <c r="Q1236" s="96"/>
      <c r="R1236" s="96"/>
      <c r="T1236" s="90">
        <f t="shared" si="351"/>
        <v>95</v>
      </c>
      <c r="U1236" s="89">
        <f t="shared" si="352"/>
        <v>103.31428490526316</v>
      </c>
      <c r="V1236" s="89">
        <f t="shared" si="353"/>
        <v>114.545937</v>
      </c>
      <c r="W1236" s="90">
        <f t="shared" si="358"/>
        <v>10881.864014999999</v>
      </c>
      <c r="X1236" s="98">
        <f t="shared" si="354"/>
        <v>0.10871344756473889</v>
      </c>
      <c r="AB1236" s="89">
        <f t="shared" si="343"/>
        <v>195</v>
      </c>
      <c r="AC1236" s="89">
        <f t="shared" si="344"/>
        <v>51.179276000000002</v>
      </c>
      <c r="AD1236" s="89">
        <f t="shared" si="345"/>
        <v>114.545937</v>
      </c>
      <c r="AE1236" s="89">
        <f t="shared" si="346"/>
        <v>22336.457715</v>
      </c>
      <c r="AF1236" s="90">
        <f t="shared" si="349"/>
        <v>12356.498894999999</v>
      </c>
      <c r="AG1236" s="93">
        <f t="shared" si="350"/>
        <v>1.2381312506257416</v>
      </c>
      <c r="AK1236" s="90">
        <f t="shared" si="347"/>
        <v>142</v>
      </c>
      <c r="AL1236" s="89">
        <f t="shared" si="348"/>
        <v>68.865979063380294</v>
      </c>
      <c r="AM1236" s="89">
        <f t="shared" si="340"/>
        <v>114.545937</v>
      </c>
      <c r="AN1236" s="90">
        <f t="shared" si="341"/>
        <v>16265.523053999999</v>
      </c>
      <c r="AO1236" s="93">
        <f t="shared" si="342"/>
        <v>0.66331675753246033</v>
      </c>
    </row>
    <row r="1237" spans="2:41" x14ac:dyDescent="0.25">
      <c r="B1237" s="91">
        <v>41143</v>
      </c>
      <c r="C1237" s="89">
        <v>141.39999399999999</v>
      </c>
      <c r="D1237" s="89">
        <v>142.050003</v>
      </c>
      <c r="E1237" s="89">
        <v>141.070007</v>
      </c>
      <c r="F1237" s="89">
        <v>141.820007</v>
      </c>
      <c r="G1237" s="89">
        <v>114.59446699999999</v>
      </c>
      <c r="H1237" s="89">
        <v>133243500</v>
      </c>
      <c r="J1237" s="89">
        <v>0</v>
      </c>
      <c r="K1237" s="89">
        <f t="shared" si="359"/>
        <v>88</v>
      </c>
      <c r="L1237" s="89">
        <f t="shared" si="360"/>
        <v>112.621376</v>
      </c>
      <c r="M1237" s="89">
        <f>+SPY__2[[#This Row],[Adj Close]]</f>
        <v>114.59446699999999</v>
      </c>
      <c r="N1237" s="89">
        <f t="shared" si="355"/>
        <v>10084.313096</v>
      </c>
      <c r="O1237" s="95">
        <f t="shared" si="356"/>
        <v>173.6320079999997</v>
      </c>
      <c r="P1237" s="98">
        <f t="shared" si="357"/>
        <v>1.7519684717757222E-2</v>
      </c>
      <c r="Q1237" s="96"/>
      <c r="R1237" s="96"/>
      <c r="T1237" s="90">
        <f t="shared" si="351"/>
        <v>95</v>
      </c>
      <c r="U1237" s="89">
        <f t="shared" si="352"/>
        <v>103.31428490526316</v>
      </c>
      <c r="V1237" s="89">
        <f t="shared" si="353"/>
        <v>114.59446699999999</v>
      </c>
      <c r="W1237" s="90">
        <f t="shared" si="358"/>
        <v>10886.474365</v>
      </c>
      <c r="X1237" s="98">
        <f t="shared" si="354"/>
        <v>0.10918317931620503</v>
      </c>
      <c r="AB1237" s="89">
        <f t="shared" si="343"/>
        <v>195</v>
      </c>
      <c r="AC1237" s="89">
        <f t="shared" si="344"/>
        <v>51.179276000000002</v>
      </c>
      <c r="AD1237" s="89">
        <f t="shared" si="345"/>
        <v>114.59446699999999</v>
      </c>
      <c r="AE1237" s="89">
        <f t="shared" si="346"/>
        <v>22345.921064999999</v>
      </c>
      <c r="AF1237" s="90">
        <f t="shared" si="349"/>
        <v>12365.962244999999</v>
      </c>
      <c r="AG1237" s="93">
        <f t="shared" si="350"/>
        <v>1.2390794860013257</v>
      </c>
      <c r="AK1237" s="90">
        <f t="shared" si="347"/>
        <v>142</v>
      </c>
      <c r="AL1237" s="89">
        <f t="shared" si="348"/>
        <v>68.865979063380294</v>
      </c>
      <c r="AM1237" s="89">
        <f t="shared" si="340"/>
        <v>114.59446699999999</v>
      </c>
      <c r="AN1237" s="90">
        <f t="shared" si="341"/>
        <v>16272.414314</v>
      </c>
      <c r="AO1237" s="93">
        <f t="shared" si="342"/>
        <v>0.66402145963152348</v>
      </c>
    </row>
    <row r="1238" spans="2:41" x14ac:dyDescent="0.25">
      <c r="B1238" s="91">
        <v>41144</v>
      </c>
      <c r="C1238" s="89">
        <v>141.470001</v>
      </c>
      <c r="D1238" s="89">
        <v>141.479996</v>
      </c>
      <c r="E1238" s="89">
        <v>140.44000199999999</v>
      </c>
      <c r="F1238" s="89">
        <v>140.66000399999999</v>
      </c>
      <c r="G1238" s="89">
        <v>113.657143</v>
      </c>
      <c r="H1238" s="89">
        <v>111466400</v>
      </c>
      <c r="J1238" s="89">
        <v>0</v>
      </c>
      <c r="K1238" s="89">
        <f t="shared" si="359"/>
        <v>88</v>
      </c>
      <c r="L1238" s="89">
        <f t="shared" si="360"/>
        <v>112.621376</v>
      </c>
      <c r="M1238" s="89">
        <f>+SPY__2[[#This Row],[Adj Close]]</f>
        <v>113.657143</v>
      </c>
      <c r="N1238" s="89">
        <f t="shared" si="355"/>
        <v>10001.828584000001</v>
      </c>
      <c r="O1238" s="95">
        <f t="shared" si="356"/>
        <v>91.147496000000615</v>
      </c>
      <c r="P1238" s="98">
        <f t="shared" si="357"/>
        <v>9.1968952679108984E-3</v>
      </c>
      <c r="Q1238" s="96"/>
      <c r="R1238" s="96"/>
      <c r="T1238" s="90">
        <f t="shared" si="351"/>
        <v>95</v>
      </c>
      <c r="U1238" s="89">
        <f t="shared" si="352"/>
        <v>103.31428490526316</v>
      </c>
      <c r="V1238" s="89">
        <f t="shared" si="353"/>
        <v>113.657143</v>
      </c>
      <c r="W1238" s="90">
        <f t="shared" si="358"/>
        <v>10797.428585</v>
      </c>
      <c r="X1238" s="98">
        <f t="shared" si="354"/>
        <v>0.10011062946639959</v>
      </c>
      <c r="AB1238" s="89">
        <f t="shared" si="343"/>
        <v>195</v>
      </c>
      <c r="AC1238" s="89">
        <f t="shared" si="344"/>
        <v>51.179276000000002</v>
      </c>
      <c r="AD1238" s="89">
        <f t="shared" si="345"/>
        <v>113.657143</v>
      </c>
      <c r="AE1238" s="89">
        <f t="shared" si="346"/>
        <v>22163.142885000001</v>
      </c>
      <c r="AF1238" s="90">
        <f t="shared" si="349"/>
        <v>12183.184065000001</v>
      </c>
      <c r="AG1238" s="93">
        <f t="shared" si="350"/>
        <v>1.2207649635371944</v>
      </c>
      <c r="AK1238" s="90">
        <f t="shared" si="347"/>
        <v>142</v>
      </c>
      <c r="AL1238" s="89">
        <f t="shared" si="348"/>
        <v>68.865979063380294</v>
      </c>
      <c r="AM1238" s="89">
        <f t="shared" si="340"/>
        <v>113.657143</v>
      </c>
      <c r="AN1238" s="90">
        <f t="shared" si="341"/>
        <v>16139.314306</v>
      </c>
      <c r="AO1238" s="93">
        <f t="shared" si="342"/>
        <v>0.65041061705369052</v>
      </c>
    </row>
    <row r="1239" spans="2:41" x14ac:dyDescent="0.25">
      <c r="B1239" s="91">
        <v>41145</v>
      </c>
      <c r="C1239" s="89">
        <v>140.30999800000001</v>
      </c>
      <c r="D1239" s="89">
        <v>141.83000200000001</v>
      </c>
      <c r="E1239" s="89">
        <v>140.220001</v>
      </c>
      <c r="F1239" s="89">
        <v>141.509995</v>
      </c>
      <c r="G1239" s="89">
        <v>114.343964</v>
      </c>
      <c r="H1239" s="89">
        <v>99481200</v>
      </c>
      <c r="J1239" s="89">
        <v>0</v>
      </c>
      <c r="K1239" s="89">
        <f t="shared" si="359"/>
        <v>88</v>
      </c>
      <c r="L1239" s="89">
        <f t="shared" si="360"/>
        <v>112.621376</v>
      </c>
      <c r="M1239" s="89">
        <f>+SPY__2[[#This Row],[Adj Close]]</f>
        <v>114.343964</v>
      </c>
      <c r="N1239" s="89">
        <f t="shared" si="355"/>
        <v>10062.268832</v>
      </c>
      <c r="O1239" s="95">
        <f t="shared" si="356"/>
        <v>151.58774400000016</v>
      </c>
      <c r="P1239" s="98">
        <f t="shared" si="357"/>
        <v>1.5295391169789951E-2</v>
      </c>
      <c r="Q1239" s="96"/>
      <c r="R1239" s="96"/>
      <c r="T1239" s="90">
        <f t="shared" si="351"/>
        <v>95</v>
      </c>
      <c r="U1239" s="89">
        <f t="shared" si="352"/>
        <v>103.31428490526316</v>
      </c>
      <c r="V1239" s="89">
        <f t="shared" si="353"/>
        <v>114.343964</v>
      </c>
      <c r="W1239" s="90">
        <f t="shared" si="358"/>
        <v>10862.676579999999</v>
      </c>
      <c r="X1239" s="98">
        <f t="shared" si="354"/>
        <v>0.10675850977288182</v>
      </c>
      <c r="AB1239" s="89">
        <f t="shared" si="343"/>
        <v>195</v>
      </c>
      <c r="AC1239" s="89">
        <f t="shared" si="344"/>
        <v>51.179276000000002</v>
      </c>
      <c r="AD1239" s="89">
        <f t="shared" si="345"/>
        <v>114.343964</v>
      </c>
      <c r="AE1239" s="89">
        <f t="shared" si="346"/>
        <v>22297.072980000001</v>
      </c>
      <c r="AF1239" s="90">
        <f t="shared" si="349"/>
        <v>12317.114159999999</v>
      </c>
      <c r="AG1239" s="93">
        <f t="shared" si="350"/>
        <v>1.234184868109506</v>
      </c>
      <c r="AK1239" s="90">
        <f t="shared" si="347"/>
        <v>142</v>
      </c>
      <c r="AL1239" s="89">
        <f t="shared" si="348"/>
        <v>68.865979063380294</v>
      </c>
      <c r="AM1239" s="89">
        <f t="shared" si="340"/>
        <v>114.343964</v>
      </c>
      <c r="AN1239" s="90">
        <f t="shared" si="341"/>
        <v>16236.842887999999</v>
      </c>
      <c r="AO1239" s="93">
        <f t="shared" si="342"/>
        <v>0.66038391605184876</v>
      </c>
    </row>
    <row r="1240" spans="2:41" x14ac:dyDescent="0.25">
      <c r="B1240" s="91">
        <v>41148</v>
      </c>
      <c r="C1240" s="89">
        <v>141.88999899999999</v>
      </c>
      <c r="D1240" s="89">
        <v>142.08000200000001</v>
      </c>
      <c r="E1240" s="89">
        <v>141.33999600000001</v>
      </c>
      <c r="F1240" s="89">
        <v>141.53999300000001</v>
      </c>
      <c r="G1240" s="89">
        <v>114.368172</v>
      </c>
      <c r="H1240" s="89">
        <v>68785900</v>
      </c>
      <c r="J1240" s="89">
        <v>0</v>
      </c>
      <c r="K1240" s="89">
        <f t="shared" si="359"/>
        <v>88</v>
      </c>
      <c r="L1240" s="89">
        <f t="shared" si="360"/>
        <v>112.621376</v>
      </c>
      <c r="M1240" s="89">
        <f>+SPY__2[[#This Row],[Adj Close]]</f>
        <v>114.368172</v>
      </c>
      <c r="N1240" s="89">
        <f t="shared" si="355"/>
        <v>10064.399136</v>
      </c>
      <c r="O1240" s="95">
        <f t="shared" si="356"/>
        <v>153.71804800000029</v>
      </c>
      <c r="P1240" s="98">
        <f t="shared" si="357"/>
        <v>1.5510341482597445E-2</v>
      </c>
      <c r="Q1240" s="96"/>
      <c r="R1240" s="96"/>
      <c r="T1240" s="90">
        <f t="shared" si="351"/>
        <v>95</v>
      </c>
      <c r="U1240" s="89">
        <f t="shared" si="352"/>
        <v>103.31428490526316</v>
      </c>
      <c r="V1240" s="89">
        <f t="shared" si="353"/>
        <v>114.368172</v>
      </c>
      <c r="W1240" s="90">
        <f t="shared" si="358"/>
        <v>10864.976339999999</v>
      </c>
      <c r="X1240" s="98">
        <f t="shared" si="354"/>
        <v>0.10699282393400855</v>
      </c>
      <c r="AB1240" s="89">
        <f t="shared" si="343"/>
        <v>195</v>
      </c>
      <c r="AC1240" s="89">
        <f t="shared" si="344"/>
        <v>51.179276000000002</v>
      </c>
      <c r="AD1240" s="89">
        <f t="shared" si="345"/>
        <v>114.368172</v>
      </c>
      <c r="AE1240" s="89">
        <f t="shared" si="346"/>
        <v>22301.793539999999</v>
      </c>
      <c r="AF1240" s="90">
        <f t="shared" si="349"/>
        <v>12321.834720000001</v>
      </c>
      <c r="AG1240" s="93">
        <f t="shared" si="350"/>
        <v>1.2346578720652475</v>
      </c>
      <c r="AK1240" s="90">
        <f t="shared" si="347"/>
        <v>142</v>
      </c>
      <c r="AL1240" s="89">
        <f t="shared" si="348"/>
        <v>68.865979063380294</v>
      </c>
      <c r="AM1240" s="89">
        <f t="shared" si="340"/>
        <v>114.368172</v>
      </c>
      <c r="AN1240" s="90">
        <f t="shared" si="341"/>
        <v>16240.280424</v>
      </c>
      <c r="AO1240" s="93">
        <f t="shared" si="342"/>
        <v>0.66073543940676593</v>
      </c>
    </row>
    <row r="1241" spans="2:41" x14ac:dyDescent="0.25">
      <c r="B1241" s="91">
        <v>41149</v>
      </c>
      <c r="C1241" s="89">
        <v>141.179993</v>
      </c>
      <c r="D1241" s="89">
        <v>141.83999600000001</v>
      </c>
      <c r="E1241" s="89">
        <v>140.970001</v>
      </c>
      <c r="F1241" s="89">
        <v>141.39999399999999</v>
      </c>
      <c r="G1241" s="89">
        <v>114.25505099999999</v>
      </c>
      <c r="H1241" s="89">
        <v>75689600</v>
      </c>
      <c r="J1241" s="89">
        <v>0</v>
      </c>
      <c r="K1241" s="89">
        <f t="shared" si="359"/>
        <v>88</v>
      </c>
      <c r="L1241" s="89">
        <f t="shared" si="360"/>
        <v>112.621376</v>
      </c>
      <c r="M1241" s="89">
        <f>+SPY__2[[#This Row],[Adj Close]]</f>
        <v>114.25505099999999</v>
      </c>
      <c r="N1241" s="89">
        <f t="shared" si="355"/>
        <v>10054.444487999999</v>
      </c>
      <c r="O1241" s="95">
        <f t="shared" si="356"/>
        <v>143.76339999999971</v>
      </c>
      <c r="P1241" s="98">
        <f t="shared" si="357"/>
        <v>1.4505905166706468E-2</v>
      </c>
      <c r="Q1241" s="96"/>
      <c r="R1241" s="96"/>
      <c r="T1241" s="90">
        <f t="shared" si="351"/>
        <v>95</v>
      </c>
      <c r="U1241" s="89">
        <f t="shared" si="352"/>
        <v>103.31428490526316</v>
      </c>
      <c r="V1241" s="89">
        <f t="shared" si="353"/>
        <v>114.25505099999999</v>
      </c>
      <c r="W1241" s="90">
        <f t="shared" si="358"/>
        <v>10854.229845</v>
      </c>
      <c r="X1241" s="98">
        <f t="shared" si="354"/>
        <v>0.10589790274180633</v>
      </c>
      <c r="AB1241" s="89">
        <f t="shared" si="343"/>
        <v>195</v>
      </c>
      <c r="AC1241" s="89">
        <f t="shared" si="344"/>
        <v>51.179276000000002</v>
      </c>
      <c r="AD1241" s="89">
        <f t="shared" si="345"/>
        <v>114.25505099999999</v>
      </c>
      <c r="AE1241" s="89">
        <f t="shared" si="346"/>
        <v>22279.734945</v>
      </c>
      <c r="AF1241" s="90">
        <f t="shared" si="349"/>
        <v>12299.776124999999</v>
      </c>
      <c r="AG1241" s="93">
        <f t="shared" si="350"/>
        <v>1.232447582884916</v>
      </c>
      <c r="AK1241" s="90">
        <f t="shared" si="347"/>
        <v>142</v>
      </c>
      <c r="AL1241" s="89">
        <f t="shared" si="348"/>
        <v>68.865979063380294</v>
      </c>
      <c r="AM1241" s="89">
        <f t="shared" si="340"/>
        <v>114.25505099999999</v>
      </c>
      <c r="AN1241" s="90">
        <f t="shared" si="341"/>
        <v>16224.217241999999</v>
      </c>
      <c r="AO1241" s="93">
        <f t="shared" si="342"/>
        <v>0.65909281409977782</v>
      </c>
    </row>
    <row r="1242" spans="2:41" x14ac:dyDescent="0.25">
      <c r="B1242" s="91">
        <v>41150</v>
      </c>
      <c r="C1242" s="89">
        <v>141.520004</v>
      </c>
      <c r="D1242" s="89">
        <v>141.88999899999999</v>
      </c>
      <c r="E1242" s="89">
        <v>141.11999499999999</v>
      </c>
      <c r="F1242" s="89">
        <v>141.509995</v>
      </c>
      <c r="G1242" s="89">
        <v>114.343964</v>
      </c>
      <c r="H1242" s="89">
        <v>65421300</v>
      </c>
      <c r="J1242" s="89">
        <v>0</v>
      </c>
      <c r="K1242" s="89">
        <f t="shared" si="359"/>
        <v>88</v>
      </c>
      <c r="L1242" s="89">
        <f t="shared" si="360"/>
        <v>112.621376</v>
      </c>
      <c r="M1242" s="89">
        <f>+SPY__2[[#This Row],[Adj Close]]</f>
        <v>114.343964</v>
      </c>
      <c r="N1242" s="89">
        <f t="shared" si="355"/>
        <v>10062.268832</v>
      </c>
      <c r="O1242" s="95">
        <f t="shared" si="356"/>
        <v>151.58774400000016</v>
      </c>
      <c r="P1242" s="98">
        <f t="shared" si="357"/>
        <v>1.5295391169789951E-2</v>
      </c>
      <c r="Q1242" s="96"/>
      <c r="R1242" s="96"/>
      <c r="T1242" s="90">
        <f t="shared" si="351"/>
        <v>95</v>
      </c>
      <c r="U1242" s="89">
        <f t="shared" si="352"/>
        <v>103.31428490526316</v>
      </c>
      <c r="V1242" s="89">
        <f t="shared" si="353"/>
        <v>114.343964</v>
      </c>
      <c r="W1242" s="90">
        <f t="shared" si="358"/>
        <v>10862.676579999999</v>
      </c>
      <c r="X1242" s="98">
        <f t="shared" si="354"/>
        <v>0.10675850977288182</v>
      </c>
      <c r="AB1242" s="89">
        <f t="shared" si="343"/>
        <v>195</v>
      </c>
      <c r="AC1242" s="89">
        <f t="shared" si="344"/>
        <v>51.179276000000002</v>
      </c>
      <c r="AD1242" s="89">
        <f t="shared" si="345"/>
        <v>114.343964</v>
      </c>
      <c r="AE1242" s="89">
        <f t="shared" si="346"/>
        <v>22297.072980000001</v>
      </c>
      <c r="AF1242" s="90">
        <f t="shared" si="349"/>
        <v>12317.114159999999</v>
      </c>
      <c r="AG1242" s="93">
        <f t="shared" si="350"/>
        <v>1.234184868109506</v>
      </c>
      <c r="AK1242" s="90">
        <f t="shared" si="347"/>
        <v>142</v>
      </c>
      <c r="AL1242" s="89">
        <f t="shared" si="348"/>
        <v>68.865979063380294</v>
      </c>
      <c r="AM1242" s="89">
        <f t="shared" si="340"/>
        <v>114.343964</v>
      </c>
      <c r="AN1242" s="90">
        <f t="shared" si="341"/>
        <v>16236.842887999999</v>
      </c>
      <c r="AO1242" s="93">
        <f t="shared" si="342"/>
        <v>0.66038391605184876</v>
      </c>
    </row>
    <row r="1243" spans="2:41" x14ac:dyDescent="0.25">
      <c r="B1243" s="91">
        <v>41151</v>
      </c>
      <c r="C1243" s="89">
        <v>140.89999399999999</v>
      </c>
      <c r="D1243" s="89">
        <v>140.94000199999999</v>
      </c>
      <c r="E1243" s="89">
        <v>140.19000199999999</v>
      </c>
      <c r="F1243" s="89">
        <v>140.490005</v>
      </c>
      <c r="G1243" s="89">
        <v>113.519783</v>
      </c>
      <c r="H1243" s="89">
        <v>96589900</v>
      </c>
      <c r="J1243" s="89">
        <v>0</v>
      </c>
      <c r="K1243" s="89">
        <f t="shared" si="359"/>
        <v>88</v>
      </c>
      <c r="L1243" s="89">
        <f t="shared" si="360"/>
        <v>112.621376</v>
      </c>
      <c r="M1243" s="89">
        <f>+SPY__2[[#This Row],[Adj Close]]</f>
        <v>113.519783</v>
      </c>
      <c r="N1243" s="89">
        <f t="shared" si="355"/>
        <v>9989.7409040000002</v>
      </c>
      <c r="O1243" s="95">
        <f t="shared" si="356"/>
        <v>79.059816000000524</v>
      </c>
      <c r="P1243" s="98">
        <f t="shared" si="357"/>
        <v>7.9772333806329421E-3</v>
      </c>
      <c r="Q1243" s="96"/>
      <c r="R1243" s="96"/>
      <c r="T1243" s="90">
        <f t="shared" si="351"/>
        <v>95</v>
      </c>
      <c r="U1243" s="89">
        <f t="shared" si="352"/>
        <v>103.31428490526316</v>
      </c>
      <c r="V1243" s="89">
        <f t="shared" si="353"/>
        <v>113.519783</v>
      </c>
      <c r="W1243" s="90">
        <f t="shared" si="358"/>
        <v>10784.379385</v>
      </c>
      <c r="X1243" s="98">
        <f t="shared" si="354"/>
        <v>9.8781094057758256E-2</v>
      </c>
      <c r="AB1243" s="89">
        <f t="shared" si="343"/>
        <v>195</v>
      </c>
      <c r="AC1243" s="89">
        <f t="shared" si="344"/>
        <v>51.179276000000002</v>
      </c>
      <c r="AD1243" s="89">
        <f t="shared" si="345"/>
        <v>113.519783</v>
      </c>
      <c r="AE1243" s="89">
        <f t="shared" si="346"/>
        <v>22136.357684999999</v>
      </c>
      <c r="AF1243" s="90">
        <f t="shared" si="349"/>
        <v>12156.398865000001</v>
      </c>
      <c r="AG1243" s="93">
        <f t="shared" si="350"/>
        <v>1.2180810646871989</v>
      </c>
      <c r="AK1243" s="90">
        <f t="shared" si="347"/>
        <v>142</v>
      </c>
      <c r="AL1243" s="89">
        <f t="shared" si="348"/>
        <v>68.865979063380294</v>
      </c>
      <c r="AM1243" s="89">
        <f t="shared" si="340"/>
        <v>113.519783</v>
      </c>
      <c r="AN1243" s="90">
        <f t="shared" si="341"/>
        <v>16119.809186</v>
      </c>
      <c r="AO1243" s="93">
        <f t="shared" si="342"/>
        <v>0.64841601824208328</v>
      </c>
    </row>
    <row r="1244" spans="2:41" x14ac:dyDescent="0.25">
      <c r="B1244" s="91">
        <v>41152</v>
      </c>
      <c r="C1244" s="89">
        <v>141.28999300000001</v>
      </c>
      <c r="D1244" s="89">
        <v>141.820007</v>
      </c>
      <c r="E1244" s="89">
        <v>140.36000100000001</v>
      </c>
      <c r="F1244" s="89">
        <v>141.16000399999999</v>
      </c>
      <c r="G1244" s="89">
        <v>114.061195</v>
      </c>
      <c r="H1244" s="89">
        <v>151970400</v>
      </c>
      <c r="J1244" s="89">
        <v>0</v>
      </c>
      <c r="K1244" s="89">
        <f t="shared" si="359"/>
        <v>88</v>
      </c>
      <c r="L1244" s="89">
        <f t="shared" si="360"/>
        <v>112.621376</v>
      </c>
      <c r="M1244" s="89">
        <f>+SPY__2[[#This Row],[Adj Close]]</f>
        <v>114.061195</v>
      </c>
      <c r="N1244" s="89">
        <f t="shared" si="355"/>
        <v>10037.38516</v>
      </c>
      <c r="O1244" s="95">
        <f t="shared" si="356"/>
        <v>126.704072</v>
      </c>
      <c r="P1244" s="98">
        <f t="shared" si="357"/>
        <v>1.278459783691499E-2</v>
      </c>
      <c r="Q1244" s="96"/>
      <c r="R1244" s="96"/>
      <c r="T1244" s="90">
        <f t="shared" si="351"/>
        <v>95</v>
      </c>
      <c r="U1244" s="89">
        <f t="shared" si="352"/>
        <v>103.31428490526316</v>
      </c>
      <c r="V1244" s="89">
        <f t="shared" si="353"/>
        <v>114.061195</v>
      </c>
      <c r="W1244" s="90">
        <f t="shared" si="358"/>
        <v>10835.813525</v>
      </c>
      <c r="X1244" s="98">
        <f t="shared" si="354"/>
        <v>0.10402153104569711</v>
      </c>
      <c r="AB1244" s="89">
        <f t="shared" si="343"/>
        <v>195</v>
      </c>
      <c r="AC1244" s="89">
        <f t="shared" si="344"/>
        <v>51.179276000000002</v>
      </c>
      <c r="AD1244" s="89">
        <f t="shared" si="345"/>
        <v>114.061195</v>
      </c>
      <c r="AE1244" s="89">
        <f t="shared" si="346"/>
        <v>22241.933024999998</v>
      </c>
      <c r="AF1244" s="90">
        <f>+(AD1244-AC1244)*AB1244</f>
        <v>12261.974204999999</v>
      </c>
      <c r="AG1244" s="93">
        <f>+AD1244/AC1244-1</f>
        <v>1.228659799720496</v>
      </c>
      <c r="AK1244" s="90">
        <f t="shared" si="347"/>
        <v>142</v>
      </c>
      <c r="AL1244" s="89">
        <f t="shared" si="348"/>
        <v>68.865979063380294</v>
      </c>
      <c r="AM1244" s="89">
        <f t="shared" si="340"/>
        <v>114.061195</v>
      </c>
      <c r="AN1244" s="90">
        <f t="shared" si="341"/>
        <v>16196.689689999999</v>
      </c>
      <c r="AO1244" s="93">
        <f t="shared" si="342"/>
        <v>0.65627783923647742</v>
      </c>
    </row>
    <row r="1246" spans="2:41" x14ac:dyDescent="0.25">
      <c r="J1246" s="94"/>
    </row>
    <row r="1248" spans="2:41" x14ac:dyDescent="0.25">
      <c r="E1248" s="99"/>
    </row>
    <row r="1250" spans="2:15" x14ac:dyDescent="0.25">
      <c r="F1250" s="99"/>
    </row>
    <row r="1251" spans="2:15" x14ac:dyDescent="0.25">
      <c r="B1251" s="89" t="s">
        <v>3915</v>
      </c>
    </row>
    <row r="1252" spans="2:15" x14ac:dyDescent="0.25">
      <c r="O1252" s="89" t="s">
        <v>3917</v>
      </c>
    </row>
    <row r="1289" spans="3:9" x14ac:dyDescent="0.25">
      <c r="C1289" s="79" t="s">
        <v>3916</v>
      </c>
      <c r="D1289" s="79"/>
      <c r="E1289" s="80"/>
      <c r="F1289" s="80"/>
      <c r="G1289" s="80"/>
      <c r="H1289" s="81"/>
      <c r="I1289" s="81"/>
    </row>
    <row r="1290" spans="3:9" x14ac:dyDescent="0.25">
      <c r="C1290" s="86" t="s">
        <v>2720</v>
      </c>
      <c r="D1290" s="86" t="s">
        <v>2721</v>
      </c>
      <c r="E1290" s="86" t="s">
        <v>2722</v>
      </c>
      <c r="F1290" s="86" t="s">
        <v>2723</v>
      </c>
      <c r="G1290" s="86" t="s">
        <v>2724</v>
      </c>
      <c r="H1290" s="86" t="s">
        <v>3843</v>
      </c>
      <c r="I1290" s="86" t="s">
        <v>2719</v>
      </c>
    </row>
    <row r="1291" spans="3:9" x14ac:dyDescent="0.25">
      <c r="C1291" s="82" t="s">
        <v>2725</v>
      </c>
      <c r="D1291" s="83">
        <v>22616</v>
      </c>
      <c r="E1291" s="83">
        <v>22798</v>
      </c>
      <c r="F1291" s="83">
        <v>23102</v>
      </c>
      <c r="G1291" s="84">
        <f>+(F1291-D1291)/365</f>
        <v>1.3315068493150686</v>
      </c>
      <c r="H1291" s="85">
        <v>8652.85</v>
      </c>
      <c r="I1291" s="87">
        <v>9989.01</v>
      </c>
    </row>
    <row r="1292" spans="3:9" x14ac:dyDescent="0.25">
      <c r="C1292" s="82" t="s">
        <v>2726</v>
      </c>
      <c r="D1292" s="83">
        <v>25143</v>
      </c>
      <c r="E1292" s="83">
        <v>25720</v>
      </c>
      <c r="F1292" s="83">
        <v>26604</v>
      </c>
      <c r="G1292" s="84">
        <f>+(F1292-D1292)/365</f>
        <v>4.0027397260273974</v>
      </c>
      <c r="H1292" s="85">
        <v>9360.57</v>
      </c>
      <c r="I1292" s="87">
        <v>9773.9599999999991</v>
      </c>
    </row>
    <row r="1293" spans="3:9" x14ac:dyDescent="0.25">
      <c r="C1293" s="82" t="s">
        <v>2727</v>
      </c>
      <c r="D1293" s="83">
        <v>26634</v>
      </c>
      <c r="E1293" s="83">
        <v>27273</v>
      </c>
      <c r="F1293" s="83">
        <v>30468</v>
      </c>
      <c r="G1293" s="84">
        <f>+(F1293-D1293)/365</f>
        <v>10.504109589041096</v>
      </c>
      <c r="H1293" s="85">
        <v>8220.24</v>
      </c>
      <c r="I1293" s="87">
        <v>8823.24</v>
      </c>
    </row>
    <row r="1294" spans="3:9" x14ac:dyDescent="0.25">
      <c r="C1294" s="82" t="s">
        <v>2728</v>
      </c>
      <c r="D1294" s="83">
        <v>31990</v>
      </c>
      <c r="E1294" s="83">
        <v>32082</v>
      </c>
      <c r="F1294" s="83">
        <v>32690</v>
      </c>
      <c r="G1294" s="84">
        <f>+(F1294-D1294)/365</f>
        <v>1.9178082191780821</v>
      </c>
      <c r="H1294" s="85">
        <v>8518.16</v>
      </c>
      <c r="I1294" s="87">
        <v>10149.14</v>
      </c>
    </row>
    <row r="1295" spans="3:9" x14ac:dyDescent="0.25">
      <c r="C1295" s="82" t="s">
        <v>2729</v>
      </c>
      <c r="D1295" s="83">
        <v>36739</v>
      </c>
      <c r="E1295" s="83">
        <v>39845</v>
      </c>
      <c r="F1295" s="83">
        <v>41395</v>
      </c>
      <c r="G1295" s="84">
        <f>+(F1295-D1295)/365</f>
        <v>12.756164383561643</v>
      </c>
      <c r="H1295" s="85">
        <v>8443.57</v>
      </c>
      <c r="I1295" s="87">
        <v>9241.3799999999992</v>
      </c>
    </row>
  </sheetData>
  <hyperlinks>
    <hyperlink ref="A1" location="Inicio!A1" display="Inicio" xr:uid="{3479AF6E-63E1-4193-AED3-50892C3C055D}"/>
  </hyperlink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1440CFD-FFD2-4C47-A5EB-C053E5898998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e25a9dbe-78d7-44df-ae4b-6ce00c7b5274}" enabled="0" method="" siteId="{e25a9dbe-78d7-44df-ae4b-6ce00c7b527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54</vt:i4>
      </vt:variant>
      <vt:variant>
        <vt:lpstr>Named Ranges</vt:lpstr>
      </vt:variant>
      <vt:variant>
        <vt:i4>1</vt:i4>
      </vt:variant>
    </vt:vector>
  </HeadingPairs>
  <TitlesOfParts>
    <vt:vector size="55" baseType="lpstr">
      <vt:lpstr>Inicio</vt:lpstr>
      <vt:lpstr>Cap1. R Gotham Capital</vt:lpstr>
      <vt:lpstr>Cap1. Retornos Buffett</vt:lpstr>
      <vt:lpstr>Cap2. Rentabilidad</vt:lpstr>
      <vt:lpstr>Cap3. Backtesting FM</vt:lpstr>
      <vt:lpstr>Cap3. Volatilidad</vt:lpstr>
      <vt:lpstr>Cap4. Cuenta de resultados</vt:lpstr>
      <vt:lpstr>Cap4. Cuenta resultados Apple</vt:lpstr>
      <vt:lpstr>Cap4. Balance familia</vt:lpstr>
      <vt:lpstr>Cap4. Balance Apple</vt:lpstr>
      <vt:lpstr>Cap4. ROA Apple</vt:lpstr>
      <vt:lpstr>Cap4. Goodwill The Best</vt:lpstr>
      <vt:lpstr>Cap4. WC Apple</vt:lpstr>
      <vt:lpstr>Cap4. ROC Greenblatt Apple</vt:lpstr>
      <vt:lpstr>Cap4. Gastos en I+D (7 MAG)</vt:lpstr>
      <vt:lpstr>Cap4. Ajustes I+D Apple</vt:lpstr>
      <vt:lpstr>Cap4. ROCE Apple</vt:lpstr>
      <vt:lpstr>Cap4. ROCE Vs ROIC Apple</vt:lpstr>
      <vt:lpstr>Cap4. ROIC “La Cuchilla”</vt:lpstr>
      <vt:lpstr>Cap4. Cuadro Flujos familia</vt:lpstr>
      <vt:lpstr>Cap4. Cuadro resumen WC</vt:lpstr>
      <vt:lpstr>Cap4. CapEx-ventas industria</vt:lpstr>
      <vt:lpstr>Cap4. Flujo inversión Apple</vt:lpstr>
      <vt:lpstr>Cap4. Capital Allocation cuñado</vt:lpstr>
      <vt:lpstr>Cap4. Analisis flujos Apple</vt:lpstr>
      <vt:lpstr>Cap4. Buffett y los dividendos</vt:lpstr>
      <vt:lpstr>Cap4. Ejemplos Yield On Cost</vt:lpstr>
      <vt:lpstr>Cap4. FCFF academico Apple</vt:lpstr>
      <vt:lpstr>Cap4. FCFE académico Apple</vt:lpstr>
      <vt:lpstr>Cap4. Remunera accionista FCFE </vt:lpstr>
      <vt:lpstr>Cap4. FCFE YoC Apple</vt:lpstr>
      <vt:lpstr>Cap4. ROE Apple</vt:lpstr>
      <vt:lpstr>Cap4. ROE Stuppazuck</vt:lpstr>
      <vt:lpstr>Cap5. V múltiplos AAPL</vt:lpstr>
      <vt:lpstr>Cap5. Cálculo EV Apple</vt:lpstr>
      <vt:lpstr>Cap5. Valoración EVFCFF (ejemp)</vt:lpstr>
      <vt:lpstr>Cap5. Valor EVFCFF Apple</vt:lpstr>
      <vt:lpstr>Cap5. Múltiplo McKinsey The foo</vt:lpstr>
      <vt:lpstr>Cap5. DFCF restauración padel</vt:lpstr>
      <vt:lpstr>Cap5. DFCF apartamento</vt:lpstr>
      <vt:lpstr>Cap5. DFCF Apple</vt:lpstr>
      <vt:lpstr>EEFF Apple y cálculo ratios</vt:lpstr>
      <vt:lpstr>Capital Allocation Apple</vt:lpstr>
      <vt:lpstr>Cap6. Ranking FM Tikr</vt:lpstr>
      <vt:lpstr>Cap6. Cartera FM Tikr</vt:lpstr>
      <vt:lpstr>Cap7. Empresas con moats</vt:lpstr>
      <vt:lpstr>Cap7. Calculo ROE Wisesheets</vt:lpstr>
      <vt:lpstr>Cap7. Dashboard Wisesheets</vt:lpstr>
      <vt:lpstr>Cap7. Filtros iniciales cartera</vt:lpstr>
      <vt:lpstr>Cap7. Formula Mágica Wide moats</vt:lpstr>
      <vt:lpstr>Cap7. Cartera Wide Moats MS</vt:lpstr>
      <vt:lpstr>Cap8. Coste oportunidad</vt:lpstr>
      <vt:lpstr>Cap8. Rent Bolsa por decadas</vt:lpstr>
      <vt:lpstr>Cap8. DCA Vs Lump Sum</vt:lpstr>
      <vt:lpstr>'EEFF Apple y cálculo ratios'!_ftnref1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Díaz Valdecantos</dc:creator>
  <cp:lastModifiedBy>Enrique Díaz Valdecantos</cp:lastModifiedBy>
  <cp:lastPrinted>2026-06-27T18:14:42Z</cp:lastPrinted>
  <dcterms:created xsi:type="dcterms:W3CDTF">2023-12-19T23:53:44Z</dcterms:created>
  <dcterms:modified xsi:type="dcterms:W3CDTF">2026-10-05T16:39:59Z</dcterms:modified>
</cp:coreProperties>
</file>